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backupFile="1" codeName="ThisWorkbook"/>
  <mc:AlternateContent xmlns:mc="http://schemas.openxmlformats.org/markup-compatibility/2006">
    <mc:Choice Requires="x15">
      <x15ac:absPath xmlns:x15ac="http://schemas.microsoft.com/office/spreadsheetml/2010/11/ac" url="K:\SPECIAL SITS\Companies\RAMP\"/>
    </mc:Choice>
  </mc:AlternateContent>
  <xr:revisionPtr revIDLastSave="0" documentId="13_ncr:1_{08E6994D-92A4-4239-A6C7-5DD7F431B828}" xr6:coauthVersionLast="38" xr6:coauthVersionMax="38" xr10:uidLastSave="{00000000-0000-0000-0000-000000000000}"/>
  <bookViews>
    <workbookView xWindow="360" yWindow="990" windowWidth="7290" windowHeight="4080" tabRatio="715" firstSheet="1" activeTab="16" xr2:uid="{00000000-000D-0000-FFFF-FFFF00000000}"/>
  </bookViews>
  <sheets>
    <sheet name="__FDSCACHE__" sheetId="27" state="veryHidden" r:id="rId1"/>
    <sheet name="Summary" sheetId="1" r:id="rId2"/>
    <sheet name="DCF" sheetId="21" r:id="rId3"/>
    <sheet name="Scenario" sheetId="26" r:id="rId4"/>
    <sheet name="Income" sheetId="2" r:id="rId5"/>
    <sheet name="Balance" sheetId="12" r:id="rId6"/>
    <sheet name="Cash Flow" sheetId="13" r:id="rId7"/>
    <sheet name="LiveRamp" sheetId="33" r:id="rId8"/>
    <sheet name="Acxiom Marketing Solutions" sheetId="34" state="hidden" r:id="rId9"/>
    <sheet name="Connectivity" sheetId="32" state="hidden" r:id="rId10"/>
    <sheet name="Audience Solutions" sheetId="30" state="hidden" r:id="rId11"/>
    <sheet name="Marketing Services" sheetId="31" state="hidden" r:id="rId12"/>
    <sheet name="Debt" sheetId="18" r:id="rId13"/>
    <sheet name="Variance" sheetId="19" r:id="rId14"/>
    <sheet name="Guidance" sheetId="24" r:id="rId15"/>
    <sheet name="Qtr Summary" sheetId="25" r:id="rId16"/>
    <sheet name="Current Comps" sheetId="35" r:id="rId17"/>
    <sheet name="Sheet1" sheetId="37" r:id="rId18"/>
    <sheet name="Notes" sheetId="36" r:id="rId19"/>
  </sheets>
  <externalReferences>
    <externalReference r:id="rId20"/>
  </externalReferences>
  <definedNames>
    <definedName name="_bdm.67b2d8f8128f45d3974848147c571af0.edm" hidden="1">Summary!$1:$1048576</definedName>
    <definedName name="_bdm.fa4b7a8cd0b64b4090ea275b20f22956.edm" localSheetId="1" hidden="1">Summary!$O$15:$Z$54</definedName>
    <definedName name="Estimates">Summary!$E$15:$S$55</definedName>
    <definedName name="F1999TotRev">'[1]IS '!$L$19</definedName>
    <definedName name="F2000TotRev">'[1]IS '!$Q$19</definedName>
    <definedName name="F2001TotRev">'[1]IS '!$V$19</definedName>
    <definedName name="F2002TotRev">'[1]IS '!$AA$19</definedName>
    <definedName name="F2003TotRev">'[1]IS '!$AF$19</definedName>
    <definedName name="F2004TotRev">'[1]IS '!$AK$19</definedName>
    <definedName name="Market_capitalization">Summary!$E$7:$Z$14</definedName>
    <definedName name="_xlnm.Print_Area" localSheetId="8">'Acxiom Marketing Solutions'!$E$2:$CV$81</definedName>
    <definedName name="_xlnm.Print_Area" localSheetId="10">'Audience Solutions'!$E$2:$CQ$80</definedName>
    <definedName name="_xlnm.Print_Area" localSheetId="5">Balance!$E$2:$CV$61</definedName>
    <definedName name="_xlnm.Print_Area" localSheetId="6">'Cash Flow'!$E$2:$CV$94</definedName>
    <definedName name="_xlnm.Print_Area" localSheetId="9">Connectivity!$E$2:$CQ$100</definedName>
    <definedName name="_xlnm.Print_Area" localSheetId="16">'Current Comps'!$B$3:$P$76</definedName>
    <definedName name="_xlnm.Print_Area" localSheetId="2">DCF!$E$2:$V$27</definedName>
    <definedName name="_xlnm.Print_Area" localSheetId="14">Guidance!$B$3:$G$12</definedName>
    <definedName name="_xlnm.Print_Area" localSheetId="4">Income!$E$2:$CV$166</definedName>
    <definedName name="_xlnm.Print_Area" localSheetId="7">LiveRamp!$E$2:$CV$78</definedName>
    <definedName name="_xlnm.Print_Area" localSheetId="11">'Marketing Services'!$E$2:$CQ$59</definedName>
    <definedName name="_xlnm.Print_Area" localSheetId="15">'Qtr Summary'!$E$2:$GR$15</definedName>
    <definedName name="_xlnm.Print_Area" localSheetId="3">Scenario!$E$2:$J$25</definedName>
    <definedName name="_xlnm.Print_Area" localSheetId="1">Summary!$E$2:$Z$65</definedName>
    <definedName name="_xlnm.Print_Titles" localSheetId="8">'Acxiom Marketing Solutions'!$E:$E,'Acxiom Marketing Solutions'!$2:$6</definedName>
    <definedName name="_xlnm.Print_Titles" localSheetId="10">'Audience Solutions'!$E:$E,'Audience Solutions'!$2:$6</definedName>
    <definedName name="_xlnm.Print_Titles" localSheetId="5">Balance!$E:$E,Balance!$2:$5</definedName>
    <definedName name="_xlnm.Print_Titles" localSheetId="6">'Cash Flow'!$E:$E,'Cash Flow'!$2:$5</definedName>
    <definedName name="_xlnm.Print_Titles" localSheetId="9">Connectivity!$E:$E,Connectivity!$2:$6</definedName>
    <definedName name="_xlnm.Print_Titles" localSheetId="4">Income!$E:$E,Income!$1:$5</definedName>
    <definedName name="_xlnm.Print_Titles" localSheetId="7">LiveRamp!$E:$E,LiveRamp!$2:$6</definedName>
    <definedName name="_xlnm.Print_Titles" localSheetId="11">'Marketing Services'!$E:$E,'Marketing Services'!$2:$6</definedName>
    <definedName name="Valuation__based_on_sum_of_assets">Summary!$E$56:$AB$66</definedName>
  </definedNames>
  <calcPr calcId="191029" iterate="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16" i="35" l="1"/>
  <c r="E116" i="35"/>
  <c r="B116" i="35"/>
  <c r="B135" i="35" l="1"/>
  <c r="F115" i="35"/>
  <c r="E115" i="35"/>
  <c r="B115" i="35"/>
  <c r="B134" i="35" l="1"/>
  <c r="F114" i="35"/>
  <c r="E114" i="35"/>
  <c r="B114" i="35"/>
  <c r="B133" i="35" l="1"/>
  <c r="F113" i="35"/>
  <c r="E113" i="35"/>
  <c r="B113" i="35"/>
  <c r="B132" i="35" l="1"/>
  <c r="F112" i="35"/>
  <c r="E112" i="35"/>
  <c r="B112" i="35"/>
  <c r="B131" i="35" l="1"/>
  <c r="F111" i="35"/>
  <c r="E111" i="35"/>
  <c r="B111" i="35"/>
  <c r="B130" i="35" l="1"/>
  <c r="F110" i="35"/>
  <c r="E110" i="35"/>
  <c r="B110" i="35"/>
  <c r="B129" i="35" l="1"/>
  <c r="F109" i="35"/>
  <c r="E109" i="35"/>
  <c r="B109" i="35"/>
  <c r="B128" i="35" l="1"/>
  <c r="F108" i="35"/>
  <c r="E108" i="35"/>
  <c r="B108" i="35"/>
  <c r="B127" i="35" l="1"/>
  <c r="F107" i="35"/>
  <c r="E107" i="35"/>
  <c r="B107" i="35"/>
  <c r="B126" i="35" l="1"/>
  <c r="F106" i="35"/>
  <c r="E106" i="35"/>
  <c r="B106" i="35"/>
  <c r="B125" i="35" l="1"/>
  <c r="F105" i="35"/>
  <c r="E105" i="35"/>
  <c r="B105" i="35"/>
  <c r="B124" i="35" l="1"/>
  <c r="F104" i="35"/>
  <c r="E104" i="35"/>
  <c r="F103" i="35" l="1"/>
  <c r="E103" i="35"/>
  <c r="F102" i="35" l="1"/>
  <c r="E102" i="35"/>
  <c r="F101" i="35" l="1"/>
  <c r="E101" i="35"/>
  <c r="E98" i="35"/>
  <c r="B98" i="35"/>
  <c r="E97" i="35"/>
  <c r="B97" i="35"/>
  <c r="E96" i="35"/>
  <c r="B96" i="35"/>
  <c r="E95" i="35"/>
  <c r="B95" i="35"/>
  <c r="E94" i="35"/>
  <c r="B94" i="35"/>
  <c r="E93" i="35"/>
  <c r="B93" i="35"/>
  <c r="E92" i="35"/>
  <c r="B92" i="35"/>
  <c r="E91" i="35"/>
  <c r="B91" i="35"/>
  <c r="E90" i="35"/>
  <c r="B90" i="35"/>
  <c r="E89" i="35"/>
  <c r="B89" i="35"/>
  <c r="E88" i="35"/>
  <c r="B88" i="35"/>
  <c r="E87" i="35"/>
  <c r="B87" i="35"/>
  <c r="E86" i="35"/>
  <c r="E85" i="35"/>
  <c r="E84" i="35"/>
  <c r="E83" i="35"/>
  <c r="E120" i="35" l="1"/>
  <c r="E121" i="35"/>
  <c r="E122" i="35"/>
  <c r="E123" i="35"/>
  <c r="E124" i="35"/>
  <c r="E125" i="35"/>
  <c r="E126" i="35"/>
  <c r="E127" i="35"/>
  <c r="E128" i="35"/>
  <c r="E129" i="35"/>
  <c r="E130" i="35"/>
  <c r="E131" i="35"/>
  <c r="E132" i="35"/>
  <c r="E133" i="35"/>
  <c r="E134" i="35"/>
  <c r="E135" i="35"/>
  <c r="CO74" i="35"/>
  <c r="CR74" i="35" l="1"/>
  <c r="CP74" i="35"/>
  <c r="CQ74" i="35"/>
  <c r="CL74" i="35"/>
  <c r="C74" i="35"/>
  <c r="CO73" i="35"/>
  <c r="CR73" i="35" l="1"/>
  <c r="CQ73" i="35"/>
  <c r="CP73" i="35"/>
  <c r="CL73" i="35"/>
  <c r="C73" i="35"/>
  <c r="CO72" i="35"/>
  <c r="CQ72" i="35" l="1"/>
  <c r="CR72" i="35"/>
  <c r="CP72" i="35"/>
  <c r="CL72" i="35"/>
  <c r="C72" i="35"/>
  <c r="CO71" i="35"/>
  <c r="CP71" i="35" l="1"/>
  <c r="CQ71" i="35"/>
  <c r="CR71" i="35"/>
  <c r="CL71" i="35"/>
  <c r="C71" i="35"/>
  <c r="CO70" i="35"/>
  <c r="CR70" i="35" l="1"/>
  <c r="CQ70" i="35"/>
  <c r="CP70" i="35"/>
  <c r="CL70" i="35"/>
  <c r="C70" i="35"/>
  <c r="CO69" i="35"/>
  <c r="CR69" i="35" l="1"/>
  <c r="CQ69" i="35"/>
  <c r="CP69" i="35"/>
  <c r="CL69" i="35"/>
  <c r="C69" i="35"/>
  <c r="CO68" i="35"/>
  <c r="CQ68" i="35" l="1"/>
  <c r="CR68" i="35"/>
  <c r="CP68" i="35"/>
  <c r="CL68" i="35"/>
  <c r="C68" i="35"/>
  <c r="CO67" i="35"/>
  <c r="CR67" i="35" l="1"/>
  <c r="CP67" i="35"/>
  <c r="CQ67" i="35"/>
  <c r="CL67" i="35"/>
  <c r="C67" i="35"/>
  <c r="CO66" i="35"/>
  <c r="CP66" i="35" l="1"/>
  <c r="CR66" i="35"/>
  <c r="CQ66" i="35"/>
  <c r="CL66" i="35"/>
  <c r="C66" i="35"/>
  <c r="CO65" i="35"/>
  <c r="CQ65" i="35" l="1"/>
  <c r="CR65" i="35"/>
  <c r="CP65" i="35"/>
  <c r="CL65" i="35"/>
  <c r="C65" i="35"/>
  <c r="CO64" i="35"/>
  <c r="CQ64" i="35" l="1"/>
  <c r="CR64" i="35"/>
  <c r="CP64" i="35"/>
  <c r="CL64" i="35"/>
  <c r="C64" i="35"/>
  <c r="CO63" i="35"/>
  <c r="CQ63" i="35" l="1"/>
  <c r="CR63" i="35"/>
  <c r="CP63" i="35"/>
  <c r="CL63" i="35"/>
  <c r="AD63" i="35"/>
  <c r="AD64" i="35" s="1"/>
  <c r="AD65" i="35" s="1"/>
  <c r="AD66" i="35" s="1"/>
  <c r="AD67" i="35" s="1"/>
  <c r="AD68" i="35" s="1"/>
  <c r="AD69" i="35" s="1"/>
  <c r="AD70" i="35" s="1"/>
  <c r="AD71" i="35" s="1"/>
  <c r="AD72" i="35" s="1"/>
  <c r="AD73" i="35" s="1"/>
  <c r="AD74" i="35" s="1"/>
  <c r="Y63" i="35"/>
  <c r="Y64" i="35" s="1"/>
  <c r="Y65" i="35" s="1"/>
  <c r="Y66" i="35" s="1"/>
  <c r="Y67" i="35" s="1"/>
  <c r="Y68" i="35" s="1"/>
  <c r="Y69" i="35" s="1"/>
  <c r="Y70" i="35" s="1"/>
  <c r="Y71" i="35" s="1"/>
  <c r="Y72" i="35" s="1"/>
  <c r="Y73" i="35" s="1"/>
  <c r="Y74" i="35" s="1"/>
  <c r="W63" i="35"/>
  <c r="W64" i="35" s="1"/>
  <c r="W65" i="35" s="1"/>
  <c r="W66" i="35" s="1"/>
  <c r="W67" i="35" s="1"/>
  <c r="W68" i="35" s="1"/>
  <c r="W69" i="35" s="1"/>
  <c r="W70" i="35" s="1"/>
  <c r="W71" i="35" s="1"/>
  <c r="W72" i="35" s="1"/>
  <c r="W73" i="35" s="1"/>
  <c r="W74" i="35" s="1"/>
  <c r="V63" i="35"/>
  <c r="V64" i="35" s="1"/>
  <c r="V65" i="35" s="1"/>
  <c r="V66" i="35" s="1"/>
  <c r="V67" i="35" s="1"/>
  <c r="V68" i="35" s="1"/>
  <c r="V69" i="35" s="1"/>
  <c r="V70" i="35" s="1"/>
  <c r="V71" i="35" s="1"/>
  <c r="V72" i="35" s="1"/>
  <c r="V73" i="35" s="1"/>
  <c r="V74" i="35" s="1"/>
  <c r="U63" i="35"/>
  <c r="U64" i="35" s="1"/>
  <c r="U65" i="35" s="1"/>
  <c r="U66" i="35" s="1"/>
  <c r="U67" i="35" s="1"/>
  <c r="U68" i="35" s="1"/>
  <c r="U69" i="35" s="1"/>
  <c r="U70" i="35" s="1"/>
  <c r="U71" i="35" s="1"/>
  <c r="U72" i="35" s="1"/>
  <c r="U73" i="35" s="1"/>
  <c r="U74" i="35" s="1"/>
  <c r="I63" i="35"/>
  <c r="I64" i="35" s="1"/>
  <c r="I65" i="35" s="1"/>
  <c r="I66" i="35" s="1"/>
  <c r="I67" i="35" s="1"/>
  <c r="I68" i="35" s="1"/>
  <c r="I69" i="35" s="1"/>
  <c r="I70" i="35" s="1"/>
  <c r="I71" i="35" s="1"/>
  <c r="I72" i="35" s="1"/>
  <c r="I73" i="35" s="1"/>
  <c r="I74" i="35" s="1"/>
  <c r="C63" i="35"/>
  <c r="CO62" i="35"/>
  <c r="CQ62" i="35" l="1"/>
  <c r="CP62" i="35"/>
  <c r="CR62" i="35"/>
  <c r="CL62" i="35"/>
  <c r="X62" i="35"/>
  <c r="X63" i="35" s="1"/>
  <c r="X64" i="35" s="1"/>
  <c r="X65" i="35" s="1"/>
  <c r="X66" i="35" s="1"/>
  <c r="X67" i="35" s="1"/>
  <c r="X68" i="35" s="1"/>
  <c r="X69" i="35" s="1"/>
  <c r="X70" i="35" s="1"/>
  <c r="X71" i="35" s="1"/>
  <c r="X72" i="35" s="1"/>
  <c r="X73" i="35" s="1"/>
  <c r="X74" i="35" s="1"/>
  <c r="C62" i="35"/>
  <c r="CO59" i="35"/>
  <c r="CR59" i="35" l="1"/>
  <c r="CQ59" i="35"/>
  <c r="CP59" i="35"/>
  <c r="CL59" i="35"/>
  <c r="C59" i="35"/>
  <c r="CO58" i="35"/>
  <c r="CR58" i="35" l="1"/>
  <c r="CP58" i="35"/>
  <c r="CQ58" i="35"/>
  <c r="CL58" i="35"/>
  <c r="C58" i="35"/>
  <c r="CO57" i="35"/>
  <c r="CR57" i="35" l="1"/>
  <c r="CQ57" i="35"/>
  <c r="CP57" i="35"/>
  <c r="CL57" i="35"/>
  <c r="C57" i="35"/>
  <c r="CO56" i="35"/>
  <c r="CQ56" i="35" l="1"/>
  <c r="CR56" i="35"/>
  <c r="CP56" i="35"/>
  <c r="CL56" i="35"/>
  <c r="C56" i="35"/>
  <c r="CO55" i="35"/>
  <c r="CR55" i="35" l="1"/>
  <c r="CQ55" i="35"/>
  <c r="CP55" i="35"/>
  <c r="CL55" i="35"/>
  <c r="C55" i="35"/>
  <c r="CO54" i="35"/>
  <c r="CP54" i="35" l="1"/>
  <c r="CR54" i="35"/>
  <c r="CQ54" i="35"/>
  <c r="CL54" i="35"/>
  <c r="C54" i="35"/>
  <c r="CO53" i="35"/>
  <c r="CQ53" i="35" l="1"/>
  <c r="CP53" i="35"/>
  <c r="CR53" i="35"/>
  <c r="CL53" i="35"/>
  <c r="C53" i="35"/>
  <c r="CO52" i="35"/>
  <c r="CR52" i="35" l="1"/>
  <c r="CQ52" i="35"/>
  <c r="CP52" i="35"/>
  <c r="CL52" i="35"/>
  <c r="C52" i="35"/>
  <c r="CO51" i="35"/>
  <c r="CQ51" i="35" l="1"/>
  <c r="CP51" i="35"/>
  <c r="CR51" i="35"/>
  <c r="CL51" i="35"/>
  <c r="C51" i="35"/>
  <c r="CO50" i="35"/>
  <c r="CR50" i="35" l="1"/>
  <c r="CP50" i="35"/>
  <c r="CQ50" i="35"/>
  <c r="CL50" i="35"/>
  <c r="C50" i="35"/>
  <c r="CO49" i="35"/>
  <c r="CR49" i="35" l="1"/>
  <c r="CQ49" i="35"/>
  <c r="CP49" i="35"/>
  <c r="CL49" i="35"/>
  <c r="C49" i="35"/>
  <c r="CO48" i="35"/>
  <c r="CQ48" i="35" l="1"/>
  <c r="CP48" i="35"/>
  <c r="CR48" i="35"/>
  <c r="CL48" i="35"/>
  <c r="AD48" i="35"/>
  <c r="AD49" i="35" s="1"/>
  <c r="AD50" i="35" s="1"/>
  <c r="AD51" i="35" s="1"/>
  <c r="AD52" i="35" s="1"/>
  <c r="AD53" i="35" s="1"/>
  <c r="AD54" i="35" s="1"/>
  <c r="AD55" i="35" s="1"/>
  <c r="AD56" i="35" s="1"/>
  <c r="AD57" i="35" s="1"/>
  <c r="AD58" i="35" s="1"/>
  <c r="AD59" i="35" s="1"/>
  <c r="Y48" i="35"/>
  <c r="Y49" i="35" s="1"/>
  <c r="Y50" i="35" s="1"/>
  <c r="Y51" i="35" s="1"/>
  <c r="Y52" i="35" s="1"/>
  <c r="Y53" i="35" s="1"/>
  <c r="Y54" i="35" s="1"/>
  <c r="Y55" i="35" s="1"/>
  <c r="Y56" i="35" s="1"/>
  <c r="Y57" i="35" s="1"/>
  <c r="Y58" i="35" s="1"/>
  <c r="Y59" i="35" s="1"/>
  <c r="W48" i="35"/>
  <c r="W49" i="35" s="1"/>
  <c r="W50" i="35" s="1"/>
  <c r="W51" i="35" s="1"/>
  <c r="W52" i="35" s="1"/>
  <c r="W53" i="35" s="1"/>
  <c r="W54" i="35" s="1"/>
  <c r="W55" i="35" s="1"/>
  <c r="W56" i="35" s="1"/>
  <c r="W57" i="35" s="1"/>
  <c r="W58" i="35" s="1"/>
  <c r="W59" i="35" s="1"/>
  <c r="V48" i="35"/>
  <c r="V49" i="35" s="1"/>
  <c r="V50" i="35" s="1"/>
  <c r="V51" i="35" s="1"/>
  <c r="V52" i="35" s="1"/>
  <c r="V53" i="35" s="1"/>
  <c r="V54" i="35" s="1"/>
  <c r="V55" i="35" s="1"/>
  <c r="V56" i="35" s="1"/>
  <c r="V57" i="35" s="1"/>
  <c r="V58" i="35" s="1"/>
  <c r="V59" i="35" s="1"/>
  <c r="U48" i="35"/>
  <c r="U49" i="35" s="1"/>
  <c r="U50" i="35" s="1"/>
  <c r="U51" i="35" s="1"/>
  <c r="U52" i="35" s="1"/>
  <c r="U53" i="35" s="1"/>
  <c r="U54" i="35" s="1"/>
  <c r="U55" i="35" s="1"/>
  <c r="U56" i="35" s="1"/>
  <c r="U57" i="35" s="1"/>
  <c r="U58" i="35" s="1"/>
  <c r="U59" i="35" s="1"/>
  <c r="I48" i="35"/>
  <c r="I49" i="35" s="1"/>
  <c r="I50" i="35" s="1"/>
  <c r="I51" i="35" s="1"/>
  <c r="I52" i="35" s="1"/>
  <c r="I53" i="35" s="1"/>
  <c r="I54" i="35" s="1"/>
  <c r="I55" i="35" s="1"/>
  <c r="I56" i="35" s="1"/>
  <c r="I57" i="35" s="1"/>
  <c r="I58" i="35" s="1"/>
  <c r="I59" i="35" s="1"/>
  <c r="C48" i="35"/>
  <c r="CO47" i="35"/>
  <c r="CQ47" i="35" l="1"/>
  <c r="CR47" i="35"/>
  <c r="CP47" i="35"/>
  <c r="CL47" i="35"/>
  <c r="X47" i="35"/>
  <c r="X48" i="35" s="1"/>
  <c r="X49" i="35" s="1"/>
  <c r="X50" i="35" s="1"/>
  <c r="X51" i="35" s="1"/>
  <c r="X52" i="35" s="1"/>
  <c r="X53" i="35" s="1"/>
  <c r="X54" i="35" s="1"/>
  <c r="X55" i="35" s="1"/>
  <c r="X56" i="35" s="1"/>
  <c r="X57" i="35" s="1"/>
  <c r="X58" i="35" s="1"/>
  <c r="X59" i="35" s="1"/>
  <c r="C47" i="35"/>
  <c r="CO44" i="35"/>
  <c r="CR44" i="35" l="1"/>
  <c r="CQ44" i="35"/>
  <c r="CP44" i="35"/>
  <c r="CL44" i="35"/>
  <c r="AE44" i="35"/>
  <c r="AE62" i="35" l="1"/>
  <c r="AF44" i="35"/>
  <c r="AF62" i="35" l="1"/>
  <c r="AG44" i="35"/>
  <c r="AG62" i="35" s="1"/>
  <c r="AG63" i="35" s="1"/>
  <c r="AG64" i="35" s="1"/>
  <c r="AG65" i="35" s="1"/>
  <c r="AG66" i="35" s="1"/>
  <c r="AG67" i="35" s="1"/>
  <c r="AG68" i="35" s="1"/>
  <c r="AG69" i="35" s="1"/>
  <c r="AG70" i="35" s="1"/>
  <c r="AG71" i="35" s="1"/>
  <c r="AG72" i="35" s="1"/>
  <c r="AG73" i="35" s="1"/>
  <c r="AG74" i="35" s="1"/>
  <c r="AE63" i="35"/>
  <c r="AE64" i="35" s="1"/>
  <c r="AE65" i="35" s="1"/>
  <c r="AE66" i="35" s="1"/>
  <c r="AE67" i="35" s="1"/>
  <c r="AE68" i="35" s="1"/>
  <c r="AE69" i="35" s="1"/>
  <c r="AE70" i="35" s="1"/>
  <c r="AE71" i="35" s="1"/>
  <c r="AE72" i="35" s="1"/>
  <c r="AE73" i="35" s="1"/>
  <c r="AE74" i="35" s="1"/>
  <c r="X44" i="35"/>
  <c r="AF63" i="35" l="1"/>
  <c r="AF64" i="35" s="1"/>
  <c r="AF65" i="35" s="1"/>
  <c r="AF66" i="35" s="1"/>
  <c r="AF67" i="35" s="1"/>
  <c r="AF68" i="35" s="1"/>
  <c r="AF69" i="35" s="1"/>
  <c r="AF70" i="35" s="1"/>
  <c r="AF71" i="35" s="1"/>
  <c r="AF72" i="35" s="1"/>
  <c r="AF73" i="35" s="1"/>
  <c r="AF74" i="35" s="1"/>
  <c r="C44" i="35"/>
  <c r="CO41" i="35"/>
  <c r="CR41" i="35" l="1"/>
  <c r="CQ41" i="35"/>
  <c r="CP41" i="35"/>
  <c r="CL41" i="35"/>
  <c r="X41" i="35"/>
  <c r="C41" i="35"/>
  <c r="CO20" i="35"/>
  <c r="CQ20" i="35" l="1"/>
  <c r="CP20" i="35"/>
  <c r="CR20" i="35"/>
  <c r="CL20" i="35"/>
  <c r="C20" i="35"/>
  <c r="CO19" i="35"/>
  <c r="CR19" i="35" l="1"/>
  <c r="CQ19" i="35"/>
  <c r="CP19" i="35"/>
  <c r="CL19" i="35"/>
  <c r="C19" i="35"/>
  <c r="CO17" i="35"/>
  <c r="CR17" i="35" l="1"/>
  <c r="CP17" i="35"/>
  <c r="CQ17" i="35"/>
  <c r="CL17" i="35"/>
  <c r="C17" i="35"/>
  <c r="CO16" i="35"/>
  <c r="CR16" i="35" l="1"/>
  <c r="CQ16" i="35"/>
  <c r="CP16" i="35"/>
  <c r="CL16" i="35"/>
  <c r="C16" i="35"/>
  <c r="CO15" i="35"/>
  <c r="CR15" i="35" l="1"/>
  <c r="CP15" i="35"/>
  <c r="CQ15" i="35"/>
  <c r="CL15" i="35"/>
  <c r="C15" i="35"/>
  <c r="CO14" i="35"/>
  <c r="CR14" i="35" l="1"/>
  <c r="CQ14" i="35"/>
  <c r="CP14" i="35"/>
  <c r="CL14" i="35"/>
  <c r="C14" i="35"/>
  <c r="CO13" i="35"/>
  <c r="CR13" i="35" l="1"/>
  <c r="CQ13" i="35"/>
  <c r="CP13" i="35"/>
  <c r="CL13" i="35"/>
  <c r="C13" i="35"/>
  <c r="CO11" i="35"/>
  <c r="CR11" i="35" l="1"/>
  <c r="CQ11" i="35"/>
  <c r="CP11" i="35"/>
  <c r="CL11" i="35"/>
  <c r="C11" i="35"/>
  <c r="CO10" i="35"/>
  <c r="CQ10" i="35" l="1"/>
  <c r="CP10" i="35"/>
  <c r="CR10" i="35"/>
  <c r="CL10" i="35"/>
  <c r="C10" i="35"/>
  <c r="CO9" i="35"/>
  <c r="CR9" i="35" l="1"/>
  <c r="CQ9" i="35"/>
  <c r="CP9" i="35"/>
  <c r="CL9" i="35"/>
  <c r="C9" i="35"/>
  <c r="CO8" i="35"/>
  <c r="CR8" i="35" l="1"/>
  <c r="CQ8" i="35"/>
  <c r="CP8" i="35"/>
  <c r="CL8" i="35"/>
  <c r="C8" i="35"/>
  <c r="CO7" i="35"/>
  <c r="CR7" i="35" l="1"/>
  <c r="CQ7" i="35"/>
  <c r="CP7" i="35"/>
  <c r="CL7" i="35"/>
  <c r="C7" i="35"/>
  <c r="AS5" i="35"/>
  <c r="AT5" i="35" s="1"/>
  <c r="AU5" i="35" s="1"/>
  <c r="AV5" i="35" s="1"/>
  <c r="AN5" i="35"/>
  <c r="AO5" i="35" s="1"/>
  <c r="AP5" i="35" s="1"/>
  <c r="AQ5" i="35" s="1"/>
  <c r="C1" i="35"/>
  <c r="E100" i="35" l="1"/>
  <c r="R74" i="35"/>
  <c r="R73" i="35"/>
  <c r="R72" i="35"/>
  <c r="R71" i="35"/>
  <c r="R70" i="35"/>
  <c r="R69" i="35"/>
  <c r="R68" i="35"/>
  <c r="R67" i="35"/>
  <c r="R66" i="35"/>
  <c r="R65" i="35"/>
  <c r="R64" i="35"/>
  <c r="R63" i="35"/>
  <c r="R62" i="35"/>
  <c r="R59" i="35"/>
  <c r="R58" i="35"/>
  <c r="R57" i="35"/>
  <c r="R56" i="35"/>
  <c r="R55" i="35"/>
  <c r="R54" i="35"/>
  <c r="R53" i="35"/>
  <c r="R52" i="35"/>
  <c r="R51" i="35"/>
  <c r="R50" i="35"/>
  <c r="R49" i="35"/>
  <c r="R48" i="35"/>
  <c r="R47" i="35"/>
  <c r="R44" i="35"/>
  <c r="R41" i="35"/>
  <c r="R20" i="35"/>
  <c r="R19" i="35"/>
  <c r="R17" i="35"/>
  <c r="R16" i="35"/>
  <c r="R15" i="35"/>
  <c r="R14" i="35"/>
  <c r="R13" i="35"/>
  <c r="R11" i="35"/>
  <c r="R10" i="35"/>
  <c r="R9" i="35"/>
  <c r="R8" i="35"/>
  <c r="R7" i="35"/>
  <c r="D1" i="35"/>
  <c r="CN67" i="35"/>
  <c r="CN57" i="35"/>
  <c r="CN49" i="35"/>
  <c r="S16" i="35"/>
  <c r="T16" i="35"/>
  <c r="U16" i="35"/>
  <c r="V16" i="35"/>
  <c r="W16" i="35"/>
  <c r="X16" i="35"/>
  <c r="Y16" i="35"/>
  <c r="Z16" i="35"/>
  <c r="AA16" i="35"/>
  <c r="AC16" i="35"/>
  <c r="AH16" i="35"/>
  <c r="AM16" i="35"/>
  <c r="AR16" i="35"/>
  <c r="AW16" i="35"/>
  <c r="BG16" i="35"/>
  <c r="CN16" i="35"/>
  <c r="S7" i="35"/>
  <c r="T7" i="35"/>
  <c r="U7" i="35"/>
  <c r="V7" i="35"/>
  <c r="W7" i="35"/>
  <c r="X7" i="35"/>
  <c r="Y7" i="35"/>
  <c r="Z7" i="35"/>
  <c r="AA7" i="35"/>
  <c r="AC7" i="35"/>
  <c r="AH7" i="35"/>
  <c r="AM7" i="35"/>
  <c r="AR7" i="35"/>
  <c r="AW7" i="35"/>
  <c r="BG7" i="35"/>
  <c r="CN7" i="35"/>
  <c r="CN74" i="35"/>
  <c r="CN66" i="35"/>
  <c r="CN56" i="35"/>
  <c r="CN48" i="35"/>
  <c r="S15" i="35"/>
  <c r="T15" i="35"/>
  <c r="U15" i="35"/>
  <c r="V15" i="35"/>
  <c r="W15" i="35"/>
  <c r="X15" i="35"/>
  <c r="Y15" i="35"/>
  <c r="Z15" i="35"/>
  <c r="AA15" i="35"/>
  <c r="AC15" i="35"/>
  <c r="AH15" i="35"/>
  <c r="AM15" i="35"/>
  <c r="AR15" i="35"/>
  <c r="AW15" i="35"/>
  <c r="BG15" i="35"/>
  <c r="CN15" i="35"/>
  <c r="CN73" i="35"/>
  <c r="CN65" i="35"/>
  <c r="CN55" i="35"/>
  <c r="S47" i="35"/>
  <c r="T47" i="35"/>
  <c r="Z47" i="35"/>
  <c r="AA47" i="35"/>
  <c r="AC47" i="35"/>
  <c r="AH47" i="35"/>
  <c r="AM47" i="35"/>
  <c r="AR47" i="35"/>
  <c r="AW47" i="35"/>
  <c r="BG47" i="35"/>
  <c r="CN47" i="35"/>
  <c r="S14" i="35"/>
  <c r="T14" i="35"/>
  <c r="U14" i="35"/>
  <c r="V14" i="35"/>
  <c r="W14" i="35"/>
  <c r="X14" i="35"/>
  <c r="Y14" i="35"/>
  <c r="Z14" i="35"/>
  <c r="AA14" i="35"/>
  <c r="AC14" i="35"/>
  <c r="AH14" i="35"/>
  <c r="AM14" i="35"/>
  <c r="AR14" i="35"/>
  <c r="AW14" i="35"/>
  <c r="BG14" i="35"/>
  <c r="CN14" i="35"/>
  <c r="CN72" i="35"/>
  <c r="CN64" i="35"/>
  <c r="CN54" i="35"/>
  <c r="S44" i="35"/>
  <c r="T44" i="35"/>
  <c r="Z44" i="35"/>
  <c r="AA44" i="35"/>
  <c r="AC44" i="35"/>
  <c r="AH44" i="35"/>
  <c r="AM44" i="35"/>
  <c r="AR44" i="35"/>
  <c r="AW44" i="35"/>
  <c r="BG44" i="35"/>
  <c r="CN44" i="35"/>
  <c r="S13" i="35"/>
  <c r="T13" i="35"/>
  <c r="U13" i="35"/>
  <c r="V13" i="35"/>
  <c r="W13" i="35"/>
  <c r="X13" i="35"/>
  <c r="Y13" i="35"/>
  <c r="Z13" i="35"/>
  <c r="AA13" i="35"/>
  <c r="AC13" i="35"/>
  <c r="AH13" i="35"/>
  <c r="AM13" i="35"/>
  <c r="AR13" i="35"/>
  <c r="AW13" i="35"/>
  <c r="BG13" i="35"/>
  <c r="CN13" i="35"/>
  <c r="CN71" i="35"/>
  <c r="CN63" i="35"/>
  <c r="CN53" i="35"/>
  <c r="S41" i="35"/>
  <c r="T41" i="35"/>
  <c r="Z41" i="35"/>
  <c r="AA41" i="35"/>
  <c r="AC41" i="35"/>
  <c r="AH41" i="35"/>
  <c r="AM41" i="35"/>
  <c r="AR41" i="35"/>
  <c r="AW41" i="35"/>
  <c r="BG41" i="35"/>
  <c r="CN41" i="35"/>
  <c r="S11" i="35"/>
  <c r="T11" i="35"/>
  <c r="U11" i="35"/>
  <c r="V11" i="35"/>
  <c r="W11" i="35"/>
  <c r="X11" i="35"/>
  <c r="Y11" i="35"/>
  <c r="Z11" i="35"/>
  <c r="AA11" i="35"/>
  <c r="AC11" i="35"/>
  <c r="AH11" i="35"/>
  <c r="AM11" i="35"/>
  <c r="AR11" i="35"/>
  <c r="AW11" i="35"/>
  <c r="BG11" i="35"/>
  <c r="CN11" i="35"/>
  <c r="CN70" i="35"/>
  <c r="S62" i="35"/>
  <c r="T62" i="35"/>
  <c r="Z62" i="35"/>
  <c r="AA62" i="35"/>
  <c r="AC62" i="35"/>
  <c r="AH62" i="35"/>
  <c r="AM62" i="35"/>
  <c r="AR62" i="35"/>
  <c r="AW62" i="35"/>
  <c r="BG62" i="35"/>
  <c r="CN62" i="35"/>
  <c r="CN52" i="35"/>
  <c r="S20" i="35"/>
  <c r="T20" i="35"/>
  <c r="U20" i="35"/>
  <c r="V20" i="35"/>
  <c r="W20" i="35"/>
  <c r="X20" i="35"/>
  <c r="Y20" i="35"/>
  <c r="Z20" i="35"/>
  <c r="AA20" i="35"/>
  <c r="AC20" i="35"/>
  <c r="AH20" i="35"/>
  <c r="AM20" i="35"/>
  <c r="AR20" i="35"/>
  <c r="AW20" i="35"/>
  <c r="BG20" i="35"/>
  <c r="CN20" i="35"/>
  <c r="S10" i="35"/>
  <c r="T10" i="35"/>
  <c r="U10" i="35"/>
  <c r="V10" i="35"/>
  <c r="W10" i="35"/>
  <c r="X10" i="35"/>
  <c r="Y10" i="35"/>
  <c r="Z10" i="35"/>
  <c r="AA10" i="35"/>
  <c r="AC10" i="35"/>
  <c r="AH10" i="35"/>
  <c r="AM10" i="35"/>
  <c r="AR10" i="35"/>
  <c r="AW10" i="35"/>
  <c r="BG10" i="35"/>
  <c r="CN10" i="35"/>
  <c r="CN69" i="35"/>
  <c r="CN59" i="35"/>
  <c r="CN51" i="35"/>
  <c r="S19" i="35"/>
  <c r="T19" i="35"/>
  <c r="U19" i="35"/>
  <c r="V19" i="35"/>
  <c r="W19" i="35"/>
  <c r="X19" i="35"/>
  <c r="Y19" i="35"/>
  <c r="Z19" i="35"/>
  <c r="AA19" i="35"/>
  <c r="AC19" i="35"/>
  <c r="AH19" i="35"/>
  <c r="AM19" i="35"/>
  <c r="AR19" i="35"/>
  <c r="AW19" i="35"/>
  <c r="BG19" i="35"/>
  <c r="CN19" i="35"/>
  <c r="S9" i="35"/>
  <c r="T9" i="35"/>
  <c r="U9" i="35"/>
  <c r="V9" i="35"/>
  <c r="W9" i="35"/>
  <c r="X9" i="35"/>
  <c r="Y9" i="35"/>
  <c r="Z9" i="35"/>
  <c r="AA9" i="35"/>
  <c r="AC9" i="35"/>
  <c r="AH9" i="35"/>
  <c r="AM9" i="35"/>
  <c r="AR9" i="35"/>
  <c r="AW9" i="35"/>
  <c r="BG9" i="35"/>
  <c r="CN9" i="35"/>
  <c r="CN68" i="35"/>
  <c r="CN58" i="35"/>
  <c r="CN50" i="35"/>
  <c r="S17" i="35"/>
  <c r="T17" i="35"/>
  <c r="U17" i="35"/>
  <c r="V17" i="35"/>
  <c r="W17" i="35"/>
  <c r="X17" i="35"/>
  <c r="Y17" i="35"/>
  <c r="Z17" i="35"/>
  <c r="AA17" i="35"/>
  <c r="AC17" i="35"/>
  <c r="AH17" i="35"/>
  <c r="AM17" i="35"/>
  <c r="AR17" i="35"/>
  <c r="AW17" i="35"/>
  <c r="BG17" i="35"/>
  <c r="CN17" i="35"/>
  <c r="S8" i="35"/>
  <c r="T8" i="35"/>
  <c r="U8" i="35"/>
  <c r="V8" i="35"/>
  <c r="W8" i="35"/>
  <c r="X8" i="35"/>
  <c r="Y8" i="35"/>
  <c r="Z8" i="35"/>
  <c r="AA8" i="35"/>
  <c r="AC8" i="35"/>
  <c r="AH8" i="35"/>
  <c r="AM8" i="35"/>
  <c r="AR8" i="35"/>
  <c r="AW8" i="35"/>
  <c r="BG8" i="35"/>
  <c r="CN8" i="35"/>
  <c r="P8" i="35" l="1"/>
  <c r="BB8" i="35"/>
  <c r="BL8" i="35"/>
  <c r="F8" i="35"/>
  <c r="AB8" i="35" s="1"/>
  <c r="E8" i="35"/>
  <c r="P17" i="35"/>
  <c r="BB17" i="35"/>
  <c r="BL17" i="35"/>
  <c r="F17" i="35"/>
  <c r="AB17" i="35" s="1"/>
  <c r="E17" i="35"/>
  <c r="P9" i="35"/>
  <c r="BB9" i="35"/>
  <c r="BL9" i="35"/>
  <c r="F9" i="35"/>
  <c r="AB9" i="35" s="1"/>
  <c r="E9" i="35"/>
  <c r="P19" i="35"/>
  <c r="BB19" i="35"/>
  <c r="BL19" i="35"/>
  <c r="F19" i="35"/>
  <c r="AB19" i="35" s="1"/>
  <c r="E19" i="35"/>
  <c r="P10" i="35"/>
  <c r="BB10" i="35"/>
  <c r="BL10" i="35"/>
  <c r="F10" i="35"/>
  <c r="AB10" i="35" s="1"/>
  <c r="E10" i="35"/>
  <c r="P20" i="35"/>
  <c r="BB20" i="35"/>
  <c r="BL20" i="35"/>
  <c r="F20" i="35"/>
  <c r="AB20" i="35" s="1"/>
  <c r="E20" i="35"/>
  <c r="BG63" i="35"/>
  <c r="BG64" i="35" s="1"/>
  <c r="BG65" i="35" s="1"/>
  <c r="BG66" i="35" s="1"/>
  <c r="BG67" i="35" s="1"/>
  <c r="BG68" i="35" s="1"/>
  <c r="BG69" i="35" s="1"/>
  <c r="BG70" i="35" s="1"/>
  <c r="BG71" i="35" s="1"/>
  <c r="BG72" i="35" s="1"/>
  <c r="BG73" i="35" s="1"/>
  <c r="BG74" i="35" s="1"/>
  <c r="AW63" i="35"/>
  <c r="AW64" i="35" s="1"/>
  <c r="AW65" i="35" s="1"/>
  <c r="AW66" i="35" s="1"/>
  <c r="AW67" i="35" s="1"/>
  <c r="AW68" i="35" s="1"/>
  <c r="AW69" i="35" s="1"/>
  <c r="AW70" i="35" s="1"/>
  <c r="AW71" i="35" s="1"/>
  <c r="AW72" i="35" s="1"/>
  <c r="AW73" i="35" s="1"/>
  <c r="AW74" i="35" s="1"/>
  <c r="AR63" i="35"/>
  <c r="AR64" i="35" s="1"/>
  <c r="AR65" i="35" s="1"/>
  <c r="AR66" i="35" s="1"/>
  <c r="AR67" i="35" s="1"/>
  <c r="AR68" i="35" s="1"/>
  <c r="AR69" i="35" s="1"/>
  <c r="AR70" i="35" s="1"/>
  <c r="AR71" i="35" s="1"/>
  <c r="AR72" i="35" s="1"/>
  <c r="AR73" i="35" s="1"/>
  <c r="AR74" i="35" s="1"/>
  <c r="BB62" i="35"/>
  <c r="BB63" i="35" s="1"/>
  <c r="BB64" i="35" s="1"/>
  <c r="BB65" i="35" s="1"/>
  <c r="BB66" i="35" s="1"/>
  <c r="BB67" i="35" s="1"/>
  <c r="BB68" i="35" s="1"/>
  <c r="BB69" i="35" s="1"/>
  <c r="BB70" i="35" s="1"/>
  <c r="BB71" i="35" s="1"/>
  <c r="BB72" i="35" s="1"/>
  <c r="BB73" i="35" s="1"/>
  <c r="BB74" i="35" s="1"/>
  <c r="AM63" i="35"/>
  <c r="AM64" i="35" s="1"/>
  <c r="AM65" i="35" s="1"/>
  <c r="AM66" i="35" s="1"/>
  <c r="AM67" i="35" s="1"/>
  <c r="AM68" i="35" s="1"/>
  <c r="AM69" i="35" s="1"/>
  <c r="AM70" i="35" s="1"/>
  <c r="AM71" i="35" s="1"/>
  <c r="AM72" i="35" s="1"/>
  <c r="AM73" i="35" s="1"/>
  <c r="AM74" i="35" s="1"/>
  <c r="AH63" i="35"/>
  <c r="AH64" i="35" s="1"/>
  <c r="AH65" i="35" s="1"/>
  <c r="AH66" i="35" s="1"/>
  <c r="AH67" i="35" s="1"/>
  <c r="AH68" i="35" s="1"/>
  <c r="AH69" i="35" s="1"/>
  <c r="AH70" i="35" s="1"/>
  <c r="AH71" i="35" s="1"/>
  <c r="AH72" i="35" s="1"/>
  <c r="AH73" i="35" s="1"/>
  <c r="AH74" i="35" s="1"/>
  <c r="BL62" i="35"/>
  <c r="BL63" i="35" s="1"/>
  <c r="BL64" i="35" s="1"/>
  <c r="BL65" i="35" s="1"/>
  <c r="BL66" i="35" s="1"/>
  <c r="BL67" i="35" s="1"/>
  <c r="BL68" i="35" s="1"/>
  <c r="BL69" i="35" s="1"/>
  <c r="BL70" i="35" s="1"/>
  <c r="BL71" i="35" s="1"/>
  <c r="BL72" i="35" s="1"/>
  <c r="BL73" i="35" s="1"/>
  <c r="BL74" i="35" s="1"/>
  <c r="AC63" i="35"/>
  <c r="AC64" i="35" s="1"/>
  <c r="AC65" i="35" s="1"/>
  <c r="AC66" i="35" s="1"/>
  <c r="AC67" i="35" s="1"/>
  <c r="AC68" i="35" s="1"/>
  <c r="AC69" i="35" s="1"/>
  <c r="AC70" i="35" s="1"/>
  <c r="AC71" i="35" s="1"/>
  <c r="AC72" i="35" s="1"/>
  <c r="AC73" i="35" s="1"/>
  <c r="AC74" i="35" s="1"/>
  <c r="AA63" i="35"/>
  <c r="AA64" i="35" s="1"/>
  <c r="AA65" i="35" s="1"/>
  <c r="AA66" i="35" s="1"/>
  <c r="AA67" i="35" s="1"/>
  <c r="AA68" i="35" s="1"/>
  <c r="AA69" i="35" s="1"/>
  <c r="AA70" i="35" s="1"/>
  <c r="AA71" i="35" s="1"/>
  <c r="AA72" i="35" s="1"/>
  <c r="AA73" i="35" s="1"/>
  <c r="AA74" i="35" s="1"/>
  <c r="Z63" i="35"/>
  <c r="Z64" i="35" s="1"/>
  <c r="Z65" i="35" s="1"/>
  <c r="Z66" i="35" s="1"/>
  <c r="Z67" i="35" s="1"/>
  <c r="Z68" i="35" s="1"/>
  <c r="Z69" i="35" s="1"/>
  <c r="Z70" i="35" s="1"/>
  <c r="Z71" i="35" s="1"/>
  <c r="Z72" i="35" s="1"/>
  <c r="Z73" i="35" s="1"/>
  <c r="Z74" i="35" s="1"/>
  <c r="T63" i="35"/>
  <c r="T64" i="35" s="1"/>
  <c r="T65" i="35" s="1"/>
  <c r="T66" i="35" s="1"/>
  <c r="T67" i="35" s="1"/>
  <c r="T68" i="35" s="1"/>
  <c r="T69" i="35" s="1"/>
  <c r="T70" i="35" s="1"/>
  <c r="T71" i="35" s="1"/>
  <c r="T72" i="35" s="1"/>
  <c r="T73" i="35" s="1"/>
  <c r="T74" i="35" s="1"/>
  <c r="S63" i="35"/>
  <c r="S64" i="35" s="1"/>
  <c r="S65" i="35" s="1"/>
  <c r="S66" i="35" s="1"/>
  <c r="S67" i="35" s="1"/>
  <c r="S68" i="35" s="1"/>
  <c r="S69" i="35" s="1"/>
  <c r="S70" i="35" s="1"/>
  <c r="S71" i="35" s="1"/>
  <c r="S72" i="35" s="1"/>
  <c r="S73" i="35" s="1"/>
  <c r="S74" i="35" s="1"/>
  <c r="P11" i="35"/>
  <c r="BB11" i="35"/>
  <c r="BL11" i="35"/>
  <c r="F11" i="35"/>
  <c r="AB11" i="35" s="1"/>
  <c r="E11" i="35"/>
  <c r="P41" i="35"/>
  <c r="BB41" i="35"/>
  <c r="BL41" i="35"/>
  <c r="F41" i="35"/>
  <c r="AB41" i="35" s="1"/>
  <c r="E41" i="35"/>
  <c r="K80" i="35" s="1"/>
  <c r="P13" i="35"/>
  <c r="BB13" i="35"/>
  <c r="BL13" i="35"/>
  <c r="E13" i="35"/>
  <c r="F13" i="35"/>
  <c r="AB13" i="35" s="1"/>
  <c r="BB44" i="35"/>
  <c r="BL44" i="35"/>
  <c r="E44" i="35"/>
  <c r="F44" i="35"/>
  <c r="AB44" i="35" s="1"/>
  <c r="P14" i="35"/>
  <c r="BB14" i="35"/>
  <c r="BL14" i="35"/>
  <c r="F14" i="35"/>
  <c r="AB14" i="35" s="1"/>
  <c r="E14" i="35"/>
  <c r="BG48" i="35"/>
  <c r="P47" i="35"/>
  <c r="AW48" i="35"/>
  <c r="AW49" i="35" s="1"/>
  <c r="AW50" i="35" s="1"/>
  <c r="AW51" i="35" s="1"/>
  <c r="AW52" i="35" s="1"/>
  <c r="AW53" i="35" s="1"/>
  <c r="AW54" i="35" s="1"/>
  <c r="AW55" i="35" s="1"/>
  <c r="AW56" i="35" s="1"/>
  <c r="AW57" i="35" s="1"/>
  <c r="AW58" i="35" s="1"/>
  <c r="AW59" i="35" s="1"/>
  <c r="AR48" i="35"/>
  <c r="AR49" i="35" s="1"/>
  <c r="AR50" i="35" s="1"/>
  <c r="AR51" i="35" s="1"/>
  <c r="AR52" i="35" s="1"/>
  <c r="AR53" i="35" s="1"/>
  <c r="AR54" i="35" s="1"/>
  <c r="AR55" i="35" s="1"/>
  <c r="AR56" i="35" s="1"/>
  <c r="AR57" i="35" s="1"/>
  <c r="AR58" i="35" s="1"/>
  <c r="AR59" i="35" s="1"/>
  <c r="BB47" i="35"/>
  <c r="BB48" i="35" s="1"/>
  <c r="BB49" i="35" s="1"/>
  <c r="BB50" i="35" s="1"/>
  <c r="BB51" i="35" s="1"/>
  <c r="BB52" i="35" s="1"/>
  <c r="BB53" i="35" s="1"/>
  <c r="BB54" i="35" s="1"/>
  <c r="BB55" i="35" s="1"/>
  <c r="BB56" i="35" s="1"/>
  <c r="BB57" i="35" s="1"/>
  <c r="BB58" i="35" s="1"/>
  <c r="BB59" i="35" s="1"/>
  <c r="AM48" i="35"/>
  <c r="AM49" i="35" s="1"/>
  <c r="AM50" i="35" s="1"/>
  <c r="AM51" i="35" s="1"/>
  <c r="AM52" i="35" s="1"/>
  <c r="AM53" i="35" s="1"/>
  <c r="AM54" i="35" s="1"/>
  <c r="AM55" i="35" s="1"/>
  <c r="AM56" i="35" s="1"/>
  <c r="AM57" i="35" s="1"/>
  <c r="AM58" i="35" s="1"/>
  <c r="AM59" i="35" s="1"/>
  <c r="AH48" i="35"/>
  <c r="AH49" i="35" s="1"/>
  <c r="AH50" i="35" s="1"/>
  <c r="AH51" i="35" s="1"/>
  <c r="AH52" i="35" s="1"/>
  <c r="AH53" i="35" s="1"/>
  <c r="AH54" i="35" s="1"/>
  <c r="AH55" i="35" s="1"/>
  <c r="AH56" i="35" s="1"/>
  <c r="AH57" i="35" s="1"/>
  <c r="AH58" i="35" s="1"/>
  <c r="AH59" i="35" s="1"/>
  <c r="BL47" i="35"/>
  <c r="BL48" i="35" s="1"/>
  <c r="BL49" i="35" s="1"/>
  <c r="BL50" i="35" s="1"/>
  <c r="BL51" i="35" s="1"/>
  <c r="BL52" i="35" s="1"/>
  <c r="BL53" i="35" s="1"/>
  <c r="BL54" i="35" s="1"/>
  <c r="BL55" i="35" s="1"/>
  <c r="BL56" i="35" s="1"/>
  <c r="BL57" i="35" s="1"/>
  <c r="BL58" i="35" s="1"/>
  <c r="BL59" i="35" s="1"/>
  <c r="AC48" i="35"/>
  <c r="AC49" i="35" s="1"/>
  <c r="AC50" i="35" s="1"/>
  <c r="AC51" i="35" s="1"/>
  <c r="AC52" i="35" s="1"/>
  <c r="AC53" i="35" s="1"/>
  <c r="AC54" i="35" s="1"/>
  <c r="AC55" i="35" s="1"/>
  <c r="AC56" i="35" s="1"/>
  <c r="AC57" i="35" s="1"/>
  <c r="AC58" i="35" s="1"/>
  <c r="AC59" i="35" s="1"/>
  <c r="AA48" i="35"/>
  <c r="AA49" i="35" s="1"/>
  <c r="AA50" i="35" s="1"/>
  <c r="AA51" i="35" s="1"/>
  <c r="AA52" i="35" s="1"/>
  <c r="AA53" i="35" s="1"/>
  <c r="AA54" i="35" s="1"/>
  <c r="AA55" i="35" s="1"/>
  <c r="AA56" i="35" s="1"/>
  <c r="AA57" i="35" s="1"/>
  <c r="AA58" i="35" s="1"/>
  <c r="AA59" i="35" s="1"/>
  <c r="Z48" i="35"/>
  <c r="Z49" i="35" s="1"/>
  <c r="Z50" i="35" s="1"/>
  <c r="Z51" i="35" s="1"/>
  <c r="Z52" i="35" s="1"/>
  <c r="Z53" i="35" s="1"/>
  <c r="Z54" i="35" s="1"/>
  <c r="Z55" i="35" s="1"/>
  <c r="Z56" i="35" s="1"/>
  <c r="Z57" i="35" s="1"/>
  <c r="Z58" i="35" s="1"/>
  <c r="Z59" i="35" s="1"/>
  <c r="T48" i="35"/>
  <c r="T49" i="35" s="1"/>
  <c r="T50" i="35" s="1"/>
  <c r="T51" i="35" s="1"/>
  <c r="T52" i="35" s="1"/>
  <c r="T53" i="35" s="1"/>
  <c r="T54" i="35" s="1"/>
  <c r="T55" i="35" s="1"/>
  <c r="T56" i="35" s="1"/>
  <c r="T57" i="35" s="1"/>
  <c r="T58" i="35" s="1"/>
  <c r="T59" i="35" s="1"/>
  <c r="S48" i="35"/>
  <c r="S49" i="35" s="1"/>
  <c r="S50" i="35" s="1"/>
  <c r="S51" i="35" s="1"/>
  <c r="S52" i="35" s="1"/>
  <c r="S53" i="35" s="1"/>
  <c r="S54" i="35" s="1"/>
  <c r="S55" i="35" s="1"/>
  <c r="S56" i="35" s="1"/>
  <c r="S57" i="35" s="1"/>
  <c r="S58" i="35" s="1"/>
  <c r="S59" i="35" s="1"/>
  <c r="P15" i="35"/>
  <c r="BB15" i="35"/>
  <c r="BL15" i="35"/>
  <c r="F15" i="35"/>
  <c r="AB15" i="35" s="1"/>
  <c r="E15" i="35"/>
  <c r="P7" i="35"/>
  <c r="BB7" i="35"/>
  <c r="BL7" i="35"/>
  <c r="F7" i="35"/>
  <c r="AB7" i="35" s="1"/>
  <c r="E7" i="35"/>
  <c r="P16" i="35"/>
  <c r="BB16" i="35"/>
  <c r="BL16" i="35"/>
  <c r="F16" i="35"/>
  <c r="AB16" i="35" s="1"/>
  <c r="E16" i="35"/>
  <c r="H5" i="35"/>
  <c r="I5" i="35" s="1"/>
  <c r="J5" i="35" s="1"/>
  <c r="K5" i="35"/>
  <c r="L5" i="35" s="1"/>
  <c r="M5" i="35" s="1"/>
  <c r="CS74" i="35"/>
  <c r="CU74" i="35" s="1"/>
  <c r="CV74" i="35" s="1"/>
  <c r="CS73" i="35"/>
  <c r="CU73" i="35" s="1"/>
  <c r="CV73" i="35" s="1"/>
  <c r="CS72" i="35"/>
  <c r="CU72" i="35" s="1"/>
  <c r="CV72" i="35" s="1"/>
  <c r="CS71" i="35"/>
  <c r="CU71" i="35" s="1"/>
  <c r="CV71" i="35" s="1"/>
  <c r="CS70" i="35"/>
  <c r="CU70" i="35" s="1"/>
  <c r="CV70" i="35" s="1"/>
  <c r="CS69" i="35"/>
  <c r="CU69" i="35" s="1"/>
  <c r="CV69" i="35" s="1"/>
  <c r="CS68" i="35"/>
  <c r="CU68" i="35" s="1"/>
  <c r="CV68" i="35" s="1"/>
  <c r="CS67" i="35"/>
  <c r="CU67" i="35" s="1"/>
  <c r="CV67" i="35" s="1"/>
  <c r="CS66" i="35"/>
  <c r="CU66" i="35" s="1"/>
  <c r="CV66" i="35" s="1"/>
  <c r="CS65" i="35"/>
  <c r="CU65" i="35" s="1"/>
  <c r="CV65" i="35" s="1"/>
  <c r="CS64" i="35"/>
  <c r="CU64" i="35" s="1"/>
  <c r="CV64" i="35" s="1"/>
  <c r="CS63" i="35"/>
  <c r="CU63" i="35" s="1"/>
  <c r="CV63" i="35" s="1"/>
  <c r="CS62" i="35"/>
  <c r="CS59" i="35"/>
  <c r="CU59" i="35" s="1"/>
  <c r="CV59" i="35" s="1"/>
  <c r="CS58" i="35"/>
  <c r="CU58" i="35" s="1"/>
  <c r="CV58" i="35" s="1"/>
  <c r="CS57" i="35"/>
  <c r="CU57" i="35" s="1"/>
  <c r="CV57" i="35" s="1"/>
  <c r="CS56" i="35"/>
  <c r="CU56" i="35" s="1"/>
  <c r="CV56" i="35" s="1"/>
  <c r="CS55" i="35"/>
  <c r="CU55" i="35" s="1"/>
  <c r="CV55" i="35" s="1"/>
  <c r="CS54" i="35"/>
  <c r="CU54" i="35" s="1"/>
  <c r="CV54" i="35" s="1"/>
  <c r="CS53" i="35"/>
  <c r="CU53" i="35" s="1"/>
  <c r="CV53" i="35" s="1"/>
  <c r="CS52" i="35"/>
  <c r="CU52" i="35" s="1"/>
  <c r="CV52" i="35" s="1"/>
  <c r="CS51" i="35"/>
  <c r="CU51" i="35" s="1"/>
  <c r="CV51" i="35" s="1"/>
  <c r="CS50" i="35"/>
  <c r="CU50" i="35" s="1"/>
  <c r="CV50" i="35" s="1"/>
  <c r="CS49" i="35"/>
  <c r="CU49" i="35" s="1"/>
  <c r="CV49" i="35" s="1"/>
  <c r="CS48" i="35"/>
  <c r="CU48" i="35" s="1"/>
  <c r="CV48" i="35" s="1"/>
  <c r="CS47" i="35"/>
  <c r="CS44" i="35"/>
  <c r="CS41" i="35"/>
  <c r="CS20" i="35"/>
  <c r="CS19" i="35"/>
  <c r="CS17" i="35"/>
  <c r="CS16" i="35"/>
  <c r="CS15" i="35"/>
  <c r="CS14" i="35"/>
  <c r="CS13" i="35"/>
  <c r="CS11" i="35"/>
  <c r="CS10" i="35"/>
  <c r="CS9" i="35"/>
  <c r="CS8" i="35"/>
  <c r="CS7" i="35"/>
  <c r="AD15" i="35"/>
  <c r="AE15" i="35"/>
  <c r="AF15" i="35"/>
  <c r="AG15" i="35"/>
  <c r="AI15" i="35"/>
  <c r="AJ15" i="35"/>
  <c r="AK15" i="35"/>
  <c r="AL15" i="35"/>
  <c r="AN15" i="35"/>
  <c r="AO15" i="35"/>
  <c r="AP15" i="35"/>
  <c r="AQ15" i="35"/>
  <c r="AS15" i="35"/>
  <c r="AT15" i="35"/>
  <c r="AU15" i="35"/>
  <c r="AV15" i="35"/>
  <c r="AX15" i="35"/>
  <c r="AY15" i="35"/>
  <c r="AZ15" i="35"/>
  <c r="BA15" i="35"/>
  <c r="BH15" i="35"/>
  <c r="BI15" i="35"/>
  <c r="BJ15" i="35"/>
  <c r="BK15" i="35"/>
  <c r="AE47" i="35"/>
  <c r="AF47" i="35"/>
  <c r="AG47" i="35"/>
  <c r="AI47" i="35"/>
  <c r="AJ47" i="35"/>
  <c r="AK47" i="35"/>
  <c r="AL47" i="35"/>
  <c r="AN47" i="35"/>
  <c r="AO47" i="35"/>
  <c r="AP47" i="35"/>
  <c r="AQ47" i="35"/>
  <c r="AS47" i="35"/>
  <c r="AT47" i="35"/>
  <c r="AU47" i="35"/>
  <c r="AV47" i="35"/>
  <c r="AX47" i="35"/>
  <c r="AY47" i="35"/>
  <c r="AZ47" i="35"/>
  <c r="BA47" i="35"/>
  <c r="BH47" i="35"/>
  <c r="BI47" i="35"/>
  <c r="BJ47" i="35"/>
  <c r="BK47" i="35"/>
  <c r="AI44" i="35"/>
  <c r="AJ44" i="35"/>
  <c r="AK44" i="35"/>
  <c r="AL44" i="35"/>
  <c r="AN44" i="35"/>
  <c r="AO44" i="35"/>
  <c r="AP44" i="35"/>
  <c r="AQ44" i="35"/>
  <c r="AS44" i="35"/>
  <c r="AT44" i="35"/>
  <c r="AU44" i="35"/>
  <c r="AV44" i="35"/>
  <c r="AX44" i="35"/>
  <c r="AY44" i="35"/>
  <c r="AZ44" i="35"/>
  <c r="BA44" i="35"/>
  <c r="BH44" i="35"/>
  <c r="BI44" i="35"/>
  <c r="BJ44" i="35"/>
  <c r="BK44" i="35"/>
  <c r="AD13" i="35"/>
  <c r="AE13" i="35"/>
  <c r="AF13" i="35"/>
  <c r="AG13" i="35"/>
  <c r="AI13" i="35"/>
  <c r="AJ13" i="35"/>
  <c r="AK13" i="35"/>
  <c r="AL13" i="35"/>
  <c r="AN13" i="35"/>
  <c r="AO13" i="35"/>
  <c r="AP13" i="35"/>
  <c r="AQ13" i="35"/>
  <c r="AS13" i="35"/>
  <c r="AT13" i="35"/>
  <c r="AU13" i="35"/>
  <c r="AV13" i="35"/>
  <c r="AX13" i="35"/>
  <c r="AY13" i="35"/>
  <c r="AZ13" i="35"/>
  <c r="BA13" i="35"/>
  <c r="BH13" i="35"/>
  <c r="BI13" i="35"/>
  <c r="BJ13" i="35"/>
  <c r="BK13" i="35"/>
  <c r="AE41" i="35"/>
  <c r="AF41" i="35"/>
  <c r="AG41" i="35"/>
  <c r="AI41" i="35"/>
  <c r="AJ41" i="35"/>
  <c r="AK41" i="35"/>
  <c r="AL41" i="35"/>
  <c r="AN41" i="35"/>
  <c r="AO41" i="35"/>
  <c r="AP41" i="35"/>
  <c r="AQ41" i="35"/>
  <c r="AS41" i="35"/>
  <c r="AT41" i="35"/>
  <c r="AU41" i="35"/>
  <c r="AV41" i="35"/>
  <c r="AX41" i="35"/>
  <c r="AY41" i="35"/>
  <c r="AZ41" i="35"/>
  <c r="BA41" i="35"/>
  <c r="BH41" i="35"/>
  <c r="BI41" i="35"/>
  <c r="BJ41" i="35"/>
  <c r="BK41" i="35"/>
  <c r="AD11" i="35"/>
  <c r="AE11" i="35"/>
  <c r="AF11" i="35"/>
  <c r="AG11" i="35"/>
  <c r="AI11" i="35"/>
  <c r="AJ11" i="35"/>
  <c r="AK11" i="35"/>
  <c r="AL11" i="35"/>
  <c r="AN11" i="35"/>
  <c r="AO11" i="35"/>
  <c r="AP11" i="35"/>
  <c r="AQ11" i="35"/>
  <c r="AS11" i="35"/>
  <c r="AT11" i="35"/>
  <c r="AU11" i="35"/>
  <c r="AV11" i="35"/>
  <c r="AX11" i="35"/>
  <c r="AY11" i="35"/>
  <c r="AZ11" i="35"/>
  <c r="BA11" i="35"/>
  <c r="BH11" i="35"/>
  <c r="BI11" i="35"/>
  <c r="BJ11" i="35"/>
  <c r="BK11" i="35"/>
  <c r="AD14" i="35"/>
  <c r="AE14" i="35"/>
  <c r="AF14" i="35"/>
  <c r="AG14" i="35"/>
  <c r="AI14" i="35"/>
  <c r="AJ14" i="35"/>
  <c r="AK14" i="35"/>
  <c r="AL14" i="35"/>
  <c r="AN14" i="35"/>
  <c r="AO14" i="35"/>
  <c r="AP14" i="35"/>
  <c r="AQ14" i="35"/>
  <c r="AS14" i="35"/>
  <c r="AT14" i="35"/>
  <c r="AU14" i="35"/>
  <c r="AV14" i="35"/>
  <c r="AX14" i="35"/>
  <c r="AY14" i="35"/>
  <c r="AZ14" i="35"/>
  <c r="BA14" i="35"/>
  <c r="BH14" i="35"/>
  <c r="BI14" i="35"/>
  <c r="BJ14" i="35"/>
  <c r="BK14" i="35"/>
  <c r="AI62" i="35"/>
  <c r="AJ62" i="35"/>
  <c r="AK62" i="35"/>
  <c r="AL62" i="35"/>
  <c r="AN62" i="35"/>
  <c r="AO62" i="35"/>
  <c r="AP62" i="35"/>
  <c r="AQ62" i="35"/>
  <c r="AS62" i="35"/>
  <c r="AT62" i="35"/>
  <c r="AU62" i="35"/>
  <c r="AV62" i="35"/>
  <c r="AX62" i="35"/>
  <c r="AY62" i="35"/>
  <c r="AZ62" i="35"/>
  <c r="BA62" i="35"/>
  <c r="BH62" i="35"/>
  <c r="BI62" i="35"/>
  <c r="BJ62" i="35"/>
  <c r="BK62" i="35"/>
  <c r="AD20" i="35"/>
  <c r="AE20" i="35"/>
  <c r="AF20" i="35"/>
  <c r="AG20" i="35"/>
  <c r="AI20" i="35"/>
  <c r="AJ20" i="35"/>
  <c r="AK20" i="35"/>
  <c r="AL20" i="35"/>
  <c r="AN20" i="35"/>
  <c r="AO20" i="35"/>
  <c r="AP20" i="35"/>
  <c r="AQ20" i="35"/>
  <c r="AS20" i="35"/>
  <c r="AT20" i="35"/>
  <c r="AU20" i="35"/>
  <c r="AV20" i="35"/>
  <c r="AX20" i="35"/>
  <c r="AY20" i="35"/>
  <c r="AZ20" i="35"/>
  <c r="BA20" i="35"/>
  <c r="BH20" i="35"/>
  <c r="BI20" i="35"/>
  <c r="BJ20" i="35"/>
  <c r="BK20" i="35"/>
  <c r="AD10" i="35"/>
  <c r="AE10" i="35"/>
  <c r="AF10" i="35"/>
  <c r="AG10" i="35"/>
  <c r="AI10" i="35"/>
  <c r="AJ10" i="35"/>
  <c r="AK10" i="35"/>
  <c r="AL10" i="35"/>
  <c r="AN10" i="35"/>
  <c r="AO10" i="35"/>
  <c r="AP10" i="35"/>
  <c r="AQ10" i="35"/>
  <c r="AS10" i="35"/>
  <c r="AT10" i="35"/>
  <c r="AU10" i="35"/>
  <c r="AV10" i="35"/>
  <c r="AX10" i="35"/>
  <c r="AY10" i="35"/>
  <c r="AZ10" i="35"/>
  <c r="BA10" i="35"/>
  <c r="BH10" i="35"/>
  <c r="BI10" i="35"/>
  <c r="BJ10" i="35"/>
  <c r="BK10" i="35"/>
  <c r="AD9" i="35"/>
  <c r="AE9" i="35"/>
  <c r="AF9" i="35"/>
  <c r="AG9" i="35"/>
  <c r="AI9" i="35"/>
  <c r="AJ9" i="35"/>
  <c r="AK9" i="35"/>
  <c r="AL9" i="35"/>
  <c r="AN9" i="35"/>
  <c r="AO9" i="35"/>
  <c r="AP9" i="35"/>
  <c r="AQ9" i="35"/>
  <c r="AS9" i="35"/>
  <c r="AT9" i="35"/>
  <c r="AU9" i="35"/>
  <c r="AV9" i="35"/>
  <c r="AX9" i="35"/>
  <c r="AY9" i="35"/>
  <c r="AZ9" i="35"/>
  <c r="BA9" i="35"/>
  <c r="BH9" i="35"/>
  <c r="BI9" i="35"/>
  <c r="BJ9" i="35"/>
  <c r="BK9" i="35"/>
  <c r="AD16" i="35"/>
  <c r="AE16" i="35"/>
  <c r="AF16" i="35"/>
  <c r="AG16" i="35"/>
  <c r="AI16" i="35"/>
  <c r="AJ16" i="35"/>
  <c r="AK16" i="35"/>
  <c r="AL16" i="35"/>
  <c r="AN16" i="35"/>
  <c r="AO16" i="35"/>
  <c r="AP16" i="35"/>
  <c r="AQ16" i="35"/>
  <c r="AS16" i="35"/>
  <c r="AT16" i="35"/>
  <c r="AU16" i="35"/>
  <c r="AV16" i="35"/>
  <c r="AX16" i="35"/>
  <c r="AY16" i="35"/>
  <c r="AZ16" i="35"/>
  <c r="BA16" i="35"/>
  <c r="BH16" i="35"/>
  <c r="BI16" i="35"/>
  <c r="BJ16" i="35"/>
  <c r="BK16" i="35"/>
  <c r="AD19" i="35"/>
  <c r="AE19" i="35"/>
  <c r="AF19" i="35"/>
  <c r="AG19" i="35"/>
  <c r="AI19" i="35"/>
  <c r="AJ19" i="35"/>
  <c r="AK19" i="35"/>
  <c r="AL19" i="35"/>
  <c r="AN19" i="35"/>
  <c r="AO19" i="35"/>
  <c r="AP19" i="35"/>
  <c r="AQ19" i="35"/>
  <c r="AS19" i="35"/>
  <c r="AT19" i="35"/>
  <c r="AU19" i="35"/>
  <c r="AV19" i="35"/>
  <c r="AX19" i="35"/>
  <c r="AY19" i="35"/>
  <c r="AZ19" i="35"/>
  <c r="BA19" i="35"/>
  <c r="BH19" i="35"/>
  <c r="BI19" i="35"/>
  <c r="BJ19" i="35"/>
  <c r="BK19" i="35"/>
  <c r="AD7" i="35"/>
  <c r="AE7" i="35"/>
  <c r="AF7" i="35"/>
  <c r="AG7" i="35"/>
  <c r="AI7" i="35"/>
  <c r="AJ7" i="35"/>
  <c r="AK7" i="35"/>
  <c r="AL7" i="35"/>
  <c r="AN7" i="35"/>
  <c r="AO7" i="35"/>
  <c r="AP7" i="35"/>
  <c r="AQ7" i="35"/>
  <c r="AS7" i="35"/>
  <c r="AT7" i="35"/>
  <c r="AU7" i="35"/>
  <c r="AV7" i="35"/>
  <c r="AX7" i="35"/>
  <c r="AY7" i="35"/>
  <c r="AZ7" i="35"/>
  <c r="BA7" i="35"/>
  <c r="BH7" i="35"/>
  <c r="BI7" i="35"/>
  <c r="BJ7" i="35"/>
  <c r="BK7" i="35"/>
  <c r="AD17" i="35"/>
  <c r="AE17" i="35"/>
  <c r="AF17" i="35"/>
  <c r="AG17" i="35"/>
  <c r="AI17" i="35"/>
  <c r="AJ17" i="35"/>
  <c r="AK17" i="35"/>
  <c r="AL17" i="35"/>
  <c r="AN17" i="35"/>
  <c r="AO17" i="35"/>
  <c r="AP17" i="35"/>
  <c r="AQ17" i="35"/>
  <c r="AS17" i="35"/>
  <c r="AT17" i="35"/>
  <c r="AU17" i="35"/>
  <c r="AV17" i="35"/>
  <c r="AX17" i="35"/>
  <c r="AY17" i="35"/>
  <c r="AZ17" i="35"/>
  <c r="BA17" i="35"/>
  <c r="BH17" i="35"/>
  <c r="BI17" i="35"/>
  <c r="BJ17" i="35"/>
  <c r="BK17" i="35"/>
  <c r="AD8" i="35"/>
  <c r="AE8" i="35"/>
  <c r="AF8" i="35"/>
  <c r="AG8" i="35"/>
  <c r="AI8" i="35"/>
  <c r="AJ8" i="35"/>
  <c r="AK8" i="35"/>
  <c r="AL8" i="35"/>
  <c r="AN8" i="35"/>
  <c r="AO8" i="35"/>
  <c r="AP8" i="35"/>
  <c r="AQ8" i="35"/>
  <c r="AS8" i="35"/>
  <c r="AT8" i="35"/>
  <c r="AU8" i="35"/>
  <c r="AV8" i="35"/>
  <c r="AX8" i="35"/>
  <c r="AY8" i="35"/>
  <c r="AZ8" i="35"/>
  <c r="BA8" i="35"/>
  <c r="BH8" i="35"/>
  <c r="BI8" i="35"/>
  <c r="BJ8" i="35"/>
  <c r="BK8" i="35"/>
  <c r="BQ7" i="35" l="1"/>
  <c r="BQ8" i="35"/>
  <c r="BQ44" i="35"/>
  <c r="BQ14" i="35"/>
  <c r="BQ16" i="35"/>
  <c r="BQ41" i="35"/>
  <c r="BQ20" i="35"/>
  <c r="BQ19" i="35"/>
  <c r="BQ10" i="35"/>
  <c r="BQ62" i="35"/>
  <c r="BQ63" i="35" s="1"/>
  <c r="BQ64" i="35" s="1"/>
  <c r="BQ65" i="35" s="1"/>
  <c r="BQ66" i="35" s="1"/>
  <c r="BQ67" i="35" s="1"/>
  <c r="BQ68" i="35" s="1"/>
  <c r="BQ69" i="35" s="1"/>
  <c r="BQ70" i="35" s="1"/>
  <c r="BQ71" i="35" s="1"/>
  <c r="BQ72" i="35" s="1"/>
  <c r="BQ73" i="35" s="1"/>
  <c r="BQ74" i="35" s="1"/>
  <c r="BQ15" i="35"/>
  <c r="BQ9" i="35"/>
  <c r="BQ13" i="35"/>
  <c r="BQ11" i="35"/>
  <c r="BQ17" i="35"/>
  <c r="CG8" i="35"/>
  <c r="CF8" i="35"/>
  <c r="CE8" i="35"/>
  <c r="BF8" i="35"/>
  <c r="BE8" i="35"/>
  <c r="BD8" i="35"/>
  <c r="BC8" i="35"/>
  <c r="CD8" i="35"/>
  <c r="CC8" i="35"/>
  <c r="CB8" i="35"/>
  <c r="BP8" i="35"/>
  <c r="BO8" i="35"/>
  <c r="CA8" i="35"/>
  <c r="M8" i="35" s="1"/>
  <c r="BN8" i="35"/>
  <c r="BZ8" i="35"/>
  <c r="L8" i="35" s="1"/>
  <c r="BM8" i="35"/>
  <c r="BY8" i="35"/>
  <c r="K8" i="35" s="1"/>
  <c r="BX8" i="35"/>
  <c r="J8" i="35" s="1"/>
  <c r="BW8" i="35"/>
  <c r="I8" i="35" s="1"/>
  <c r="BV8" i="35"/>
  <c r="H8" i="35" s="1"/>
  <c r="CG17" i="35"/>
  <c r="CF17" i="35"/>
  <c r="CE17" i="35"/>
  <c r="BF17" i="35"/>
  <c r="BE17" i="35"/>
  <c r="BD17" i="35"/>
  <c r="BC17" i="35"/>
  <c r="CD17" i="35"/>
  <c r="CC17" i="35"/>
  <c r="CB17" i="35"/>
  <c r="BP17" i="35"/>
  <c r="BO17" i="35"/>
  <c r="CA17" i="35"/>
  <c r="M17" i="35" s="1"/>
  <c r="BN17" i="35"/>
  <c r="BZ17" i="35"/>
  <c r="L17" i="35" s="1"/>
  <c r="BM17" i="35"/>
  <c r="BY17" i="35"/>
  <c r="K17" i="35" s="1"/>
  <c r="BX17" i="35"/>
  <c r="J17" i="35" s="1"/>
  <c r="BW17" i="35"/>
  <c r="I17" i="35" s="1"/>
  <c r="BV17" i="35"/>
  <c r="H17" i="35" s="1"/>
  <c r="BF7" i="35"/>
  <c r="BE7" i="35"/>
  <c r="BD7" i="35"/>
  <c r="BC7" i="35"/>
  <c r="BP7" i="35"/>
  <c r="BO7" i="35"/>
  <c r="BN7" i="35"/>
  <c r="BM7" i="35"/>
  <c r="CG19" i="35"/>
  <c r="CF19" i="35"/>
  <c r="CE19" i="35"/>
  <c r="BF19" i="35"/>
  <c r="BE19" i="35"/>
  <c r="BD19" i="35"/>
  <c r="BC19" i="35"/>
  <c r="CD19" i="35"/>
  <c r="CC19" i="35"/>
  <c r="CB19" i="35"/>
  <c r="BP19" i="35"/>
  <c r="BO19" i="35"/>
  <c r="CA19" i="35"/>
  <c r="M19" i="35" s="1"/>
  <c r="BN19" i="35"/>
  <c r="BZ19" i="35"/>
  <c r="L19" i="35" s="1"/>
  <c r="BM19" i="35"/>
  <c r="BY19" i="35"/>
  <c r="K19" i="35" s="1"/>
  <c r="BX19" i="35"/>
  <c r="J19" i="35" s="1"/>
  <c r="BW19" i="35"/>
  <c r="I19" i="35" s="1"/>
  <c r="BV19" i="35"/>
  <c r="H19" i="35" s="1"/>
  <c r="BF16" i="35"/>
  <c r="BE16" i="35"/>
  <c r="BD16" i="35"/>
  <c r="BC16" i="35"/>
  <c r="BP16" i="35"/>
  <c r="BO16" i="35"/>
  <c r="BN16" i="35"/>
  <c r="BM16" i="35"/>
  <c r="BF9" i="35"/>
  <c r="BE9" i="35"/>
  <c r="BD9" i="35"/>
  <c r="BC9" i="35"/>
  <c r="BP9" i="35"/>
  <c r="BO9" i="35"/>
  <c r="BN9" i="35"/>
  <c r="BM9" i="35"/>
  <c r="BF10" i="35"/>
  <c r="BE10" i="35"/>
  <c r="BD10" i="35"/>
  <c r="BC10" i="35"/>
  <c r="BP10" i="35"/>
  <c r="BO10" i="35"/>
  <c r="BN10" i="35"/>
  <c r="BM10" i="35"/>
  <c r="CG20" i="35"/>
  <c r="CF20" i="35"/>
  <c r="CE20" i="35"/>
  <c r="BF20" i="35"/>
  <c r="BE20" i="35"/>
  <c r="BD20" i="35"/>
  <c r="BC20" i="35"/>
  <c r="CD20" i="35"/>
  <c r="CC20" i="35"/>
  <c r="CB20" i="35"/>
  <c r="BP20" i="35"/>
  <c r="BO20" i="35"/>
  <c r="CA20" i="35"/>
  <c r="M20" i="35" s="1"/>
  <c r="BN20" i="35"/>
  <c r="BZ20" i="35"/>
  <c r="L20" i="35" s="1"/>
  <c r="BM20" i="35"/>
  <c r="BY20" i="35"/>
  <c r="K20" i="35" s="1"/>
  <c r="BX20" i="35"/>
  <c r="J20" i="35" s="1"/>
  <c r="BW20" i="35"/>
  <c r="I20" i="35" s="1"/>
  <c r="BV20" i="35"/>
  <c r="H20" i="35" s="1"/>
  <c r="BK63" i="35"/>
  <c r="BK64" i="35" s="1"/>
  <c r="BK65" i="35" s="1"/>
  <c r="BK66" i="35" s="1"/>
  <c r="BK67" i="35" s="1"/>
  <c r="BK68" i="35" s="1"/>
  <c r="BK69" i="35" s="1"/>
  <c r="BK70" i="35" s="1"/>
  <c r="BK71" i="35" s="1"/>
  <c r="BK72" i="35" s="1"/>
  <c r="BK73" i="35" s="1"/>
  <c r="BK74" i="35" s="1"/>
  <c r="BJ63" i="35"/>
  <c r="BJ64" i="35" s="1"/>
  <c r="BJ65" i="35" s="1"/>
  <c r="BJ66" i="35" s="1"/>
  <c r="BJ67" i="35" s="1"/>
  <c r="BJ68" i="35" s="1"/>
  <c r="BJ69" i="35" s="1"/>
  <c r="BJ70" i="35" s="1"/>
  <c r="BJ71" i="35" s="1"/>
  <c r="BJ72" i="35" s="1"/>
  <c r="BJ73" i="35" s="1"/>
  <c r="BJ74" i="35" s="1"/>
  <c r="BI63" i="35"/>
  <c r="BI64" i="35" s="1"/>
  <c r="BI65" i="35" s="1"/>
  <c r="BI66" i="35" s="1"/>
  <c r="BI67" i="35" s="1"/>
  <c r="BI68" i="35" s="1"/>
  <c r="BI69" i="35" s="1"/>
  <c r="BI70" i="35" s="1"/>
  <c r="BI71" i="35" s="1"/>
  <c r="BI72" i="35" s="1"/>
  <c r="BI73" i="35" s="1"/>
  <c r="BI74" i="35" s="1"/>
  <c r="BH63" i="35"/>
  <c r="BH64" i="35" s="1"/>
  <c r="BH65" i="35" s="1"/>
  <c r="BH66" i="35" s="1"/>
  <c r="BH67" i="35" s="1"/>
  <c r="BH68" i="35" s="1"/>
  <c r="BH69" i="35" s="1"/>
  <c r="BH70" i="35" s="1"/>
  <c r="BH71" i="35" s="1"/>
  <c r="BH72" i="35" s="1"/>
  <c r="BH73" i="35" s="1"/>
  <c r="BH74" i="35" s="1"/>
  <c r="BA63" i="35"/>
  <c r="BA64" i="35" s="1"/>
  <c r="BA65" i="35" s="1"/>
  <c r="BA66" i="35" s="1"/>
  <c r="BA67" i="35" s="1"/>
  <c r="BA68" i="35" s="1"/>
  <c r="BA69" i="35" s="1"/>
  <c r="BA70" i="35" s="1"/>
  <c r="BA71" i="35" s="1"/>
  <c r="BA72" i="35" s="1"/>
  <c r="BA73" i="35" s="1"/>
  <c r="BA74" i="35" s="1"/>
  <c r="AZ63" i="35"/>
  <c r="AZ64" i="35" s="1"/>
  <c r="AZ65" i="35" s="1"/>
  <c r="AZ66" i="35" s="1"/>
  <c r="AZ67" i="35" s="1"/>
  <c r="AZ68" i="35" s="1"/>
  <c r="AZ69" i="35" s="1"/>
  <c r="AZ70" i="35" s="1"/>
  <c r="AZ71" i="35" s="1"/>
  <c r="AZ72" i="35" s="1"/>
  <c r="AZ73" i="35" s="1"/>
  <c r="AZ74" i="35" s="1"/>
  <c r="AY63" i="35"/>
  <c r="AY64" i="35" s="1"/>
  <c r="AY65" i="35" s="1"/>
  <c r="AY66" i="35" s="1"/>
  <c r="AY67" i="35" s="1"/>
  <c r="AY68" i="35" s="1"/>
  <c r="AY69" i="35" s="1"/>
  <c r="AY70" i="35" s="1"/>
  <c r="AY71" i="35" s="1"/>
  <c r="AY72" i="35" s="1"/>
  <c r="AY73" i="35" s="1"/>
  <c r="AY74" i="35" s="1"/>
  <c r="AX63" i="35"/>
  <c r="AX64" i="35" s="1"/>
  <c r="AX65" i="35" s="1"/>
  <c r="AX66" i="35" s="1"/>
  <c r="AX67" i="35" s="1"/>
  <c r="AX68" i="35" s="1"/>
  <c r="AX69" i="35" s="1"/>
  <c r="AX70" i="35" s="1"/>
  <c r="AX71" i="35" s="1"/>
  <c r="AX72" i="35" s="1"/>
  <c r="AX73" i="35" s="1"/>
  <c r="AX74" i="35" s="1"/>
  <c r="AV63" i="35"/>
  <c r="AV64" i="35" s="1"/>
  <c r="AV65" i="35" s="1"/>
  <c r="AV66" i="35" s="1"/>
  <c r="AV67" i="35" s="1"/>
  <c r="AV68" i="35" s="1"/>
  <c r="AV69" i="35" s="1"/>
  <c r="AV70" i="35" s="1"/>
  <c r="AV71" i="35" s="1"/>
  <c r="AV72" i="35" s="1"/>
  <c r="AV73" i="35" s="1"/>
  <c r="AV74" i="35" s="1"/>
  <c r="BF62" i="35"/>
  <c r="BF63" i="35" s="1"/>
  <c r="BF64" i="35" s="1"/>
  <c r="BF65" i="35" s="1"/>
  <c r="BF66" i="35" s="1"/>
  <c r="BF67" i="35" s="1"/>
  <c r="BF68" i="35" s="1"/>
  <c r="BF69" i="35" s="1"/>
  <c r="BF70" i="35" s="1"/>
  <c r="BF71" i="35" s="1"/>
  <c r="BF72" i="35" s="1"/>
  <c r="BF73" i="35" s="1"/>
  <c r="BF74" i="35" s="1"/>
  <c r="AU63" i="35"/>
  <c r="AU64" i="35" s="1"/>
  <c r="AU65" i="35" s="1"/>
  <c r="AU66" i="35" s="1"/>
  <c r="AU67" i="35" s="1"/>
  <c r="AU68" i="35" s="1"/>
  <c r="AU69" i="35" s="1"/>
  <c r="AU70" i="35" s="1"/>
  <c r="AU71" i="35" s="1"/>
  <c r="AU72" i="35" s="1"/>
  <c r="AU73" i="35" s="1"/>
  <c r="AU74" i="35" s="1"/>
  <c r="BE62" i="35"/>
  <c r="BE63" i="35" s="1"/>
  <c r="BE64" i="35" s="1"/>
  <c r="BE65" i="35" s="1"/>
  <c r="BE66" i="35" s="1"/>
  <c r="BE67" i="35" s="1"/>
  <c r="BE68" i="35" s="1"/>
  <c r="BE69" i="35" s="1"/>
  <c r="BE70" i="35" s="1"/>
  <c r="BE71" i="35" s="1"/>
  <c r="BE72" i="35" s="1"/>
  <c r="BE73" i="35" s="1"/>
  <c r="BE74" i="35" s="1"/>
  <c r="AT63" i="35"/>
  <c r="AT64" i="35" s="1"/>
  <c r="AT65" i="35" s="1"/>
  <c r="AT66" i="35" s="1"/>
  <c r="AT67" i="35" s="1"/>
  <c r="AT68" i="35" s="1"/>
  <c r="AT69" i="35" s="1"/>
  <c r="AT70" i="35" s="1"/>
  <c r="AT71" i="35" s="1"/>
  <c r="AT72" i="35" s="1"/>
  <c r="AT73" i="35" s="1"/>
  <c r="AT74" i="35" s="1"/>
  <c r="BD62" i="35"/>
  <c r="BD63" i="35" s="1"/>
  <c r="BD64" i="35" s="1"/>
  <c r="BD65" i="35" s="1"/>
  <c r="BD66" i="35" s="1"/>
  <c r="BD67" i="35" s="1"/>
  <c r="BD68" i="35" s="1"/>
  <c r="BD69" i="35" s="1"/>
  <c r="BD70" i="35" s="1"/>
  <c r="BD71" i="35" s="1"/>
  <c r="BD72" i="35" s="1"/>
  <c r="BD73" i="35" s="1"/>
  <c r="BD74" i="35" s="1"/>
  <c r="AS63" i="35"/>
  <c r="AS64" i="35" s="1"/>
  <c r="AS65" i="35" s="1"/>
  <c r="AS66" i="35" s="1"/>
  <c r="AS67" i="35" s="1"/>
  <c r="AS68" i="35" s="1"/>
  <c r="AS69" i="35" s="1"/>
  <c r="AS70" i="35" s="1"/>
  <c r="AS71" i="35" s="1"/>
  <c r="AS72" i="35" s="1"/>
  <c r="AS73" i="35" s="1"/>
  <c r="AS74" i="35" s="1"/>
  <c r="BC62" i="35"/>
  <c r="BC63" i="35" s="1"/>
  <c r="BC64" i="35" s="1"/>
  <c r="BC65" i="35" s="1"/>
  <c r="BC66" i="35" s="1"/>
  <c r="BC67" i="35" s="1"/>
  <c r="BC68" i="35" s="1"/>
  <c r="BC69" i="35" s="1"/>
  <c r="BC70" i="35" s="1"/>
  <c r="BC71" i="35" s="1"/>
  <c r="BC72" i="35" s="1"/>
  <c r="BC73" i="35" s="1"/>
  <c r="BC74" i="35" s="1"/>
  <c r="AQ63" i="35"/>
  <c r="AQ64" i="35" s="1"/>
  <c r="AQ65" i="35" s="1"/>
  <c r="AQ66" i="35" s="1"/>
  <c r="AQ67" i="35" s="1"/>
  <c r="AQ68" i="35" s="1"/>
  <c r="AQ69" i="35" s="1"/>
  <c r="AQ70" i="35" s="1"/>
  <c r="AQ71" i="35" s="1"/>
  <c r="AQ72" i="35" s="1"/>
  <c r="AQ73" i="35" s="1"/>
  <c r="AQ74" i="35" s="1"/>
  <c r="AP63" i="35"/>
  <c r="AP64" i="35" s="1"/>
  <c r="AP65" i="35" s="1"/>
  <c r="AP66" i="35" s="1"/>
  <c r="AP67" i="35" s="1"/>
  <c r="AP68" i="35" s="1"/>
  <c r="AP69" i="35" s="1"/>
  <c r="AP70" i="35" s="1"/>
  <c r="AP71" i="35" s="1"/>
  <c r="AP72" i="35" s="1"/>
  <c r="AP73" i="35" s="1"/>
  <c r="AP74" i="35" s="1"/>
  <c r="AO63" i="35"/>
  <c r="AO64" i="35" s="1"/>
  <c r="AO65" i="35" s="1"/>
  <c r="AO66" i="35" s="1"/>
  <c r="AO67" i="35" s="1"/>
  <c r="AO68" i="35" s="1"/>
  <c r="AO69" i="35" s="1"/>
  <c r="AO70" i="35" s="1"/>
  <c r="AO71" i="35" s="1"/>
  <c r="AO72" i="35" s="1"/>
  <c r="AO73" i="35" s="1"/>
  <c r="AO74" i="35" s="1"/>
  <c r="AN63" i="35"/>
  <c r="AN64" i="35" s="1"/>
  <c r="AN65" i="35" s="1"/>
  <c r="AN66" i="35" s="1"/>
  <c r="AN67" i="35" s="1"/>
  <c r="AN68" i="35" s="1"/>
  <c r="AN69" i="35" s="1"/>
  <c r="AN70" i="35" s="1"/>
  <c r="AN71" i="35" s="1"/>
  <c r="AN72" i="35" s="1"/>
  <c r="AN73" i="35" s="1"/>
  <c r="AN74" i="35" s="1"/>
  <c r="AL63" i="35"/>
  <c r="AL64" i="35" s="1"/>
  <c r="AL65" i="35" s="1"/>
  <c r="AL66" i="35" s="1"/>
  <c r="AL67" i="35" s="1"/>
  <c r="AL68" i="35" s="1"/>
  <c r="AL69" i="35" s="1"/>
  <c r="AL70" i="35" s="1"/>
  <c r="AL71" i="35" s="1"/>
  <c r="AL72" i="35" s="1"/>
  <c r="AL73" i="35" s="1"/>
  <c r="AL74" i="35" s="1"/>
  <c r="BP62" i="35"/>
  <c r="BP63" i="35" s="1"/>
  <c r="BP64" i="35" s="1"/>
  <c r="BP65" i="35" s="1"/>
  <c r="BP66" i="35" s="1"/>
  <c r="BP67" i="35" s="1"/>
  <c r="BP68" i="35" s="1"/>
  <c r="BP69" i="35" s="1"/>
  <c r="BP70" i="35" s="1"/>
  <c r="BP71" i="35" s="1"/>
  <c r="BP72" i="35" s="1"/>
  <c r="BP73" i="35" s="1"/>
  <c r="BP74" i="35" s="1"/>
  <c r="AK63" i="35"/>
  <c r="AK64" i="35" s="1"/>
  <c r="AK65" i="35" s="1"/>
  <c r="AK66" i="35" s="1"/>
  <c r="AK67" i="35" s="1"/>
  <c r="AK68" i="35" s="1"/>
  <c r="AK69" i="35" s="1"/>
  <c r="AK70" i="35" s="1"/>
  <c r="AK71" i="35" s="1"/>
  <c r="AK72" i="35" s="1"/>
  <c r="AK73" i="35" s="1"/>
  <c r="AK74" i="35" s="1"/>
  <c r="BO62" i="35"/>
  <c r="BO63" i="35" s="1"/>
  <c r="BO64" i="35" s="1"/>
  <c r="BO65" i="35" s="1"/>
  <c r="BO66" i="35" s="1"/>
  <c r="BO67" i="35" s="1"/>
  <c r="BO68" i="35" s="1"/>
  <c r="BO69" i="35" s="1"/>
  <c r="BO70" i="35" s="1"/>
  <c r="BO71" i="35" s="1"/>
  <c r="BO72" i="35" s="1"/>
  <c r="BO73" i="35" s="1"/>
  <c r="BO74" i="35" s="1"/>
  <c r="AJ63" i="35"/>
  <c r="AJ64" i="35" s="1"/>
  <c r="AJ65" i="35" s="1"/>
  <c r="AJ66" i="35" s="1"/>
  <c r="AJ67" i="35" s="1"/>
  <c r="AJ68" i="35" s="1"/>
  <c r="AJ69" i="35" s="1"/>
  <c r="AJ70" i="35" s="1"/>
  <c r="AJ71" i="35" s="1"/>
  <c r="AJ72" i="35" s="1"/>
  <c r="AJ73" i="35" s="1"/>
  <c r="AJ74" i="35" s="1"/>
  <c r="BN62" i="35"/>
  <c r="BN63" i="35" s="1"/>
  <c r="BN64" i="35" s="1"/>
  <c r="BN65" i="35" s="1"/>
  <c r="BN66" i="35" s="1"/>
  <c r="BN67" i="35" s="1"/>
  <c r="BN68" i="35" s="1"/>
  <c r="BN69" i="35" s="1"/>
  <c r="BN70" i="35" s="1"/>
  <c r="BN71" i="35" s="1"/>
  <c r="BN72" i="35" s="1"/>
  <c r="BN73" i="35" s="1"/>
  <c r="BN74" i="35" s="1"/>
  <c r="AI63" i="35"/>
  <c r="AI64" i="35" s="1"/>
  <c r="AI65" i="35" s="1"/>
  <c r="AI66" i="35" s="1"/>
  <c r="AI67" i="35" s="1"/>
  <c r="AI68" i="35" s="1"/>
  <c r="AI69" i="35" s="1"/>
  <c r="AI70" i="35" s="1"/>
  <c r="AI71" i="35" s="1"/>
  <c r="AI72" i="35" s="1"/>
  <c r="AI73" i="35" s="1"/>
  <c r="AI74" i="35" s="1"/>
  <c r="BM62" i="35"/>
  <c r="BM63" i="35" s="1"/>
  <c r="BM64" i="35" s="1"/>
  <c r="BM65" i="35" s="1"/>
  <c r="BM66" i="35" s="1"/>
  <c r="BM67" i="35" s="1"/>
  <c r="BM68" i="35" s="1"/>
  <c r="BM69" i="35" s="1"/>
  <c r="BM70" i="35" s="1"/>
  <c r="BM71" i="35" s="1"/>
  <c r="BM72" i="35" s="1"/>
  <c r="BM73" i="35" s="1"/>
  <c r="BM74" i="35" s="1"/>
  <c r="BF14" i="35"/>
  <c r="BE14" i="35"/>
  <c r="BD14" i="35"/>
  <c r="BC14" i="35"/>
  <c r="BP14" i="35"/>
  <c r="BO14" i="35"/>
  <c r="BN14" i="35"/>
  <c r="BM14" i="35"/>
  <c r="CG11" i="35"/>
  <c r="CF11" i="35"/>
  <c r="CE11" i="35"/>
  <c r="BF11" i="35"/>
  <c r="BE11" i="35"/>
  <c r="BD11" i="35"/>
  <c r="BC11" i="35"/>
  <c r="CD11" i="35"/>
  <c r="CC11" i="35"/>
  <c r="CB11" i="35"/>
  <c r="BP11" i="35"/>
  <c r="BO11" i="35"/>
  <c r="CA11" i="35"/>
  <c r="M11" i="35" s="1"/>
  <c r="BN11" i="35"/>
  <c r="BZ11" i="35"/>
  <c r="L11" i="35" s="1"/>
  <c r="BM11" i="35"/>
  <c r="BY11" i="35"/>
  <c r="BX11" i="35"/>
  <c r="J11" i="35" s="1"/>
  <c r="BW11" i="35"/>
  <c r="I11" i="35" s="1"/>
  <c r="BV11" i="35"/>
  <c r="H11" i="35" s="1"/>
  <c r="BF41" i="35"/>
  <c r="BE41" i="35"/>
  <c r="BD41" i="35"/>
  <c r="BC41" i="35"/>
  <c r="BP41" i="35"/>
  <c r="BO41" i="35"/>
  <c r="BN41" i="35"/>
  <c r="BM41" i="35"/>
  <c r="CG13" i="35"/>
  <c r="CF13" i="35"/>
  <c r="CE13" i="35"/>
  <c r="BF13" i="35"/>
  <c r="BE13" i="35"/>
  <c r="BD13" i="35"/>
  <c r="BC13" i="35"/>
  <c r="CD13" i="35"/>
  <c r="CC13" i="35"/>
  <c r="CB13" i="35"/>
  <c r="BP13" i="35"/>
  <c r="BO13" i="35"/>
  <c r="CA13" i="35"/>
  <c r="M13" i="35" s="1"/>
  <c r="BN13" i="35"/>
  <c r="BZ13" i="35"/>
  <c r="L13" i="35" s="1"/>
  <c r="BM13" i="35"/>
  <c r="BY13" i="35"/>
  <c r="K13" i="35" s="1"/>
  <c r="BX13" i="35"/>
  <c r="J13" i="35" s="1"/>
  <c r="BW13" i="35"/>
  <c r="I13" i="35" s="1"/>
  <c r="BV13" i="35"/>
  <c r="H13" i="35" s="1"/>
  <c r="BF44" i="35"/>
  <c r="BE44" i="35"/>
  <c r="BD44" i="35"/>
  <c r="BC44" i="35"/>
  <c r="BP44" i="35"/>
  <c r="BO44" i="35"/>
  <c r="BN44" i="35"/>
  <c r="BM44" i="35"/>
  <c r="BK48" i="35"/>
  <c r="BK49" i="35" s="1"/>
  <c r="BK50" i="35" s="1"/>
  <c r="BK51" i="35" s="1"/>
  <c r="BK52" i="35" s="1"/>
  <c r="BK53" i="35" s="1"/>
  <c r="BK54" i="35" s="1"/>
  <c r="BK55" i="35" s="1"/>
  <c r="BK56" i="35" s="1"/>
  <c r="BK57" i="35" s="1"/>
  <c r="BK58" i="35" s="1"/>
  <c r="BK59" i="35" s="1"/>
  <c r="BJ48" i="35"/>
  <c r="BJ49" i="35" s="1"/>
  <c r="BJ50" i="35" s="1"/>
  <c r="BJ51" i="35" s="1"/>
  <c r="BJ52" i="35" s="1"/>
  <c r="BJ53" i="35" s="1"/>
  <c r="BJ54" i="35" s="1"/>
  <c r="BJ55" i="35" s="1"/>
  <c r="BJ56" i="35" s="1"/>
  <c r="BJ57" i="35" s="1"/>
  <c r="BJ58" i="35" s="1"/>
  <c r="BJ59" i="35" s="1"/>
  <c r="BI48" i="35"/>
  <c r="BI49" i="35" s="1"/>
  <c r="BI50" i="35" s="1"/>
  <c r="BI51" i="35" s="1"/>
  <c r="BI52" i="35" s="1"/>
  <c r="BI53" i="35" s="1"/>
  <c r="BI54" i="35" s="1"/>
  <c r="BI55" i="35" s="1"/>
  <c r="BI56" i="35" s="1"/>
  <c r="BI57" i="35" s="1"/>
  <c r="BI58" i="35" s="1"/>
  <c r="BI59" i="35" s="1"/>
  <c r="BH48" i="35"/>
  <c r="BH49" i="35" s="1"/>
  <c r="BH50" i="35" s="1"/>
  <c r="BH51" i="35" s="1"/>
  <c r="BH52" i="35" s="1"/>
  <c r="BH53" i="35" s="1"/>
  <c r="BH54" i="35" s="1"/>
  <c r="BH55" i="35" s="1"/>
  <c r="BH56" i="35" s="1"/>
  <c r="BH57" i="35" s="1"/>
  <c r="BH58" i="35" s="1"/>
  <c r="BH59" i="35" s="1"/>
  <c r="BA48" i="35"/>
  <c r="BA49" i="35" s="1"/>
  <c r="BA50" i="35" s="1"/>
  <c r="BA51" i="35" s="1"/>
  <c r="BA52" i="35" s="1"/>
  <c r="BA53" i="35" s="1"/>
  <c r="BA54" i="35" s="1"/>
  <c r="BA55" i="35" s="1"/>
  <c r="BA56" i="35" s="1"/>
  <c r="BA57" i="35" s="1"/>
  <c r="BA58" i="35" s="1"/>
  <c r="BA59" i="35" s="1"/>
  <c r="AZ48" i="35"/>
  <c r="AZ49" i="35" s="1"/>
  <c r="AZ50" i="35" s="1"/>
  <c r="AZ51" i="35" s="1"/>
  <c r="AZ52" i="35" s="1"/>
  <c r="AZ53" i="35" s="1"/>
  <c r="AZ54" i="35" s="1"/>
  <c r="AZ55" i="35" s="1"/>
  <c r="AZ56" i="35" s="1"/>
  <c r="AZ57" i="35" s="1"/>
  <c r="AZ58" i="35" s="1"/>
  <c r="AZ59" i="35" s="1"/>
  <c r="AY48" i="35"/>
  <c r="AY49" i="35" s="1"/>
  <c r="AY50" i="35" s="1"/>
  <c r="AY51" i="35" s="1"/>
  <c r="AY52" i="35" s="1"/>
  <c r="AY53" i="35" s="1"/>
  <c r="AY54" i="35" s="1"/>
  <c r="AY55" i="35" s="1"/>
  <c r="AY56" i="35" s="1"/>
  <c r="AY57" i="35" s="1"/>
  <c r="AY58" i="35" s="1"/>
  <c r="AY59" i="35" s="1"/>
  <c r="AX48" i="35"/>
  <c r="AX49" i="35" s="1"/>
  <c r="AX50" i="35" s="1"/>
  <c r="AX51" i="35" s="1"/>
  <c r="AX52" i="35" s="1"/>
  <c r="AX53" i="35" s="1"/>
  <c r="AX54" i="35" s="1"/>
  <c r="AX55" i="35" s="1"/>
  <c r="AX56" i="35" s="1"/>
  <c r="AX57" i="35" s="1"/>
  <c r="AX58" i="35" s="1"/>
  <c r="AX59" i="35" s="1"/>
  <c r="AV48" i="35"/>
  <c r="AV49" i="35" s="1"/>
  <c r="AV50" i="35" s="1"/>
  <c r="AV51" i="35" s="1"/>
  <c r="AV52" i="35" s="1"/>
  <c r="AV53" i="35" s="1"/>
  <c r="AV54" i="35" s="1"/>
  <c r="AV55" i="35" s="1"/>
  <c r="AV56" i="35" s="1"/>
  <c r="AV57" i="35" s="1"/>
  <c r="AV58" i="35" s="1"/>
  <c r="AV59" i="35" s="1"/>
  <c r="BF47" i="35"/>
  <c r="BF48" i="35" s="1"/>
  <c r="BF49" i="35" s="1"/>
  <c r="BF50" i="35" s="1"/>
  <c r="BF51" i="35" s="1"/>
  <c r="BF52" i="35" s="1"/>
  <c r="BF53" i="35" s="1"/>
  <c r="BF54" i="35" s="1"/>
  <c r="BF55" i="35" s="1"/>
  <c r="BF56" i="35" s="1"/>
  <c r="BF57" i="35" s="1"/>
  <c r="BF58" i="35" s="1"/>
  <c r="BF59" i="35" s="1"/>
  <c r="AU48" i="35"/>
  <c r="AU49" i="35" s="1"/>
  <c r="AU50" i="35" s="1"/>
  <c r="AU51" i="35" s="1"/>
  <c r="AU52" i="35" s="1"/>
  <c r="AU53" i="35" s="1"/>
  <c r="AU54" i="35" s="1"/>
  <c r="AU55" i="35" s="1"/>
  <c r="AU56" i="35" s="1"/>
  <c r="AU57" i="35" s="1"/>
  <c r="AU58" i="35" s="1"/>
  <c r="AU59" i="35" s="1"/>
  <c r="BE47" i="35"/>
  <c r="BE48" i="35" s="1"/>
  <c r="BE49" i="35" s="1"/>
  <c r="BE50" i="35" s="1"/>
  <c r="BE51" i="35" s="1"/>
  <c r="BE52" i="35" s="1"/>
  <c r="BE53" i="35" s="1"/>
  <c r="BE54" i="35" s="1"/>
  <c r="BE55" i="35" s="1"/>
  <c r="BE56" i="35" s="1"/>
  <c r="BE57" i="35" s="1"/>
  <c r="BE58" i="35" s="1"/>
  <c r="BE59" i="35" s="1"/>
  <c r="AT48" i="35"/>
  <c r="AT49" i="35" s="1"/>
  <c r="AT50" i="35" s="1"/>
  <c r="AT51" i="35" s="1"/>
  <c r="AT52" i="35" s="1"/>
  <c r="AT53" i="35" s="1"/>
  <c r="AT54" i="35" s="1"/>
  <c r="AT55" i="35" s="1"/>
  <c r="AT56" i="35" s="1"/>
  <c r="AT57" i="35" s="1"/>
  <c r="AT58" i="35" s="1"/>
  <c r="AT59" i="35" s="1"/>
  <c r="BD47" i="35"/>
  <c r="BD48" i="35" s="1"/>
  <c r="BD49" i="35" s="1"/>
  <c r="BD50" i="35" s="1"/>
  <c r="BD51" i="35" s="1"/>
  <c r="BD52" i="35" s="1"/>
  <c r="BD53" i="35" s="1"/>
  <c r="BD54" i="35" s="1"/>
  <c r="BD55" i="35" s="1"/>
  <c r="BD56" i="35" s="1"/>
  <c r="BD57" i="35" s="1"/>
  <c r="BD58" i="35" s="1"/>
  <c r="BD59" i="35" s="1"/>
  <c r="AS48" i="35"/>
  <c r="AS49" i="35" s="1"/>
  <c r="AS50" i="35" s="1"/>
  <c r="AS51" i="35" s="1"/>
  <c r="AS52" i="35" s="1"/>
  <c r="AS53" i="35" s="1"/>
  <c r="AS54" i="35" s="1"/>
  <c r="AS55" i="35" s="1"/>
  <c r="AS56" i="35" s="1"/>
  <c r="AS57" i="35" s="1"/>
  <c r="AS58" i="35" s="1"/>
  <c r="AS59" i="35" s="1"/>
  <c r="BC47" i="35"/>
  <c r="BC48" i="35" s="1"/>
  <c r="BC49" i="35" s="1"/>
  <c r="BC50" i="35" s="1"/>
  <c r="BC51" i="35" s="1"/>
  <c r="BC52" i="35" s="1"/>
  <c r="BC53" i="35" s="1"/>
  <c r="BC54" i="35" s="1"/>
  <c r="BC55" i="35" s="1"/>
  <c r="BC56" i="35" s="1"/>
  <c r="BC57" i="35" s="1"/>
  <c r="BC58" i="35" s="1"/>
  <c r="BC59" i="35" s="1"/>
  <c r="AQ48" i="35"/>
  <c r="AQ49" i="35" s="1"/>
  <c r="AQ50" i="35" s="1"/>
  <c r="AQ51" i="35" s="1"/>
  <c r="AQ52" i="35" s="1"/>
  <c r="AQ53" i="35" s="1"/>
  <c r="AQ54" i="35" s="1"/>
  <c r="AQ55" i="35" s="1"/>
  <c r="AQ56" i="35" s="1"/>
  <c r="AQ57" i="35" s="1"/>
  <c r="AQ58" i="35" s="1"/>
  <c r="AQ59" i="35" s="1"/>
  <c r="AP48" i="35"/>
  <c r="AP49" i="35" s="1"/>
  <c r="AP50" i="35" s="1"/>
  <c r="AP51" i="35" s="1"/>
  <c r="AP52" i="35" s="1"/>
  <c r="AP53" i="35" s="1"/>
  <c r="AP54" i="35" s="1"/>
  <c r="AP55" i="35" s="1"/>
  <c r="AP56" i="35" s="1"/>
  <c r="AP57" i="35" s="1"/>
  <c r="AP58" i="35" s="1"/>
  <c r="AP59" i="35" s="1"/>
  <c r="AO48" i="35"/>
  <c r="AO49" i="35" s="1"/>
  <c r="AO50" i="35" s="1"/>
  <c r="AO51" i="35" s="1"/>
  <c r="AO52" i="35" s="1"/>
  <c r="AO53" i="35" s="1"/>
  <c r="AO54" i="35" s="1"/>
  <c r="AO55" i="35" s="1"/>
  <c r="AO56" i="35" s="1"/>
  <c r="AO57" i="35" s="1"/>
  <c r="AO58" i="35" s="1"/>
  <c r="AO59" i="35" s="1"/>
  <c r="AN48" i="35"/>
  <c r="AN49" i="35" s="1"/>
  <c r="AN50" i="35" s="1"/>
  <c r="AN51" i="35" s="1"/>
  <c r="AN52" i="35" s="1"/>
  <c r="AN53" i="35" s="1"/>
  <c r="AN54" i="35" s="1"/>
  <c r="AN55" i="35" s="1"/>
  <c r="AN56" i="35" s="1"/>
  <c r="AN57" i="35" s="1"/>
  <c r="AN58" i="35" s="1"/>
  <c r="AN59" i="35" s="1"/>
  <c r="AL48" i="35"/>
  <c r="AL49" i="35" s="1"/>
  <c r="AL50" i="35" s="1"/>
  <c r="AL51" i="35" s="1"/>
  <c r="AL52" i="35" s="1"/>
  <c r="AL53" i="35" s="1"/>
  <c r="AL54" i="35" s="1"/>
  <c r="AL55" i="35" s="1"/>
  <c r="AL56" i="35" s="1"/>
  <c r="AL57" i="35" s="1"/>
  <c r="AL58" i="35" s="1"/>
  <c r="AL59" i="35" s="1"/>
  <c r="BP47" i="35"/>
  <c r="BP48" i="35" s="1"/>
  <c r="BP49" i="35" s="1"/>
  <c r="BP50" i="35" s="1"/>
  <c r="BP51" i="35" s="1"/>
  <c r="BP52" i="35" s="1"/>
  <c r="BP53" i="35" s="1"/>
  <c r="BP54" i="35" s="1"/>
  <c r="BP55" i="35" s="1"/>
  <c r="BP56" i="35" s="1"/>
  <c r="BP57" i="35" s="1"/>
  <c r="BP58" i="35" s="1"/>
  <c r="BP59" i="35" s="1"/>
  <c r="AK48" i="35"/>
  <c r="AK49" i="35" s="1"/>
  <c r="AK50" i="35" s="1"/>
  <c r="AK51" i="35" s="1"/>
  <c r="AK52" i="35" s="1"/>
  <c r="AK53" i="35" s="1"/>
  <c r="AK54" i="35" s="1"/>
  <c r="AK55" i="35" s="1"/>
  <c r="AK56" i="35" s="1"/>
  <c r="AK57" i="35" s="1"/>
  <c r="AK58" i="35" s="1"/>
  <c r="AK59" i="35" s="1"/>
  <c r="BO47" i="35"/>
  <c r="BO48" i="35" s="1"/>
  <c r="BO49" i="35" s="1"/>
  <c r="BO50" i="35" s="1"/>
  <c r="BO51" i="35" s="1"/>
  <c r="BO52" i="35" s="1"/>
  <c r="BO53" i="35" s="1"/>
  <c r="BO54" i="35" s="1"/>
  <c r="BO55" i="35" s="1"/>
  <c r="BO56" i="35" s="1"/>
  <c r="BO57" i="35" s="1"/>
  <c r="BO58" i="35" s="1"/>
  <c r="BO59" i="35" s="1"/>
  <c r="AJ48" i="35"/>
  <c r="AJ49" i="35" s="1"/>
  <c r="AJ50" i="35" s="1"/>
  <c r="AJ51" i="35" s="1"/>
  <c r="AJ52" i="35" s="1"/>
  <c r="AJ53" i="35" s="1"/>
  <c r="AJ54" i="35" s="1"/>
  <c r="AJ55" i="35" s="1"/>
  <c r="AJ56" i="35" s="1"/>
  <c r="AJ57" i="35" s="1"/>
  <c r="AJ58" i="35" s="1"/>
  <c r="AJ59" i="35" s="1"/>
  <c r="BN47" i="35"/>
  <c r="BN48" i="35" s="1"/>
  <c r="BN49" i="35" s="1"/>
  <c r="BN50" i="35" s="1"/>
  <c r="BN51" i="35" s="1"/>
  <c r="BN52" i="35" s="1"/>
  <c r="BN53" i="35" s="1"/>
  <c r="BN54" i="35" s="1"/>
  <c r="BN55" i="35" s="1"/>
  <c r="BN56" i="35" s="1"/>
  <c r="BN57" i="35" s="1"/>
  <c r="BN58" i="35" s="1"/>
  <c r="BN59" i="35" s="1"/>
  <c r="AI48" i="35"/>
  <c r="AI49" i="35" s="1"/>
  <c r="AI50" i="35" s="1"/>
  <c r="AI51" i="35" s="1"/>
  <c r="AI52" i="35" s="1"/>
  <c r="AI53" i="35" s="1"/>
  <c r="AI54" i="35" s="1"/>
  <c r="AI55" i="35" s="1"/>
  <c r="AI56" i="35" s="1"/>
  <c r="AI57" i="35" s="1"/>
  <c r="AI58" i="35" s="1"/>
  <c r="AI59" i="35" s="1"/>
  <c r="BM47" i="35"/>
  <c r="BM48" i="35" s="1"/>
  <c r="BM49" i="35" s="1"/>
  <c r="BM50" i="35" s="1"/>
  <c r="BM51" i="35" s="1"/>
  <c r="BM52" i="35" s="1"/>
  <c r="BM53" i="35" s="1"/>
  <c r="BM54" i="35" s="1"/>
  <c r="BM55" i="35" s="1"/>
  <c r="BM56" i="35" s="1"/>
  <c r="BM57" i="35" s="1"/>
  <c r="BM58" i="35" s="1"/>
  <c r="BM59" i="35" s="1"/>
  <c r="AG48" i="35"/>
  <c r="AG49" i="35" s="1"/>
  <c r="AG50" i="35" s="1"/>
  <c r="AG51" i="35" s="1"/>
  <c r="AG52" i="35" s="1"/>
  <c r="AG53" i="35" s="1"/>
  <c r="AG54" i="35" s="1"/>
  <c r="AG55" i="35" s="1"/>
  <c r="AG56" i="35" s="1"/>
  <c r="AG57" i="35" s="1"/>
  <c r="AG58" i="35" s="1"/>
  <c r="AG59" i="35" s="1"/>
  <c r="AF48" i="35"/>
  <c r="AF49" i="35" s="1"/>
  <c r="AF50" i="35" s="1"/>
  <c r="AF51" i="35" s="1"/>
  <c r="AF52" i="35" s="1"/>
  <c r="AF53" i="35" s="1"/>
  <c r="AF54" i="35" s="1"/>
  <c r="AF55" i="35" s="1"/>
  <c r="AF56" i="35" s="1"/>
  <c r="AF57" i="35" s="1"/>
  <c r="AF58" i="35" s="1"/>
  <c r="AF59" i="35" s="1"/>
  <c r="AE48" i="35"/>
  <c r="AE49" i="35" s="1"/>
  <c r="AE50" i="35" s="1"/>
  <c r="AE51" i="35" s="1"/>
  <c r="AE52" i="35" s="1"/>
  <c r="AE53" i="35" s="1"/>
  <c r="AE54" i="35" s="1"/>
  <c r="AE55" i="35" s="1"/>
  <c r="AE56" i="35" s="1"/>
  <c r="AE57" i="35" s="1"/>
  <c r="AE58" i="35" s="1"/>
  <c r="AE59" i="35" s="1"/>
  <c r="CG15" i="35"/>
  <c r="CF15" i="35"/>
  <c r="CE15" i="35"/>
  <c r="BF15" i="35"/>
  <c r="BE15" i="35"/>
  <c r="BD15" i="35"/>
  <c r="BC15" i="35"/>
  <c r="CD15" i="35"/>
  <c r="CC15" i="35"/>
  <c r="CB15" i="35"/>
  <c r="BP15" i="35"/>
  <c r="BO15" i="35"/>
  <c r="CA15" i="35"/>
  <c r="M15" i="35" s="1"/>
  <c r="BN15" i="35"/>
  <c r="BZ15" i="35"/>
  <c r="L15" i="35" s="1"/>
  <c r="BM15" i="35"/>
  <c r="BY15" i="35"/>
  <c r="K15" i="35" s="1"/>
  <c r="BX15" i="35"/>
  <c r="J15" i="35" s="1"/>
  <c r="BW15" i="35"/>
  <c r="I15" i="35" s="1"/>
  <c r="BV15" i="35"/>
  <c r="H15" i="35" s="1"/>
  <c r="G44" i="35"/>
  <c r="CU8" i="35"/>
  <c r="CV8" i="35" s="1"/>
  <c r="CU17" i="35"/>
  <c r="CV17" i="35" s="1"/>
  <c r="G7" i="35"/>
  <c r="BG49" i="35"/>
  <c r="P48" i="35"/>
  <c r="G19" i="35"/>
  <c r="CU7" i="35"/>
  <c r="CV7" i="35" s="1"/>
  <c r="CB5" i="35"/>
  <c r="CC5" i="35" s="1"/>
  <c r="CD5" i="35" s="1"/>
  <c r="BH5" i="35"/>
  <c r="BI5" i="35" s="1"/>
  <c r="BJ5" i="35" s="1"/>
  <c r="BK5" i="35" s="1"/>
  <c r="AD5" i="35"/>
  <c r="AE5" i="35" s="1"/>
  <c r="AF5" i="35" s="1"/>
  <c r="AG5" i="35" s="1"/>
  <c r="BY5" i="35"/>
  <c r="BZ5" i="35" s="1"/>
  <c r="CA5" i="35" s="1"/>
  <c r="BV5" i="35"/>
  <c r="BW5" i="35" s="1"/>
  <c r="BX5" i="35" s="1"/>
  <c r="AX5" i="35"/>
  <c r="AY5" i="35" s="1"/>
  <c r="AZ5" i="35" s="1"/>
  <c r="BA5" i="35" s="1"/>
  <c r="BC5" i="35"/>
  <c r="BD5" i="35" s="1"/>
  <c r="BE5" i="35" s="1"/>
  <c r="BF5" i="35" s="1"/>
  <c r="CH5" i="35"/>
  <c r="CI5" i="35" s="1"/>
  <c r="CJ5" i="35" s="1"/>
  <c r="BR5" i="35"/>
  <c r="BS5" i="35" s="1"/>
  <c r="BT5" i="35" s="1"/>
  <c r="BU5" i="35" s="1"/>
  <c r="AI5" i="35"/>
  <c r="AJ5" i="35" s="1"/>
  <c r="AK5" i="35" s="1"/>
  <c r="AL5" i="35" s="1"/>
  <c r="BM5" i="35"/>
  <c r="BN5" i="35" s="1"/>
  <c r="BO5" i="35" s="1"/>
  <c r="BP5" i="35" s="1"/>
  <c r="CE5" i="35"/>
  <c r="CF5" i="35" s="1"/>
  <c r="CG5" i="35" s="1"/>
  <c r="CU19" i="35"/>
  <c r="CV19" i="35" s="1"/>
  <c r="P38" i="35"/>
  <c r="P37" i="35"/>
  <c r="P36" i="35"/>
  <c r="P35" i="35"/>
  <c r="G11" i="35"/>
  <c r="CU16" i="35"/>
  <c r="CV16" i="35" s="1"/>
  <c r="CU9" i="35"/>
  <c r="CV9" i="35" s="1"/>
  <c r="CU10" i="35"/>
  <c r="CV10" i="35" s="1"/>
  <c r="CU20" i="35"/>
  <c r="CV20" i="35" s="1"/>
  <c r="CU62" i="35"/>
  <c r="G16" i="35"/>
  <c r="G14" i="35"/>
  <c r="G10" i="35"/>
  <c r="G8" i="35"/>
  <c r="CU14" i="35"/>
  <c r="CV14" i="35" s="1"/>
  <c r="CU11" i="35"/>
  <c r="CV11" i="35" s="1"/>
  <c r="CU41" i="35"/>
  <c r="G41" i="35"/>
  <c r="CU13" i="35"/>
  <c r="CV13" i="35" s="1"/>
  <c r="CU44" i="35"/>
  <c r="P26" i="35"/>
  <c r="P25" i="35"/>
  <c r="P24" i="35"/>
  <c r="P23" i="35"/>
  <c r="P32" i="35"/>
  <c r="P31" i="35"/>
  <c r="P30" i="35"/>
  <c r="P29" i="35"/>
  <c r="BQ47" i="35"/>
  <c r="BQ48" i="35" s="1"/>
  <c r="BQ49" i="35" s="1"/>
  <c r="BQ50" i="35" s="1"/>
  <c r="BQ51" i="35" s="1"/>
  <c r="BQ52" i="35" s="1"/>
  <c r="BQ53" i="35" s="1"/>
  <c r="BQ54" i="35" s="1"/>
  <c r="BQ55" i="35" s="1"/>
  <c r="BQ56" i="35" s="1"/>
  <c r="BQ57" i="35" s="1"/>
  <c r="BQ58" i="35" s="1"/>
  <c r="BQ59" i="35" s="1"/>
  <c r="G13" i="35"/>
  <c r="G20" i="35"/>
  <c r="G17" i="35"/>
  <c r="CU47" i="35"/>
  <c r="CU15" i="35"/>
  <c r="CV15" i="35" s="1"/>
  <c r="G15" i="35"/>
  <c r="G9" i="35"/>
  <c r="BS15" i="35" l="1"/>
  <c r="CI15" i="35" s="1"/>
  <c r="BS19" i="35"/>
  <c r="CI19" i="35" s="1"/>
  <c r="BT14" i="35"/>
  <c r="BT9" i="35"/>
  <c r="BU17" i="35"/>
  <c r="BR41" i="35"/>
  <c r="BR10" i="35"/>
  <c r="BU13" i="35"/>
  <c r="BU7" i="35"/>
  <c r="BR13" i="35"/>
  <c r="CH13" i="35" s="1"/>
  <c r="O8" i="35"/>
  <c r="BR7" i="35"/>
  <c r="BU15" i="35"/>
  <c r="BU8" i="35"/>
  <c r="O11" i="35"/>
  <c r="BR11" i="35"/>
  <c r="CH11" i="35" s="1"/>
  <c r="BR20" i="35"/>
  <c r="CH20" i="35" s="1"/>
  <c r="BR44" i="35"/>
  <c r="BT16" i="35"/>
  <c r="BS9" i="35"/>
  <c r="BR16" i="35"/>
  <c r="BT10" i="35"/>
  <c r="BU19" i="35"/>
  <c r="BR17" i="35"/>
  <c r="CH17" i="35" s="1"/>
  <c r="BT15" i="35"/>
  <c r="CJ15" i="35" s="1"/>
  <c r="BT11" i="35"/>
  <c r="CJ11" i="35" s="1"/>
  <c r="BR14" i="35"/>
  <c r="BT20" i="35"/>
  <c r="CJ20" i="35" s="1"/>
  <c r="BT41" i="35"/>
  <c r="BR19" i="35"/>
  <c r="CH19" i="35" s="1"/>
  <c r="BS7" i="35"/>
  <c r="BR8" i="35"/>
  <c r="CH8" i="35" s="1"/>
  <c r="BT44" i="35"/>
  <c r="BS13" i="35"/>
  <c r="CI13" i="35" s="1"/>
  <c r="N11" i="35"/>
  <c r="BU11" i="35"/>
  <c r="CF14" i="35"/>
  <c r="CC14" i="35"/>
  <c r="BX14" i="35"/>
  <c r="J14" i="35" s="1"/>
  <c r="BU10" i="35"/>
  <c r="BS16" i="35"/>
  <c r="BT19" i="35"/>
  <c r="CJ19" i="35" s="1"/>
  <c r="BU44" i="35"/>
  <c r="O13" i="35"/>
  <c r="BU20" i="35"/>
  <c r="BR9" i="35"/>
  <c r="BU41" i="35"/>
  <c r="CA14" i="35"/>
  <c r="M14" i="35" s="1"/>
  <c r="BU14" i="35"/>
  <c r="O19" i="35"/>
  <c r="BR15" i="35"/>
  <c r="CH15" i="35" s="1"/>
  <c r="BS11" i="35"/>
  <c r="CI11" i="35" s="1"/>
  <c r="BV14" i="35"/>
  <c r="H14" i="35" s="1"/>
  <c r="CB14" i="35"/>
  <c r="BR62" i="35"/>
  <c r="BR63" i="35" s="1"/>
  <c r="BR64" i="35" s="1"/>
  <c r="BR65" i="35" s="1"/>
  <c r="BR66" i="35" s="1"/>
  <c r="BR67" i="35" s="1"/>
  <c r="BR68" i="35" s="1"/>
  <c r="BR69" i="35" s="1"/>
  <c r="BR70" i="35" s="1"/>
  <c r="BR71" i="35" s="1"/>
  <c r="BR72" i="35" s="1"/>
  <c r="BR73" i="35" s="1"/>
  <c r="BR74" i="35" s="1"/>
  <c r="BS10" i="35"/>
  <c r="CB9" i="35"/>
  <c r="CF9" i="35"/>
  <c r="BW9" i="35"/>
  <c r="I9" i="35" s="1"/>
  <c r="BT17" i="35"/>
  <c r="CJ17" i="35" s="1"/>
  <c r="BR47" i="35"/>
  <c r="BR48" i="35" s="1"/>
  <c r="BR49" i="35" s="1"/>
  <c r="BR50" i="35" s="1"/>
  <c r="BR51" i="35" s="1"/>
  <c r="BR52" i="35" s="1"/>
  <c r="BR53" i="35" s="1"/>
  <c r="BR54" i="35" s="1"/>
  <c r="BR55" i="35" s="1"/>
  <c r="BR56" i="35" s="1"/>
  <c r="BR57" i="35" s="1"/>
  <c r="BR58" i="35" s="1"/>
  <c r="BR59" i="35" s="1"/>
  <c r="BY14" i="35"/>
  <c r="K14" i="35" s="1"/>
  <c r="CD14" i="35"/>
  <c r="CG14" i="35"/>
  <c r="BX9" i="35"/>
  <c r="J9" i="35" s="1"/>
  <c r="BS44" i="35"/>
  <c r="BT13" i="35"/>
  <c r="CJ13" i="35" s="1"/>
  <c r="BS62" i="35"/>
  <c r="BS63" i="35" s="1"/>
  <c r="BS64" i="35" s="1"/>
  <c r="BS65" i="35" s="1"/>
  <c r="BS66" i="35" s="1"/>
  <c r="BS67" i="35" s="1"/>
  <c r="BS68" i="35" s="1"/>
  <c r="BS69" i="35" s="1"/>
  <c r="BS70" i="35" s="1"/>
  <c r="BS71" i="35" s="1"/>
  <c r="BS72" i="35" s="1"/>
  <c r="BS73" i="35" s="1"/>
  <c r="BS74" i="35" s="1"/>
  <c r="N15" i="35"/>
  <c r="BS14" i="35"/>
  <c r="O20" i="35"/>
  <c r="BZ9" i="35"/>
  <c r="L9" i="35" s="1"/>
  <c r="BU16" i="35"/>
  <c r="O17" i="35"/>
  <c r="BS8" i="35"/>
  <c r="CI8" i="35" s="1"/>
  <c r="BS41" i="35"/>
  <c r="BT8" i="35"/>
  <c r="CJ8" i="35" s="1"/>
  <c r="BS20" i="35"/>
  <c r="CI20" i="35" s="1"/>
  <c r="BU9" i="35"/>
  <c r="CE9" i="35"/>
  <c r="BT7" i="35"/>
  <c r="BS17" i="35"/>
  <c r="CI17" i="35" s="1"/>
  <c r="BU47" i="35"/>
  <c r="BU48" i="35" s="1"/>
  <c r="BU49" i="35" s="1"/>
  <c r="BU50" i="35" s="1"/>
  <c r="BU51" i="35" s="1"/>
  <c r="BU52" i="35" s="1"/>
  <c r="BU53" i="35" s="1"/>
  <c r="BU54" i="35" s="1"/>
  <c r="BU55" i="35" s="1"/>
  <c r="BU56" i="35" s="1"/>
  <c r="BU57" i="35" s="1"/>
  <c r="BU58" i="35" s="1"/>
  <c r="BU59" i="35" s="1"/>
  <c r="K11" i="35"/>
  <c r="O15" i="35"/>
  <c r="BS47" i="35"/>
  <c r="N13" i="35"/>
  <c r="BW14" i="35"/>
  <c r="I14" i="35" s="1"/>
  <c r="BT62" i="35"/>
  <c r="N20" i="35"/>
  <c r="BV10" i="35"/>
  <c r="BV9" i="35"/>
  <c r="BV16" i="35"/>
  <c r="N19" i="35"/>
  <c r="BV7" i="35"/>
  <c r="N17" i="35"/>
  <c r="N8" i="35"/>
  <c r="BW10" i="35"/>
  <c r="I10" i="35" s="1"/>
  <c r="BW16" i="35"/>
  <c r="I16" i="35" s="1"/>
  <c r="BW7" i="35"/>
  <c r="I7" i="35" s="1"/>
  <c r="BX10" i="35"/>
  <c r="J10" i="35" s="1"/>
  <c r="CB10" i="35"/>
  <c r="BX16" i="35"/>
  <c r="J16" i="35" s="1"/>
  <c r="CB16" i="35"/>
  <c r="BX7" i="35"/>
  <c r="J7" i="35" s="1"/>
  <c r="CB7" i="35"/>
  <c r="CV62" i="35"/>
  <c r="CG62" i="35" s="1"/>
  <c r="CG63" i="35" s="1"/>
  <c r="CG64" i="35" s="1"/>
  <c r="CG65" i="35" s="1"/>
  <c r="CG66" i="35" s="1"/>
  <c r="CG67" i="35" s="1"/>
  <c r="CG68" i="35" s="1"/>
  <c r="CG69" i="35" s="1"/>
  <c r="CG70" i="35" s="1"/>
  <c r="CG71" i="35" s="1"/>
  <c r="CG72" i="35" s="1"/>
  <c r="CG73" i="35" s="1"/>
  <c r="CG74" i="35" s="1"/>
  <c r="CV47" i="35"/>
  <c r="BX47" i="35" s="1"/>
  <c r="BX48" i="35" s="1"/>
  <c r="BX49" i="35" s="1"/>
  <c r="BX50" i="35" s="1"/>
  <c r="BX51" i="35" s="1"/>
  <c r="BX52" i="35" s="1"/>
  <c r="BX53" i="35" s="1"/>
  <c r="BX54" i="35" s="1"/>
  <c r="BX55" i="35" s="1"/>
  <c r="BX56" i="35" s="1"/>
  <c r="BX57" i="35" s="1"/>
  <c r="BX58" i="35" s="1"/>
  <c r="BX59" i="35" s="1"/>
  <c r="CV41" i="35"/>
  <c r="BW41" i="35" s="1"/>
  <c r="I41" i="35" s="1"/>
  <c r="BT47" i="35"/>
  <c r="BU62" i="35"/>
  <c r="BU63" i="35" s="1"/>
  <c r="BU64" i="35" s="1"/>
  <c r="BU65" i="35" s="1"/>
  <c r="BU66" i="35" s="1"/>
  <c r="BU67" i="35" s="1"/>
  <c r="BU68" i="35" s="1"/>
  <c r="BU69" i="35" s="1"/>
  <c r="BU70" i="35" s="1"/>
  <c r="BU71" i="35" s="1"/>
  <c r="BU72" i="35" s="1"/>
  <c r="BU73" i="35" s="1"/>
  <c r="BU74" i="35" s="1"/>
  <c r="BY10" i="35"/>
  <c r="CC10" i="35"/>
  <c r="BY9" i="35"/>
  <c r="CC9" i="35"/>
  <c r="BY16" i="35"/>
  <c r="CC16" i="35"/>
  <c r="BY7" i="35"/>
  <c r="CC7" i="35"/>
  <c r="CV44" i="35"/>
  <c r="CA44" i="35" s="1"/>
  <c r="BZ14" i="35"/>
  <c r="L14" i="35" s="1"/>
  <c r="CE14" i="35"/>
  <c r="CD10" i="35"/>
  <c r="CD9" i="35"/>
  <c r="CD16" i="35"/>
  <c r="CD7" i="35"/>
  <c r="BZ10" i="35"/>
  <c r="L10" i="35" s="1"/>
  <c r="CE10" i="35"/>
  <c r="BZ16" i="35"/>
  <c r="L16" i="35" s="1"/>
  <c r="CE16" i="35"/>
  <c r="BZ7" i="35"/>
  <c r="L7" i="35" s="1"/>
  <c r="CE7" i="35"/>
  <c r="CF10" i="35"/>
  <c r="CF16" i="35"/>
  <c r="CF7" i="35"/>
  <c r="BG50" i="35"/>
  <c r="P49" i="35"/>
  <c r="CA10" i="35"/>
  <c r="M10" i="35" s="1"/>
  <c r="CG10" i="35"/>
  <c r="CA9" i="35"/>
  <c r="M9" i="35" s="1"/>
  <c r="CG9" i="35"/>
  <c r="CA16" i="35"/>
  <c r="M16" i="35" s="1"/>
  <c r="CG16" i="35"/>
  <c r="CA7" i="35"/>
  <c r="M7" i="35" s="1"/>
  <c r="CG7" i="35"/>
  <c r="CI9" i="35" l="1"/>
  <c r="BY62" i="35"/>
  <c r="BY63" i="35" s="1"/>
  <c r="BY64" i="35" s="1"/>
  <c r="BY65" i="35" s="1"/>
  <c r="BY66" i="35" s="1"/>
  <c r="BY67" i="35" s="1"/>
  <c r="BY68" i="35" s="1"/>
  <c r="BY69" i="35" s="1"/>
  <c r="BY70" i="35" s="1"/>
  <c r="BY71" i="35" s="1"/>
  <c r="BY72" i="35" s="1"/>
  <c r="BY73" i="35" s="1"/>
  <c r="BY74" i="35" s="1"/>
  <c r="CI14" i="35"/>
  <c r="CJ9" i="35"/>
  <c r="CH7" i="35"/>
  <c r="CH9" i="35"/>
  <c r="CJ10" i="35"/>
  <c r="CJ16" i="35"/>
  <c r="CJ14" i="35"/>
  <c r="CI16" i="35"/>
  <c r="CH41" i="35"/>
  <c r="N14" i="35"/>
  <c r="CF41" i="35"/>
  <c r="CE41" i="35"/>
  <c r="CI7" i="35"/>
  <c r="CB47" i="35"/>
  <c r="CB48" i="35" s="1"/>
  <c r="CB49" i="35" s="1"/>
  <c r="CB50" i="35" s="1"/>
  <c r="CB51" i="35" s="1"/>
  <c r="CB52" i="35" s="1"/>
  <c r="CB53" i="35" s="1"/>
  <c r="CB54" i="35" s="1"/>
  <c r="CB55" i="35" s="1"/>
  <c r="CB56" i="35" s="1"/>
  <c r="CB57" i="35" s="1"/>
  <c r="CB58" i="35" s="1"/>
  <c r="CB59" i="35" s="1"/>
  <c r="CG41" i="35"/>
  <c r="J35" i="35"/>
  <c r="CC47" i="35"/>
  <c r="CC48" i="35" s="1"/>
  <c r="CC49" i="35" s="1"/>
  <c r="CC50" i="35" s="1"/>
  <c r="CC51" i="35" s="1"/>
  <c r="CC52" i="35" s="1"/>
  <c r="CC53" i="35" s="1"/>
  <c r="CC54" i="35" s="1"/>
  <c r="CC55" i="35" s="1"/>
  <c r="CC56" i="35" s="1"/>
  <c r="CC57" i="35" s="1"/>
  <c r="CC58" i="35" s="1"/>
  <c r="CC59" i="35" s="1"/>
  <c r="CA62" i="35"/>
  <c r="CA63" i="35" s="1"/>
  <c r="CA64" i="35" s="1"/>
  <c r="CA65" i="35" s="1"/>
  <c r="CA66" i="35" s="1"/>
  <c r="CA67" i="35" s="1"/>
  <c r="CA68" i="35" s="1"/>
  <c r="CA69" i="35" s="1"/>
  <c r="CA70" i="35" s="1"/>
  <c r="CA71" i="35" s="1"/>
  <c r="CA72" i="35" s="1"/>
  <c r="CA73" i="35" s="1"/>
  <c r="CA74" i="35" s="1"/>
  <c r="CI10" i="35"/>
  <c r="BZ47" i="35"/>
  <c r="BZ48" i="35" s="1"/>
  <c r="BZ49" i="35" s="1"/>
  <c r="BZ50" i="35" s="1"/>
  <c r="BZ51" i="35" s="1"/>
  <c r="BZ52" i="35" s="1"/>
  <c r="BZ53" i="35" s="1"/>
  <c r="BZ54" i="35" s="1"/>
  <c r="BZ55" i="35" s="1"/>
  <c r="BZ56" i="35" s="1"/>
  <c r="BZ57" i="35" s="1"/>
  <c r="BZ58" i="35" s="1"/>
  <c r="BZ59" i="35" s="1"/>
  <c r="I35" i="35"/>
  <c r="BW47" i="35"/>
  <c r="AB47" i="35" s="1"/>
  <c r="M36" i="35"/>
  <c r="CH16" i="35"/>
  <c r="BZ62" i="35"/>
  <c r="BZ63" i="35" s="1"/>
  <c r="BZ64" i="35" s="1"/>
  <c r="BZ65" i="35" s="1"/>
  <c r="BZ66" i="35" s="1"/>
  <c r="BZ67" i="35" s="1"/>
  <c r="BZ68" i="35" s="1"/>
  <c r="BZ69" i="35" s="1"/>
  <c r="BZ70" i="35" s="1"/>
  <c r="BZ71" i="35" s="1"/>
  <c r="BZ72" i="35" s="1"/>
  <c r="BZ73" i="35" s="1"/>
  <c r="BZ74" i="35" s="1"/>
  <c r="CE62" i="35"/>
  <c r="CE63" i="35" s="1"/>
  <c r="CE64" i="35" s="1"/>
  <c r="CE65" i="35" s="1"/>
  <c r="CE66" i="35" s="1"/>
  <c r="CE67" i="35" s="1"/>
  <c r="CE68" i="35" s="1"/>
  <c r="CE69" i="35" s="1"/>
  <c r="CE70" i="35" s="1"/>
  <c r="CE71" i="35" s="1"/>
  <c r="CE72" i="35" s="1"/>
  <c r="CE73" i="35" s="1"/>
  <c r="CE74" i="35" s="1"/>
  <c r="CF44" i="35"/>
  <c r="CD62" i="35"/>
  <c r="CD63" i="35" s="1"/>
  <c r="CD64" i="35" s="1"/>
  <c r="CD65" i="35" s="1"/>
  <c r="CD66" i="35" s="1"/>
  <c r="CD67" i="35" s="1"/>
  <c r="CD68" i="35" s="1"/>
  <c r="CD69" i="35" s="1"/>
  <c r="CD70" i="35" s="1"/>
  <c r="CD71" i="35" s="1"/>
  <c r="CD72" i="35" s="1"/>
  <c r="CD73" i="35" s="1"/>
  <c r="CD74" i="35" s="1"/>
  <c r="CC62" i="35"/>
  <c r="CC63" i="35" s="1"/>
  <c r="CC64" i="35" s="1"/>
  <c r="CC65" i="35" s="1"/>
  <c r="CC66" i="35" s="1"/>
  <c r="CC67" i="35" s="1"/>
  <c r="CC68" i="35" s="1"/>
  <c r="CC69" i="35" s="1"/>
  <c r="CC70" i="35" s="1"/>
  <c r="CC71" i="35" s="1"/>
  <c r="CC72" i="35" s="1"/>
  <c r="CC73" i="35" s="1"/>
  <c r="CC74" i="35" s="1"/>
  <c r="CH10" i="35"/>
  <c r="CI62" i="35"/>
  <c r="CI63" i="35" s="1"/>
  <c r="CI64" i="35" s="1"/>
  <c r="CI65" i="35" s="1"/>
  <c r="CI66" i="35" s="1"/>
  <c r="CI67" i="35" s="1"/>
  <c r="CI68" i="35" s="1"/>
  <c r="CI69" i="35" s="1"/>
  <c r="CI70" i="35" s="1"/>
  <c r="CI71" i="35" s="1"/>
  <c r="CI72" i="35" s="1"/>
  <c r="CI73" i="35" s="1"/>
  <c r="CI74" i="35" s="1"/>
  <c r="CF62" i="35"/>
  <c r="CF63" i="35" s="1"/>
  <c r="CF64" i="35" s="1"/>
  <c r="CF65" i="35" s="1"/>
  <c r="CF66" i="35" s="1"/>
  <c r="CF67" i="35" s="1"/>
  <c r="CF68" i="35" s="1"/>
  <c r="CF69" i="35" s="1"/>
  <c r="CF70" i="35" s="1"/>
  <c r="CF71" i="35" s="1"/>
  <c r="CF72" i="35" s="1"/>
  <c r="CF73" i="35" s="1"/>
  <c r="CF74" i="35" s="1"/>
  <c r="CG47" i="35"/>
  <c r="CG48" i="35" s="1"/>
  <c r="CG49" i="35" s="1"/>
  <c r="CG50" i="35" s="1"/>
  <c r="CG51" i="35" s="1"/>
  <c r="CG52" i="35" s="1"/>
  <c r="CG53" i="35" s="1"/>
  <c r="CG54" i="35" s="1"/>
  <c r="CG55" i="35" s="1"/>
  <c r="CG56" i="35" s="1"/>
  <c r="CG57" i="35" s="1"/>
  <c r="CG58" i="35" s="1"/>
  <c r="CG59" i="35" s="1"/>
  <c r="BX62" i="35"/>
  <c r="BX63" i="35" s="1"/>
  <c r="BX64" i="35" s="1"/>
  <c r="BX65" i="35" s="1"/>
  <c r="BX66" i="35" s="1"/>
  <c r="BX67" i="35" s="1"/>
  <c r="BX68" i="35" s="1"/>
  <c r="BX69" i="35" s="1"/>
  <c r="BX70" i="35" s="1"/>
  <c r="BX71" i="35" s="1"/>
  <c r="BX72" i="35" s="1"/>
  <c r="BX73" i="35" s="1"/>
  <c r="BX74" i="35" s="1"/>
  <c r="BW62" i="35"/>
  <c r="BW63" i="35" s="1"/>
  <c r="BW64" i="35" s="1"/>
  <c r="BW65" i="35" s="1"/>
  <c r="BW66" i="35" s="1"/>
  <c r="BW67" i="35" s="1"/>
  <c r="BW68" i="35" s="1"/>
  <c r="BW69" i="35" s="1"/>
  <c r="BW70" i="35" s="1"/>
  <c r="BW71" i="35" s="1"/>
  <c r="BW72" i="35" s="1"/>
  <c r="BW73" i="35" s="1"/>
  <c r="BW74" i="35" s="1"/>
  <c r="BV62" i="35"/>
  <c r="BV63" i="35" s="1"/>
  <c r="BV64" i="35" s="1"/>
  <c r="BV65" i="35" s="1"/>
  <c r="BV66" i="35" s="1"/>
  <c r="BV67" i="35" s="1"/>
  <c r="BV68" i="35" s="1"/>
  <c r="BV69" i="35" s="1"/>
  <c r="BV70" i="35" s="1"/>
  <c r="BV71" i="35" s="1"/>
  <c r="BV72" i="35" s="1"/>
  <c r="BV73" i="35" s="1"/>
  <c r="BV74" i="35" s="1"/>
  <c r="CD47" i="35"/>
  <c r="CD48" i="35" s="1"/>
  <c r="CD49" i="35" s="1"/>
  <c r="CD50" i="35" s="1"/>
  <c r="CD51" i="35" s="1"/>
  <c r="CD52" i="35" s="1"/>
  <c r="CD53" i="35" s="1"/>
  <c r="CD54" i="35" s="1"/>
  <c r="CD55" i="35" s="1"/>
  <c r="CD56" i="35" s="1"/>
  <c r="CD57" i="35" s="1"/>
  <c r="CD58" i="35" s="1"/>
  <c r="CD59" i="35" s="1"/>
  <c r="CF47" i="35"/>
  <c r="CF48" i="35" s="1"/>
  <c r="CF49" i="35" s="1"/>
  <c r="CF50" i="35" s="1"/>
  <c r="CF51" i="35" s="1"/>
  <c r="CF52" i="35" s="1"/>
  <c r="CF53" i="35" s="1"/>
  <c r="CF54" i="35" s="1"/>
  <c r="CF55" i="35" s="1"/>
  <c r="CF56" i="35" s="1"/>
  <c r="CF57" i="35" s="1"/>
  <c r="CF58" i="35" s="1"/>
  <c r="CF59" i="35" s="1"/>
  <c r="CH62" i="35"/>
  <c r="CH63" i="35" s="1"/>
  <c r="CH64" i="35" s="1"/>
  <c r="CH65" i="35" s="1"/>
  <c r="CH66" i="35" s="1"/>
  <c r="CH67" i="35" s="1"/>
  <c r="CH68" i="35" s="1"/>
  <c r="CH69" i="35" s="1"/>
  <c r="CH70" i="35" s="1"/>
  <c r="CH71" i="35" s="1"/>
  <c r="CH72" i="35" s="1"/>
  <c r="CH73" i="35" s="1"/>
  <c r="CH74" i="35" s="1"/>
  <c r="CH14" i="35"/>
  <c r="CB62" i="35"/>
  <c r="CB63" i="35" s="1"/>
  <c r="CB64" i="35" s="1"/>
  <c r="CB65" i="35" s="1"/>
  <c r="CB66" i="35" s="1"/>
  <c r="CB67" i="35" s="1"/>
  <c r="CB68" i="35" s="1"/>
  <c r="CB69" i="35" s="1"/>
  <c r="CB70" i="35" s="1"/>
  <c r="CB71" i="35" s="1"/>
  <c r="CB72" i="35" s="1"/>
  <c r="CB73" i="35" s="1"/>
  <c r="CB74" i="35" s="1"/>
  <c r="BV47" i="35"/>
  <c r="BV48" i="35" s="1"/>
  <c r="CC44" i="35"/>
  <c r="BV41" i="35"/>
  <c r="H41" i="35" s="1"/>
  <c r="CJ7" i="35"/>
  <c r="I38" i="35"/>
  <c r="CI41" i="35"/>
  <c r="J36" i="35"/>
  <c r="CE47" i="35"/>
  <c r="CE48" i="35" s="1"/>
  <c r="CE49" i="35" s="1"/>
  <c r="CE50" i="35" s="1"/>
  <c r="CE51" i="35" s="1"/>
  <c r="CE52" i="35" s="1"/>
  <c r="CE53" i="35" s="1"/>
  <c r="CE54" i="35" s="1"/>
  <c r="CE55" i="35" s="1"/>
  <c r="CE56" i="35" s="1"/>
  <c r="CE57" i="35" s="1"/>
  <c r="CE58" i="35" s="1"/>
  <c r="CE59" i="35" s="1"/>
  <c r="M37" i="35"/>
  <c r="O14" i="35"/>
  <c r="M38" i="35"/>
  <c r="L38" i="35"/>
  <c r="BT48" i="35"/>
  <c r="BT49" i="35" s="1"/>
  <c r="BT50" i="35" s="1"/>
  <c r="BT51" i="35" s="1"/>
  <c r="BT52" i="35" s="1"/>
  <c r="BT53" i="35" s="1"/>
  <c r="BT54" i="35" s="1"/>
  <c r="BT55" i="35" s="1"/>
  <c r="BT56" i="35" s="1"/>
  <c r="BT57" i="35" s="1"/>
  <c r="BT58" i="35" s="1"/>
  <c r="BT59" i="35" s="1"/>
  <c r="CJ47" i="35"/>
  <c r="CJ48" i="35" s="1"/>
  <c r="CJ49" i="35" s="1"/>
  <c r="CJ50" i="35" s="1"/>
  <c r="CJ51" i="35" s="1"/>
  <c r="CJ52" i="35" s="1"/>
  <c r="CJ53" i="35" s="1"/>
  <c r="CJ54" i="35" s="1"/>
  <c r="CJ55" i="35" s="1"/>
  <c r="CJ56" i="35" s="1"/>
  <c r="CJ57" i="35" s="1"/>
  <c r="CJ58" i="35" s="1"/>
  <c r="CJ59" i="35" s="1"/>
  <c r="CB41" i="35"/>
  <c r="I36" i="35"/>
  <c r="BZ41" i="35"/>
  <c r="L41" i="35" s="1"/>
  <c r="N9" i="35"/>
  <c r="H9" i="35"/>
  <c r="I37" i="35"/>
  <c r="CJ44" i="35"/>
  <c r="CE44" i="35"/>
  <c r="BX44" i="35"/>
  <c r="J44" i="35" s="1"/>
  <c r="CC41" i="35"/>
  <c r="J37" i="35"/>
  <c r="CJ41" i="35"/>
  <c r="N10" i="35"/>
  <c r="H10" i="35"/>
  <c r="CA47" i="35"/>
  <c r="CA48" i="35" s="1"/>
  <c r="CA49" i="35" s="1"/>
  <c r="CA50" i="35" s="1"/>
  <c r="CA51" i="35" s="1"/>
  <c r="CA52" i="35" s="1"/>
  <c r="CA53" i="35" s="1"/>
  <c r="CA54" i="35" s="1"/>
  <c r="CA55" i="35" s="1"/>
  <c r="CA56" i="35" s="1"/>
  <c r="CA57" i="35" s="1"/>
  <c r="CA58" i="35" s="1"/>
  <c r="CA59" i="35" s="1"/>
  <c r="L35" i="35"/>
  <c r="O7" i="35"/>
  <c r="K7" i="35"/>
  <c r="N16" i="35"/>
  <c r="H16" i="35"/>
  <c r="CD44" i="35"/>
  <c r="O16" i="35"/>
  <c r="K16" i="35"/>
  <c r="K38" i="35" s="1"/>
  <c r="BS48" i="35"/>
  <c r="BS49" i="35" s="1"/>
  <c r="BS50" i="35" s="1"/>
  <c r="BS51" i="35" s="1"/>
  <c r="BS52" i="35" s="1"/>
  <c r="BS53" i="35" s="1"/>
  <c r="BS54" i="35" s="1"/>
  <c r="BS55" i="35" s="1"/>
  <c r="BS56" i="35" s="1"/>
  <c r="BS57" i="35" s="1"/>
  <c r="BS58" i="35" s="1"/>
  <c r="BS59" i="35" s="1"/>
  <c r="CI47" i="35"/>
  <c r="CI48" i="35" s="1"/>
  <c r="CI49" i="35" s="1"/>
  <c r="CI50" i="35" s="1"/>
  <c r="CI51" i="35" s="1"/>
  <c r="CI52" i="35" s="1"/>
  <c r="CI53" i="35" s="1"/>
  <c r="CI54" i="35" s="1"/>
  <c r="CI55" i="35" s="1"/>
  <c r="CI56" i="35" s="1"/>
  <c r="CI57" i="35" s="1"/>
  <c r="CI58" i="35" s="1"/>
  <c r="CI59" i="35" s="1"/>
  <c r="BZ44" i="35"/>
  <c r="CD41" i="35"/>
  <c r="BW44" i="35"/>
  <c r="I44" i="35" s="1"/>
  <c r="O9" i="35"/>
  <c r="K9" i="35"/>
  <c r="BY41" i="35"/>
  <c r="J38" i="35"/>
  <c r="BX41" i="35"/>
  <c r="J41" i="35" s="1"/>
  <c r="L36" i="35"/>
  <c r="CI44" i="35"/>
  <c r="M31" i="35"/>
  <c r="M30" i="35"/>
  <c r="M29" i="35"/>
  <c r="M26" i="35"/>
  <c r="M25" i="35"/>
  <c r="M24" i="35"/>
  <c r="M23" i="35"/>
  <c r="M32" i="35"/>
  <c r="J24" i="35"/>
  <c r="J23" i="35"/>
  <c r="J32" i="35"/>
  <c r="J31" i="35"/>
  <c r="J30" i="35"/>
  <c r="J29" i="35"/>
  <c r="J26" i="35"/>
  <c r="J25" i="35"/>
  <c r="CH44" i="35"/>
  <c r="BG51" i="35"/>
  <c r="P50" i="35"/>
  <c r="CH47" i="35"/>
  <c r="CH48" i="35" s="1"/>
  <c r="CH49" i="35" s="1"/>
  <c r="CH50" i="35" s="1"/>
  <c r="CH51" i="35" s="1"/>
  <c r="CH52" i="35" s="1"/>
  <c r="CH53" i="35" s="1"/>
  <c r="CH54" i="35" s="1"/>
  <c r="CH55" i="35" s="1"/>
  <c r="CH56" i="35" s="1"/>
  <c r="CH57" i="35" s="1"/>
  <c r="CH58" i="35" s="1"/>
  <c r="CH59" i="35" s="1"/>
  <c r="BV44" i="35"/>
  <c r="H44" i="35" s="1"/>
  <c r="CB44" i="35"/>
  <c r="BT63" i="35"/>
  <c r="BT64" i="35" s="1"/>
  <c r="BT65" i="35" s="1"/>
  <c r="BT66" i="35" s="1"/>
  <c r="BT67" i="35" s="1"/>
  <c r="BT68" i="35" s="1"/>
  <c r="BT69" i="35" s="1"/>
  <c r="BT70" i="35" s="1"/>
  <c r="BT71" i="35" s="1"/>
  <c r="BT72" i="35" s="1"/>
  <c r="BT73" i="35" s="1"/>
  <c r="BT74" i="35" s="1"/>
  <c r="CJ62" i="35"/>
  <c r="CJ63" i="35" s="1"/>
  <c r="CJ64" i="35" s="1"/>
  <c r="CJ65" i="35" s="1"/>
  <c r="CJ66" i="35" s="1"/>
  <c r="CJ67" i="35" s="1"/>
  <c r="CJ68" i="35" s="1"/>
  <c r="CJ69" i="35" s="1"/>
  <c r="CJ70" i="35" s="1"/>
  <c r="CJ71" i="35" s="1"/>
  <c r="CJ72" i="35" s="1"/>
  <c r="CJ73" i="35" s="1"/>
  <c r="CJ74" i="35" s="1"/>
  <c r="CG44" i="35"/>
  <c r="L37" i="35"/>
  <c r="BY44" i="35"/>
  <c r="L32" i="35"/>
  <c r="L24" i="35"/>
  <c r="L31" i="35"/>
  <c r="L30" i="35"/>
  <c r="L29" i="35"/>
  <c r="L23" i="35"/>
  <c r="L26" i="35"/>
  <c r="L25" i="35"/>
  <c r="O10" i="35"/>
  <c r="K10" i="35"/>
  <c r="M35" i="35"/>
  <c r="CA41" i="35"/>
  <c r="M41" i="35" s="1"/>
  <c r="BY47" i="35"/>
  <c r="I25" i="35"/>
  <c r="I24" i="35"/>
  <c r="I23" i="35"/>
  <c r="I32" i="35"/>
  <c r="I31" i="35"/>
  <c r="I30" i="35"/>
  <c r="I29" i="35"/>
  <c r="I26" i="35"/>
  <c r="N7" i="35"/>
  <c r="H7" i="35"/>
  <c r="N38" i="35" l="1"/>
  <c r="AB62" i="35"/>
  <c r="AB63" i="35" s="1"/>
  <c r="N47" i="35"/>
  <c r="BW48" i="35"/>
  <c r="BW49" i="35" s="1"/>
  <c r="BW50" i="35" s="1"/>
  <c r="BW51" i="35" s="1"/>
  <c r="BW52" i="35" s="1"/>
  <c r="BW53" i="35" s="1"/>
  <c r="BW54" i="35" s="1"/>
  <c r="BW55" i="35" s="1"/>
  <c r="BW56" i="35" s="1"/>
  <c r="BW57" i="35" s="1"/>
  <c r="BW58" i="35" s="1"/>
  <c r="BW59" i="35" s="1"/>
  <c r="N41" i="35"/>
  <c r="K37" i="35"/>
  <c r="K36" i="35"/>
  <c r="O29" i="35"/>
  <c r="O26" i="35"/>
  <c r="O25" i="35"/>
  <c r="O24" i="35"/>
  <c r="O23" i="35"/>
  <c r="O32" i="35"/>
  <c r="O31" i="35"/>
  <c r="O30" i="35"/>
  <c r="BG52" i="35"/>
  <c r="P51" i="35"/>
  <c r="H38" i="35"/>
  <c r="H36" i="35"/>
  <c r="H37" i="35"/>
  <c r="H35" i="35"/>
  <c r="BV49" i="35"/>
  <c r="N36" i="35"/>
  <c r="K35" i="35"/>
  <c r="AB48" i="35"/>
  <c r="H47" i="35"/>
  <c r="G47" i="35"/>
  <c r="F47" i="35" s="1"/>
  <c r="E47" i="35" s="1"/>
  <c r="M47" i="35"/>
  <c r="L47" i="35"/>
  <c r="K47" i="35"/>
  <c r="J47" i="35"/>
  <c r="N37" i="35"/>
  <c r="BY48" i="35"/>
  <c r="O47" i="35"/>
  <c r="N35" i="35"/>
  <c r="H26" i="35"/>
  <c r="H25" i="35"/>
  <c r="H24" i="35"/>
  <c r="H23" i="35"/>
  <c r="H32" i="35"/>
  <c r="H31" i="35"/>
  <c r="H30" i="35"/>
  <c r="H29" i="35"/>
  <c r="O41" i="35"/>
  <c r="K41" i="35"/>
  <c r="N30" i="35"/>
  <c r="N29" i="35"/>
  <c r="N26" i="35"/>
  <c r="N25" i="35"/>
  <c r="N24" i="35"/>
  <c r="N23" i="35"/>
  <c r="N32" i="35"/>
  <c r="N31" i="35"/>
  <c r="O38" i="35"/>
  <c r="O37" i="35"/>
  <c r="O36" i="35"/>
  <c r="O35" i="35"/>
  <c r="K23" i="35"/>
  <c r="K32" i="35"/>
  <c r="K31" i="35"/>
  <c r="K30" i="35"/>
  <c r="K29" i="35"/>
  <c r="K26" i="35"/>
  <c r="K25" i="35"/>
  <c r="K24" i="35"/>
  <c r="G62" i="35" l="1"/>
  <c r="F62" i="35" s="1"/>
  <c r="E62" i="35" s="1"/>
  <c r="J62" i="35"/>
  <c r="H62" i="35"/>
  <c r="N48" i="35"/>
  <c r="BY49" i="35"/>
  <c r="O48" i="35"/>
  <c r="AB49" i="35"/>
  <c r="K48" i="35"/>
  <c r="J48" i="35"/>
  <c r="H48" i="35"/>
  <c r="M48" i="35"/>
  <c r="G48" i="35"/>
  <c r="F48" i="35" s="1"/>
  <c r="E48" i="35" s="1"/>
  <c r="L48" i="35"/>
  <c r="AB64" i="35"/>
  <c r="J63" i="35"/>
  <c r="H63" i="35"/>
  <c r="G63" i="35"/>
  <c r="F63" i="35" s="1"/>
  <c r="E63" i="35" s="1"/>
  <c r="BV50" i="35"/>
  <c r="N49" i="35"/>
  <c r="BG53" i="35"/>
  <c r="P52" i="35"/>
  <c r="AB65" i="35" l="1"/>
  <c r="J64" i="35"/>
  <c r="H64" i="35"/>
  <c r="G64" i="35"/>
  <c r="F64" i="35" s="1"/>
  <c r="E64" i="35" s="1"/>
  <c r="BV51" i="35"/>
  <c r="N50" i="35"/>
  <c r="BG54" i="35"/>
  <c r="P53" i="35"/>
  <c r="AB50" i="35"/>
  <c r="K49" i="35"/>
  <c r="J49" i="35"/>
  <c r="H49" i="35"/>
  <c r="G49" i="35"/>
  <c r="F49" i="35" s="1"/>
  <c r="E49" i="35" s="1"/>
  <c r="M49" i="35"/>
  <c r="L49" i="35"/>
  <c r="BY50" i="35"/>
  <c r="O49" i="35"/>
  <c r="BY51" i="35" l="1"/>
  <c r="O50" i="35"/>
  <c r="BG55" i="35"/>
  <c r="P54" i="35"/>
  <c r="BV52" i="35"/>
  <c r="N51" i="35"/>
  <c r="AB51" i="35"/>
  <c r="K50" i="35"/>
  <c r="J50" i="35"/>
  <c r="H50" i="35"/>
  <c r="G50" i="35"/>
  <c r="F50" i="35" s="1"/>
  <c r="E50" i="35" s="1"/>
  <c r="M50" i="35"/>
  <c r="L50" i="35"/>
  <c r="AB66" i="35"/>
  <c r="G65" i="35"/>
  <c r="F65" i="35" s="1"/>
  <c r="E65" i="35" s="1"/>
  <c r="J65" i="35"/>
  <c r="H65" i="35"/>
  <c r="AB52" i="35" l="1"/>
  <c r="K51" i="35"/>
  <c r="H51" i="35"/>
  <c r="G51" i="35"/>
  <c r="F51" i="35" s="1"/>
  <c r="E51" i="35" s="1"/>
  <c r="M51" i="35"/>
  <c r="J51" i="35"/>
  <c r="L51" i="35"/>
  <c r="AB67" i="35"/>
  <c r="H66" i="35"/>
  <c r="J66" i="35"/>
  <c r="G66" i="35"/>
  <c r="F66" i="35" s="1"/>
  <c r="E66" i="35" s="1"/>
  <c r="BG56" i="35"/>
  <c r="P55" i="35"/>
  <c r="BY52" i="35"/>
  <c r="O51" i="35"/>
  <c r="BV53" i="35"/>
  <c r="N52" i="35"/>
  <c r="AB53" i="35" l="1"/>
  <c r="K52" i="35"/>
  <c r="H52" i="35"/>
  <c r="G52" i="35"/>
  <c r="F52" i="35" s="1"/>
  <c r="E52" i="35" s="1"/>
  <c r="M52" i="35"/>
  <c r="L52" i="35"/>
  <c r="J52" i="35"/>
  <c r="BV54" i="35"/>
  <c r="N53" i="35"/>
  <c r="AB68" i="35"/>
  <c r="J67" i="35"/>
  <c r="H67" i="35"/>
  <c r="G67" i="35"/>
  <c r="F67" i="35" s="1"/>
  <c r="E67" i="35" s="1"/>
  <c r="BY53" i="35"/>
  <c r="O52" i="35"/>
  <c r="BG57" i="35"/>
  <c r="P56" i="35"/>
  <c r="AB54" i="35" l="1"/>
  <c r="K53" i="35"/>
  <c r="J53" i="35"/>
  <c r="H53" i="35"/>
  <c r="G53" i="35"/>
  <c r="F53" i="35" s="1"/>
  <c r="E53" i="35" s="1"/>
  <c r="M53" i="35"/>
  <c r="L53" i="35"/>
  <c r="BG58" i="35"/>
  <c r="P57" i="35"/>
  <c r="BV55" i="35"/>
  <c r="N54" i="35"/>
  <c r="AB69" i="35"/>
  <c r="J68" i="35"/>
  <c r="H68" i="35"/>
  <c r="G68" i="35"/>
  <c r="F68" i="35" s="1"/>
  <c r="E68" i="35" s="1"/>
  <c r="BY54" i="35"/>
  <c r="O53" i="35"/>
  <c r="BV56" i="35" l="1"/>
  <c r="N55" i="35"/>
  <c r="AB55" i="35"/>
  <c r="J54" i="35"/>
  <c r="H54" i="35"/>
  <c r="G54" i="35"/>
  <c r="F54" i="35" s="1"/>
  <c r="E54" i="35" s="1"/>
  <c r="M54" i="35"/>
  <c r="L54" i="35"/>
  <c r="K54" i="35"/>
  <c r="BY55" i="35"/>
  <c r="O54" i="35"/>
  <c r="BG59" i="35"/>
  <c r="P59" i="35" s="1"/>
  <c r="P58" i="35"/>
  <c r="AB70" i="35"/>
  <c r="J69" i="35"/>
  <c r="H69" i="35"/>
  <c r="G69" i="35"/>
  <c r="F69" i="35" s="1"/>
  <c r="E69" i="35" s="1"/>
  <c r="BV57" i="35" l="1"/>
  <c r="N56" i="35"/>
  <c r="AB56" i="35"/>
  <c r="K55" i="35"/>
  <c r="J55" i="35"/>
  <c r="H55" i="35"/>
  <c r="M55" i="35"/>
  <c r="L55" i="35"/>
  <c r="G55" i="35"/>
  <c r="F55" i="35" s="1"/>
  <c r="E55" i="35" s="1"/>
  <c r="BY56" i="35"/>
  <c r="O55" i="35"/>
  <c r="AB71" i="35"/>
  <c r="J70" i="35"/>
  <c r="H70" i="35"/>
  <c r="G70" i="35"/>
  <c r="F70" i="35" s="1"/>
  <c r="E70" i="35" s="1"/>
  <c r="BV58" i="35" l="1"/>
  <c r="N57" i="35"/>
  <c r="AB72" i="35"/>
  <c r="J71" i="35"/>
  <c r="H71" i="35"/>
  <c r="G71" i="35"/>
  <c r="F71" i="35" s="1"/>
  <c r="E71" i="35" s="1"/>
  <c r="AB57" i="35"/>
  <c r="K56" i="35"/>
  <c r="H56" i="35"/>
  <c r="G56" i="35"/>
  <c r="F56" i="35" s="1"/>
  <c r="E56" i="35" s="1"/>
  <c r="M56" i="35"/>
  <c r="J56" i="35"/>
  <c r="L56" i="35"/>
  <c r="BY57" i="35"/>
  <c r="O56" i="35"/>
  <c r="BV59" i="35" l="1"/>
  <c r="N59" i="35" s="1"/>
  <c r="N58" i="35"/>
  <c r="AB58" i="35"/>
  <c r="K57" i="35"/>
  <c r="J57" i="35"/>
  <c r="H57" i="35"/>
  <c r="G57" i="35"/>
  <c r="F57" i="35" s="1"/>
  <c r="E57" i="35" s="1"/>
  <c r="M57" i="35"/>
  <c r="L57" i="35"/>
  <c r="BY58" i="35"/>
  <c r="O57" i="35"/>
  <c r="AB73" i="35"/>
  <c r="J72" i="35"/>
  <c r="H72" i="35"/>
  <c r="G72" i="35"/>
  <c r="F72" i="35" s="1"/>
  <c r="E72" i="35" s="1"/>
  <c r="AB74" i="35" l="1"/>
  <c r="J73" i="35"/>
  <c r="H73" i="35"/>
  <c r="G73" i="35"/>
  <c r="F73" i="35" s="1"/>
  <c r="E73" i="35" s="1"/>
  <c r="AB59" i="35"/>
  <c r="K58" i="35"/>
  <c r="J58" i="35"/>
  <c r="H58" i="35"/>
  <c r="L58" i="35"/>
  <c r="G58" i="35"/>
  <c r="F58" i="35" s="1"/>
  <c r="E58" i="35" s="1"/>
  <c r="M58" i="35"/>
  <c r="BY59" i="35"/>
  <c r="O59" i="35" s="1"/>
  <c r="O58" i="35"/>
  <c r="J74" i="35" l="1"/>
  <c r="H74" i="35"/>
  <c r="G74" i="35"/>
  <c r="F74" i="35" s="1"/>
  <c r="E74" i="35" s="1"/>
  <c r="K59" i="35"/>
  <c r="J59" i="35"/>
  <c r="H59" i="35"/>
  <c r="G59" i="35"/>
  <c r="F59" i="35" s="1"/>
  <c r="E59" i="35" s="1"/>
  <c r="M59" i="35"/>
  <c r="L59" i="35"/>
  <c r="V26" i="1" l="1"/>
  <c r="N23" i="1"/>
  <c r="M23" i="1"/>
  <c r="L23" i="1"/>
  <c r="R20" i="1"/>
  <c r="Q20" i="1"/>
  <c r="P20" i="1"/>
  <c r="O20" i="1"/>
  <c r="N20" i="1"/>
  <c r="M20" i="1"/>
  <c r="L20" i="1"/>
  <c r="K20" i="1"/>
  <c r="J20" i="1"/>
  <c r="U28" i="1"/>
  <c r="X22" i="1"/>
  <c r="U25" i="1"/>
  <c r="W22" i="1"/>
  <c r="U31" i="1"/>
  <c r="U22" i="1"/>
  <c r="V22" i="1"/>
  <c r="X25" i="1"/>
  <c r="U18" i="1"/>
  <c r="W25" i="1"/>
  <c r="V25" i="1"/>
  <c r="V9" i="1"/>
  <c r="W9" i="1" l="1"/>
  <c r="X9" i="1" s="1"/>
  <c r="V28" i="1"/>
  <c r="W18" i="1"/>
  <c r="X31" i="1"/>
  <c r="V18" i="1"/>
  <c r="W31" i="1"/>
  <c r="X28" i="1"/>
  <c r="W28" i="1"/>
  <c r="X18" i="1"/>
  <c r="V31" i="1"/>
  <c r="V10" i="1" l="1"/>
  <c r="O238" i="37" l="1"/>
  <c r="O237" i="37"/>
  <c r="O236" i="37"/>
  <c r="O235" i="37"/>
  <c r="O234" i="37"/>
  <c r="O233" i="37"/>
  <c r="O232" i="37"/>
  <c r="O231" i="37"/>
  <c r="O230" i="37"/>
  <c r="O229" i="37"/>
  <c r="O228" i="37"/>
  <c r="O227" i="37"/>
  <c r="O226" i="37"/>
  <c r="O225" i="37"/>
  <c r="O224" i="37"/>
  <c r="O223" i="37"/>
  <c r="O222" i="37"/>
  <c r="O221" i="37"/>
  <c r="O220" i="37"/>
  <c r="O219" i="37"/>
  <c r="O218" i="37"/>
  <c r="O217" i="37"/>
  <c r="O216" i="37"/>
  <c r="O215" i="37"/>
  <c r="O214" i="37"/>
  <c r="O213" i="37"/>
  <c r="O212" i="37"/>
  <c r="O211" i="37"/>
  <c r="O210" i="37"/>
  <c r="O209" i="37"/>
  <c r="O208" i="37"/>
  <c r="O207" i="37"/>
  <c r="O206" i="37"/>
  <c r="O205" i="37"/>
  <c r="O204" i="37"/>
  <c r="O203" i="37"/>
  <c r="O202" i="37"/>
  <c r="O201" i="37"/>
  <c r="O200" i="37"/>
  <c r="O199" i="37"/>
  <c r="O198" i="37"/>
  <c r="O197" i="37"/>
  <c r="O196" i="37"/>
  <c r="O195" i="37"/>
  <c r="O194" i="37"/>
  <c r="O193" i="37"/>
  <c r="O192" i="37"/>
  <c r="O191" i="37"/>
  <c r="O190" i="37"/>
  <c r="O189" i="37"/>
  <c r="O188" i="37"/>
  <c r="O187" i="37"/>
  <c r="O186" i="37"/>
  <c r="O185" i="37"/>
  <c r="O184" i="37"/>
  <c r="O183" i="37"/>
  <c r="O182" i="37"/>
  <c r="O181" i="37"/>
  <c r="O180" i="37"/>
  <c r="O179" i="37"/>
  <c r="O178" i="37"/>
  <c r="O177" i="37"/>
  <c r="O176" i="37"/>
  <c r="O175" i="37"/>
  <c r="O174" i="37"/>
  <c r="O173" i="37"/>
  <c r="O172" i="37"/>
  <c r="O171" i="37"/>
  <c r="O170" i="37"/>
  <c r="O169" i="37"/>
  <c r="O168" i="37"/>
  <c r="O167" i="37"/>
  <c r="O166" i="37"/>
  <c r="O165" i="37"/>
  <c r="O164" i="37"/>
  <c r="O163" i="37"/>
  <c r="O162" i="37"/>
  <c r="O161" i="37"/>
  <c r="O160" i="37"/>
  <c r="O159" i="37"/>
  <c r="O158" i="37"/>
  <c r="O157" i="37"/>
  <c r="O156" i="37"/>
  <c r="O155" i="37"/>
  <c r="O154" i="37"/>
  <c r="O153" i="37"/>
  <c r="O152" i="37"/>
  <c r="O151" i="37"/>
  <c r="O150" i="37"/>
  <c r="O149" i="37"/>
  <c r="O148" i="37"/>
  <c r="O147" i="37"/>
  <c r="O146" i="37"/>
  <c r="O145" i="37"/>
  <c r="O144" i="37"/>
  <c r="O143" i="37"/>
  <c r="O142" i="37"/>
  <c r="O141" i="37"/>
  <c r="O140" i="37"/>
  <c r="O139" i="37"/>
  <c r="O138" i="37"/>
  <c r="O137" i="37"/>
  <c r="O136" i="37"/>
  <c r="O135" i="37"/>
  <c r="O134" i="37"/>
  <c r="O133" i="37"/>
  <c r="O132" i="37"/>
  <c r="O131" i="37"/>
  <c r="O130" i="37"/>
  <c r="O129" i="37"/>
  <c r="O128" i="37"/>
  <c r="O127" i="37"/>
  <c r="O126" i="37"/>
  <c r="O125" i="37"/>
  <c r="O124" i="37"/>
  <c r="O123" i="37"/>
  <c r="O122" i="37"/>
  <c r="O121" i="37"/>
  <c r="O120" i="37"/>
  <c r="O119" i="37"/>
  <c r="O118" i="37"/>
  <c r="O117" i="37"/>
  <c r="O116" i="37"/>
  <c r="O115" i="37"/>
  <c r="O114" i="37"/>
  <c r="O113" i="37"/>
  <c r="O112" i="37"/>
  <c r="O111" i="37"/>
  <c r="O110" i="37"/>
  <c r="O109" i="37"/>
  <c r="O108" i="37"/>
  <c r="O107" i="37"/>
  <c r="O106" i="37"/>
  <c r="O105" i="37"/>
  <c r="O104" i="37"/>
  <c r="O103" i="37"/>
  <c r="O102" i="37"/>
  <c r="O101" i="37"/>
  <c r="O100" i="37"/>
  <c r="O99" i="37"/>
  <c r="O98" i="37"/>
  <c r="O97" i="37"/>
  <c r="O96" i="37"/>
  <c r="O95" i="37"/>
  <c r="O94" i="37"/>
  <c r="O93" i="37"/>
  <c r="O92" i="37"/>
  <c r="O91" i="37"/>
  <c r="O90" i="37"/>
  <c r="O89" i="37"/>
  <c r="O88" i="37"/>
  <c r="O87" i="37"/>
  <c r="O86" i="37"/>
  <c r="O85" i="37"/>
  <c r="O84" i="37"/>
  <c r="O83" i="37"/>
  <c r="O82" i="37"/>
  <c r="O81" i="37"/>
  <c r="O80" i="37"/>
  <c r="O79" i="37"/>
  <c r="O78" i="37"/>
  <c r="O77" i="37"/>
  <c r="O76" i="37"/>
  <c r="O75" i="37"/>
  <c r="O74" i="37"/>
  <c r="O73" i="37"/>
  <c r="O72" i="37"/>
  <c r="O71" i="37"/>
  <c r="O70" i="37"/>
  <c r="O69" i="37"/>
  <c r="O68" i="37"/>
  <c r="O67" i="37"/>
  <c r="O66" i="37"/>
  <c r="O65" i="37"/>
  <c r="O64" i="37"/>
  <c r="O63" i="37"/>
  <c r="O62" i="37"/>
  <c r="O61" i="37"/>
  <c r="O60" i="37"/>
  <c r="O59" i="37"/>
  <c r="O58" i="37"/>
  <c r="O57" i="37"/>
  <c r="O56" i="37"/>
  <c r="O55" i="37"/>
  <c r="O54" i="37"/>
  <c r="O53" i="37"/>
  <c r="O52" i="37"/>
  <c r="O51" i="37"/>
  <c r="O50" i="37"/>
  <c r="O49" i="37"/>
  <c r="O48" i="37"/>
  <c r="O47" i="37"/>
  <c r="O46" i="37"/>
  <c r="O45" i="37"/>
  <c r="O44" i="37"/>
  <c r="O43" i="37"/>
  <c r="O42" i="37"/>
  <c r="O41" i="37"/>
  <c r="O40" i="37"/>
  <c r="O39" i="37"/>
  <c r="O38" i="37"/>
  <c r="O37" i="37"/>
  <c r="O36" i="37"/>
  <c r="O35" i="37"/>
  <c r="O34" i="37"/>
  <c r="O33" i="37"/>
  <c r="O32" i="37"/>
  <c r="O31" i="37"/>
  <c r="O30" i="37"/>
  <c r="O29" i="37"/>
  <c r="O28" i="37"/>
  <c r="O27" i="37"/>
  <c r="O26" i="37"/>
  <c r="O25" i="37"/>
  <c r="O24" i="37"/>
  <c r="O23" i="37"/>
  <c r="O22" i="37"/>
  <c r="O21" i="37"/>
  <c r="O20" i="37"/>
  <c r="O19" i="37"/>
  <c r="O18" i="37"/>
  <c r="O17" i="37"/>
  <c r="O16" i="37"/>
  <c r="O15" i="37"/>
  <c r="O14" i="37"/>
  <c r="O13" i="37"/>
  <c r="O12" i="37"/>
  <c r="O11" i="37"/>
  <c r="O10" i="37"/>
  <c r="O9" i="37"/>
  <c r="O8" i="37"/>
  <c r="O7" i="37"/>
  <c r="O6" i="37"/>
  <c r="O5" i="37"/>
  <c r="O4" i="37"/>
  <c r="O3" i="37"/>
  <c r="O2" i="37"/>
  <c r="O239" i="37"/>
  <c r="R238" i="37"/>
  <c r="Q238" i="37"/>
  <c r="P238" i="37"/>
  <c r="R237" i="37"/>
  <c r="Q237" i="37"/>
  <c r="P237" i="37"/>
  <c r="R236" i="37"/>
  <c r="Q236" i="37"/>
  <c r="P236" i="37"/>
  <c r="R235" i="37"/>
  <c r="Q235" i="37"/>
  <c r="P235" i="37"/>
  <c r="R234" i="37"/>
  <c r="Q234" i="37"/>
  <c r="P234" i="37"/>
  <c r="R233" i="37"/>
  <c r="Q233" i="37"/>
  <c r="P233" i="37"/>
  <c r="R232" i="37"/>
  <c r="Q232" i="37"/>
  <c r="P232" i="37"/>
  <c r="R231" i="37"/>
  <c r="Q231" i="37"/>
  <c r="P231" i="37"/>
  <c r="R230" i="37"/>
  <c r="Q230" i="37"/>
  <c r="P230" i="37"/>
  <c r="R229" i="37"/>
  <c r="Q229" i="37"/>
  <c r="P229" i="37"/>
  <c r="R228" i="37"/>
  <c r="Q228" i="37"/>
  <c r="P228" i="37"/>
  <c r="R227" i="37"/>
  <c r="Q227" i="37"/>
  <c r="P227" i="37"/>
  <c r="R226" i="37"/>
  <c r="Q226" i="37"/>
  <c r="P226" i="37"/>
  <c r="R225" i="37"/>
  <c r="Q225" i="37"/>
  <c r="P225" i="37"/>
  <c r="R224" i="37"/>
  <c r="Q224" i="37"/>
  <c r="P224" i="37"/>
  <c r="R223" i="37"/>
  <c r="Q223" i="37"/>
  <c r="P223" i="37"/>
  <c r="R222" i="37"/>
  <c r="Q222" i="37"/>
  <c r="P222" i="37"/>
  <c r="R221" i="37"/>
  <c r="Q221" i="37"/>
  <c r="P221" i="37"/>
  <c r="R220" i="37"/>
  <c r="Q220" i="37"/>
  <c r="P220" i="37"/>
  <c r="R219" i="37"/>
  <c r="Q219" i="37"/>
  <c r="P219" i="37"/>
  <c r="R218" i="37"/>
  <c r="Q218" i="37"/>
  <c r="P218" i="37"/>
  <c r="R217" i="37"/>
  <c r="Q217" i="37"/>
  <c r="P217" i="37"/>
  <c r="R216" i="37"/>
  <c r="Q216" i="37"/>
  <c r="P216" i="37"/>
  <c r="R215" i="37"/>
  <c r="Q215" i="37"/>
  <c r="P215" i="37"/>
  <c r="R214" i="37"/>
  <c r="Q214" i="37"/>
  <c r="P214" i="37"/>
  <c r="R213" i="37"/>
  <c r="Q213" i="37"/>
  <c r="P213" i="37"/>
  <c r="R212" i="37"/>
  <c r="Q212" i="37"/>
  <c r="P212" i="37"/>
  <c r="R211" i="37"/>
  <c r="Q211" i="37"/>
  <c r="P211" i="37"/>
  <c r="R210" i="37"/>
  <c r="Q210" i="37"/>
  <c r="P210" i="37"/>
  <c r="R209" i="37"/>
  <c r="Q209" i="37"/>
  <c r="P209" i="37"/>
  <c r="R208" i="37"/>
  <c r="Q208" i="37"/>
  <c r="P208" i="37"/>
  <c r="R207" i="37"/>
  <c r="Q207" i="37"/>
  <c r="P207" i="37"/>
  <c r="R206" i="37"/>
  <c r="Q206" i="37"/>
  <c r="P206" i="37"/>
  <c r="R205" i="37"/>
  <c r="Q205" i="37"/>
  <c r="P205" i="37"/>
  <c r="R204" i="37"/>
  <c r="Q204" i="37"/>
  <c r="P204" i="37"/>
  <c r="R203" i="37"/>
  <c r="Q203" i="37"/>
  <c r="P203" i="37"/>
  <c r="R202" i="37"/>
  <c r="Q202" i="37"/>
  <c r="P202" i="37"/>
  <c r="R201" i="37"/>
  <c r="Q201" i="37"/>
  <c r="P201" i="37"/>
  <c r="R200" i="37"/>
  <c r="Q200" i="37"/>
  <c r="P200" i="37"/>
  <c r="R199" i="37"/>
  <c r="Q199" i="37"/>
  <c r="P199" i="37"/>
  <c r="R198" i="37"/>
  <c r="Q198" i="37"/>
  <c r="P198" i="37"/>
  <c r="R197" i="37"/>
  <c r="Q197" i="37"/>
  <c r="P197" i="37"/>
  <c r="R196" i="37"/>
  <c r="Q196" i="37"/>
  <c r="P196" i="37"/>
  <c r="R195" i="37"/>
  <c r="Q195" i="37"/>
  <c r="P195" i="37"/>
  <c r="R194" i="37"/>
  <c r="Q194" i="37"/>
  <c r="P194" i="37"/>
  <c r="R193" i="37"/>
  <c r="Q193" i="37"/>
  <c r="P193" i="37"/>
  <c r="R192" i="37"/>
  <c r="Q192" i="37"/>
  <c r="P192" i="37"/>
  <c r="R191" i="37"/>
  <c r="Q191" i="37"/>
  <c r="P191" i="37"/>
  <c r="R190" i="37"/>
  <c r="Q190" i="37"/>
  <c r="P190" i="37"/>
  <c r="R189" i="37"/>
  <c r="Q189" i="37"/>
  <c r="P189" i="37"/>
  <c r="R188" i="37"/>
  <c r="Q188" i="37"/>
  <c r="P188" i="37"/>
  <c r="R187" i="37"/>
  <c r="Q187" i="37"/>
  <c r="P187" i="37"/>
  <c r="R186" i="37"/>
  <c r="Q186" i="37"/>
  <c r="P186" i="37"/>
  <c r="R185" i="37"/>
  <c r="Q185" i="37"/>
  <c r="P185" i="37"/>
  <c r="R184" i="37"/>
  <c r="Q184" i="37"/>
  <c r="P184" i="37"/>
  <c r="R183" i="37"/>
  <c r="Q183" i="37"/>
  <c r="P183" i="37"/>
  <c r="R182" i="37"/>
  <c r="Q182" i="37"/>
  <c r="P182" i="37"/>
  <c r="R181" i="37"/>
  <c r="Q181" i="37"/>
  <c r="P181" i="37"/>
  <c r="R180" i="37"/>
  <c r="Q180" i="37"/>
  <c r="P180" i="37"/>
  <c r="R179" i="37"/>
  <c r="Q179" i="37"/>
  <c r="P179" i="37"/>
  <c r="R178" i="37"/>
  <c r="Q178" i="37"/>
  <c r="P178" i="37"/>
  <c r="R177" i="37"/>
  <c r="Q177" i="37"/>
  <c r="P177" i="37"/>
  <c r="R176" i="37"/>
  <c r="Q176" i="37"/>
  <c r="P176" i="37"/>
  <c r="R175" i="37"/>
  <c r="Q175" i="37"/>
  <c r="P175" i="37"/>
  <c r="R174" i="37"/>
  <c r="Q174" i="37"/>
  <c r="P174" i="37"/>
  <c r="R173" i="37"/>
  <c r="Q173" i="37"/>
  <c r="P173" i="37"/>
  <c r="R172" i="37"/>
  <c r="Q172" i="37"/>
  <c r="P172" i="37"/>
  <c r="R171" i="37"/>
  <c r="Q171" i="37"/>
  <c r="P171" i="37"/>
  <c r="R170" i="37"/>
  <c r="Q170" i="37"/>
  <c r="P170" i="37"/>
  <c r="R169" i="37"/>
  <c r="Q169" i="37"/>
  <c r="P169" i="37"/>
  <c r="R168" i="37"/>
  <c r="Q168" i="37"/>
  <c r="P168" i="37"/>
  <c r="R167" i="37"/>
  <c r="Q167" i="37"/>
  <c r="P167" i="37"/>
  <c r="R166" i="37"/>
  <c r="Q166" i="37"/>
  <c r="P166" i="37"/>
  <c r="R165" i="37"/>
  <c r="Q165" i="37"/>
  <c r="P165" i="37"/>
  <c r="R164" i="37"/>
  <c r="Q164" i="37"/>
  <c r="P164" i="37"/>
  <c r="R163" i="37"/>
  <c r="Q163" i="37"/>
  <c r="P163" i="37"/>
  <c r="R162" i="37"/>
  <c r="Q162" i="37"/>
  <c r="P162" i="37"/>
  <c r="R161" i="37"/>
  <c r="Q161" i="37"/>
  <c r="P161" i="37"/>
  <c r="R160" i="37"/>
  <c r="Q160" i="37"/>
  <c r="P160" i="37"/>
  <c r="R159" i="37"/>
  <c r="Q159" i="37"/>
  <c r="P159" i="37"/>
  <c r="R158" i="37"/>
  <c r="Q158" i="37"/>
  <c r="P158" i="37"/>
  <c r="R157" i="37"/>
  <c r="Q157" i="37"/>
  <c r="P157" i="37"/>
  <c r="R156" i="37"/>
  <c r="Q156" i="37"/>
  <c r="P156" i="37"/>
  <c r="R155" i="37"/>
  <c r="Q155" i="37"/>
  <c r="P155" i="37"/>
  <c r="R154" i="37"/>
  <c r="Q154" i="37"/>
  <c r="P154" i="37"/>
  <c r="R153" i="37"/>
  <c r="Q153" i="37"/>
  <c r="P153" i="37"/>
  <c r="R152" i="37"/>
  <c r="Q152" i="37"/>
  <c r="P152" i="37"/>
  <c r="R151" i="37"/>
  <c r="Q151" i="37"/>
  <c r="P151" i="37"/>
  <c r="R150" i="37"/>
  <c r="Q150" i="37"/>
  <c r="P150" i="37"/>
  <c r="R149" i="37"/>
  <c r="Q149" i="37"/>
  <c r="P149" i="37"/>
  <c r="R148" i="37"/>
  <c r="Q148" i="37"/>
  <c r="P148" i="37"/>
  <c r="R147" i="37"/>
  <c r="Q147" i="37"/>
  <c r="P147" i="37"/>
  <c r="R146" i="37"/>
  <c r="Q146" i="37"/>
  <c r="P146" i="37"/>
  <c r="R145" i="37"/>
  <c r="Q145" i="37"/>
  <c r="P145" i="37"/>
  <c r="R144" i="37"/>
  <c r="Q144" i="37"/>
  <c r="P144" i="37"/>
  <c r="R143" i="37"/>
  <c r="Q143" i="37"/>
  <c r="P143" i="37"/>
  <c r="R142" i="37"/>
  <c r="Q142" i="37"/>
  <c r="P142" i="37"/>
  <c r="R141" i="37"/>
  <c r="Q141" i="37"/>
  <c r="P141" i="37"/>
  <c r="R140" i="37"/>
  <c r="Q140" i="37"/>
  <c r="P140" i="37"/>
  <c r="R139" i="37"/>
  <c r="Q139" i="37"/>
  <c r="P139" i="37"/>
  <c r="R138" i="37"/>
  <c r="Q138" i="37"/>
  <c r="P138" i="37"/>
  <c r="R137" i="37"/>
  <c r="Q137" i="37"/>
  <c r="P137" i="37"/>
  <c r="R136" i="37"/>
  <c r="Q136" i="37"/>
  <c r="P136" i="37"/>
  <c r="R135" i="37"/>
  <c r="Q135" i="37"/>
  <c r="P135" i="37"/>
  <c r="R134" i="37"/>
  <c r="Q134" i="37"/>
  <c r="P134" i="37"/>
  <c r="R133" i="37"/>
  <c r="Q133" i="37"/>
  <c r="P133" i="37"/>
  <c r="R132" i="37"/>
  <c r="Q132" i="37"/>
  <c r="P132" i="37"/>
  <c r="R131" i="37"/>
  <c r="Q131" i="37"/>
  <c r="P131" i="37"/>
  <c r="R130" i="37"/>
  <c r="Q130" i="37"/>
  <c r="P130" i="37"/>
  <c r="R129" i="37"/>
  <c r="Q129" i="37"/>
  <c r="P129" i="37"/>
  <c r="R128" i="37"/>
  <c r="Q128" i="37"/>
  <c r="P128" i="37"/>
  <c r="R127" i="37"/>
  <c r="Q127" i="37"/>
  <c r="P127" i="37"/>
  <c r="R126" i="37"/>
  <c r="Q126" i="37"/>
  <c r="P126" i="37"/>
  <c r="R125" i="37"/>
  <c r="Q125" i="37"/>
  <c r="P125" i="37"/>
  <c r="R124" i="37"/>
  <c r="Q124" i="37"/>
  <c r="P124" i="37"/>
  <c r="R123" i="37"/>
  <c r="Q123" i="37"/>
  <c r="P123" i="37"/>
  <c r="R122" i="37"/>
  <c r="Q122" i="37"/>
  <c r="P122" i="37"/>
  <c r="R121" i="37"/>
  <c r="Q121" i="37"/>
  <c r="P121" i="37"/>
  <c r="R120" i="37"/>
  <c r="Q120" i="37"/>
  <c r="P120" i="37"/>
  <c r="R119" i="37"/>
  <c r="Q119" i="37"/>
  <c r="P119" i="37"/>
  <c r="R118" i="37"/>
  <c r="Q118" i="37"/>
  <c r="P118" i="37"/>
  <c r="R117" i="37"/>
  <c r="Q117" i="37"/>
  <c r="P117" i="37"/>
  <c r="R116" i="37"/>
  <c r="Q116" i="37"/>
  <c r="P116" i="37"/>
  <c r="R115" i="37"/>
  <c r="Q115" i="37"/>
  <c r="P115" i="37"/>
  <c r="R114" i="37"/>
  <c r="Q114" i="37"/>
  <c r="P114" i="37"/>
  <c r="R113" i="37"/>
  <c r="Q113" i="37"/>
  <c r="P113" i="37"/>
  <c r="R112" i="37"/>
  <c r="Q112" i="37"/>
  <c r="P112" i="37"/>
  <c r="R111" i="37"/>
  <c r="Q111" i="37"/>
  <c r="P111" i="37"/>
  <c r="R110" i="37"/>
  <c r="Q110" i="37"/>
  <c r="P110" i="37"/>
  <c r="R109" i="37"/>
  <c r="Q109" i="37"/>
  <c r="P109" i="37"/>
  <c r="R108" i="37"/>
  <c r="Q108" i="37"/>
  <c r="P108" i="37"/>
  <c r="R107" i="37"/>
  <c r="Q107" i="37"/>
  <c r="P107" i="37"/>
  <c r="R106" i="37"/>
  <c r="Q106" i="37"/>
  <c r="P106" i="37"/>
  <c r="R105" i="37"/>
  <c r="Q105" i="37"/>
  <c r="P105" i="37"/>
  <c r="R104" i="37"/>
  <c r="Q104" i="37"/>
  <c r="P104" i="37"/>
  <c r="R103" i="37"/>
  <c r="Q103" i="37"/>
  <c r="P103" i="37"/>
  <c r="R102" i="37"/>
  <c r="Q102" i="37"/>
  <c r="P102" i="37"/>
  <c r="R101" i="37"/>
  <c r="Q101" i="37"/>
  <c r="P101" i="37"/>
  <c r="R100" i="37"/>
  <c r="Q100" i="37"/>
  <c r="P100" i="37"/>
  <c r="R99" i="37"/>
  <c r="Q99" i="37"/>
  <c r="P99" i="37"/>
  <c r="R98" i="37"/>
  <c r="Q98" i="37"/>
  <c r="P98" i="37"/>
  <c r="R97" i="37"/>
  <c r="Q97" i="37"/>
  <c r="P97" i="37"/>
  <c r="R96" i="37"/>
  <c r="Q96" i="37"/>
  <c r="P96" i="37"/>
  <c r="R95" i="37"/>
  <c r="Q95" i="37"/>
  <c r="P95" i="37"/>
  <c r="R94" i="37"/>
  <c r="Q94" i="37"/>
  <c r="P94" i="37"/>
  <c r="R93" i="37"/>
  <c r="Q93" i="37"/>
  <c r="P93" i="37"/>
  <c r="R92" i="37"/>
  <c r="Q92" i="37"/>
  <c r="P92" i="37"/>
  <c r="R91" i="37"/>
  <c r="Q91" i="37"/>
  <c r="P91" i="37"/>
  <c r="R90" i="37"/>
  <c r="Q90" i="37"/>
  <c r="P90" i="37"/>
  <c r="R89" i="37"/>
  <c r="Q89" i="37"/>
  <c r="P89" i="37"/>
  <c r="R88" i="37"/>
  <c r="Q88" i="37"/>
  <c r="P88" i="37"/>
  <c r="R87" i="37"/>
  <c r="Q87" i="37"/>
  <c r="P87" i="37"/>
  <c r="R86" i="37"/>
  <c r="Q86" i="37"/>
  <c r="P86" i="37"/>
  <c r="R85" i="37"/>
  <c r="Q85" i="37"/>
  <c r="P85" i="37"/>
  <c r="R84" i="37"/>
  <c r="Q84" i="37"/>
  <c r="P84" i="37"/>
  <c r="R83" i="37"/>
  <c r="Q83" i="37"/>
  <c r="P83" i="37"/>
  <c r="R82" i="37"/>
  <c r="Q82" i="37"/>
  <c r="P82" i="37"/>
  <c r="R81" i="37"/>
  <c r="Q81" i="37"/>
  <c r="P81" i="37"/>
  <c r="R80" i="37"/>
  <c r="Q80" i="37"/>
  <c r="P80" i="37"/>
  <c r="R79" i="37"/>
  <c r="Q79" i="37"/>
  <c r="P79" i="37"/>
  <c r="R78" i="37"/>
  <c r="Q78" i="37"/>
  <c r="P78" i="37"/>
  <c r="R77" i="37"/>
  <c r="Q77" i="37"/>
  <c r="P77" i="37"/>
  <c r="R76" i="37"/>
  <c r="Q76" i="37"/>
  <c r="P76" i="37"/>
  <c r="R75" i="37"/>
  <c r="Q75" i="37"/>
  <c r="P75" i="37"/>
  <c r="R74" i="37"/>
  <c r="Q74" i="37"/>
  <c r="P74" i="37"/>
  <c r="R73" i="37"/>
  <c r="Q73" i="37"/>
  <c r="P73" i="37"/>
  <c r="R72" i="37"/>
  <c r="Q72" i="37"/>
  <c r="P72" i="37"/>
  <c r="R71" i="37"/>
  <c r="Q71" i="37"/>
  <c r="P71" i="37"/>
  <c r="R70" i="37"/>
  <c r="Q70" i="37"/>
  <c r="P70" i="37"/>
  <c r="R69" i="37"/>
  <c r="Q69" i="37"/>
  <c r="P69" i="37"/>
  <c r="R68" i="37"/>
  <c r="Q68" i="37"/>
  <c r="P68" i="37"/>
  <c r="R67" i="37"/>
  <c r="Q67" i="37"/>
  <c r="P67" i="37"/>
  <c r="R66" i="37"/>
  <c r="Q66" i="37"/>
  <c r="P66" i="37"/>
  <c r="R65" i="37"/>
  <c r="Q65" i="37"/>
  <c r="P65" i="37"/>
  <c r="R64" i="37"/>
  <c r="Q64" i="37"/>
  <c r="P64" i="37"/>
  <c r="R63" i="37"/>
  <c r="Q63" i="37"/>
  <c r="P63" i="37"/>
  <c r="R62" i="37"/>
  <c r="Q62" i="37"/>
  <c r="P62" i="37"/>
  <c r="R61" i="37"/>
  <c r="Q61" i="37"/>
  <c r="P61" i="37"/>
  <c r="R60" i="37"/>
  <c r="Q60" i="37"/>
  <c r="P60" i="37"/>
  <c r="R59" i="37"/>
  <c r="Q59" i="37"/>
  <c r="P59" i="37"/>
  <c r="R58" i="37"/>
  <c r="Q58" i="37"/>
  <c r="P58" i="37"/>
  <c r="R57" i="37"/>
  <c r="Q57" i="37"/>
  <c r="P57" i="37"/>
  <c r="R56" i="37"/>
  <c r="Q56" i="37"/>
  <c r="P56" i="37"/>
  <c r="R55" i="37"/>
  <c r="Q55" i="37"/>
  <c r="P55" i="37"/>
  <c r="R54" i="37"/>
  <c r="Q54" i="37"/>
  <c r="P54" i="37"/>
  <c r="R53" i="37"/>
  <c r="Q53" i="37"/>
  <c r="P53" i="37"/>
  <c r="R52" i="37"/>
  <c r="Q52" i="37"/>
  <c r="P52" i="37"/>
  <c r="R51" i="37"/>
  <c r="Q51" i="37"/>
  <c r="P51" i="37"/>
  <c r="R50" i="37"/>
  <c r="Q50" i="37"/>
  <c r="P50" i="37"/>
  <c r="R49" i="37"/>
  <c r="Q49" i="37"/>
  <c r="P49" i="37"/>
  <c r="R48" i="37"/>
  <c r="Q48" i="37"/>
  <c r="P48" i="37"/>
  <c r="R47" i="37"/>
  <c r="Q47" i="37"/>
  <c r="P47" i="37"/>
  <c r="R46" i="37"/>
  <c r="Q46" i="37"/>
  <c r="P46" i="37"/>
  <c r="R45" i="37"/>
  <c r="Q45" i="37"/>
  <c r="P45" i="37"/>
  <c r="R44" i="37"/>
  <c r="Q44" i="37"/>
  <c r="P44" i="37"/>
  <c r="R43" i="37"/>
  <c r="Q43" i="37"/>
  <c r="P43" i="37"/>
  <c r="R42" i="37"/>
  <c r="Q42" i="37"/>
  <c r="P42" i="37"/>
  <c r="R41" i="37"/>
  <c r="Q41" i="37"/>
  <c r="P41" i="37"/>
  <c r="R40" i="37"/>
  <c r="Q40" i="37"/>
  <c r="P40" i="37"/>
  <c r="R39" i="37"/>
  <c r="Q39" i="37"/>
  <c r="P39" i="37"/>
  <c r="R38" i="37"/>
  <c r="Q38" i="37"/>
  <c r="P38" i="37"/>
  <c r="R37" i="37"/>
  <c r="Q37" i="37"/>
  <c r="P37" i="37"/>
  <c r="R36" i="37"/>
  <c r="Q36" i="37"/>
  <c r="P36" i="37"/>
  <c r="R35" i="37"/>
  <c r="Q35" i="37"/>
  <c r="P35" i="37"/>
  <c r="R34" i="37"/>
  <c r="Q34" i="37"/>
  <c r="P34" i="37"/>
  <c r="R33" i="37"/>
  <c r="Q33" i="37"/>
  <c r="P33" i="37"/>
  <c r="R32" i="37"/>
  <c r="Q32" i="37"/>
  <c r="P32" i="37"/>
  <c r="R31" i="37"/>
  <c r="Q31" i="37"/>
  <c r="P31" i="37"/>
  <c r="R30" i="37"/>
  <c r="Q30" i="37"/>
  <c r="P30" i="37"/>
  <c r="R29" i="37"/>
  <c r="Q29" i="37"/>
  <c r="P29" i="37"/>
  <c r="R28" i="37"/>
  <c r="Q28" i="37"/>
  <c r="P28" i="37"/>
  <c r="R27" i="37"/>
  <c r="Q27" i="37"/>
  <c r="P27" i="37"/>
  <c r="R26" i="37"/>
  <c r="Q26" i="37"/>
  <c r="P26" i="37"/>
  <c r="R25" i="37"/>
  <c r="Q25" i="37"/>
  <c r="P25" i="37"/>
  <c r="R24" i="37"/>
  <c r="Q24" i="37"/>
  <c r="P24" i="37"/>
  <c r="R23" i="37"/>
  <c r="Q23" i="37"/>
  <c r="P23" i="37"/>
  <c r="R22" i="37"/>
  <c r="Q22" i="37"/>
  <c r="P22" i="37"/>
  <c r="R21" i="37"/>
  <c r="Q21" i="37"/>
  <c r="P21" i="37"/>
  <c r="R20" i="37"/>
  <c r="Q20" i="37"/>
  <c r="P20" i="37"/>
  <c r="R19" i="37"/>
  <c r="Q19" i="37"/>
  <c r="P19" i="37"/>
  <c r="R18" i="37"/>
  <c r="Q18" i="37"/>
  <c r="P18" i="37"/>
  <c r="R17" i="37"/>
  <c r="Q17" i="37"/>
  <c r="P17" i="37"/>
  <c r="R16" i="37"/>
  <c r="Q16" i="37"/>
  <c r="P16" i="37"/>
  <c r="R15" i="37"/>
  <c r="Q15" i="37"/>
  <c r="P15" i="37"/>
  <c r="R14" i="37"/>
  <c r="Q14" i="37"/>
  <c r="P14" i="37"/>
  <c r="R13" i="37"/>
  <c r="Q13" i="37"/>
  <c r="P13" i="37"/>
  <c r="R12" i="37"/>
  <c r="Q12" i="37"/>
  <c r="P12" i="37"/>
  <c r="R11" i="37"/>
  <c r="Q11" i="37"/>
  <c r="P11" i="37"/>
  <c r="R10" i="37"/>
  <c r="Q10" i="37"/>
  <c r="P10" i="37"/>
  <c r="R9" i="37"/>
  <c r="Q9" i="37"/>
  <c r="P9" i="37"/>
  <c r="R8" i="37"/>
  <c r="Q8" i="37"/>
  <c r="P8" i="37"/>
  <c r="R7" i="37"/>
  <c r="Q7" i="37"/>
  <c r="P7" i="37"/>
  <c r="R6" i="37"/>
  <c r="Q6" i="37"/>
  <c r="P6" i="37"/>
  <c r="R5" i="37"/>
  <c r="Q5" i="37"/>
  <c r="P5" i="37"/>
  <c r="R4" i="37"/>
  <c r="Q4" i="37"/>
  <c r="P4" i="37"/>
  <c r="R3" i="37"/>
  <c r="Q3" i="37"/>
  <c r="P3" i="37"/>
  <c r="R2" i="37"/>
  <c r="Q2" i="37"/>
  <c r="P2" i="37"/>
  <c r="R239" i="37"/>
  <c r="Q239" i="37"/>
  <c r="P239" i="37"/>
  <c r="CJ85" i="2" l="1"/>
  <c r="CK85" i="2" s="1"/>
  <c r="CM85" i="2" l="1"/>
  <c r="CN85" i="2" s="1"/>
  <c r="CO85" i="2" s="1"/>
  <c r="CL85" i="2"/>
  <c r="CJ19" i="12" l="1"/>
  <c r="CK19" i="12" s="1"/>
  <c r="CR44" i="2"/>
  <c r="CS44" i="2"/>
  <c r="CT44" i="2"/>
  <c r="CU44" i="2"/>
  <c r="CO119" i="2"/>
  <c r="K9" i="1"/>
  <c r="L9" i="1"/>
  <c r="M9" i="1"/>
  <c r="N9" i="1"/>
  <c r="O9" i="1"/>
  <c r="P9" i="1"/>
  <c r="CJ119" i="2" l="1"/>
  <c r="CL46" i="2" l="1"/>
  <c r="CJ30" i="2"/>
  <c r="CJ28" i="2"/>
  <c r="CT43" i="2"/>
  <c r="CU43" i="2"/>
  <c r="CJ31" i="2" l="1"/>
  <c r="FD11" i="25"/>
  <c r="FD9" i="25"/>
  <c r="CP85" i="2"/>
  <c r="CI30" i="33"/>
  <c r="CN38" i="18"/>
  <c r="CO38" i="18" s="1"/>
  <c r="CP38" i="18" s="1"/>
  <c r="CP41" i="33"/>
  <c r="CU41" i="33" s="1"/>
  <c r="CO41" i="33"/>
  <c r="CT41" i="33" s="1"/>
  <c r="CS43" i="2"/>
  <c r="CR43" i="2"/>
  <c r="CV117" i="2"/>
  <c r="CL121" i="2"/>
  <c r="CL120" i="2"/>
  <c r="CL117" i="2"/>
  <c r="CL32" i="2"/>
  <c r="CL29" i="2"/>
  <c r="CK30" i="2"/>
  <c r="CL30" i="2" s="1"/>
  <c r="CU30" i="2"/>
  <c r="CT30" i="2"/>
  <c r="CS30" i="2"/>
  <c r="CR30" i="2"/>
  <c r="CP30" i="2"/>
  <c r="CO30" i="2"/>
  <c r="CN30" i="2"/>
  <c r="CM30" i="2"/>
  <c r="CJ146" i="2"/>
  <c r="CI111" i="2"/>
  <c r="CN25" i="13"/>
  <c r="CE14" i="12"/>
  <c r="CD14" i="12" s="1"/>
  <c r="CC14" i="12" s="1"/>
  <c r="CE83" i="13"/>
  <c r="CC87" i="13"/>
  <c r="CC86" i="13"/>
  <c r="CC85" i="13"/>
  <c r="CJ149" i="2"/>
  <c r="CJ148" i="2"/>
  <c r="CJ144" i="2"/>
  <c r="CK149" i="2"/>
  <c r="CK148" i="2"/>
  <c r="CQ44" i="2"/>
  <c r="CJ129" i="2"/>
  <c r="CJ128" i="2"/>
  <c r="CJ11" i="13"/>
  <c r="CJ18" i="12"/>
  <c r="CJ20" i="12" s="1"/>
  <c r="CI20" i="12"/>
  <c r="CJ12" i="12"/>
  <c r="CK12" i="12" s="1"/>
  <c r="CJ11" i="12"/>
  <c r="CK11" i="12" s="1"/>
  <c r="CJ10" i="12"/>
  <c r="CJ43" i="12"/>
  <c r="CJ32" i="12"/>
  <c r="CK32" i="12" s="1"/>
  <c r="CJ33" i="12"/>
  <c r="CJ34" i="12"/>
  <c r="CJ35" i="12"/>
  <c r="CJ31" i="12"/>
  <c r="CJ25" i="12"/>
  <c r="CJ24" i="12"/>
  <c r="CJ17" i="13" s="1"/>
  <c r="CJ22" i="12"/>
  <c r="CJ21" i="12"/>
  <c r="CK21" i="12" s="1"/>
  <c r="CJ13" i="12"/>
  <c r="CJ49" i="12"/>
  <c r="CJ48" i="12"/>
  <c r="CJ16" i="13"/>
  <c r="CJ19" i="13"/>
  <c r="CJ70" i="2"/>
  <c r="CJ28" i="13"/>
  <c r="CJ63" i="2"/>
  <c r="CK10" i="12"/>
  <c r="CD31" i="12"/>
  <c r="CE31" i="12"/>
  <c r="CC31" i="12"/>
  <c r="CE49" i="12"/>
  <c r="CD49" i="12" s="1"/>
  <c r="CC49" i="12" s="1"/>
  <c r="CE48" i="12"/>
  <c r="CD48" i="12" s="1"/>
  <c r="CC48" i="12" s="1"/>
  <c r="CE47" i="12"/>
  <c r="CD47" i="12" s="1"/>
  <c r="CE42" i="12"/>
  <c r="CD42" i="12" s="1"/>
  <c r="CC42" i="12" s="1"/>
  <c r="CE36" i="12"/>
  <c r="CD36" i="12" s="1"/>
  <c r="CE35" i="12"/>
  <c r="CD35" i="12" s="1"/>
  <c r="CC35" i="12" s="1"/>
  <c r="CE34" i="12"/>
  <c r="CD34" i="12" s="1"/>
  <c r="CC34" i="12" s="1"/>
  <c r="CE33" i="12"/>
  <c r="CD33" i="12" s="1"/>
  <c r="CC33" i="12" s="1"/>
  <c r="CE32" i="12"/>
  <c r="CD32" i="12" s="1"/>
  <c r="CC32" i="12" s="1"/>
  <c r="CE25" i="12"/>
  <c r="CD25" i="12" s="1"/>
  <c r="CC25" i="12" s="1"/>
  <c r="CE24" i="12"/>
  <c r="CE23" i="12"/>
  <c r="CE22" i="12"/>
  <c r="CD22" i="12" s="1"/>
  <c r="CC22" i="12" s="1"/>
  <c r="CE21" i="12"/>
  <c r="CD21" i="12" s="1"/>
  <c r="CC21" i="12" s="1"/>
  <c r="CE19" i="12"/>
  <c r="CD19" i="12" s="1"/>
  <c r="CE18" i="12"/>
  <c r="CE20" i="12" s="1"/>
  <c r="CE13" i="12"/>
  <c r="CE12" i="12"/>
  <c r="CD12" i="12" s="1"/>
  <c r="CC12" i="12" s="1"/>
  <c r="CE11" i="12"/>
  <c r="CD11" i="12" s="1"/>
  <c r="CC11" i="12" s="1"/>
  <c r="CE10" i="12"/>
  <c r="CD24" i="12"/>
  <c r="CC24" i="12" s="1"/>
  <c r="CD23" i="12"/>
  <c r="CC23" i="12" s="1"/>
  <c r="CD13" i="12"/>
  <c r="CC13" i="12" s="1"/>
  <c r="CD10" i="12"/>
  <c r="CC10" i="12" s="1"/>
  <c r="CH25" i="12"/>
  <c r="CH24" i="12"/>
  <c r="CH23" i="12"/>
  <c r="CH22" i="12"/>
  <c r="CH21" i="12"/>
  <c r="CH19" i="12"/>
  <c r="CH18" i="12"/>
  <c r="CH20" i="12" s="1"/>
  <c r="CH14" i="12"/>
  <c r="CH13" i="12"/>
  <c r="CH12" i="12"/>
  <c r="CH11" i="12"/>
  <c r="CH10" i="12"/>
  <c r="CH49" i="12"/>
  <c r="CH48" i="12"/>
  <c r="CH47" i="12"/>
  <c r="CH43" i="12"/>
  <c r="CH42" i="12"/>
  <c r="CH34" i="12"/>
  <c r="CH36" i="12"/>
  <c r="CH35" i="12"/>
  <c r="CH33" i="12"/>
  <c r="CH32" i="12"/>
  <c r="CF31" i="12"/>
  <c r="CF37" i="12" s="1"/>
  <c r="CE37" i="12" s="1"/>
  <c r="CD37" i="12" s="1"/>
  <c r="CC37" i="12" s="1"/>
  <c r="CF20" i="12"/>
  <c r="CF38" i="13"/>
  <c r="CE38" i="13"/>
  <c r="CF28" i="13"/>
  <c r="CE28" i="13"/>
  <c r="CF38" i="12" l="1"/>
  <c r="CJ18" i="13"/>
  <c r="CC47" i="12"/>
  <c r="CD38" i="12"/>
  <c r="CC36" i="12"/>
  <c r="CE38" i="12"/>
  <c r="CC38" i="12"/>
  <c r="CD18" i="12"/>
  <c r="CC18" i="12" s="1"/>
  <c r="CC20" i="12" s="1"/>
  <c r="CC19" i="12"/>
  <c r="CD20" i="12" l="1"/>
  <c r="CE11" i="13"/>
  <c r="CO25" i="13"/>
  <c r="CP25" i="13" s="1"/>
  <c r="CR25" i="13" s="1"/>
  <c r="CK13" i="13"/>
  <c r="CK91" i="13" s="1"/>
  <c r="CQ43" i="2"/>
  <c r="CJ12" i="33"/>
  <c r="CM12" i="33"/>
  <c r="CR12" i="33" s="1"/>
  <c r="CI148" i="2"/>
  <c r="CI146" i="2"/>
  <c r="CI144" i="2"/>
  <c r="CI62" i="2"/>
  <c r="CH62" i="2"/>
  <c r="CI149" i="2"/>
  <c r="CI13" i="33"/>
  <c r="CI14" i="33"/>
  <c r="CH13" i="33"/>
  <c r="CI21" i="33"/>
  <c r="CD144" i="2"/>
  <c r="CF11" i="13"/>
  <c r="CD11" i="13"/>
  <c r="CE130" i="2"/>
  <c r="CU111" i="2"/>
  <c r="CT111" i="2"/>
  <c r="CS111" i="2"/>
  <c r="CR111" i="2"/>
  <c r="CP111" i="2"/>
  <c r="CO111" i="2"/>
  <c r="CN111" i="2"/>
  <c r="CM111" i="2"/>
  <c r="CK111" i="2"/>
  <c r="CJ111" i="2"/>
  <c r="CH111" i="2"/>
  <c r="CF111" i="2"/>
  <c r="CE111" i="2"/>
  <c r="CD111" i="2"/>
  <c r="CC111" i="2"/>
  <c r="CG29" i="2"/>
  <c r="CC28" i="2"/>
  <c r="CC110" i="2" s="1"/>
  <c r="CC27" i="2"/>
  <c r="CF28" i="2"/>
  <c r="CF110" i="2" s="1"/>
  <c r="CF27" i="2"/>
  <c r="CC31" i="2" l="1"/>
  <c r="CK42" i="12"/>
  <c r="CG111" i="2"/>
  <c r="CS25" i="13"/>
  <c r="CL111" i="2"/>
  <c r="CJ110" i="2"/>
  <c r="CV43" i="2"/>
  <c r="CV111" i="2"/>
  <c r="CF31" i="2"/>
  <c r="CQ111" i="2"/>
  <c r="CC149" i="2"/>
  <c r="CC148" i="2"/>
  <c r="CC146" i="2"/>
  <c r="CC144" i="2"/>
  <c r="CE27" i="2"/>
  <c r="CD27" i="2"/>
  <c r="CH27" i="2"/>
  <c r="CH28" i="2"/>
  <c r="CH14" i="13"/>
  <c r="CH133" i="2"/>
  <c r="CC133" i="2"/>
  <c r="CC118" i="2" s="1"/>
  <c r="CC145" i="2" s="1"/>
  <c r="CH118" i="2"/>
  <c r="CI118" i="2"/>
  <c r="CE118" i="2"/>
  <c r="CF118" i="2"/>
  <c r="CE28" i="2"/>
  <c r="CD28" i="2"/>
  <c r="CD118" i="2"/>
  <c r="CF46" i="12"/>
  <c r="CE46" i="12" s="1"/>
  <c r="CF43" i="12"/>
  <c r="CE43" i="12" s="1"/>
  <c r="CD43" i="12" s="1"/>
  <c r="CC43" i="12" s="1"/>
  <c r="CI46" i="12"/>
  <c r="CI50" i="12" s="1"/>
  <c r="CI31" i="12"/>
  <c r="CI37" i="12" s="1"/>
  <c r="CH46" i="13"/>
  <c r="CC46" i="13"/>
  <c r="CC43" i="13"/>
  <c r="CC42" i="13"/>
  <c r="CI38" i="13"/>
  <c r="CD38" i="13"/>
  <c r="CD40" i="13" s="1"/>
  <c r="CC38" i="13" s="1"/>
  <c r="CH42" i="13"/>
  <c r="CH43" i="13"/>
  <c r="CC33" i="13"/>
  <c r="CH33" i="13"/>
  <c r="CH26" i="13"/>
  <c r="CH25" i="13"/>
  <c r="CC26" i="13"/>
  <c r="CC84" i="13" s="1"/>
  <c r="CC25" i="13"/>
  <c r="CC83" i="13" s="1"/>
  <c r="CD28" i="13"/>
  <c r="CD30" i="13" s="1"/>
  <c r="CC28" i="13" s="1"/>
  <c r="CI28" i="13"/>
  <c r="CH19" i="13"/>
  <c r="CH18" i="13"/>
  <c r="CH17" i="13"/>
  <c r="CH16" i="13"/>
  <c r="CH13" i="13"/>
  <c r="CH12" i="13"/>
  <c r="CH10" i="13"/>
  <c r="CH11" i="13"/>
  <c r="CC11" i="13"/>
  <c r="CC10" i="13"/>
  <c r="CC130" i="2" s="1"/>
  <c r="CC19" i="13"/>
  <c r="CC18" i="13"/>
  <c r="CC16" i="13"/>
  <c r="CC13" i="13"/>
  <c r="CC12" i="13"/>
  <c r="CI11" i="13"/>
  <c r="CU11" i="13"/>
  <c r="CT11" i="13"/>
  <c r="CS11" i="13"/>
  <c r="CR11" i="13"/>
  <c r="CP11" i="13"/>
  <c r="CO11" i="13"/>
  <c r="CN11" i="13"/>
  <c r="CM11" i="13"/>
  <c r="CK11" i="13"/>
  <c r="CC128" i="2"/>
  <c r="CC129" i="2"/>
  <c r="CI86" i="2"/>
  <c r="CH86" i="2"/>
  <c r="CH87" i="2" s="1"/>
  <c r="CF86" i="2"/>
  <c r="CF87" i="2" s="1"/>
  <c r="CE86" i="2"/>
  <c r="CE87" i="2" s="1"/>
  <c r="CD86" i="2"/>
  <c r="CD87" i="2" s="1"/>
  <c r="CC86" i="2"/>
  <c r="CC87" i="2" s="1"/>
  <c r="CG70" i="2"/>
  <c r="CG32" i="2"/>
  <c r="CI41" i="33"/>
  <c r="CN41" i="33" s="1"/>
  <c r="CS41" i="33" s="1"/>
  <c r="CI27" i="33"/>
  <c r="CH30" i="33"/>
  <c r="CI8" i="33"/>
  <c r="CH8" i="33"/>
  <c r="CJ37" i="12" l="1"/>
  <c r="CJ38" i="12" s="1"/>
  <c r="CH37" i="12"/>
  <c r="CD46" i="12"/>
  <c r="CE50" i="12"/>
  <c r="CH46" i="12"/>
  <c r="CH50" i="12" s="1"/>
  <c r="CJ46" i="12"/>
  <c r="CI87" i="2"/>
  <c r="CJ87" i="2" s="1"/>
  <c r="CK87" i="2" s="1"/>
  <c r="CM87" i="2" s="1"/>
  <c r="CN87" i="2" s="1"/>
  <c r="CO87" i="2" s="1"/>
  <c r="CP87" i="2" s="1"/>
  <c r="CJ86" i="2"/>
  <c r="CK86" i="2" s="1"/>
  <c r="CM86" i="2" s="1"/>
  <c r="CN86" i="2" s="1"/>
  <c r="CO86" i="2" s="1"/>
  <c r="CP86" i="2" s="1"/>
  <c r="CT25" i="13"/>
  <c r="CD31" i="2"/>
  <c r="CD110" i="2"/>
  <c r="CE110" i="2"/>
  <c r="CE31" i="2"/>
  <c r="CH110" i="2"/>
  <c r="CH31" i="2"/>
  <c r="CI10" i="33"/>
  <c r="CM175" i="2"/>
  <c r="CM179" i="2" s="1"/>
  <c r="CC46" i="12" l="1"/>
  <c r="CC50" i="12" s="1"/>
  <c r="CD50" i="12"/>
  <c r="CG31" i="2"/>
  <c r="CU25" i="13"/>
  <c r="CG110" i="2"/>
  <c r="FS13" i="25" l="1"/>
  <c r="FV13" i="25"/>
  <c r="FJ13" i="25"/>
  <c r="GB11" i="25"/>
  <c r="GB9" i="25"/>
  <c r="FM13" i="25"/>
  <c r="FG11" i="25"/>
  <c r="FG9" i="25"/>
  <c r="FG13" i="25"/>
  <c r="GQ11" i="25"/>
  <c r="GQ9" i="25"/>
  <c r="FP13" i="25"/>
  <c r="FJ9" i="25"/>
  <c r="FJ11" i="25"/>
  <c r="FY11" i="25"/>
  <c r="FY9" i="25"/>
  <c r="FS11" i="25"/>
  <c r="FS9" i="25"/>
  <c r="GB13" i="25"/>
  <c r="FM9" i="25"/>
  <c r="FM11" i="25"/>
  <c r="FP11" i="25"/>
  <c r="FP9" i="25"/>
  <c r="FY13" i="25"/>
  <c r="FV9" i="25"/>
  <c r="FV11" i="25"/>
  <c r="GQ13" i="25"/>
  <c r="CR87" i="2" l="1"/>
  <c r="CS87" i="2" s="1"/>
  <c r="CT87" i="2" s="1"/>
  <c r="CU87" i="2" s="1"/>
  <c r="CR86" i="2"/>
  <c r="CS86" i="2" s="1"/>
  <c r="CT86" i="2" s="1"/>
  <c r="CU86" i="2" s="1"/>
  <c r="CR85" i="2" l="1"/>
  <c r="CS85" i="2" s="1"/>
  <c r="CT85" i="2" s="1"/>
  <c r="CU85" i="2" s="1"/>
  <c r="CG62" i="2"/>
  <c r="CG63" i="2"/>
  <c r="CV58" i="18"/>
  <c r="CQ58" i="18"/>
  <c r="CL62" i="2"/>
  <c r="CH68" i="2"/>
  <c r="CH69" i="2" s="1"/>
  <c r="CI59" i="18"/>
  <c r="CK69" i="2"/>
  <c r="CI69" i="2"/>
  <c r="CQ87" i="2" l="1"/>
  <c r="CQ86" i="2"/>
  <c r="CQ85" i="2"/>
  <c r="CL86" i="2"/>
  <c r="CJ30" i="13"/>
  <c r="CL87" i="2" l="1"/>
  <c r="CQ4" i="13"/>
  <c r="CV86" i="2" l="1"/>
  <c r="CV87" i="2"/>
  <c r="CV85" i="2"/>
  <c r="CV14" i="13"/>
  <c r="CV12" i="13"/>
  <c r="CV10" i="13"/>
  <c r="CL13" i="13"/>
  <c r="CL42" i="12"/>
  <c r="CK37" i="12"/>
  <c r="CN68" i="2"/>
  <c r="CJ69" i="2"/>
  <c r="CL69" i="2" s="1"/>
  <c r="CM11" i="12" l="1"/>
  <c r="CN11" i="12" s="1"/>
  <c r="CK16" i="13"/>
  <c r="CO11" i="12"/>
  <c r="CP11" i="12" s="1"/>
  <c r="CR11" i="12" s="1"/>
  <c r="CS11" i="12" s="1"/>
  <c r="CT11" i="12" s="1"/>
  <c r="CU11" i="12" s="1"/>
  <c r="CO68" i="2"/>
  <c r="CP68" i="2" s="1"/>
  <c r="CQ68" i="2" s="1"/>
  <c r="CN59" i="18"/>
  <c r="CF68" i="2"/>
  <c r="CG13" i="13" l="1"/>
  <c r="CF69" i="2"/>
  <c r="CB70" i="2"/>
  <c r="BS68" i="2"/>
  <c r="BS69" i="2" s="1"/>
  <c r="CL68" i="2"/>
  <c r="CH31" i="12"/>
  <c r="CK43" i="12"/>
  <c r="CK34" i="12"/>
  <c r="CD68" i="2"/>
  <c r="CD69" i="2" s="1"/>
  <c r="CC68" i="2"/>
  <c r="CG14" i="13"/>
  <c r="CP175" i="2"/>
  <c r="CP179" i="2" s="1"/>
  <c r="CC69" i="2" l="1"/>
  <c r="CI28" i="2" l="1"/>
  <c r="CI31" i="2" l="1"/>
  <c r="CI110" i="2"/>
  <c r="CF43" i="33"/>
  <c r="CE43" i="33"/>
  <c r="CD43" i="33"/>
  <c r="CA43" i="33"/>
  <c r="BZ43" i="33"/>
  <c r="BY43" i="33"/>
  <c r="BX43" i="33"/>
  <c r="BX41" i="33"/>
  <c r="BY41" i="33"/>
  <c r="BZ41" i="33"/>
  <c r="CA41" i="33"/>
  <c r="CE44" i="33" l="1"/>
  <c r="CF44" i="33"/>
  <c r="CD44" i="33"/>
  <c r="CH40" i="33"/>
  <c r="CG39" i="33"/>
  <c r="CH41" i="33" s="1"/>
  <c r="CM41" i="33" s="1"/>
  <c r="CR41" i="33" s="1"/>
  <c r="CI40" i="33"/>
  <c r="CF41" i="33"/>
  <c r="CE41" i="33"/>
  <c r="CD41" i="33"/>
  <c r="CF40" i="33"/>
  <c r="CE40" i="33"/>
  <c r="CD40" i="33"/>
  <c r="CC40" i="33"/>
  <c r="CB39" i="33"/>
  <c r="CC43" i="33" s="1"/>
  <c r="CC44" i="33" s="1"/>
  <c r="CC41" i="33" l="1"/>
  <c r="CH43" i="33"/>
  <c r="CH44" i="33" s="1"/>
  <c r="CG40" i="33"/>
  <c r="CJ39" i="33"/>
  <c r="CK39" i="33" l="1"/>
  <c r="CJ40" i="33"/>
  <c r="CK40" i="33" l="1"/>
  <c r="CL39" i="33"/>
  <c r="CH78" i="34"/>
  <c r="CL40" i="33" l="1"/>
  <c r="CM39" i="33"/>
  <c r="CM40" i="33" l="1"/>
  <c r="CN39" i="33"/>
  <c r="CN40" i="33" l="1"/>
  <c r="CO39" i="33"/>
  <c r="CH69" i="33"/>
  <c r="CO16" i="13"/>
  <c r="CO40" i="33" l="1"/>
  <c r="CP39" i="33"/>
  <c r="CT168" i="2"/>
  <c r="CK35" i="12"/>
  <c r="CK19" i="13" s="1"/>
  <c r="CK33" i="12"/>
  <c r="CK18" i="13" s="1"/>
  <c r="CH84" i="33"/>
  <c r="CO175" i="2"/>
  <c r="CO179" i="2" s="1"/>
  <c r="CN175" i="2"/>
  <c r="CR175" i="2"/>
  <c r="CH175" i="2"/>
  <c r="CC20" i="34"/>
  <c r="CH27" i="33"/>
  <c r="CF30" i="33"/>
  <c r="CK30" i="33" s="1"/>
  <c r="CE30" i="33"/>
  <c r="CE34" i="33" s="1"/>
  <c r="CE28" i="33" s="1"/>
  <c r="CD30" i="33"/>
  <c r="CI31" i="33" s="1"/>
  <c r="CC30" i="33"/>
  <c r="CC34" i="33" s="1"/>
  <c r="CC28" i="33" s="1"/>
  <c r="CF27" i="33"/>
  <c r="CE27" i="33"/>
  <c r="CD27" i="33"/>
  <c r="CC27" i="33"/>
  <c r="CB16" i="33"/>
  <c r="BY34" i="33"/>
  <c r="BY28" i="33" s="1"/>
  <c r="CB26" i="33"/>
  <c r="CB43" i="33" s="1"/>
  <c r="CA30" i="33"/>
  <c r="CA34" i="33" s="1"/>
  <c r="CA28" i="33" s="1"/>
  <c r="BZ30" i="33"/>
  <c r="BZ34" i="33" s="1"/>
  <c r="BZ28" i="33" s="1"/>
  <c r="BY30" i="33"/>
  <c r="BX30" i="33"/>
  <c r="BX34" i="33" s="1"/>
  <c r="CG26" i="33"/>
  <c r="CG43" i="33" s="1"/>
  <c r="CB12" i="33"/>
  <c r="CH51" i="34"/>
  <c r="CH50" i="34"/>
  <c r="CH32" i="34"/>
  <c r="CH38" i="34"/>
  <c r="CH37" i="34"/>
  <c r="CH15" i="34"/>
  <c r="CF15" i="34"/>
  <c r="CH66" i="33"/>
  <c r="CH65" i="33"/>
  <c r="CF66" i="33"/>
  <c r="CF65" i="33"/>
  <c r="CH56" i="33"/>
  <c r="CH54" i="33"/>
  <c r="CM54" i="33" s="1"/>
  <c r="CR54" i="33" s="1"/>
  <c r="CH53" i="33"/>
  <c r="BZ8" i="33"/>
  <c r="CF13" i="33"/>
  <c r="CG44" i="33" l="1"/>
  <c r="CN179" i="2"/>
  <c r="CQ175" i="2"/>
  <c r="CP30" i="33"/>
  <c r="CN30" i="33"/>
  <c r="CJ30" i="33"/>
  <c r="CP40" i="33"/>
  <c r="CQ39" i="33"/>
  <c r="CH31" i="33"/>
  <c r="CH34" i="33"/>
  <c r="CH32" i="33" s="1"/>
  <c r="CC31" i="33"/>
  <c r="CM30" i="33"/>
  <c r="CD31" i="33"/>
  <c r="CE31" i="33"/>
  <c r="CF34" i="33"/>
  <c r="CF28" i="33" s="1"/>
  <c r="CG27" i="33"/>
  <c r="BX32" i="33"/>
  <c r="BX28" i="33"/>
  <c r="CB34" i="33"/>
  <c r="CB28" i="33" s="1"/>
  <c r="BY32" i="33"/>
  <c r="CB30" i="33"/>
  <c r="BZ32" i="33"/>
  <c r="CF31" i="33"/>
  <c r="CC32" i="33"/>
  <c r="CA32" i="33"/>
  <c r="CC35" i="33"/>
  <c r="CE32" i="33"/>
  <c r="CE35" i="33"/>
  <c r="CG30" i="33"/>
  <c r="CD34" i="33"/>
  <c r="CR30" i="33" l="1"/>
  <c r="CL30" i="33"/>
  <c r="CU30" i="33"/>
  <c r="CO30" i="33"/>
  <c r="CS30" i="33"/>
  <c r="CR39" i="33"/>
  <c r="CQ40" i="33"/>
  <c r="CF32" i="33"/>
  <c r="CH28" i="33"/>
  <c r="CH35" i="33"/>
  <c r="CG34" i="33"/>
  <c r="CF35" i="33"/>
  <c r="CG31" i="33"/>
  <c r="CB32" i="33"/>
  <c r="CD35" i="33"/>
  <c r="CD28" i="33"/>
  <c r="CD32" i="33"/>
  <c r="CL31" i="33" l="1"/>
  <c r="CT30" i="33"/>
  <c r="CV30" i="33" s="1"/>
  <c r="CQ30" i="33"/>
  <c r="CQ31" i="33" s="1"/>
  <c r="CS39" i="33"/>
  <c r="CR40" i="33"/>
  <c r="CG32" i="33"/>
  <c r="CG35" i="33"/>
  <c r="CG28" i="33"/>
  <c r="CV31" i="33" l="1"/>
  <c r="CT39" i="33"/>
  <c r="CS40" i="33"/>
  <c r="CF50" i="12"/>
  <c r="CF12" i="18"/>
  <c r="CH38" i="12"/>
  <c r="CH172" i="2"/>
  <c r="CH168" i="2"/>
  <c r="CH130" i="2"/>
  <c r="CH128" i="2"/>
  <c r="CH169" i="2"/>
  <c r="CH72" i="2"/>
  <c r="CH51" i="2"/>
  <c r="CH49" i="2"/>
  <c r="CH61" i="33"/>
  <c r="CH11" i="34"/>
  <c r="CH17" i="33"/>
  <c r="CH10" i="33"/>
  <c r="CF8" i="33"/>
  <c r="CK8" i="33" s="1"/>
  <c r="CU39" i="33" l="1"/>
  <c r="CT40" i="33"/>
  <c r="CH177" i="2"/>
  <c r="CH179" i="2" s="1"/>
  <c r="CH74" i="33"/>
  <c r="CH63" i="33"/>
  <c r="CM63" i="33" s="1"/>
  <c r="CR63" i="33" s="1"/>
  <c r="V14" i="21"/>
  <c r="W61" i="1"/>
  <c r="W60" i="1"/>
  <c r="AC16" i="21"/>
  <c r="CU40" i="33" l="1"/>
  <c r="CV39" i="33"/>
  <c r="CV40" i="33" s="1"/>
  <c r="CG46" i="2"/>
  <c r="CG45" i="2"/>
  <c r="CG44" i="2"/>
  <c r="CG43" i="2"/>
  <c r="CK28" i="2"/>
  <c r="CV38" i="13"/>
  <c r="CQ38" i="13"/>
  <c r="CI72" i="2"/>
  <c r="CM59" i="18"/>
  <c r="CK59" i="18"/>
  <c r="CO59" i="18"/>
  <c r="CK31" i="2" l="1"/>
  <c r="CL31" i="2" s="1"/>
  <c r="CL28" i="2"/>
  <c r="CK110" i="2"/>
  <c r="CQ45" i="2"/>
  <c r="CF80" i="33"/>
  <c r="CE80" i="33"/>
  <c r="CD80" i="33"/>
  <c r="CL110" i="2" l="1"/>
  <c r="CR68" i="2"/>
  <c r="CP59" i="18"/>
  <c r="X10" i="1"/>
  <c r="X11" i="1" s="1"/>
  <c r="CS68" i="2" l="1"/>
  <c r="CR59" i="18"/>
  <c r="CJ71" i="2"/>
  <c r="CJ72" i="2" s="1"/>
  <c r="CF84" i="33"/>
  <c r="CF88" i="33" s="1"/>
  <c r="CE84" i="33"/>
  <c r="CD84" i="33"/>
  <c r="CC84" i="33"/>
  <c r="CM149" i="2"/>
  <c r="CM148" i="2"/>
  <c r="CM144" i="2"/>
  <c r="CM133" i="2"/>
  <c r="CL147" i="2" l="1"/>
  <c r="CT68" i="2"/>
  <c r="CU68" i="2" s="1"/>
  <c r="CS59" i="18"/>
  <c r="CL45" i="2"/>
  <c r="CG16" i="33"/>
  <c r="CF17" i="33"/>
  <c r="CE17" i="33"/>
  <c r="CD17" i="33"/>
  <c r="CC17" i="33"/>
  <c r="CT59" i="18" l="1"/>
  <c r="CU59" i="18"/>
  <c r="CV68" i="2"/>
  <c r="CG17" i="33"/>
  <c r="CI38" i="18"/>
  <c r="GM5" i="25"/>
  <c r="GJ5" i="25"/>
  <c r="GG5" i="25"/>
  <c r="GD5" i="25"/>
  <c r="CR28" i="2"/>
  <c r="CR31" i="2" s="1"/>
  <c r="CU6" i="19"/>
  <c r="CT6" i="19"/>
  <c r="CS6" i="19"/>
  <c r="CR6" i="19"/>
  <c r="CU5" i="19"/>
  <c r="CT5" i="19"/>
  <c r="CS5" i="19"/>
  <c r="CR5" i="19"/>
  <c r="CV4" i="19"/>
  <c r="CR4" i="19"/>
  <c r="CV49" i="18"/>
  <c r="CU6" i="18"/>
  <c r="CT6" i="18"/>
  <c r="CS6" i="18"/>
  <c r="CR6" i="18"/>
  <c r="CU5" i="18"/>
  <c r="CT5" i="18"/>
  <c r="CS5" i="18"/>
  <c r="CR5" i="18"/>
  <c r="CV4" i="18"/>
  <c r="CR4" i="18"/>
  <c r="CV87" i="34"/>
  <c r="CU87" i="34"/>
  <c r="CT87" i="34"/>
  <c r="CS87" i="34"/>
  <c r="CR87" i="34"/>
  <c r="CV85" i="34"/>
  <c r="CU85" i="34"/>
  <c r="CT85" i="34"/>
  <c r="CS85" i="34"/>
  <c r="CR85" i="34"/>
  <c r="CU9" i="34"/>
  <c r="CT9" i="34"/>
  <c r="CS9" i="34"/>
  <c r="CR9" i="34"/>
  <c r="CU6" i="34"/>
  <c r="CT6" i="34"/>
  <c r="CS6" i="34"/>
  <c r="CR6" i="34"/>
  <c r="CU5" i="34"/>
  <c r="CT5" i="34"/>
  <c r="CS5" i="34"/>
  <c r="CR5" i="34"/>
  <c r="CV4" i="34"/>
  <c r="CR4" i="34"/>
  <c r="CV19" i="33"/>
  <c r="CU6" i="33"/>
  <c r="CT6" i="33"/>
  <c r="CS6" i="33"/>
  <c r="CR6" i="33"/>
  <c r="CU5" i="33"/>
  <c r="CT5" i="33"/>
  <c r="CS5" i="33"/>
  <c r="CR5" i="33"/>
  <c r="CV4" i="33"/>
  <c r="CR4" i="33"/>
  <c r="CV91" i="13"/>
  <c r="CV88" i="13"/>
  <c r="CU87" i="13"/>
  <c r="CT87" i="13"/>
  <c r="CS87" i="13"/>
  <c r="CR87" i="13"/>
  <c r="CU86" i="13"/>
  <c r="CT86" i="13"/>
  <c r="CS86" i="13"/>
  <c r="CR86" i="13"/>
  <c r="CU85" i="13"/>
  <c r="CT85" i="13"/>
  <c r="CS85" i="13"/>
  <c r="CR85" i="13"/>
  <c r="CU83" i="13"/>
  <c r="CT83" i="13"/>
  <c r="CS83" i="13"/>
  <c r="CR83" i="13"/>
  <c r="CV82" i="13"/>
  <c r="CV43" i="13"/>
  <c r="CV42" i="13"/>
  <c r="CV36" i="13"/>
  <c r="CV89" i="13" s="1"/>
  <c r="CV35" i="13"/>
  <c r="CV34" i="13"/>
  <c r="CV33" i="13"/>
  <c r="CV28" i="13"/>
  <c r="CV27" i="13"/>
  <c r="CV58" i="13" s="1"/>
  <c r="CV25" i="13"/>
  <c r="CV70" i="13" s="1"/>
  <c r="V11" i="21" s="1"/>
  <c r="CV20" i="13"/>
  <c r="CV53" i="13"/>
  <c r="CV52" i="13"/>
  <c r="CU6" i="13"/>
  <c r="CT6" i="13"/>
  <c r="CS6" i="13"/>
  <c r="CR6" i="13"/>
  <c r="CU5" i="13"/>
  <c r="CT5" i="13"/>
  <c r="CS5" i="13"/>
  <c r="CR5" i="13"/>
  <c r="CV4" i="13"/>
  <c r="CR4" i="13"/>
  <c r="CU6" i="12"/>
  <c r="CT6" i="12"/>
  <c r="CS6" i="12"/>
  <c r="CR6" i="12"/>
  <c r="CU5" i="12"/>
  <c r="CT5" i="12"/>
  <c r="CS5" i="12"/>
  <c r="CR5" i="12"/>
  <c r="CV4" i="12"/>
  <c r="CR4" i="12"/>
  <c r="CU175" i="2"/>
  <c r="CT175" i="2"/>
  <c r="CS175" i="2"/>
  <c r="CU172" i="2"/>
  <c r="CT172" i="2"/>
  <c r="CS172" i="2"/>
  <c r="CR172" i="2"/>
  <c r="CU168" i="2"/>
  <c r="CS168" i="2"/>
  <c r="CR168" i="2"/>
  <c r="CV167" i="2"/>
  <c r="CU149" i="2"/>
  <c r="CT149" i="2"/>
  <c r="CS149" i="2"/>
  <c r="CR149" i="2"/>
  <c r="CU148" i="2"/>
  <c r="CU171" i="2" s="1"/>
  <c r="CT148" i="2"/>
  <c r="CT171" i="2" s="1"/>
  <c r="CS148" i="2"/>
  <c r="CS171" i="2" s="1"/>
  <c r="CR148" i="2"/>
  <c r="CV147" i="2"/>
  <c r="CU144" i="2"/>
  <c r="CT144" i="2"/>
  <c r="CS144" i="2"/>
  <c r="CR144" i="2"/>
  <c r="CU133" i="2"/>
  <c r="CU118" i="2" s="1"/>
  <c r="CT133" i="2"/>
  <c r="CT118" i="2" s="1"/>
  <c r="CS133" i="2"/>
  <c r="CR133" i="2"/>
  <c r="CU130" i="2"/>
  <c r="CT130" i="2"/>
  <c r="CS130" i="2"/>
  <c r="CR130" i="2"/>
  <c r="CU129" i="2"/>
  <c r="CT129" i="2"/>
  <c r="CS129" i="2"/>
  <c r="CR129" i="2"/>
  <c r="CV121" i="2"/>
  <c r="CV120" i="2"/>
  <c r="CU119" i="2"/>
  <c r="CT119" i="2"/>
  <c r="CS119" i="2"/>
  <c r="CR119" i="2"/>
  <c r="CV103" i="2"/>
  <c r="CU102" i="2"/>
  <c r="CT102" i="2"/>
  <c r="CS102" i="2"/>
  <c r="CR102" i="2"/>
  <c r="CV78" i="2"/>
  <c r="CV77" i="2"/>
  <c r="CV76" i="2"/>
  <c r="CV55" i="13" s="1"/>
  <c r="CV71" i="2"/>
  <c r="CV63" i="2"/>
  <c r="CV62" i="2"/>
  <c r="CV46" i="2"/>
  <c r="CV39" i="2"/>
  <c r="CU39" i="2"/>
  <c r="CT39" i="2"/>
  <c r="CS39" i="2"/>
  <c r="CR39" i="2"/>
  <c r="CV38" i="2"/>
  <c r="CU38" i="2"/>
  <c r="CT38" i="2"/>
  <c r="CS38" i="2"/>
  <c r="CR38" i="2"/>
  <c r="CV30" i="2"/>
  <c r="CV29" i="2"/>
  <c r="CU28" i="2"/>
  <c r="CU31" i="2" s="1"/>
  <c r="CT28" i="2"/>
  <c r="CT31" i="2" s="1"/>
  <c r="CS28" i="2"/>
  <c r="CS31" i="2" s="1"/>
  <c r="CU15" i="2"/>
  <c r="CT15" i="2"/>
  <c r="CS15" i="2"/>
  <c r="CR15" i="2"/>
  <c r="CU14" i="2"/>
  <c r="CT14" i="2"/>
  <c r="CS14" i="2"/>
  <c r="CR14" i="2"/>
  <c r="CV12" i="2"/>
  <c r="CU12" i="2"/>
  <c r="CT12" i="2"/>
  <c r="CS12" i="2"/>
  <c r="CR12" i="2"/>
  <c r="CV11" i="2"/>
  <c r="CU11" i="2"/>
  <c r="CT11" i="2"/>
  <c r="CS11" i="2"/>
  <c r="CR11" i="2"/>
  <c r="CU10" i="2"/>
  <c r="CT10" i="2"/>
  <c r="CS10" i="2"/>
  <c r="CR10" i="2"/>
  <c r="CV5" i="2"/>
  <c r="GP5" i="25" s="1"/>
  <c r="CV87" i="13" l="1"/>
  <c r="CV86" i="13"/>
  <c r="CV59" i="13" s="1"/>
  <c r="CV9" i="34"/>
  <c r="CU128" i="2"/>
  <c r="CS146" i="2"/>
  <c r="CS170" i="2" s="1"/>
  <c r="CT128" i="2"/>
  <c r="CU110" i="2"/>
  <c r="CT110" i="2"/>
  <c r="CS110" i="2"/>
  <c r="CR110" i="2"/>
  <c r="CV11" i="13"/>
  <c r="CT145" i="2"/>
  <c r="CU169" i="2"/>
  <c r="CV15" i="2"/>
  <c r="CV148" i="2"/>
  <c r="CV5" i="13"/>
  <c r="X15" i="1"/>
  <c r="CV5" i="18"/>
  <c r="CR171" i="2"/>
  <c r="CV171" i="2" s="1"/>
  <c r="CV129" i="2"/>
  <c r="CV149" i="2"/>
  <c r="CV5" i="19"/>
  <c r="CV119" i="2"/>
  <c r="CV102" i="2"/>
  <c r="CV172" i="2"/>
  <c r="CV85" i="13"/>
  <c r="CR118" i="2"/>
  <c r="CV133" i="2"/>
  <c r="CV28" i="2"/>
  <c r="CV144" i="2"/>
  <c r="CU178" i="2"/>
  <c r="CU75" i="33" s="1"/>
  <c r="CU74" i="33" s="1"/>
  <c r="CT178" i="2"/>
  <c r="CT75" i="33" s="1"/>
  <c r="CT74" i="33" s="1"/>
  <c r="CS178" i="2"/>
  <c r="CS75" i="33" s="1"/>
  <c r="CS74" i="33" s="1"/>
  <c r="CR178" i="2"/>
  <c r="CR75" i="33" s="1"/>
  <c r="CR74" i="33" s="1"/>
  <c r="CT169" i="2"/>
  <c r="CV83" i="13"/>
  <c r="CT179" i="2"/>
  <c r="CS179" i="2"/>
  <c r="CV130" i="2"/>
  <c r="CR179" i="2"/>
  <c r="CV5" i="34"/>
  <c r="CV5" i="12"/>
  <c r="CV5" i="33"/>
  <c r="CV10" i="2"/>
  <c r="CV74" i="13"/>
  <c r="CV60" i="13"/>
  <c r="CV73" i="13"/>
  <c r="CV56" i="13"/>
  <c r="CV72" i="13"/>
  <c r="V13" i="21" s="1"/>
  <c r="CS118" i="2"/>
  <c r="CV14" i="2"/>
  <c r="CU145" i="2"/>
  <c r="CV175" i="2"/>
  <c r="CU179" i="2"/>
  <c r="CS128" i="2"/>
  <c r="CT146" i="2"/>
  <c r="CT170" i="2" s="1"/>
  <c r="CR146" i="2"/>
  <c r="CU146" i="2"/>
  <c r="CU170" i="2" s="1"/>
  <c r="CV168" i="2"/>
  <c r="CR128" i="2"/>
  <c r="CV118" i="2" l="1"/>
  <c r="CV31" i="2"/>
  <c r="CV110" i="2"/>
  <c r="CU173" i="2"/>
  <c r="CU52" i="2" s="1"/>
  <c r="CR145" i="2"/>
  <c r="X35" i="1"/>
  <c r="X48" i="1"/>
  <c r="X7" i="1"/>
  <c r="X42" i="1" s="1"/>
  <c r="CT173" i="2"/>
  <c r="CT52" i="2" s="1"/>
  <c r="CV128" i="2"/>
  <c r="CR169" i="2"/>
  <c r="CV177" i="2"/>
  <c r="CV178" i="2" s="1"/>
  <c r="CV74" i="33"/>
  <c r="CV75" i="33" s="1"/>
  <c r="CS169" i="2"/>
  <c r="CS173" i="2" s="1"/>
  <c r="CS145" i="2"/>
  <c r="CR170" i="2"/>
  <c r="CV146" i="2"/>
  <c r="CV145" i="2" l="1"/>
  <c r="CV169" i="2"/>
  <c r="CV179" i="2"/>
  <c r="CS52" i="2"/>
  <c r="CV170" i="2"/>
  <c r="CR173" i="2"/>
  <c r="CV173" i="2" l="1"/>
  <c r="CR52" i="2"/>
  <c r="CV52" i="2" s="1"/>
  <c r="CJ87" i="13" l="1"/>
  <c r="CJ86" i="13"/>
  <c r="CJ85" i="13"/>
  <c r="CJ84" i="13"/>
  <c r="CJ83" i="13"/>
  <c r="CQ147" i="2" l="1"/>
  <c r="CG147" i="2"/>
  <c r="CB147" i="2"/>
  <c r="CT176" i="2"/>
  <c r="CG71" i="2"/>
  <c r="U24" i="21" l="1"/>
  <c r="CL91" i="13" l="1"/>
  <c r="CM28" i="2" l="1"/>
  <c r="CM31" i="2" s="1"/>
  <c r="CM171" i="2"/>
  <c r="CM168" i="2"/>
  <c r="CM129" i="2"/>
  <c r="CL167" i="2"/>
  <c r="CM110" i="2" l="1"/>
  <c r="CQ167" i="2"/>
  <c r="CL16" i="13" l="1"/>
  <c r="CJ18" i="18" l="1"/>
  <c r="CJ40" i="12" s="1"/>
  <c r="CG17" i="18"/>
  <c r="CH17" i="18" s="1"/>
  <c r="CI17" i="18" s="1"/>
  <c r="CS16" i="13" l="1"/>
  <c r="CC80" i="33"/>
  <c r="CA84" i="33"/>
  <c r="CA80" i="33"/>
  <c r="BZ84" i="33"/>
  <c r="BZ80" i="33"/>
  <c r="BY84" i="33"/>
  <c r="BY80" i="33"/>
  <c r="BX84" i="33"/>
  <c r="BX80" i="33"/>
  <c r="CP28" i="2"/>
  <c r="CP31" i="2" s="1"/>
  <c r="CF21" i="33"/>
  <c r="CE21" i="33"/>
  <c r="CD21" i="33"/>
  <c r="CI22" i="33" s="1"/>
  <c r="CC21" i="33"/>
  <c r="CA21" i="33"/>
  <c r="BZ21" i="33"/>
  <c r="BY21" i="33"/>
  <c r="BX21" i="33"/>
  <c r="CQ19" i="33"/>
  <c r="CL19" i="33"/>
  <c r="CG19" i="33"/>
  <c r="CB19" i="33"/>
  <c r="CC15" i="34"/>
  <c r="CG25" i="34"/>
  <c r="CB25" i="34"/>
  <c r="CB20" i="34"/>
  <c r="CF20" i="34"/>
  <c r="CE20" i="34"/>
  <c r="CD20" i="34"/>
  <c r="CG20" i="34" s="1"/>
  <c r="CB14" i="34"/>
  <c r="CA9" i="2"/>
  <c r="BZ9" i="2"/>
  <c r="BY9" i="2"/>
  <c r="BX9" i="2"/>
  <c r="CF9" i="2"/>
  <c r="CE9" i="2"/>
  <c r="CD9" i="2"/>
  <c r="CC9" i="2"/>
  <c r="CP110" i="2" l="1"/>
  <c r="CC22" i="2"/>
  <c r="CD22" i="2"/>
  <c r="CE22" i="2"/>
  <c r="CE36" i="2" s="1"/>
  <c r="CE109" i="2" s="1"/>
  <c r="CE112" i="2" s="1"/>
  <c r="CE113" i="2" s="1"/>
  <c r="CF22" i="2"/>
  <c r="CF36" i="2" s="1"/>
  <c r="CF109" i="2" s="1"/>
  <c r="CF112" i="2" s="1"/>
  <c r="CF113" i="2" s="1"/>
  <c r="CF22" i="33"/>
  <c r="CV11" i="12"/>
  <c r="CT16" i="13"/>
  <c r="BX88" i="33"/>
  <c r="CA88" i="33"/>
  <c r="BY88" i="33"/>
  <c r="CC82" i="33"/>
  <c r="CC88" i="33"/>
  <c r="CC81" i="33"/>
  <c r="CD88" i="33"/>
  <c r="CD81" i="33"/>
  <c r="CD82" i="33"/>
  <c r="CD85" i="33"/>
  <c r="CD86" i="33"/>
  <c r="CF82" i="33"/>
  <c r="CF81" i="33"/>
  <c r="CE22" i="33"/>
  <c r="BZ88" i="33"/>
  <c r="CC85" i="33"/>
  <c r="CC86" i="33"/>
  <c r="CE82" i="33"/>
  <c r="CE88" i="33"/>
  <c r="CE81" i="33"/>
  <c r="CE85" i="33"/>
  <c r="CE86" i="33"/>
  <c r="CF86" i="33"/>
  <c r="CF85" i="33"/>
  <c r="CC22" i="33"/>
  <c r="CD22" i="33"/>
  <c r="CG21" i="33"/>
  <c r="CB21" i="33"/>
  <c r="CG9" i="2"/>
  <c r="CB9" i="2"/>
  <c r="CF78" i="34"/>
  <c r="CF45" i="34"/>
  <c r="BX78" i="34"/>
  <c r="CE78" i="34"/>
  <c r="CD78" i="34"/>
  <c r="CC78" i="34"/>
  <c r="CA78" i="34"/>
  <c r="BZ78" i="34"/>
  <c r="BY78" i="34"/>
  <c r="CE45" i="34"/>
  <c r="CD45" i="34"/>
  <c r="CC45" i="34"/>
  <c r="CA45" i="34"/>
  <c r="BZ45" i="34"/>
  <c r="BY45" i="34"/>
  <c r="BX45" i="34"/>
  <c r="CF50" i="34"/>
  <c r="BX48" i="33"/>
  <c r="CG49" i="34"/>
  <c r="CB49" i="34"/>
  <c r="CG36" i="34"/>
  <c r="CB36" i="34"/>
  <c r="CG14" i="34"/>
  <c r="BX61" i="33"/>
  <c r="BX8" i="33"/>
  <c r="BY8" i="33"/>
  <c r="CF61" i="33"/>
  <c r="CE61" i="33"/>
  <c r="CD61" i="33"/>
  <c r="CC61" i="33"/>
  <c r="CH62" i="33" s="1"/>
  <c r="CA61" i="33"/>
  <c r="BZ61" i="33"/>
  <c r="BY61" i="33"/>
  <c r="CF48" i="33"/>
  <c r="CE48" i="33"/>
  <c r="CD48" i="33"/>
  <c r="CC48" i="33"/>
  <c r="CA48" i="33"/>
  <c r="BZ48" i="33"/>
  <c r="BY48" i="33"/>
  <c r="CE8" i="33"/>
  <c r="CJ8" i="33" s="1"/>
  <c r="CD8" i="33"/>
  <c r="CI9" i="33" s="1"/>
  <c r="CC8" i="33"/>
  <c r="CH9" i="33" s="1"/>
  <c r="CA8" i="33"/>
  <c r="CF9" i="33" s="1"/>
  <c r="BX28" i="2"/>
  <c r="CK12" i="33"/>
  <c r="CP12" i="33" s="1"/>
  <c r="CU12" i="33" s="1"/>
  <c r="CN12" i="33"/>
  <c r="CB64" i="33"/>
  <c r="CG55" i="33"/>
  <c r="CD36" i="2" l="1"/>
  <c r="CD109" i="2" s="1"/>
  <c r="CD112" i="2" s="1"/>
  <c r="CD113" i="2" s="1"/>
  <c r="CC36" i="2"/>
  <c r="CC109" i="2" s="1"/>
  <c r="CG22" i="2"/>
  <c r="CJ16" i="33"/>
  <c r="CU16" i="13"/>
  <c r="CL12" i="33"/>
  <c r="CO12" i="33"/>
  <c r="CT12" i="33" s="1"/>
  <c r="CN8" i="33"/>
  <c r="CS8" i="33" s="1"/>
  <c r="CG80" i="33"/>
  <c r="CG61" i="33"/>
  <c r="CU64" i="33"/>
  <c r="CD90" i="33"/>
  <c r="CD89" i="33"/>
  <c r="CS12" i="33"/>
  <c r="CN64" i="33"/>
  <c r="CC90" i="33"/>
  <c r="CC89" i="33"/>
  <c r="CR64" i="33"/>
  <c r="CE89" i="33"/>
  <c r="CE90" i="33"/>
  <c r="CF90" i="33"/>
  <c r="CF89" i="33"/>
  <c r="CG22" i="33"/>
  <c r="CB48" i="33"/>
  <c r="CF10" i="33"/>
  <c r="CG48" i="33"/>
  <c r="CP8" i="33"/>
  <c r="CF53" i="34"/>
  <c r="CB55" i="33"/>
  <c r="CB80" i="33" s="1"/>
  <c r="CM8" i="33"/>
  <c r="CG8" i="33"/>
  <c r="AN286" i="34"/>
  <c r="AI286" i="34"/>
  <c r="AN285" i="34"/>
  <c r="AI285" i="34"/>
  <c r="AZ259" i="34"/>
  <c r="AY259" i="34"/>
  <c r="AW259" i="34"/>
  <c r="AV259" i="34"/>
  <c r="AU259" i="34"/>
  <c r="AT259" i="34"/>
  <c r="AZ258" i="34"/>
  <c r="AY258" i="34"/>
  <c r="AW258" i="34"/>
  <c r="AV258" i="34"/>
  <c r="AU258" i="34"/>
  <c r="AT258" i="34"/>
  <c r="AZ254" i="34"/>
  <c r="AY254" i="34"/>
  <c r="AW254" i="34"/>
  <c r="AV254" i="34"/>
  <c r="AU254" i="34"/>
  <c r="AT254" i="34"/>
  <c r="AR254" i="34"/>
  <c r="AQ254" i="34"/>
  <c r="AP254" i="34"/>
  <c r="AO254" i="34"/>
  <c r="AM254" i="34"/>
  <c r="AL254" i="34"/>
  <c r="AK254" i="34"/>
  <c r="AJ254" i="34"/>
  <c r="AH254" i="34"/>
  <c r="AG254" i="34"/>
  <c r="AF254" i="34"/>
  <c r="AE254" i="34"/>
  <c r="AZ253" i="34"/>
  <c r="AY253" i="34"/>
  <c r="AW253" i="34"/>
  <c r="AV253" i="34"/>
  <c r="AU253" i="34"/>
  <c r="AT253" i="34"/>
  <c r="AR253" i="34"/>
  <c r="AQ253" i="34"/>
  <c r="AP253" i="34"/>
  <c r="AO253" i="34"/>
  <c r="AM253" i="34"/>
  <c r="AL253" i="34"/>
  <c r="AK253" i="34"/>
  <c r="AJ253" i="34"/>
  <c r="AH253" i="34"/>
  <c r="AG253" i="34"/>
  <c r="AF253" i="34"/>
  <c r="AE253" i="34"/>
  <c r="AZ250" i="34"/>
  <c r="AY250" i="34"/>
  <c r="AW250" i="34"/>
  <c r="AV250" i="34"/>
  <c r="AU250" i="34"/>
  <c r="AT250" i="34"/>
  <c r="AR250" i="34"/>
  <c r="AQ250" i="34"/>
  <c r="AP250" i="34"/>
  <c r="AO250" i="34"/>
  <c r="AM250" i="34"/>
  <c r="AL250" i="34"/>
  <c r="AK250" i="34"/>
  <c r="AJ250" i="34"/>
  <c r="AH250" i="34"/>
  <c r="AG250" i="34"/>
  <c r="AF250" i="34"/>
  <c r="AE250" i="34"/>
  <c r="AX249" i="34"/>
  <c r="AS249" i="34"/>
  <c r="AN249" i="34"/>
  <c r="AI249" i="34"/>
  <c r="AX248" i="34"/>
  <c r="AS248" i="34"/>
  <c r="AN248" i="34"/>
  <c r="AI248" i="34"/>
  <c r="AX247" i="34"/>
  <c r="AS247" i="34"/>
  <c r="AN247" i="34"/>
  <c r="AI247" i="34"/>
  <c r="AZ233" i="34"/>
  <c r="AY233" i="34"/>
  <c r="AY238" i="34" s="1"/>
  <c r="AW233" i="34"/>
  <c r="AW238" i="34" s="1"/>
  <c r="AV233" i="34"/>
  <c r="AV238" i="34" s="1"/>
  <c r="AU233" i="34"/>
  <c r="AU226" i="34" s="1"/>
  <c r="AT233" i="34"/>
  <c r="AR233" i="34"/>
  <c r="AR243" i="34" s="1"/>
  <c r="AQ233" i="34"/>
  <c r="AP233" i="34"/>
  <c r="AP238" i="34" s="1"/>
  <c r="AO233" i="34"/>
  <c r="AO238" i="34" s="1"/>
  <c r="AM233" i="34"/>
  <c r="AL233" i="34"/>
  <c r="AK233" i="34"/>
  <c r="AK243" i="34" s="1"/>
  <c r="AJ233" i="34"/>
  <c r="AJ238" i="34" s="1"/>
  <c r="AH233" i="34"/>
  <c r="AH243" i="34" s="1"/>
  <c r="AG233" i="34"/>
  <c r="AG243" i="34" s="1"/>
  <c r="AF233" i="34"/>
  <c r="AF238" i="34" s="1"/>
  <c r="AE233" i="34"/>
  <c r="AE243" i="34" s="1"/>
  <c r="AZ232" i="34"/>
  <c r="AY232" i="34"/>
  <c r="AY237" i="34" s="1"/>
  <c r="AW232" i="34"/>
  <c r="AW237" i="34" s="1"/>
  <c r="AV232" i="34"/>
  <c r="AV242" i="34" s="1"/>
  <c r="AU232" i="34"/>
  <c r="AU242" i="34" s="1"/>
  <c r="AT232" i="34"/>
  <c r="AT237" i="34" s="1"/>
  <c r="AR232" i="34"/>
  <c r="AQ232" i="34"/>
  <c r="AQ237" i="34" s="1"/>
  <c r="AP232" i="34"/>
  <c r="AP237" i="34" s="1"/>
  <c r="AO232" i="34"/>
  <c r="AO242" i="34" s="1"/>
  <c r="AM232" i="34"/>
  <c r="AM237" i="34" s="1"/>
  <c r="AL232" i="34"/>
  <c r="AL237" i="34" s="1"/>
  <c r="AK232" i="34"/>
  <c r="AJ232" i="34"/>
  <c r="AH232" i="34"/>
  <c r="AH237" i="34" s="1"/>
  <c r="AG232" i="34"/>
  <c r="AG242" i="34" s="1"/>
  <c r="AF232" i="34"/>
  <c r="AF237" i="34" s="1"/>
  <c r="AE232" i="34"/>
  <c r="AE242" i="34" s="1"/>
  <c r="AZ229" i="34"/>
  <c r="AY229" i="34"/>
  <c r="AW229" i="34"/>
  <c r="AV229" i="34"/>
  <c r="AU229" i="34"/>
  <c r="AT229" i="34"/>
  <c r="AR229" i="34"/>
  <c r="AQ229" i="34"/>
  <c r="AP229" i="34"/>
  <c r="AO229" i="34"/>
  <c r="AM229" i="34"/>
  <c r="AL229" i="34"/>
  <c r="AK229" i="34"/>
  <c r="AJ229" i="34"/>
  <c r="AH229" i="34"/>
  <c r="AG229" i="34"/>
  <c r="AF229" i="34"/>
  <c r="AE229" i="34"/>
  <c r="AX228" i="34"/>
  <c r="AS228" i="34"/>
  <c r="AN228" i="34"/>
  <c r="AI228" i="34"/>
  <c r="AZ227" i="34"/>
  <c r="AY227" i="34"/>
  <c r="AY226" i="34" s="1"/>
  <c r="AW227" i="34"/>
  <c r="AV227" i="34"/>
  <c r="AU227" i="34"/>
  <c r="AT227" i="34"/>
  <c r="AR227" i="34"/>
  <c r="AR226" i="34" s="1"/>
  <c r="AQ227" i="34"/>
  <c r="AQ226" i="34" s="1"/>
  <c r="AP227" i="34"/>
  <c r="AP226" i="34" s="1"/>
  <c r="AO227" i="34"/>
  <c r="AO226" i="34" s="1"/>
  <c r="AM227" i="34"/>
  <c r="AM226" i="34" s="1"/>
  <c r="AL227" i="34"/>
  <c r="AL226" i="34" s="1"/>
  <c r="AK227" i="34"/>
  <c r="AK226" i="34" s="1"/>
  <c r="AJ227" i="34"/>
  <c r="AH227" i="34"/>
  <c r="AG227" i="34"/>
  <c r="AG226" i="34" s="1"/>
  <c r="AF227" i="34"/>
  <c r="AF226" i="34" s="1"/>
  <c r="AE227" i="34"/>
  <c r="AE226" i="34" s="1"/>
  <c r="AX225" i="34"/>
  <c r="AS225" i="34"/>
  <c r="AN225" i="34"/>
  <c r="AN229" i="34" s="1"/>
  <c r="AI225" i="34"/>
  <c r="AZ220" i="34"/>
  <c r="AY220" i="34"/>
  <c r="AW220" i="34"/>
  <c r="AV220" i="34"/>
  <c r="AV222" i="34" s="1"/>
  <c r="AU220" i="34"/>
  <c r="AT220" i="34"/>
  <c r="AR220" i="34"/>
  <c r="AQ220" i="34"/>
  <c r="AP220" i="34"/>
  <c r="AO220" i="34"/>
  <c r="AM220" i="34"/>
  <c r="AL220" i="34"/>
  <c r="AK220" i="34"/>
  <c r="AJ220" i="34"/>
  <c r="AH220" i="34"/>
  <c r="AG220" i="34"/>
  <c r="AF220" i="34"/>
  <c r="AE220" i="34"/>
  <c r="AZ218" i="34"/>
  <c r="AY218" i="34"/>
  <c r="AW218" i="34"/>
  <c r="AV218" i="34"/>
  <c r="AU218" i="34"/>
  <c r="AT218" i="34"/>
  <c r="AR218" i="34"/>
  <c r="AQ218" i="34"/>
  <c r="AP218" i="34"/>
  <c r="AO218" i="34"/>
  <c r="AM218" i="34"/>
  <c r="AL218" i="34"/>
  <c r="AK218" i="34"/>
  <c r="AJ218" i="34"/>
  <c r="AZ217" i="34"/>
  <c r="AY217" i="34"/>
  <c r="AW217" i="34"/>
  <c r="AV217" i="34"/>
  <c r="AU217" i="34"/>
  <c r="AT217" i="34"/>
  <c r="AR217" i="34"/>
  <c r="AQ217" i="34"/>
  <c r="AP217" i="34"/>
  <c r="AO217" i="34"/>
  <c r="AM217" i="34"/>
  <c r="AL217" i="34"/>
  <c r="AK217" i="34"/>
  <c r="AJ217" i="34"/>
  <c r="AX216" i="34"/>
  <c r="AS216" i="34"/>
  <c r="AN216" i="34"/>
  <c r="AI216" i="34"/>
  <c r="AZ211" i="34"/>
  <c r="AY211" i="34"/>
  <c r="AW211" i="34"/>
  <c r="AV211" i="34"/>
  <c r="AU211" i="34"/>
  <c r="AT211" i="34"/>
  <c r="AR211" i="34"/>
  <c r="AQ211" i="34"/>
  <c r="AP211" i="34"/>
  <c r="AO211" i="34"/>
  <c r="AM211" i="34"/>
  <c r="AL211" i="34"/>
  <c r="AK211" i="34"/>
  <c r="AJ211" i="34"/>
  <c r="AX210" i="34"/>
  <c r="AS210" i="34"/>
  <c r="AN210" i="34"/>
  <c r="AI210" i="34"/>
  <c r="BH202" i="34"/>
  <c r="BP201" i="34"/>
  <c r="BO201" i="34"/>
  <c r="BN201" i="34"/>
  <c r="BM200" i="34"/>
  <c r="BH200" i="34"/>
  <c r="BM182" i="34"/>
  <c r="BH182" i="34"/>
  <c r="BH188" i="34" s="1"/>
  <c r="BQ170" i="34"/>
  <c r="BQ172" i="34" s="1"/>
  <c r="BP170" i="34"/>
  <c r="BO170" i="34"/>
  <c r="BO172" i="34" s="1"/>
  <c r="BN170" i="34"/>
  <c r="BL170" i="34"/>
  <c r="BK170" i="34"/>
  <c r="BJ170" i="34"/>
  <c r="BI170" i="34"/>
  <c r="BG170" i="34"/>
  <c r="BG172" i="34" s="1"/>
  <c r="BF170" i="34"/>
  <c r="BE170" i="34"/>
  <c r="BD170" i="34"/>
  <c r="BB170" i="34"/>
  <c r="BA170" i="34"/>
  <c r="AZ170" i="34"/>
  <c r="AY170" i="34"/>
  <c r="AW170" i="34"/>
  <c r="AV170" i="34"/>
  <c r="BL168" i="34"/>
  <c r="BK168" i="34"/>
  <c r="BJ168" i="34"/>
  <c r="BI168" i="34"/>
  <c r="BG168" i="34"/>
  <c r="BF168" i="34"/>
  <c r="BE168" i="34"/>
  <c r="BD168" i="34"/>
  <c r="BB168" i="34"/>
  <c r="BA168" i="34"/>
  <c r="AZ168" i="34"/>
  <c r="AY168" i="34"/>
  <c r="AW168" i="34"/>
  <c r="AV168" i="34"/>
  <c r="AU168" i="34"/>
  <c r="AT168" i="34"/>
  <c r="BM167" i="34"/>
  <c r="BH167" i="34"/>
  <c r="BC167" i="34"/>
  <c r="AX167" i="34"/>
  <c r="BE165" i="34"/>
  <c r="BD165" i="34"/>
  <c r="BL163" i="34"/>
  <c r="BK163" i="34"/>
  <c r="BJ163" i="34"/>
  <c r="BI163" i="34"/>
  <c r="BG163" i="34"/>
  <c r="BG165" i="34" s="1"/>
  <c r="BF163" i="34"/>
  <c r="BB163" i="34"/>
  <c r="BA163" i="34"/>
  <c r="AZ163" i="34"/>
  <c r="AY163" i="34"/>
  <c r="AW163" i="34"/>
  <c r="AV163" i="34"/>
  <c r="BQ161" i="34"/>
  <c r="BP161" i="34"/>
  <c r="BO161" i="34"/>
  <c r="BN161" i="34"/>
  <c r="BL161" i="34"/>
  <c r="BK161" i="34"/>
  <c r="BJ161" i="34"/>
  <c r="BI161" i="34"/>
  <c r="BG161" i="34"/>
  <c r="BF161" i="34"/>
  <c r="BE161" i="34"/>
  <c r="BD161" i="34"/>
  <c r="BB161" i="34"/>
  <c r="BA161" i="34"/>
  <c r="AZ161" i="34"/>
  <c r="AY161" i="34"/>
  <c r="AW161" i="34"/>
  <c r="AV161" i="34"/>
  <c r="AU161" i="34"/>
  <c r="AT161" i="34"/>
  <c r="BR160" i="34"/>
  <c r="BM160" i="34"/>
  <c r="BM184" i="34" s="1"/>
  <c r="BH160" i="34"/>
  <c r="BC160" i="34"/>
  <c r="AX160" i="34"/>
  <c r="BL158" i="34"/>
  <c r="BF158" i="34"/>
  <c r="BE158" i="34"/>
  <c r="BD158" i="34"/>
  <c r="BB158" i="34"/>
  <c r="BA158" i="34"/>
  <c r="AZ158" i="34"/>
  <c r="AY158" i="34"/>
  <c r="BC157" i="34"/>
  <c r="AX157" i="34"/>
  <c r="BL155" i="34"/>
  <c r="BK155" i="34"/>
  <c r="BJ155" i="34"/>
  <c r="BI155" i="34"/>
  <c r="BG155" i="34"/>
  <c r="BF155" i="34"/>
  <c r="BF165" i="34" s="1"/>
  <c r="BB155" i="34"/>
  <c r="BA155" i="34"/>
  <c r="BA165" i="34" s="1"/>
  <c r="AZ155" i="34"/>
  <c r="AZ165" i="34" s="1"/>
  <c r="AY155" i="34"/>
  <c r="AW155" i="34"/>
  <c r="AW165" i="34" s="1"/>
  <c r="AV155" i="34"/>
  <c r="BG154" i="34"/>
  <c r="BF154" i="34"/>
  <c r="BB154" i="34"/>
  <c r="BA154" i="34"/>
  <c r="BM153" i="34"/>
  <c r="BE153" i="34"/>
  <c r="BE163" i="34" s="1"/>
  <c r="BD153" i="34"/>
  <c r="BD163" i="34" s="1"/>
  <c r="BC153" i="34"/>
  <c r="BQ151" i="34"/>
  <c r="BP151" i="34"/>
  <c r="BO151" i="34"/>
  <c r="BN151" i="34"/>
  <c r="BL151" i="34"/>
  <c r="BK151" i="34"/>
  <c r="BJ151" i="34"/>
  <c r="BI151" i="34"/>
  <c r="BG151" i="34"/>
  <c r="BF151" i="34"/>
  <c r="BE151" i="34"/>
  <c r="BD151" i="34"/>
  <c r="BB151" i="34"/>
  <c r="BA151" i="34"/>
  <c r="AZ151" i="34"/>
  <c r="AY151" i="34"/>
  <c r="BR150" i="34"/>
  <c r="BM150" i="34"/>
  <c r="BH150" i="34"/>
  <c r="BC150" i="34"/>
  <c r="AX150" i="34"/>
  <c r="BQ148" i="34"/>
  <c r="BP148" i="34"/>
  <c r="BO148" i="34"/>
  <c r="BN148" i="34"/>
  <c r="BL148" i="34"/>
  <c r="BK148" i="34"/>
  <c r="BJ148" i="34"/>
  <c r="BI148" i="34"/>
  <c r="BG148" i="34"/>
  <c r="BF148" i="34"/>
  <c r="BE148" i="34"/>
  <c r="BD148" i="34"/>
  <c r="BB148" i="34"/>
  <c r="BA148" i="34"/>
  <c r="AZ148" i="34"/>
  <c r="AY148" i="34"/>
  <c r="BR147" i="34"/>
  <c r="BM147" i="34"/>
  <c r="BH147" i="34"/>
  <c r="BC147" i="34"/>
  <c r="AX147" i="34"/>
  <c r="BQ145" i="34"/>
  <c r="BP145" i="34"/>
  <c r="BP172" i="34" s="1"/>
  <c r="BO145" i="34"/>
  <c r="BN145" i="34"/>
  <c r="BL145" i="34"/>
  <c r="BK145" i="34"/>
  <c r="BJ145" i="34"/>
  <c r="BI145" i="34"/>
  <c r="BG145" i="34"/>
  <c r="BF145" i="34"/>
  <c r="BF172" i="34" s="1"/>
  <c r="BE145" i="34"/>
  <c r="BE172" i="34" s="1"/>
  <c r="BD145" i="34"/>
  <c r="BD172" i="34" s="1"/>
  <c r="BB145" i="34"/>
  <c r="BB172" i="34" s="1"/>
  <c r="BA145" i="34"/>
  <c r="AZ145" i="34"/>
  <c r="AY145" i="34"/>
  <c r="AW145" i="34"/>
  <c r="AV145" i="34"/>
  <c r="AV172" i="34" s="1"/>
  <c r="BQ144" i="34"/>
  <c r="BP144" i="34"/>
  <c r="BO144" i="34"/>
  <c r="BN144" i="34"/>
  <c r="BL144" i="34"/>
  <c r="BK144" i="34"/>
  <c r="BJ144" i="34"/>
  <c r="BI144" i="34"/>
  <c r="BG144" i="34"/>
  <c r="BF144" i="34"/>
  <c r="BE144" i="34"/>
  <c r="BD144" i="34"/>
  <c r="BB144" i="34"/>
  <c r="BA144" i="34"/>
  <c r="BR143" i="34"/>
  <c r="BM143" i="34"/>
  <c r="BH143" i="34"/>
  <c r="BC143" i="34"/>
  <c r="BN136" i="34"/>
  <c r="BK136" i="34"/>
  <c r="BJ136" i="34"/>
  <c r="BE136" i="34" s="1"/>
  <c r="BH136" i="34"/>
  <c r="BM136" i="34" s="1"/>
  <c r="BD136" i="34"/>
  <c r="BC136" i="34"/>
  <c r="BK134" i="34"/>
  <c r="BP134" i="34" s="1"/>
  <c r="BJ134" i="34"/>
  <c r="BE134" i="34" s="1"/>
  <c r="BI134" i="34"/>
  <c r="BH134" i="34"/>
  <c r="BM134" i="34" s="1"/>
  <c r="BC134" i="34"/>
  <c r="BK132" i="34"/>
  <c r="BP132" i="34" s="1"/>
  <c r="BJ132" i="34"/>
  <c r="BI132" i="34"/>
  <c r="BD132" i="34" s="1"/>
  <c r="BH132" i="34"/>
  <c r="BH133" i="34" s="1"/>
  <c r="BK130" i="34"/>
  <c r="BP130" i="34" s="1"/>
  <c r="BJ130" i="34"/>
  <c r="BO130" i="34" s="1"/>
  <c r="BI130" i="34"/>
  <c r="BH130" i="34"/>
  <c r="BQ129" i="34"/>
  <c r="BP129" i="34"/>
  <c r="BO129" i="34"/>
  <c r="BN129" i="34"/>
  <c r="BM129" i="34"/>
  <c r="BI129" i="34"/>
  <c r="BH108" i="34"/>
  <c r="BC108" i="34"/>
  <c r="AX108" i="34"/>
  <c r="CF74" i="34"/>
  <c r="CE74" i="34"/>
  <c r="CD74" i="34"/>
  <c r="CC74" i="34"/>
  <c r="CA74" i="34"/>
  <c r="CA75" i="34" s="1"/>
  <c r="BZ74" i="34"/>
  <c r="BY74" i="34"/>
  <c r="BX74" i="34"/>
  <c r="BG68" i="34"/>
  <c r="BF68" i="34"/>
  <c r="BD68" i="34"/>
  <c r="BB68" i="34"/>
  <c r="BA68" i="34"/>
  <c r="AZ68" i="34"/>
  <c r="AY68" i="34"/>
  <c r="AW68" i="34"/>
  <c r="AV68" i="34"/>
  <c r="BG66" i="34"/>
  <c r="BF66" i="34"/>
  <c r="BE66" i="34"/>
  <c r="BD66" i="34"/>
  <c r="BB66" i="34"/>
  <c r="BA66" i="34"/>
  <c r="AZ66" i="34"/>
  <c r="AY66" i="34"/>
  <c r="AW66" i="34"/>
  <c r="AV66" i="34"/>
  <c r="AU66" i="34"/>
  <c r="AT66" i="34"/>
  <c r="CE53" i="34"/>
  <c r="CD53" i="34"/>
  <c r="CC53" i="34"/>
  <c r="CF46" i="34"/>
  <c r="CE46" i="34"/>
  <c r="CD46" i="34"/>
  <c r="CC46" i="34"/>
  <c r="CG45" i="34"/>
  <c r="CB45" i="34"/>
  <c r="CD37" i="34"/>
  <c r="CI14" i="34"/>
  <c r="CC38" i="34"/>
  <c r="CP9" i="34"/>
  <c r="CO9" i="34"/>
  <c r="CN9" i="34"/>
  <c r="CM9" i="34"/>
  <c r="CK9" i="34"/>
  <c r="CJ9" i="34"/>
  <c r="CI9" i="34"/>
  <c r="CH9" i="34"/>
  <c r="CB9" i="34"/>
  <c r="BW9" i="34"/>
  <c r="BR9" i="34"/>
  <c r="CP6" i="34"/>
  <c r="CO6" i="34"/>
  <c r="CN6" i="34"/>
  <c r="CM6" i="34"/>
  <c r="CK6" i="34"/>
  <c r="CJ6" i="34"/>
  <c r="CI6" i="34"/>
  <c r="CH6" i="34"/>
  <c r="CF6" i="34"/>
  <c r="CE6" i="34"/>
  <c r="CD6" i="34"/>
  <c r="CC6" i="34"/>
  <c r="CA6" i="34"/>
  <c r="BZ6" i="34"/>
  <c r="BY6" i="34"/>
  <c r="BX6" i="34"/>
  <c r="BV6" i="34"/>
  <c r="BU6" i="34"/>
  <c r="BT6" i="34"/>
  <c r="BS6" i="34"/>
  <c r="BQ6" i="34"/>
  <c r="BP6" i="34"/>
  <c r="BO6" i="34"/>
  <c r="BN6" i="34"/>
  <c r="BL6" i="34"/>
  <c r="BK6" i="34"/>
  <c r="BJ6" i="34"/>
  <c r="BI6" i="34"/>
  <c r="BG6" i="34"/>
  <c r="BF6" i="34"/>
  <c r="BE6" i="34"/>
  <c r="BD6" i="34"/>
  <c r="BB6" i="34"/>
  <c r="BA6" i="34"/>
  <c r="AZ6" i="34"/>
  <c r="AY6" i="34"/>
  <c r="AW6" i="34"/>
  <c r="AV6" i="34"/>
  <c r="AU6" i="34"/>
  <c r="AT6" i="34"/>
  <c r="AR6" i="34"/>
  <c r="AQ6" i="34"/>
  <c r="AP6" i="34"/>
  <c r="AO6" i="34"/>
  <c r="AM6" i="34"/>
  <c r="AL6" i="34"/>
  <c r="AK6" i="34"/>
  <c r="AJ6" i="34"/>
  <c r="AH6" i="34"/>
  <c r="AG6" i="34"/>
  <c r="AF6" i="34"/>
  <c r="AE6" i="34"/>
  <c r="AC6" i="34"/>
  <c r="AB6" i="34"/>
  <c r="AA6" i="34"/>
  <c r="Z6" i="34"/>
  <c r="E6" i="34"/>
  <c r="CP5" i="34"/>
  <c r="CO5" i="34"/>
  <c r="CN5" i="34"/>
  <c r="CM5" i="34"/>
  <c r="CK5" i="34"/>
  <c r="CJ5" i="34"/>
  <c r="CI5" i="34"/>
  <c r="CH5" i="34"/>
  <c r="CF5" i="34"/>
  <c r="CE5" i="34"/>
  <c r="CD5" i="34"/>
  <c r="CC5" i="34"/>
  <c r="CA5" i="34"/>
  <c r="BZ5" i="34"/>
  <c r="BY5" i="34"/>
  <c r="BX5" i="34"/>
  <c r="BV5" i="34"/>
  <c r="BU5" i="34"/>
  <c r="BT5" i="34"/>
  <c r="BS5" i="34"/>
  <c r="BQ5" i="34"/>
  <c r="BP5" i="34"/>
  <c r="BO5" i="34"/>
  <c r="BN5" i="34"/>
  <c r="BL5" i="34"/>
  <c r="BK5" i="34"/>
  <c r="BJ5" i="34"/>
  <c r="BI5" i="34"/>
  <c r="BG5" i="34"/>
  <c r="BF5" i="34"/>
  <c r="BE5" i="34"/>
  <c r="BD5" i="34"/>
  <c r="BB5" i="34"/>
  <c r="BA5" i="34"/>
  <c r="AZ5" i="34"/>
  <c r="AY5" i="34"/>
  <c r="AW5" i="34"/>
  <c r="AV5" i="34"/>
  <c r="AU5" i="34"/>
  <c r="AT5" i="34"/>
  <c r="AR5" i="34"/>
  <c r="AQ5" i="34"/>
  <c r="AP5" i="34"/>
  <c r="AO5" i="34"/>
  <c r="AM5" i="34"/>
  <c r="AL5" i="34"/>
  <c r="AK5" i="34"/>
  <c r="AJ5" i="34"/>
  <c r="AH5" i="34"/>
  <c r="AG5" i="34"/>
  <c r="AF5" i="34"/>
  <c r="AE5" i="34"/>
  <c r="AC5" i="34"/>
  <c r="AB5" i="34"/>
  <c r="AA5" i="34"/>
  <c r="Z5" i="34"/>
  <c r="X5" i="34"/>
  <c r="W5" i="34"/>
  <c r="V5" i="34"/>
  <c r="U5" i="34"/>
  <c r="S5" i="34"/>
  <c r="R5" i="34"/>
  <c r="Q5" i="34"/>
  <c r="P5" i="34"/>
  <c r="N5" i="34"/>
  <c r="M5" i="34"/>
  <c r="L5" i="34"/>
  <c r="K5" i="34"/>
  <c r="J5" i="34"/>
  <c r="I5" i="34"/>
  <c r="H5" i="34"/>
  <c r="G5" i="34"/>
  <c r="F5" i="34"/>
  <c r="E5" i="34"/>
  <c r="CQ4" i="34"/>
  <c r="CM4" i="34"/>
  <c r="CL4" i="34"/>
  <c r="CH4" i="34"/>
  <c r="CG4" i="34"/>
  <c r="CC4" i="34"/>
  <c r="CB4" i="34"/>
  <c r="BX4" i="34"/>
  <c r="BW4" i="34"/>
  <c r="BS4" i="34"/>
  <c r="BR4" i="34"/>
  <c r="BN4" i="34"/>
  <c r="BM4" i="34"/>
  <c r="BI4" i="34"/>
  <c r="BH4" i="34"/>
  <c r="BD4" i="34"/>
  <c r="BC4" i="34"/>
  <c r="AY4" i="34"/>
  <c r="AX4" i="34"/>
  <c r="AT4" i="34"/>
  <c r="AS4" i="34"/>
  <c r="AO4" i="34"/>
  <c r="AN4" i="34"/>
  <c r="AJ4" i="34"/>
  <c r="AI4" i="34"/>
  <c r="AE4" i="34"/>
  <c r="AD4" i="34"/>
  <c r="Z4" i="34"/>
  <c r="Y4" i="34"/>
  <c r="U4" i="34"/>
  <c r="T4" i="34"/>
  <c r="P4" i="34"/>
  <c r="O4" i="34"/>
  <c r="K4" i="34"/>
  <c r="J4" i="34"/>
  <c r="I4" i="34"/>
  <c r="H4" i="34"/>
  <c r="G4" i="34"/>
  <c r="F4" i="34"/>
  <c r="E4" i="34"/>
  <c r="CF71" i="33"/>
  <c r="CE71" i="33"/>
  <c r="CE73" i="33" s="1"/>
  <c r="CD71" i="33"/>
  <c r="CD73" i="33" s="1"/>
  <c r="CC71" i="33"/>
  <c r="CA71" i="33"/>
  <c r="CA73" i="33" s="1"/>
  <c r="BZ71" i="33"/>
  <c r="BZ73" i="33" s="1"/>
  <c r="BY71" i="33"/>
  <c r="BY73" i="33" s="1"/>
  <c r="BX71" i="33"/>
  <c r="CF69" i="33"/>
  <c r="CE69" i="33"/>
  <c r="CD69" i="33"/>
  <c r="CC69" i="33"/>
  <c r="CA69" i="33"/>
  <c r="BZ69" i="33"/>
  <c r="BY69" i="33"/>
  <c r="BX69" i="33"/>
  <c r="CF68" i="33"/>
  <c r="CE68" i="33"/>
  <c r="CD68" i="33"/>
  <c r="CC68" i="33"/>
  <c r="CG67" i="33"/>
  <c r="CG84" i="33" s="1"/>
  <c r="CB67" i="33"/>
  <c r="CF63" i="33"/>
  <c r="CK63" i="33" s="1"/>
  <c r="CP63" i="33" s="1"/>
  <c r="CU63" i="33" s="1"/>
  <c r="CE63" i="33"/>
  <c r="CJ63" i="33" s="1"/>
  <c r="CO63" i="33" s="1"/>
  <c r="CT63" i="33" s="1"/>
  <c r="CD63" i="33"/>
  <c r="CI63" i="33" s="1"/>
  <c r="CN63" i="33" s="1"/>
  <c r="CS63" i="33" s="1"/>
  <c r="CC63" i="33"/>
  <c r="CA63" i="33"/>
  <c r="BZ63" i="33"/>
  <c r="BY63" i="33"/>
  <c r="BX63" i="33"/>
  <c r="CF62" i="33"/>
  <c r="CE62" i="33"/>
  <c r="CD62" i="33"/>
  <c r="CC62" i="33"/>
  <c r="CB61" i="33"/>
  <c r="CF57" i="33"/>
  <c r="CE57" i="33"/>
  <c r="CD57" i="33"/>
  <c r="CC57" i="33"/>
  <c r="CA57" i="33"/>
  <c r="BZ57" i="33"/>
  <c r="BY57" i="33"/>
  <c r="BX57" i="33"/>
  <c r="CF56" i="33"/>
  <c r="CE56" i="33"/>
  <c r="CD56" i="33"/>
  <c r="CC56" i="33"/>
  <c r="CF50" i="33"/>
  <c r="CK50" i="33" s="1"/>
  <c r="CP50" i="33" s="1"/>
  <c r="CU50" i="33" s="1"/>
  <c r="CE50" i="33"/>
  <c r="CJ50" i="33" s="1"/>
  <c r="CO50" i="33" s="1"/>
  <c r="CT50" i="33" s="1"/>
  <c r="CD50" i="33"/>
  <c r="CI50" i="33" s="1"/>
  <c r="CN50" i="33" s="1"/>
  <c r="CS50" i="33" s="1"/>
  <c r="CC50" i="33"/>
  <c r="CA50" i="33"/>
  <c r="BZ50" i="33"/>
  <c r="BY50" i="33"/>
  <c r="BX50" i="33"/>
  <c r="CF49" i="33"/>
  <c r="CE49" i="33"/>
  <c r="CD49" i="33"/>
  <c r="CC49" i="33"/>
  <c r="CF14" i="33"/>
  <c r="CC14" i="33"/>
  <c r="CE10" i="33"/>
  <c r="CD10" i="33"/>
  <c r="CC10" i="33"/>
  <c r="CA10" i="33"/>
  <c r="BZ10" i="33"/>
  <c r="BY10" i="33"/>
  <c r="BX10" i="33"/>
  <c r="CE9" i="33"/>
  <c r="CD9" i="33"/>
  <c r="CC9" i="33"/>
  <c r="CB8" i="33"/>
  <c r="CP6" i="33"/>
  <c r="CO6" i="33"/>
  <c r="CN6" i="33"/>
  <c r="CM6" i="33"/>
  <c r="CK6" i="33"/>
  <c r="CJ6" i="33"/>
  <c r="CI6" i="33"/>
  <c r="CH6" i="33"/>
  <c r="CF6" i="33"/>
  <c r="CE6" i="33"/>
  <c r="CD6" i="33"/>
  <c r="CC6" i="33"/>
  <c r="CA6" i="33"/>
  <c r="BZ6" i="33"/>
  <c r="BY6" i="33"/>
  <c r="BX6" i="33"/>
  <c r="BV6" i="33"/>
  <c r="BU6" i="33"/>
  <c r="BT6" i="33"/>
  <c r="BS6" i="33"/>
  <c r="BQ6" i="33"/>
  <c r="BP6" i="33"/>
  <c r="BO6" i="33"/>
  <c r="BN6" i="33"/>
  <c r="BL6" i="33"/>
  <c r="BK6" i="33"/>
  <c r="BJ6" i="33"/>
  <c r="BI6" i="33"/>
  <c r="BG6" i="33"/>
  <c r="BF6" i="33"/>
  <c r="BE6" i="33"/>
  <c r="BD6" i="33"/>
  <c r="BB6" i="33"/>
  <c r="BA6" i="33"/>
  <c r="AZ6" i="33"/>
  <c r="AY6" i="33"/>
  <c r="AW6" i="33"/>
  <c r="AV6" i="33"/>
  <c r="AU6" i="33"/>
  <c r="AT6" i="33"/>
  <c r="AR6" i="33"/>
  <c r="AQ6" i="33"/>
  <c r="AP6" i="33"/>
  <c r="AO6" i="33"/>
  <c r="AM6" i="33"/>
  <c r="AL6" i="33"/>
  <c r="AK6" i="33"/>
  <c r="AJ6" i="33"/>
  <c r="AH6" i="33"/>
  <c r="AG6" i="33"/>
  <c r="AF6" i="33"/>
  <c r="AE6" i="33"/>
  <c r="AC6" i="33"/>
  <c r="AB6" i="33"/>
  <c r="AA6" i="33"/>
  <c r="Z6" i="33"/>
  <c r="E6" i="33"/>
  <c r="CP5" i="33"/>
  <c r="CO5" i="33"/>
  <c r="CN5" i="33"/>
  <c r="CM5" i="33"/>
  <c r="CK5" i="33"/>
  <c r="CJ5" i="33"/>
  <c r="CI5" i="33"/>
  <c r="CH5" i="33"/>
  <c r="CF5" i="33"/>
  <c r="CE5" i="33"/>
  <c r="CD5" i="33"/>
  <c r="CC5" i="33"/>
  <c r="CA5" i="33"/>
  <c r="BZ5" i="33"/>
  <c r="BY5" i="33"/>
  <c r="BX5" i="33"/>
  <c r="BV5" i="33"/>
  <c r="BU5" i="33"/>
  <c r="BT5" i="33"/>
  <c r="BS5" i="33"/>
  <c r="BQ5" i="33"/>
  <c r="BP5" i="33"/>
  <c r="BO5" i="33"/>
  <c r="BN5" i="33"/>
  <c r="BL5" i="33"/>
  <c r="BK5" i="33"/>
  <c r="BJ5" i="33"/>
  <c r="BI5" i="33"/>
  <c r="BG5" i="33"/>
  <c r="BF5" i="33"/>
  <c r="BE5" i="33"/>
  <c r="BD5" i="33"/>
  <c r="BB5" i="33"/>
  <c r="BA5" i="33"/>
  <c r="AZ5" i="33"/>
  <c r="AY5" i="33"/>
  <c r="AW5" i="33"/>
  <c r="AV5" i="33"/>
  <c r="AU5" i="33"/>
  <c r="AT5" i="33"/>
  <c r="AR5" i="33"/>
  <c r="AQ5" i="33"/>
  <c r="AP5" i="33"/>
  <c r="AO5" i="33"/>
  <c r="AM5" i="33"/>
  <c r="AL5" i="33"/>
  <c r="AK5" i="33"/>
  <c r="AJ5" i="33"/>
  <c r="AH5" i="33"/>
  <c r="AG5" i="33"/>
  <c r="AF5" i="33"/>
  <c r="AE5" i="33"/>
  <c r="AC5" i="33"/>
  <c r="AB5" i="33"/>
  <c r="AA5" i="33"/>
  <c r="Z5" i="33"/>
  <c r="X5" i="33"/>
  <c r="W5" i="33"/>
  <c r="V5" i="33"/>
  <c r="U5" i="33"/>
  <c r="S5" i="33"/>
  <c r="R5" i="33"/>
  <c r="Q5" i="33"/>
  <c r="P5" i="33"/>
  <c r="N5" i="33"/>
  <c r="M5" i="33"/>
  <c r="L5" i="33"/>
  <c r="K5" i="33"/>
  <c r="J5" i="33"/>
  <c r="I5" i="33"/>
  <c r="H5" i="33"/>
  <c r="G5" i="33"/>
  <c r="F5" i="33"/>
  <c r="E5" i="33"/>
  <c r="CQ4" i="33"/>
  <c r="CM4" i="33"/>
  <c r="CL4" i="33"/>
  <c r="CH4" i="33"/>
  <c r="CG4" i="33"/>
  <c r="CC4" i="33"/>
  <c r="CB4" i="33"/>
  <c r="BX4" i="33"/>
  <c r="BW4" i="33"/>
  <c r="BS4" i="33"/>
  <c r="BR4" i="33"/>
  <c r="BN4" i="33"/>
  <c r="BM4" i="33"/>
  <c r="BI4" i="33"/>
  <c r="BH4" i="33"/>
  <c r="BD4" i="33"/>
  <c r="BC4" i="33"/>
  <c r="AY4" i="33"/>
  <c r="AX4" i="33"/>
  <c r="AT4" i="33"/>
  <c r="AS4" i="33"/>
  <c r="AO4" i="33"/>
  <c r="AN4" i="33"/>
  <c r="AJ4" i="33"/>
  <c r="AI4" i="33"/>
  <c r="AE4" i="33"/>
  <c r="AD4" i="33"/>
  <c r="Z4" i="33"/>
  <c r="Y4" i="33"/>
  <c r="U4" i="33"/>
  <c r="T4" i="33"/>
  <c r="P4" i="33"/>
  <c r="O4" i="33"/>
  <c r="K4" i="33"/>
  <c r="J4" i="33"/>
  <c r="I4" i="33"/>
  <c r="H4" i="33"/>
  <c r="G4" i="33"/>
  <c r="F4" i="33"/>
  <c r="E4" i="33"/>
  <c r="BG67" i="34" l="1"/>
  <c r="BA70" i="34"/>
  <c r="BD70" i="34"/>
  <c r="CG109" i="2"/>
  <c r="CC112" i="2"/>
  <c r="CC54" i="2"/>
  <c r="CC65" i="2" s="1"/>
  <c r="CO8" i="33"/>
  <c r="CT8" i="33" s="1"/>
  <c r="CT61" i="33" s="1"/>
  <c r="CN16" i="33"/>
  <c r="CN26" i="13" s="1"/>
  <c r="CJ17" i="33"/>
  <c r="CJ26" i="33"/>
  <c r="CJ43" i="33" s="1"/>
  <c r="CJ44" i="33" s="1"/>
  <c r="CI17" i="33"/>
  <c r="CI43" i="33"/>
  <c r="CI44" i="33" s="1"/>
  <c r="CG88" i="33"/>
  <c r="CG81" i="33"/>
  <c r="CG82" i="33"/>
  <c r="CB84" i="33"/>
  <c r="CB88" i="33" s="1"/>
  <c r="CV12" i="33"/>
  <c r="CP16" i="33"/>
  <c r="CP26" i="13" s="1"/>
  <c r="CU8" i="33"/>
  <c r="CU61" i="33" s="1"/>
  <c r="CU67" i="33" s="1"/>
  <c r="CM16" i="33"/>
  <c r="CM26" i="13" s="1"/>
  <c r="CR8" i="33"/>
  <c r="CS64" i="33"/>
  <c r="CS16" i="33"/>
  <c r="CS26" i="13" s="1"/>
  <c r="CT64" i="33"/>
  <c r="CJ21" i="33"/>
  <c r="CJ22" i="33" s="1"/>
  <c r="CH21" i="33"/>
  <c r="CH22" i="33" s="1"/>
  <c r="EZ17" i="25"/>
  <c r="CK16" i="33"/>
  <c r="CK26" i="33" s="1"/>
  <c r="CK27" i="33" s="1"/>
  <c r="CJ14" i="33"/>
  <c r="CJ10" i="33"/>
  <c r="CJ9" i="2"/>
  <c r="CI9" i="2"/>
  <c r="CH14" i="33"/>
  <c r="CH9" i="2"/>
  <c r="AW255" i="34"/>
  <c r="AI254" i="34"/>
  <c r="AE255" i="34"/>
  <c r="BO136" i="34"/>
  <c r="BE130" i="34"/>
  <c r="BE128" i="34" s="1"/>
  <c r="BM144" i="34"/>
  <c r="BF69" i="34"/>
  <c r="BK138" i="34"/>
  <c r="BK140" i="34" s="1"/>
  <c r="AU237" i="34"/>
  <c r="BO134" i="34"/>
  <c r="AX229" i="34"/>
  <c r="AT234" i="34"/>
  <c r="AT239" i="34" s="1"/>
  <c r="AH238" i="34"/>
  <c r="BC168" i="34"/>
  <c r="BF130" i="34"/>
  <c r="BF128" i="34" s="1"/>
  <c r="AS211" i="34"/>
  <c r="BF70" i="34"/>
  <c r="BF71" i="34" s="1"/>
  <c r="AX161" i="34"/>
  <c r="AP243" i="34"/>
  <c r="BE156" i="34"/>
  <c r="AG244" i="34"/>
  <c r="BJ138" i="34"/>
  <c r="BJ140" i="34" s="1"/>
  <c r="BG156" i="34"/>
  <c r="BA69" i="34"/>
  <c r="BI128" i="34"/>
  <c r="BE68" i="34"/>
  <c r="BE69" i="34" s="1"/>
  <c r="AW226" i="34"/>
  <c r="BL146" i="34"/>
  <c r="BQ146" i="34"/>
  <c r="BR170" i="34"/>
  <c r="BR171" i="34" s="1"/>
  <c r="AL234" i="34"/>
  <c r="AL239" i="34" s="1"/>
  <c r="AV237" i="34"/>
  <c r="AO243" i="34"/>
  <c r="AO244" i="34" s="1"/>
  <c r="AF255" i="34"/>
  <c r="BM151" i="34"/>
  <c r="BB70" i="34"/>
  <c r="BF136" i="34"/>
  <c r="BG136" i="34" s="1"/>
  <c r="BC158" i="34"/>
  <c r="BQ173" i="34"/>
  <c r="AX211" i="34"/>
  <c r="AO221" i="34"/>
  <c r="AY221" i="34"/>
  <c r="AI253" i="34"/>
  <c r="AT255" i="34"/>
  <c r="BA67" i="34"/>
  <c r="AW243" i="34"/>
  <c r="AV70" i="34"/>
  <c r="BA71" i="34" s="1"/>
  <c r="BH155" i="34"/>
  <c r="BG166" i="34"/>
  <c r="AN220" i="34"/>
  <c r="AZ221" i="34"/>
  <c r="AX227" i="34"/>
  <c r="AO234" i="34"/>
  <c r="AO239" i="34" s="1"/>
  <c r="AR238" i="34"/>
  <c r="AN253" i="34"/>
  <c r="AU255" i="34"/>
  <c r="BE146" i="34"/>
  <c r="BO128" i="34"/>
  <c r="BP136" i="34"/>
  <c r="BP138" i="34" s="1"/>
  <c r="AM221" i="34"/>
  <c r="BE70" i="34"/>
  <c r="BF132" i="34"/>
  <c r="AS220" i="34"/>
  <c r="AV221" i="34"/>
  <c r="AM222" i="34"/>
  <c r="AV234" i="34"/>
  <c r="AV239" i="34" s="1"/>
  <c r="AT242" i="34"/>
  <c r="AS258" i="34"/>
  <c r="AL255" i="34"/>
  <c r="BC66" i="34"/>
  <c r="BF67" i="34"/>
  <c r="AT260" i="34"/>
  <c r="BC151" i="34"/>
  <c r="BJ172" i="34"/>
  <c r="AQ221" i="34"/>
  <c r="AW234" i="34"/>
  <c r="AW239" i="34" s="1"/>
  <c r="AS253" i="34"/>
  <c r="AS259" i="34"/>
  <c r="CL9" i="34"/>
  <c r="CA51" i="34"/>
  <c r="BZ75" i="34"/>
  <c r="BX75" i="34"/>
  <c r="BK146" i="34"/>
  <c r="BP146" i="34"/>
  <c r="BH151" i="34"/>
  <c r="BK172" i="34"/>
  <c r="BM183" i="34"/>
  <c r="AR222" i="34"/>
  <c r="AS229" i="34"/>
  <c r="AV226" i="34"/>
  <c r="AE237" i="34"/>
  <c r="AV243" i="34"/>
  <c r="AV244" i="34" s="1"/>
  <c r="AX258" i="34"/>
  <c r="AN281" i="34"/>
  <c r="AN284" i="34" s="1"/>
  <c r="BM170" i="34"/>
  <c r="BM171" i="34" s="1"/>
  <c r="AT226" i="34"/>
  <c r="CF38" i="34"/>
  <c r="BP128" i="34"/>
  <c r="BB146" i="34"/>
  <c r="BL172" i="34"/>
  <c r="AI232" i="34"/>
  <c r="AI237" i="34" s="1"/>
  <c r="AW242" i="34"/>
  <c r="CG15" i="34"/>
  <c r="CD51" i="34"/>
  <c r="AZ67" i="34"/>
  <c r="CB74" i="34"/>
  <c r="CB75" i="34" s="1"/>
  <c r="CD75" i="34"/>
  <c r="BN130" i="34"/>
  <c r="BN128" i="34" s="1"/>
  <c r="BM132" i="34"/>
  <c r="BL132" i="34" s="1"/>
  <c r="BC148" i="34"/>
  <c r="BR151" i="34"/>
  <c r="BE154" i="34"/>
  <c r="BR161" i="34"/>
  <c r="AI220" i="34"/>
  <c r="AI281" i="34" s="1"/>
  <c r="AI284" i="34" s="1"/>
  <c r="AK255" i="34"/>
  <c r="AG237" i="34"/>
  <c r="AG238" i="34"/>
  <c r="AY243" i="34"/>
  <c r="AM242" i="34"/>
  <c r="AI229" i="34"/>
  <c r="AX232" i="34"/>
  <c r="AX237" i="34" s="1"/>
  <c r="BA156" i="34"/>
  <c r="BH165" i="34"/>
  <c r="BZ51" i="34"/>
  <c r="BE67" i="34"/>
  <c r="BC68" i="34"/>
  <c r="BN132" i="34"/>
  <c r="BL136" i="34"/>
  <c r="BQ136" i="34" s="1"/>
  <c r="AV165" i="34"/>
  <c r="AO222" i="34"/>
  <c r="AF234" i="34"/>
  <c r="AF239" i="34" s="1"/>
  <c r="AF242" i="34"/>
  <c r="AF243" i="34"/>
  <c r="AI243" i="34" s="1"/>
  <c r="AS254" i="34"/>
  <c r="AG255" i="34"/>
  <c r="BH153" i="34"/>
  <c r="AJ222" i="34"/>
  <c r="BB67" i="34"/>
  <c r="BD69" i="34"/>
  <c r="BR144" i="34"/>
  <c r="BH163" i="34"/>
  <c r="AQ222" i="34"/>
  <c r="AG234" i="34"/>
  <c r="AG239" i="34" s="1"/>
  <c r="AO237" i="34"/>
  <c r="AL242" i="34"/>
  <c r="AX253" i="34"/>
  <c r="CQ12" i="33"/>
  <c r="CG12" i="33"/>
  <c r="CL13" i="33" s="1"/>
  <c r="CG10" i="33"/>
  <c r="CG9" i="33"/>
  <c r="CB50" i="33"/>
  <c r="CG50" i="33"/>
  <c r="CF72" i="33"/>
  <c r="CB10" i="33"/>
  <c r="CB57" i="33"/>
  <c r="CA72" i="33"/>
  <c r="CE66" i="33"/>
  <c r="CD14" i="33"/>
  <c r="CC53" i="33"/>
  <c r="CC66" i="33"/>
  <c r="CB71" i="33"/>
  <c r="CB72" i="33" s="1"/>
  <c r="CE13" i="33"/>
  <c r="CG49" i="33"/>
  <c r="CF54" i="33"/>
  <c r="CK54" i="33" s="1"/>
  <c r="CP54" i="33" s="1"/>
  <c r="CU54" i="33" s="1"/>
  <c r="CF53" i="33"/>
  <c r="CE65" i="33"/>
  <c r="CG71" i="33"/>
  <c r="CC73" i="33"/>
  <c r="CC65" i="33"/>
  <c r="CF73" i="33"/>
  <c r="CC72" i="33"/>
  <c r="BX72" i="33"/>
  <c r="BZ72" i="33"/>
  <c r="BY51" i="34"/>
  <c r="CE15" i="34"/>
  <c r="BX38" i="34"/>
  <c r="CD15" i="34"/>
  <c r="AS233" i="34"/>
  <c r="AS238" i="34" s="1"/>
  <c r="AQ243" i="34"/>
  <c r="AS243" i="34" s="1"/>
  <c r="AQ238" i="34"/>
  <c r="BY38" i="34"/>
  <c r="CQ9" i="34"/>
  <c r="CG46" i="34"/>
  <c r="CA38" i="34"/>
  <c r="AH226" i="34"/>
  <c r="AI226" i="34" s="1"/>
  <c r="AI227" i="34"/>
  <c r="BC130" i="34"/>
  <c r="BM130" i="34"/>
  <c r="BH128" i="34"/>
  <c r="AU222" i="34"/>
  <c r="AP222" i="34"/>
  <c r="AP221" i="34"/>
  <c r="BZ38" i="34"/>
  <c r="BX51" i="34"/>
  <c r="CF51" i="34"/>
  <c r="CG74" i="34"/>
  <c r="CE75" i="34"/>
  <c r="BH161" i="34"/>
  <c r="BH184" i="34"/>
  <c r="BM185" i="34" s="1"/>
  <c r="CC37" i="34"/>
  <c r="CD38" i="34"/>
  <c r="CI38" i="34" s="1"/>
  <c r="CG53" i="34"/>
  <c r="BM148" i="34"/>
  <c r="AR242" i="34"/>
  <c r="AR244" i="34" s="1"/>
  <c r="AR234" i="34"/>
  <c r="AR239" i="34" s="1"/>
  <c r="AR237" i="34"/>
  <c r="AZ242" i="34"/>
  <c r="AZ234" i="34"/>
  <c r="AZ239" i="34" s="1"/>
  <c r="AZ237" i="34"/>
  <c r="AM238" i="34"/>
  <c r="AM243" i="34"/>
  <c r="AM234" i="34"/>
  <c r="AM239" i="34" s="1"/>
  <c r="CE38" i="34"/>
  <c r="CE37" i="34"/>
  <c r="CG50" i="34"/>
  <c r="BR148" i="34"/>
  <c r="AS226" i="34"/>
  <c r="AJ242" i="34"/>
  <c r="AJ234" i="34"/>
  <c r="AN232" i="34"/>
  <c r="AN237" i="34" s="1"/>
  <c r="AJ237" i="34"/>
  <c r="AS232" i="34"/>
  <c r="AS237" i="34" s="1"/>
  <c r="AE238" i="34"/>
  <c r="AE234" i="34"/>
  <c r="AI233" i="34"/>
  <c r="AI238" i="34" s="1"/>
  <c r="CF37" i="34"/>
  <c r="BY75" i="34"/>
  <c r="BI146" i="34"/>
  <c r="BI172" i="34"/>
  <c r="BM145" i="34"/>
  <c r="BN146" i="34"/>
  <c r="AW260" i="34"/>
  <c r="AW222" i="34"/>
  <c r="AW221" i="34"/>
  <c r="AY67" i="34"/>
  <c r="BC163" i="34"/>
  <c r="BC164" i="34" s="1"/>
  <c r="CC50" i="34"/>
  <c r="AZ172" i="34"/>
  <c r="AZ70" i="34"/>
  <c r="AX217" i="34"/>
  <c r="AX220" i="34"/>
  <c r="CD50" i="34"/>
  <c r="CC51" i="34"/>
  <c r="AX66" i="34"/>
  <c r="BD156" i="34"/>
  <c r="AY165" i="34"/>
  <c r="BC155" i="34"/>
  <c r="AU260" i="34"/>
  <c r="AX250" i="34"/>
  <c r="CE51" i="34"/>
  <c r="CE50" i="34"/>
  <c r="BH66" i="34"/>
  <c r="BD67" i="34"/>
  <c r="BK165" i="34"/>
  <c r="BK156" i="34"/>
  <c r="BF134" i="34"/>
  <c r="BI165" i="34"/>
  <c r="BM155" i="34"/>
  <c r="BI156" i="34"/>
  <c r="BM163" i="34"/>
  <c r="AK237" i="34"/>
  <c r="AK242" i="34"/>
  <c r="AK244" i="34" s="1"/>
  <c r="AZ243" i="34"/>
  <c r="AZ226" i="34"/>
  <c r="AZ238" i="34"/>
  <c r="BG69" i="34"/>
  <c r="CC75" i="34"/>
  <c r="CF75" i="34"/>
  <c r="BO132" i="34"/>
  <c r="BE132" i="34"/>
  <c r="BE138" i="34" s="1"/>
  <c r="BE140" i="34" s="1"/>
  <c r="BO146" i="34"/>
  <c r="BO173" i="34"/>
  <c r="AN211" i="34"/>
  <c r="AK234" i="34"/>
  <c r="AK239" i="34" s="1"/>
  <c r="AV260" i="34"/>
  <c r="AV255" i="34"/>
  <c r="AW172" i="34"/>
  <c r="AW70" i="34"/>
  <c r="BG146" i="34"/>
  <c r="BG70" i="34"/>
  <c r="BH170" i="34"/>
  <c r="BH171" i="34" s="1"/>
  <c r="AU238" i="34"/>
  <c r="AU234" i="34"/>
  <c r="AU239" i="34" s="1"/>
  <c r="AU243" i="34"/>
  <c r="AU244" i="34" s="1"/>
  <c r="AM255" i="34"/>
  <c r="AN250" i="34"/>
  <c r="AN255" i="34" s="1"/>
  <c r="AY172" i="34"/>
  <c r="BC145" i="34"/>
  <c r="AY70" i="34"/>
  <c r="BD146" i="34"/>
  <c r="BH145" i="34"/>
  <c r="BF156" i="34"/>
  <c r="AR221" i="34"/>
  <c r="AL243" i="34"/>
  <c r="AL244" i="34" s="1"/>
  <c r="AL238" i="34"/>
  <c r="AE244" i="34"/>
  <c r="AI250" i="34"/>
  <c r="AS250" i="34"/>
  <c r="AO255" i="34"/>
  <c r="BD130" i="34"/>
  <c r="BD128" i="34" s="1"/>
  <c r="BA146" i="34"/>
  <c r="BJ146" i="34"/>
  <c r="BD154" i="34"/>
  <c r="BJ165" i="34"/>
  <c r="BJ156" i="34"/>
  <c r="BC161" i="34"/>
  <c r="BA172" i="34"/>
  <c r="AN227" i="34"/>
  <c r="AJ226" i="34"/>
  <c r="AN226" i="34" s="1"/>
  <c r="AS227" i="34"/>
  <c r="AN254" i="34"/>
  <c r="BL134" i="34"/>
  <c r="BH135" i="34"/>
  <c r="BH144" i="34"/>
  <c r="BF146" i="34"/>
  <c r="BB156" i="34"/>
  <c r="BB165" i="34"/>
  <c r="BL165" i="34"/>
  <c r="BL156" i="34"/>
  <c r="BM161" i="34"/>
  <c r="AX168" i="34"/>
  <c r="BH172" i="34"/>
  <c r="AN217" i="34"/>
  <c r="AN218" i="34"/>
  <c r="AJ221" i="34"/>
  <c r="AK238" i="34"/>
  <c r="AX254" i="34"/>
  <c r="AX259" i="34"/>
  <c r="AH255" i="34"/>
  <c r="AP255" i="34"/>
  <c r="AY260" i="34"/>
  <c r="AY255" i="34"/>
  <c r="BI138" i="34"/>
  <c r="BN134" i="34"/>
  <c r="BD134" i="34"/>
  <c r="AK222" i="34"/>
  <c r="AK221" i="34"/>
  <c r="AT222" i="34"/>
  <c r="AP242" i="34"/>
  <c r="AP234" i="34"/>
  <c r="AP239" i="34" s="1"/>
  <c r="AJ243" i="34"/>
  <c r="AN233" i="34"/>
  <c r="AN238" i="34" s="1"/>
  <c r="AQ255" i="34"/>
  <c r="AZ260" i="34"/>
  <c r="BN172" i="34"/>
  <c r="BR172" i="34" s="1"/>
  <c r="BR145" i="34"/>
  <c r="BH138" i="34"/>
  <c r="BH148" i="34"/>
  <c r="AS218" i="34"/>
  <c r="AS217" i="34"/>
  <c r="AL222" i="34"/>
  <c r="AU221" i="34"/>
  <c r="AH242" i="34"/>
  <c r="AH244" i="34" s="1"/>
  <c r="AH234" i="34"/>
  <c r="AH239" i="34" s="1"/>
  <c r="AQ242" i="34"/>
  <c r="AQ234" i="34"/>
  <c r="AQ239" i="34" s="1"/>
  <c r="AY242" i="34"/>
  <c r="AY234" i="34"/>
  <c r="AY239" i="34" s="1"/>
  <c r="AT243" i="34"/>
  <c r="AX233" i="34"/>
  <c r="AX238" i="34" s="1"/>
  <c r="AT238" i="34"/>
  <c r="AJ255" i="34"/>
  <c r="AR255" i="34"/>
  <c r="AL221" i="34"/>
  <c r="AT221" i="34"/>
  <c r="AZ255" i="34"/>
  <c r="BY14" i="33"/>
  <c r="CA54" i="33"/>
  <c r="CA14" i="33"/>
  <c r="CA66" i="33"/>
  <c r="CD13" i="33"/>
  <c r="CD53" i="33"/>
  <c r="CD54" i="33"/>
  <c r="CI54" i="33" s="1"/>
  <c r="CN54" i="33" s="1"/>
  <c r="CS54" i="33" s="1"/>
  <c r="CG52" i="33"/>
  <c r="BZ14" i="33"/>
  <c r="CD65" i="33"/>
  <c r="CD66" i="33"/>
  <c r="CG64" i="33"/>
  <c r="CG68" i="33"/>
  <c r="CG69" i="33"/>
  <c r="BX54" i="33"/>
  <c r="CB63" i="33"/>
  <c r="BY72" i="33"/>
  <c r="CD72" i="33"/>
  <c r="BY54" i="33"/>
  <c r="CG62" i="33"/>
  <c r="CG63" i="33"/>
  <c r="BZ54" i="33"/>
  <c r="CG56" i="33"/>
  <c r="CG57" i="33"/>
  <c r="BZ66" i="33"/>
  <c r="CE14" i="33"/>
  <c r="CE54" i="33"/>
  <c r="CJ54" i="33" s="1"/>
  <c r="CO54" i="33" s="1"/>
  <c r="CT54" i="33" s="1"/>
  <c r="BX14" i="33"/>
  <c r="CC13" i="33"/>
  <c r="BX66" i="33"/>
  <c r="CE72" i="33"/>
  <c r="CC54" i="33"/>
  <c r="BY66" i="33"/>
  <c r="CE53" i="33"/>
  <c r="CB69" i="33"/>
  <c r="BX73" i="33"/>
  <c r="CB52" i="33"/>
  <c r="CF18" i="18"/>
  <c r="CF40" i="12" s="1"/>
  <c r="BR136" i="34" l="1"/>
  <c r="BR137" i="34" s="1"/>
  <c r="CG112" i="2"/>
  <c r="S20" i="1" s="1"/>
  <c r="CC113" i="2"/>
  <c r="CH22" i="2"/>
  <c r="CJ22" i="2"/>
  <c r="CI22" i="2"/>
  <c r="CT16" i="33"/>
  <c r="CT26" i="13" s="1"/>
  <c r="CO16" i="33"/>
  <c r="CK18" i="12"/>
  <c r="CT48" i="33"/>
  <c r="CU71" i="33"/>
  <c r="CU76" i="33" s="1"/>
  <c r="CM10" i="33"/>
  <c r="CN10" i="33"/>
  <c r="CN17" i="33"/>
  <c r="CN21" i="33"/>
  <c r="CN22" i="33" s="1"/>
  <c r="CN9" i="2"/>
  <c r="CN26" i="33"/>
  <c r="CN43" i="33" s="1"/>
  <c r="CP10" i="33"/>
  <c r="CP26" i="33"/>
  <c r="CP43" i="33" s="1"/>
  <c r="CJ27" i="33"/>
  <c r="CJ34" i="33"/>
  <c r="CJ28" i="33" s="1"/>
  <c r="CS14" i="33"/>
  <c r="CS26" i="33"/>
  <c r="CS43" i="33" s="1"/>
  <c r="CI34" i="33"/>
  <c r="CI32" i="33" s="1"/>
  <c r="CI51" i="34"/>
  <c r="CI49" i="34" s="1"/>
  <c r="CI50" i="34" s="1"/>
  <c r="CG90" i="33"/>
  <c r="CG89" i="33"/>
  <c r="CG86" i="33"/>
  <c r="CG85" i="33"/>
  <c r="CU52" i="33"/>
  <c r="CT52" i="33"/>
  <c r="CT67" i="33"/>
  <c r="CS61" i="33"/>
  <c r="CS67" i="33" s="1"/>
  <c r="CS48" i="33"/>
  <c r="CG14" i="33"/>
  <c r="CG13" i="33"/>
  <c r="CH48" i="33"/>
  <c r="CH50" i="33" s="1"/>
  <c r="CM50" i="33" s="1"/>
  <c r="CR50" i="33" s="1"/>
  <c r="CR52" i="33"/>
  <c r="CU48" i="33"/>
  <c r="CM9" i="2"/>
  <c r="CP9" i="2"/>
  <c r="CV13" i="33"/>
  <c r="CV64" i="33"/>
  <c r="CV66" i="33" s="1"/>
  <c r="CS65" i="33"/>
  <c r="CU16" i="33"/>
  <c r="CU26" i="13" s="1"/>
  <c r="CP21" i="33"/>
  <c r="CP17" i="33"/>
  <c r="CR61" i="33"/>
  <c r="CR16" i="33"/>
  <c r="CR26" i="13" s="1"/>
  <c r="CV8" i="33"/>
  <c r="CS17" i="33"/>
  <c r="CS9" i="2"/>
  <c r="CS22" i="2" s="1"/>
  <c r="CS21" i="33"/>
  <c r="CS10" i="33"/>
  <c r="CM21" i="33"/>
  <c r="CM22" i="33" s="1"/>
  <c r="CM17" i="33"/>
  <c r="CK17" i="33"/>
  <c r="CS52" i="33"/>
  <c r="CI52" i="33"/>
  <c r="CK21" i="33"/>
  <c r="CK22" i="33" s="1"/>
  <c r="CK10" i="33"/>
  <c r="CK14" i="33"/>
  <c r="CL16" i="33"/>
  <c r="CK9" i="2"/>
  <c r="BP139" i="34"/>
  <c r="AS222" i="34"/>
  <c r="AX226" i="34"/>
  <c r="BG71" i="34"/>
  <c r="BG132" i="34"/>
  <c r="BL133" i="34" s="1"/>
  <c r="AY244" i="34"/>
  <c r="BG128" i="34"/>
  <c r="BH156" i="34"/>
  <c r="BH166" i="34"/>
  <c r="AS221" i="34"/>
  <c r="BE71" i="34"/>
  <c r="AX243" i="34"/>
  <c r="AM244" i="34"/>
  <c r="BL137" i="34"/>
  <c r="BI131" i="34"/>
  <c r="AW244" i="34"/>
  <c r="BH67" i="34"/>
  <c r="BP140" i="34"/>
  <c r="BC67" i="34"/>
  <c r="CG51" i="34"/>
  <c r="CH45" i="34"/>
  <c r="AT244" i="34"/>
  <c r="AF244" i="34"/>
  <c r="AI244" i="34" s="1"/>
  <c r="BM165" i="34"/>
  <c r="BM166" i="34" s="1"/>
  <c r="AN222" i="34"/>
  <c r="BH157" i="34"/>
  <c r="BH168" i="34" s="1"/>
  <c r="BH68" i="34"/>
  <c r="AQ244" i="34"/>
  <c r="BP141" i="34"/>
  <c r="BM172" i="34"/>
  <c r="BM173" i="34" s="1"/>
  <c r="BH154" i="34"/>
  <c r="BN131" i="34"/>
  <c r="AN221" i="34"/>
  <c r="BM154" i="34"/>
  <c r="AI255" i="34"/>
  <c r="BR146" i="34"/>
  <c r="AX242" i="34"/>
  <c r="BN138" i="34"/>
  <c r="BN139" i="34" s="1"/>
  <c r="BG130" i="34"/>
  <c r="BH164" i="34"/>
  <c r="CG72" i="33"/>
  <c r="CG73" i="33"/>
  <c r="CB73" i="33"/>
  <c r="BQ134" i="34"/>
  <c r="BR134" i="34" s="1"/>
  <c r="BR135" i="34" s="1"/>
  <c r="AJ244" i="34"/>
  <c r="AN242" i="34"/>
  <c r="AZ244" i="34"/>
  <c r="BG134" i="34"/>
  <c r="BL135" i="34" s="1"/>
  <c r="AX260" i="34"/>
  <c r="AX255" i="34"/>
  <c r="AI234" i="34"/>
  <c r="AI239" i="34" s="1"/>
  <c r="AE239" i="34"/>
  <c r="BC128" i="34"/>
  <c r="BC138" i="34"/>
  <c r="BC140" i="34" s="1"/>
  <c r="CI36" i="34"/>
  <c r="AP244" i="34"/>
  <c r="AS242" i="34"/>
  <c r="BI140" i="34"/>
  <c r="AS260" i="34"/>
  <c r="AS255" i="34"/>
  <c r="BD138" i="34"/>
  <c r="BD140" i="34" s="1"/>
  <c r="BF138" i="34"/>
  <c r="BK139" i="34" s="1"/>
  <c r="CG37" i="34"/>
  <c r="CG38" i="34"/>
  <c r="CG75" i="34"/>
  <c r="BD71" i="34"/>
  <c r="BC70" i="34"/>
  <c r="AN234" i="34"/>
  <c r="AN239" i="34" s="1"/>
  <c r="AJ239" i="34"/>
  <c r="BL130" i="34"/>
  <c r="BM128" i="34"/>
  <c r="CB38" i="34"/>
  <c r="AN243" i="34"/>
  <c r="BJ139" i="34"/>
  <c r="CB51" i="34"/>
  <c r="BH190" i="34"/>
  <c r="BH146" i="34"/>
  <c r="BH70" i="34"/>
  <c r="BQ132" i="34"/>
  <c r="BR132" i="34" s="1"/>
  <c r="BR133" i="34" s="1"/>
  <c r="BC165" i="34"/>
  <c r="BC166" i="34" s="1"/>
  <c r="BM138" i="34"/>
  <c r="BM157" i="34"/>
  <c r="BM156" i="34"/>
  <c r="AX221" i="34"/>
  <c r="AX222" i="34"/>
  <c r="BO138" i="34"/>
  <c r="BO139" i="34" s="1"/>
  <c r="BH140" i="34"/>
  <c r="BI135" i="34"/>
  <c r="BR173" i="34"/>
  <c r="BH173" i="34"/>
  <c r="AI242" i="34"/>
  <c r="AX234" i="34"/>
  <c r="AX239" i="34" s="1"/>
  <c r="AS234" i="34"/>
  <c r="AS239" i="34" s="1"/>
  <c r="BM146" i="34"/>
  <c r="CB66" i="33"/>
  <c r="CB54" i="33"/>
  <c r="CB14" i="33"/>
  <c r="CG66" i="33"/>
  <c r="CG65" i="33"/>
  <c r="CG54" i="33"/>
  <c r="CG53" i="33"/>
  <c r="CJ36" i="2" l="1"/>
  <c r="CJ40" i="2" s="1"/>
  <c r="CZ22" i="2"/>
  <c r="DB22" i="2" s="1"/>
  <c r="DA22" i="2" s="1"/>
  <c r="T17" i="1"/>
  <c r="AX244" i="34"/>
  <c r="BN140" i="34"/>
  <c r="BN141" i="34" s="1"/>
  <c r="FC7" i="25"/>
  <c r="CG113" i="2"/>
  <c r="CO10" i="33"/>
  <c r="CO26" i="13"/>
  <c r="CT14" i="33"/>
  <c r="CT84" i="13"/>
  <c r="CI36" i="2"/>
  <c r="CT10" i="33"/>
  <c r="CO9" i="2"/>
  <c r="CT9" i="2"/>
  <c r="CT22" i="2" s="1"/>
  <c r="CT21" i="33"/>
  <c r="CN22" i="2"/>
  <c r="CK22" i="2"/>
  <c r="CL22" i="2" s="1"/>
  <c r="CP22" i="2"/>
  <c r="CH36" i="2"/>
  <c r="CM22" i="2"/>
  <c r="CI28" i="33"/>
  <c r="CT26" i="33"/>
  <c r="CT43" i="33" s="1"/>
  <c r="CN27" i="33"/>
  <c r="CN44" i="33"/>
  <c r="CL26" i="33"/>
  <c r="CL43" i="33" s="1"/>
  <c r="CL44" i="33" s="1"/>
  <c r="CK43" i="33"/>
  <c r="CK44" i="33" s="1"/>
  <c r="CO21" i="33"/>
  <c r="CO26" i="33"/>
  <c r="CO17" i="33"/>
  <c r="CT55" i="33"/>
  <c r="CQ16" i="33"/>
  <c r="CT17" i="33"/>
  <c r="CS71" i="33"/>
  <c r="CS73" i="33" s="1"/>
  <c r="CT69" i="33"/>
  <c r="CK34" i="33"/>
  <c r="CK28" i="33" s="1"/>
  <c r="CS22" i="33"/>
  <c r="CN34" i="33"/>
  <c r="CN28" i="33" s="1"/>
  <c r="CR10" i="33"/>
  <c r="CR26" i="33"/>
  <c r="CR43" i="33" s="1"/>
  <c r="CU73" i="33"/>
  <c r="CU26" i="33"/>
  <c r="CU43" i="33" s="1"/>
  <c r="CU44" i="33" s="1"/>
  <c r="CP27" i="33"/>
  <c r="CP34" i="33"/>
  <c r="CJ35" i="33"/>
  <c r="CJ32" i="33"/>
  <c r="CS34" i="33"/>
  <c r="CS27" i="33"/>
  <c r="CI35" i="33"/>
  <c r="CH34" i="34"/>
  <c r="CH47" i="34"/>
  <c r="CH46" i="34"/>
  <c r="CT71" i="33"/>
  <c r="CT73" i="33" s="1"/>
  <c r="CU55" i="33"/>
  <c r="CS55" i="33"/>
  <c r="CV61" i="33"/>
  <c r="CV63" i="33" s="1"/>
  <c r="CH49" i="33"/>
  <c r="CR48" i="33"/>
  <c r="CR55" i="33" s="1"/>
  <c r="CS69" i="33"/>
  <c r="CU69" i="33"/>
  <c r="CU10" i="33"/>
  <c r="CR67" i="33"/>
  <c r="CS30" i="13"/>
  <c r="CS84" i="13"/>
  <c r="CL17" i="33"/>
  <c r="CR17" i="33"/>
  <c r="CV16" i="33"/>
  <c r="CV10" i="33" s="1"/>
  <c r="CR9" i="2"/>
  <c r="CR21" i="33"/>
  <c r="CR14" i="33"/>
  <c r="CL21" i="33"/>
  <c r="CU17" i="33"/>
  <c r="CU9" i="2"/>
  <c r="CU22" i="2" s="1"/>
  <c r="CU21" i="33"/>
  <c r="CU22" i="33" s="1"/>
  <c r="CU14" i="33"/>
  <c r="CV52" i="33"/>
  <c r="CV54" i="33" s="1"/>
  <c r="CU78" i="33"/>
  <c r="CP22" i="33"/>
  <c r="CL9" i="2"/>
  <c r="CL14" i="33"/>
  <c r="AN244" i="34"/>
  <c r="BI139" i="34"/>
  <c r="AS244" i="34"/>
  <c r="BG138" i="34"/>
  <c r="BG140" i="34" s="1"/>
  <c r="BL131" i="34"/>
  <c r="BQ130" i="34"/>
  <c r="BM158" i="34"/>
  <c r="BM168" i="34"/>
  <c r="BM139" i="34"/>
  <c r="BL138" i="34"/>
  <c r="BM140" i="34"/>
  <c r="BM141" i="34" s="1"/>
  <c r="BH141" i="34"/>
  <c r="BO140" i="34"/>
  <c r="CI37" i="34"/>
  <c r="BH139" i="34"/>
  <c r="BF140" i="34"/>
  <c r="CJ37" i="2" l="1"/>
  <c r="CJ109" i="2"/>
  <c r="CJ112" i="2" s="1"/>
  <c r="CJ113" i="2"/>
  <c r="T19" i="1"/>
  <c r="T18" i="1"/>
  <c r="U19" i="1"/>
  <c r="U26" i="1" s="1"/>
  <c r="DA23" i="2"/>
  <c r="U17" i="1"/>
  <c r="CI109" i="2"/>
  <c r="CI112" i="2" s="1"/>
  <c r="FC8" i="25" s="1"/>
  <c r="CI40" i="2"/>
  <c r="CH109" i="2"/>
  <c r="CH112" i="2" s="1"/>
  <c r="CH40" i="2"/>
  <c r="FF8" i="25"/>
  <c r="CT30" i="13"/>
  <c r="CQ9" i="2"/>
  <c r="CO22" i="2"/>
  <c r="CQ22" i="2" s="1"/>
  <c r="CT34" i="33"/>
  <c r="CT28" i="33" s="1"/>
  <c r="CT22" i="33"/>
  <c r="CO22" i="33"/>
  <c r="CR22" i="2"/>
  <c r="CV22" i="2" s="1"/>
  <c r="CW22" i="2" s="1"/>
  <c r="CX22" i="2" s="1"/>
  <c r="CY22" i="2" s="1"/>
  <c r="CS44" i="33"/>
  <c r="CP44" i="33"/>
  <c r="CL27" i="33"/>
  <c r="CO27" i="33"/>
  <c r="CO43" i="33"/>
  <c r="CQ21" i="33"/>
  <c r="CQ22" i="33" s="1"/>
  <c r="CT27" i="33"/>
  <c r="CO34" i="33"/>
  <c r="CO28" i="33" s="1"/>
  <c r="CT27" i="2"/>
  <c r="CT84" i="33"/>
  <c r="CT80" i="33"/>
  <c r="CT51" i="2"/>
  <c r="CQ17" i="33"/>
  <c r="CT57" i="33"/>
  <c r="CS9" i="19"/>
  <c r="CT9" i="19"/>
  <c r="CT26" i="2"/>
  <c r="CR69" i="33"/>
  <c r="CS80" i="33"/>
  <c r="CS26" i="2"/>
  <c r="CS76" i="33"/>
  <c r="CS78" i="33" s="1"/>
  <c r="CR80" i="33"/>
  <c r="CU80" i="33"/>
  <c r="CL34" i="33"/>
  <c r="CK32" i="33"/>
  <c r="CK35" i="33"/>
  <c r="CN32" i="33"/>
  <c r="CN35" i="33"/>
  <c r="CV26" i="33"/>
  <c r="CV43" i="33" s="1"/>
  <c r="CR34" i="33"/>
  <c r="CR32" i="33" s="1"/>
  <c r="CP28" i="33"/>
  <c r="CP35" i="33"/>
  <c r="CP32" i="33"/>
  <c r="CU34" i="33"/>
  <c r="CU27" i="33"/>
  <c r="CS32" i="33"/>
  <c r="CS35" i="33"/>
  <c r="CS28" i="33"/>
  <c r="CU27" i="2"/>
  <c r="CU57" i="33"/>
  <c r="CU51" i="2"/>
  <c r="CS57" i="33"/>
  <c r="CT76" i="33"/>
  <c r="CT78" i="33" s="1"/>
  <c r="CU84" i="33"/>
  <c r="CS27" i="2"/>
  <c r="CS36" i="2" s="1"/>
  <c r="CS109" i="2" s="1"/>
  <c r="CR57" i="33"/>
  <c r="CR27" i="2"/>
  <c r="CS84" i="33"/>
  <c r="CS51" i="2"/>
  <c r="CL22" i="33"/>
  <c r="CV55" i="33"/>
  <c r="CV57" i="33" s="1"/>
  <c r="CV48" i="33"/>
  <c r="CV50" i="33" s="1"/>
  <c r="CR71" i="33"/>
  <c r="CR73" i="33" s="1"/>
  <c r="CR84" i="33"/>
  <c r="CR51" i="2"/>
  <c r="CV67" i="33"/>
  <c r="CV69" i="33" s="1"/>
  <c r="CU30" i="13"/>
  <c r="CU84" i="13"/>
  <c r="CR22" i="33"/>
  <c r="CV21" i="33"/>
  <c r="CV26" i="13"/>
  <c r="CR84" i="13"/>
  <c r="CR30" i="13"/>
  <c r="CV9" i="2"/>
  <c r="CV17" i="33"/>
  <c r="CV14" i="33"/>
  <c r="BL139" i="34"/>
  <c r="BL140" i="34"/>
  <c r="BQ128" i="34"/>
  <c r="BR128" i="34" s="1"/>
  <c r="BR130" i="34"/>
  <c r="BR131" i="34" s="1"/>
  <c r="BQ138" i="34"/>
  <c r="BQ140" i="34" s="1"/>
  <c r="BO141" i="34"/>
  <c r="CH149" i="2"/>
  <c r="CH148" i="2"/>
  <c r="CH144" i="2"/>
  <c r="CH129" i="2"/>
  <c r="CF172" i="2"/>
  <c r="CF168" i="2"/>
  <c r="CD175" i="2"/>
  <c r="CF175" i="2"/>
  <c r="CF41" i="32"/>
  <c r="CF33" i="32"/>
  <c r="CF24" i="32" s="1"/>
  <c r="CP119" i="2"/>
  <c r="CN119" i="2"/>
  <c r="CM119" i="2"/>
  <c r="CK119" i="2"/>
  <c r="CF85" i="32"/>
  <c r="CE85" i="32"/>
  <c r="CF72" i="32"/>
  <c r="CE72" i="32"/>
  <c r="CF39" i="32"/>
  <c r="CE39" i="32"/>
  <c r="CF45" i="31"/>
  <c r="CF43" i="31"/>
  <c r="CE43" i="31"/>
  <c r="CF46" i="30"/>
  <c r="CE46" i="30"/>
  <c r="CF35" i="30"/>
  <c r="CF33" i="30"/>
  <c r="CE33" i="30"/>
  <c r="CF12" i="30"/>
  <c r="CE12" i="30"/>
  <c r="CF32" i="31"/>
  <c r="CF30" i="31"/>
  <c r="CE30" i="31"/>
  <c r="CF11" i="31"/>
  <c r="CF9" i="31"/>
  <c r="CE9" i="31"/>
  <c r="CI113" i="2" l="1"/>
  <c r="CH113" i="2"/>
  <c r="T20" i="1"/>
  <c r="T21" i="1" s="1"/>
  <c r="CZ23" i="2"/>
  <c r="CL119" i="2"/>
  <c r="CK146" i="2"/>
  <c r="CM128" i="2"/>
  <c r="CL28" i="33"/>
  <c r="CT32" i="33"/>
  <c r="CS112" i="2"/>
  <c r="CS113" i="2" s="1"/>
  <c r="CO44" i="33"/>
  <c r="CT44" i="33"/>
  <c r="CT36" i="2"/>
  <c r="CT109" i="2" s="1"/>
  <c r="CT112" i="2" s="1"/>
  <c r="CT113" i="2" s="1"/>
  <c r="CT35" i="33"/>
  <c r="CO35" i="33"/>
  <c r="CO32" i="33"/>
  <c r="CT88" i="33"/>
  <c r="CR88" i="33"/>
  <c r="CU26" i="2"/>
  <c r="CU9" i="19"/>
  <c r="CU88" i="33"/>
  <c r="CU36" i="2"/>
  <c r="CU109" i="2" s="1"/>
  <c r="CU112" i="2" s="1"/>
  <c r="CU113" i="2" s="1"/>
  <c r="CS88" i="33"/>
  <c r="CS40" i="2"/>
  <c r="CH171" i="2"/>
  <c r="CL35" i="33"/>
  <c r="CL32" i="33"/>
  <c r="CR28" i="33"/>
  <c r="CU28" i="33"/>
  <c r="CU32" i="33"/>
  <c r="CU35" i="33"/>
  <c r="CV34" i="33"/>
  <c r="CV32" i="33" s="1"/>
  <c r="CV27" i="2"/>
  <c r="CS49" i="2"/>
  <c r="CT49" i="2"/>
  <c r="CV51" i="2"/>
  <c r="CV80" i="33"/>
  <c r="CV71" i="33"/>
  <c r="CV73" i="33" s="1"/>
  <c r="CR76" i="33"/>
  <c r="CV84" i="33"/>
  <c r="CV84" i="13"/>
  <c r="CV30" i="13"/>
  <c r="CV71" i="13"/>
  <c r="V12" i="21" s="1"/>
  <c r="CV57" i="13"/>
  <c r="CV22" i="33"/>
  <c r="CR9" i="19"/>
  <c r="CV45" i="2"/>
  <c r="CR26" i="2"/>
  <c r="CV32" i="2"/>
  <c r="CR36" i="2"/>
  <c r="CR109" i="2" s="1"/>
  <c r="CR112" i="2" s="1"/>
  <c r="CR113" i="2" s="1"/>
  <c r="BQ141" i="34"/>
  <c r="CH145" i="2"/>
  <c r="BQ139" i="34"/>
  <c r="BR138" i="34"/>
  <c r="BR139" i="34" s="1"/>
  <c r="BR140" i="34"/>
  <c r="BR141" i="34" s="1"/>
  <c r="CH146" i="2"/>
  <c r="CH170" i="2" s="1"/>
  <c r="CZ24" i="2" l="1"/>
  <c r="DB23" i="2"/>
  <c r="DB24" i="2" s="1"/>
  <c r="T37" i="1"/>
  <c r="T22" i="1"/>
  <c r="T23" i="1"/>
  <c r="CV112" i="2"/>
  <c r="X20" i="1" s="1"/>
  <c r="Z20" i="1" s="1"/>
  <c r="CV109" i="2"/>
  <c r="CT40" i="2"/>
  <c r="CU40" i="2"/>
  <c r="CH173" i="2"/>
  <c r="CV26" i="2"/>
  <c r="CT54" i="2"/>
  <c r="CT56" i="2" s="1"/>
  <c r="CU54" i="2"/>
  <c r="CU56" i="2" s="1"/>
  <c r="X17" i="1"/>
  <c r="CU49" i="2"/>
  <c r="CS54" i="2"/>
  <c r="CS57" i="2" s="1"/>
  <c r="CV28" i="33"/>
  <c r="CV88" i="33"/>
  <c r="CR78" i="33"/>
  <c r="CV76" i="33"/>
  <c r="CV36" i="2"/>
  <c r="GP7" i="25"/>
  <c r="CV9" i="19"/>
  <c r="CR54" i="2"/>
  <c r="CR40" i="2"/>
  <c r="CF169" i="2"/>
  <c r="CF87" i="13"/>
  <c r="CF86" i="13"/>
  <c r="CF85" i="13"/>
  <c r="CF84" i="13"/>
  <c r="CF83" i="13"/>
  <c r="CF30" i="13"/>
  <c r="CE12" i="18"/>
  <c r="CF72" i="2"/>
  <c r="CE72" i="2"/>
  <c r="CF43" i="32"/>
  <c r="CF49" i="31"/>
  <c r="CE35" i="30"/>
  <c r="CF14" i="30"/>
  <c r="CE14" i="30"/>
  <c r="X21" i="1" l="1"/>
  <c r="CE37" i="30"/>
  <c r="CV113" i="2"/>
  <c r="GP8" i="25"/>
  <c r="GP9" i="25" s="1"/>
  <c r="CT57" i="2"/>
  <c r="CU57" i="2"/>
  <c r="CV40" i="2"/>
  <c r="CV78" i="33"/>
  <c r="CS56" i="2"/>
  <c r="CV44" i="2"/>
  <c r="CR49" i="2"/>
  <c r="CR56" i="2"/>
  <c r="CR57" i="2"/>
  <c r="CS127" i="2"/>
  <c r="CS132" i="2" s="1"/>
  <c r="CS134" i="2" s="1"/>
  <c r="CS116" i="2"/>
  <c r="CS123" i="2" s="1"/>
  <c r="CS58" i="2"/>
  <c r="CV49" i="2" l="1"/>
  <c r="CS124" i="2"/>
  <c r="CV54" i="2"/>
  <c r="CV57" i="2" s="1"/>
  <c r="CU116" i="2"/>
  <c r="CT127" i="2"/>
  <c r="CT132" i="2" s="1"/>
  <c r="CT134" i="2" s="1"/>
  <c r="CT58" i="2"/>
  <c r="CT116" i="2"/>
  <c r="CT123" i="2" s="1"/>
  <c r="CU58" i="2"/>
  <c r="CU127" i="2"/>
  <c r="CU132" i="2" s="1"/>
  <c r="CU134" i="2" s="1"/>
  <c r="X37" i="1"/>
  <c r="CS10" i="19"/>
  <c r="CS136" i="2"/>
  <c r="CR116" i="2"/>
  <c r="CR58" i="2"/>
  <c r="CR127" i="2"/>
  <c r="CC45" i="31"/>
  <c r="CD45" i="31"/>
  <c r="CE45" i="31"/>
  <c r="CU123" i="2" l="1"/>
  <c r="CU124" i="2" s="1"/>
  <c r="CV116" i="2"/>
  <c r="CV123" i="2" s="1"/>
  <c r="X24" i="1" s="1"/>
  <c r="X38" i="1" s="1"/>
  <c r="CT124" i="2"/>
  <c r="CV58" i="2"/>
  <c r="CV56" i="2"/>
  <c r="CT10" i="19"/>
  <c r="CU136" i="2"/>
  <c r="CT136" i="2"/>
  <c r="CU10" i="19"/>
  <c r="CR132" i="2"/>
  <c r="CR134" i="2" s="1"/>
  <c r="CV127" i="2"/>
  <c r="CV132" i="2" s="1"/>
  <c r="CV134" i="2" s="1"/>
  <c r="CR123" i="2"/>
  <c r="CE18" i="18"/>
  <c r="CE40" i="12" s="1"/>
  <c r="GP10" i="25" l="1"/>
  <c r="GP11" i="25" s="1"/>
  <c r="CR124" i="2"/>
  <c r="CV124" i="2"/>
  <c r="GP12" i="25"/>
  <c r="GP13" i="25" s="1"/>
  <c r="X27" i="1"/>
  <c r="CV136" i="2"/>
  <c r="X39" i="1" s="1"/>
  <c r="CV10" i="19"/>
  <c r="CV67" i="13"/>
  <c r="V8" i="21" s="1"/>
  <c r="CR136" i="2"/>
  <c r="CR10" i="19"/>
  <c r="CG60" i="32"/>
  <c r="CG5" i="2"/>
  <c r="CF149" i="2"/>
  <c r="CF148" i="2"/>
  <c r="CF171" i="2" s="1"/>
  <c r="CF146" i="2"/>
  <c r="CF170" i="2" s="1"/>
  <c r="CF144" i="2"/>
  <c r="CF129" i="2"/>
  <c r="CF128" i="2"/>
  <c r="CF173" i="2" l="1"/>
  <c r="CG5" i="34"/>
  <c r="CG5" i="33"/>
  <c r="S15" i="1"/>
  <c r="S7" i="1" s="1"/>
  <c r="CF145" i="2"/>
  <c r="CE59" i="18" l="1"/>
  <c r="CE68" i="2" s="1"/>
  <c r="CE58" i="18"/>
  <c r="CA12" i="18"/>
  <c r="CE69" i="2" l="1"/>
  <c r="CG69" i="2" s="1"/>
  <c r="CG68" i="2"/>
  <c r="CE65" i="32"/>
  <c r="CD65" i="32"/>
  <c r="CE66" i="32" s="1"/>
  <c r="CC65" i="32"/>
  <c r="CF65" i="32"/>
  <c r="CF66" i="32" s="1"/>
  <c r="BP65" i="32"/>
  <c r="BQ65" i="32"/>
  <c r="BS65" i="32"/>
  <c r="BT65" i="32"/>
  <c r="BU65" i="32"/>
  <c r="BV65" i="32"/>
  <c r="BX65" i="32"/>
  <c r="BX66" i="32" s="1"/>
  <c r="BY65" i="32"/>
  <c r="BY66" i="32" s="1"/>
  <c r="BZ65" i="32"/>
  <c r="CA65" i="32"/>
  <c r="CA66" i="32" s="1"/>
  <c r="CC66" i="32" l="1"/>
  <c r="CD66" i="32"/>
  <c r="BZ66" i="32"/>
  <c r="CE11" i="32"/>
  <c r="CD49" i="31" l="1"/>
  <c r="CF48" i="30"/>
  <c r="CG119" i="2"/>
  <c r="CQ117" i="2"/>
  <c r="CG87" i="2"/>
  <c r="CG86" i="2"/>
  <c r="CG85" i="2"/>
  <c r="CE21" i="30"/>
  <c r="CE33" i="32"/>
  <c r="CE24" i="32" s="1"/>
  <c r="CE24" i="30"/>
  <c r="CF20" i="30"/>
  <c r="CD21" i="30"/>
  <c r="CE42" i="31"/>
  <c r="CE29" i="31"/>
  <c r="CE11" i="31"/>
  <c r="CE47" i="31" s="1"/>
  <c r="CD9" i="31"/>
  <c r="CE45" i="30"/>
  <c r="CE32" i="30"/>
  <c r="CD12" i="30"/>
  <c r="CE86" i="32"/>
  <c r="CE84" i="32"/>
  <c r="CE74" i="32"/>
  <c r="CE71" i="32"/>
  <c r="CE41" i="32"/>
  <c r="CE43" i="32" s="1"/>
  <c r="CE38" i="32"/>
  <c r="CD39" i="32"/>
  <c r="CE87" i="13"/>
  <c r="CE86" i="13"/>
  <c r="CE85" i="13"/>
  <c r="CE84" i="13"/>
  <c r="CD12" i="18"/>
  <c r="CE30" i="13"/>
  <c r="CE177" i="2"/>
  <c r="CE149" i="2"/>
  <c r="CE148" i="2"/>
  <c r="CE146" i="2"/>
  <c r="CE145" i="2"/>
  <c r="CE144" i="2"/>
  <c r="CE49" i="2"/>
  <c r="CE169" i="2"/>
  <c r="CE168" i="2"/>
  <c r="CE39" i="30"/>
  <c r="CD35" i="30"/>
  <c r="CD39" i="30"/>
  <c r="CD24" i="30"/>
  <c r="CD14" i="30"/>
  <c r="CD11" i="31"/>
  <c r="CE18" i="30"/>
  <c r="CD41" i="32"/>
  <c r="CC21" i="31"/>
  <c r="CC24" i="31" s="1"/>
  <c r="CD21" i="31"/>
  <c r="CE21" i="31"/>
  <c r="CD24" i="31"/>
  <c r="CD22" i="31"/>
  <c r="CC22" i="31"/>
  <c r="CG120" i="2"/>
  <c r="CE175" i="2"/>
  <c r="CD87" i="13"/>
  <c r="CD86" i="13"/>
  <c r="CD85" i="13"/>
  <c r="CD84" i="13"/>
  <c r="CD83" i="13"/>
  <c r="CE48" i="30"/>
  <c r="CD74" i="32"/>
  <c r="CE76" i="32" l="1"/>
  <c r="CE88" i="32"/>
  <c r="CE79" i="34"/>
  <c r="CE74" i="33"/>
  <c r="CE76" i="33" s="1"/>
  <c r="CE55" i="31"/>
  <c r="CE57" i="31" s="1"/>
  <c r="CE179" i="2"/>
  <c r="CF24" i="30"/>
  <c r="CF50" i="30"/>
  <c r="CE50" i="30"/>
  <c r="CE24" i="31"/>
  <c r="BW20" i="30"/>
  <c r="BY21" i="30"/>
  <c r="BX21" i="30"/>
  <c r="CB20" i="30"/>
  <c r="CA21" i="30"/>
  <c r="CC21" i="30"/>
  <c r="CE78" i="33" l="1"/>
  <c r="CC12" i="18"/>
  <c r="CC18" i="18" s="1"/>
  <c r="CC40" i="12" s="1"/>
  <c r="CC59" i="12" s="1"/>
  <c r="CD18" i="18"/>
  <c r="CD40" i="12" s="1"/>
  <c r="CB12" i="18"/>
  <c r="CA18" i="18"/>
  <c r="CE96" i="32"/>
  <c r="BV172" i="2"/>
  <c r="BT130" i="2"/>
  <c r="BT177" i="2" s="1"/>
  <c r="BT96" i="32" l="1"/>
  <c r="BT55" i="31"/>
  <c r="BT57" i="31" s="1"/>
  <c r="BW117" i="2"/>
  <c r="BZ77" i="30"/>
  <c r="CD72" i="2" l="1"/>
  <c r="CC72" i="2" l="1"/>
  <c r="CC80" i="2" s="1"/>
  <c r="CK168" i="2" l="1"/>
  <c r="CC172" i="2"/>
  <c r="CC168" i="2"/>
  <c r="CC49" i="2"/>
  <c r="CG28" i="2" l="1"/>
  <c r="AX107" i="30"/>
  <c r="BC107" i="30"/>
  <c r="BH107" i="30"/>
  <c r="BI128" i="30"/>
  <c r="BM128" i="30"/>
  <c r="BN128" i="30"/>
  <c r="BO128" i="30"/>
  <c r="BP128" i="30"/>
  <c r="BQ128" i="30"/>
  <c r="BH129" i="30"/>
  <c r="BH127" i="30" s="1"/>
  <c r="BJ129" i="30"/>
  <c r="BE129" i="30" s="1"/>
  <c r="BE127" i="30" s="1"/>
  <c r="BK129" i="30"/>
  <c r="BH131" i="30"/>
  <c r="BH132" i="30" s="1"/>
  <c r="BI131" i="30"/>
  <c r="BD131" i="30" s="1"/>
  <c r="BJ131" i="30"/>
  <c r="BO131" i="30" s="1"/>
  <c r="BK131" i="30"/>
  <c r="BC133" i="30"/>
  <c r="BH133" i="30"/>
  <c r="BI133" i="30"/>
  <c r="BJ133" i="30"/>
  <c r="BK133" i="30"/>
  <c r="BF133" i="30" s="1"/>
  <c r="BC135" i="30"/>
  <c r="BD135" i="30"/>
  <c r="BH135" i="30"/>
  <c r="BM135" i="30" s="1"/>
  <c r="BJ135" i="30"/>
  <c r="BO135" i="30" s="1"/>
  <c r="BK135" i="30"/>
  <c r="BF135" i="30" s="1"/>
  <c r="BN135" i="30"/>
  <c r="BP135" i="30"/>
  <c r="BC142" i="30"/>
  <c r="BH142" i="30"/>
  <c r="BH143" i="30" s="1"/>
  <c r="BM142" i="30"/>
  <c r="BR142" i="30"/>
  <c r="BA143" i="30"/>
  <c r="BB143" i="30"/>
  <c r="BD143" i="30"/>
  <c r="BE143" i="30"/>
  <c r="BF143" i="30"/>
  <c r="BG143" i="30"/>
  <c r="BI143" i="30"/>
  <c r="BJ143" i="30"/>
  <c r="BK143" i="30"/>
  <c r="BL143" i="30"/>
  <c r="BN143" i="30"/>
  <c r="BO143" i="30"/>
  <c r="BP143" i="30"/>
  <c r="BQ143" i="30"/>
  <c r="AV144" i="30"/>
  <c r="AW144" i="30"/>
  <c r="AW171" i="30" s="1"/>
  <c r="AY144" i="30"/>
  <c r="AZ144" i="30"/>
  <c r="AZ171" i="30" s="1"/>
  <c r="BA144" i="30"/>
  <c r="BB144" i="30"/>
  <c r="BB171" i="30" s="1"/>
  <c r="BD144" i="30"/>
  <c r="BE144" i="30"/>
  <c r="BE171" i="30" s="1"/>
  <c r="BF144" i="30"/>
  <c r="BG144" i="30"/>
  <c r="BI144" i="30"/>
  <c r="BJ144" i="30"/>
  <c r="BK144" i="30"/>
  <c r="BK171" i="30" s="1"/>
  <c r="BL144" i="30"/>
  <c r="BL171" i="30" s="1"/>
  <c r="BN144" i="30"/>
  <c r="BN171" i="30" s="1"/>
  <c r="BO144" i="30"/>
  <c r="BP144" i="30"/>
  <c r="BQ144" i="30"/>
  <c r="AX146" i="30"/>
  <c r="BC146" i="30"/>
  <c r="BH146" i="30"/>
  <c r="BM146" i="30"/>
  <c r="BM147" i="30" s="1"/>
  <c r="BR146" i="30"/>
  <c r="AY147" i="30"/>
  <c r="AZ147" i="30"/>
  <c r="BA147" i="30"/>
  <c r="BB147" i="30"/>
  <c r="BD147" i="30"/>
  <c r="BE147" i="30"/>
  <c r="BF147" i="30"/>
  <c r="BG147" i="30"/>
  <c r="BI147" i="30"/>
  <c r="BJ147" i="30"/>
  <c r="BK147" i="30"/>
  <c r="BL147" i="30"/>
  <c r="BN147" i="30"/>
  <c r="BO147" i="30"/>
  <c r="BP147" i="30"/>
  <c r="BQ147" i="30"/>
  <c r="AX149" i="30"/>
  <c r="BC149" i="30"/>
  <c r="BH149" i="30"/>
  <c r="BM149" i="30"/>
  <c r="BR149" i="30"/>
  <c r="AY150" i="30"/>
  <c r="AZ150" i="30"/>
  <c r="BA150" i="30"/>
  <c r="BB150" i="30"/>
  <c r="BD150" i="30"/>
  <c r="BE150" i="30"/>
  <c r="BF150" i="30"/>
  <c r="BG150" i="30"/>
  <c r="BI150" i="30"/>
  <c r="BJ150" i="30"/>
  <c r="BK150" i="30"/>
  <c r="BL150" i="30"/>
  <c r="BN150" i="30"/>
  <c r="BO150" i="30"/>
  <c r="BP150" i="30"/>
  <c r="BQ150" i="30"/>
  <c r="BC152" i="30"/>
  <c r="BD152" i="30"/>
  <c r="BD153" i="30" s="1"/>
  <c r="BE152" i="30"/>
  <c r="BE153" i="30" s="1"/>
  <c r="BM152" i="30"/>
  <c r="BA153" i="30"/>
  <c r="BB153" i="30"/>
  <c r="BF153" i="30"/>
  <c r="BG153" i="30"/>
  <c r="AV154" i="30"/>
  <c r="AW154" i="30"/>
  <c r="AW164" i="30" s="1"/>
  <c r="AY154" i="30"/>
  <c r="AY164" i="30" s="1"/>
  <c r="AZ154" i="30"/>
  <c r="BE155" i="30" s="1"/>
  <c r="BA154" i="30"/>
  <c r="BA164" i="30" s="1"/>
  <c r="BB154" i="30"/>
  <c r="BF154" i="30"/>
  <c r="BG154" i="30"/>
  <c r="BI154" i="30"/>
  <c r="BJ154" i="30"/>
  <c r="BJ164" i="30" s="1"/>
  <c r="BK154" i="30"/>
  <c r="BL154" i="30"/>
  <c r="AX156" i="30"/>
  <c r="BC156" i="30"/>
  <c r="AY157" i="30"/>
  <c r="AZ157" i="30"/>
  <c r="BA157" i="30"/>
  <c r="BB157" i="30"/>
  <c r="BD157" i="30"/>
  <c r="BE157" i="30"/>
  <c r="BF157" i="30"/>
  <c r="BL157" i="30"/>
  <c r="AX159" i="30"/>
  <c r="BC159" i="30"/>
  <c r="BH159" i="30"/>
  <c r="BH183" i="30" s="1"/>
  <c r="BM159" i="30"/>
  <c r="BM183" i="30" s="1"/>
  <c r="BR159" i="30"/>
  <c r="AT160" i="30"/>
  <c r="AU160" i="30"/>
  <c r="AV160" i="30"/>
  <c r="AW160" i="30"/>
  <c r="AY160" i="30"/>
  <c r="AZ160" i="30"/>
  <c r="BA160" i="30"/>
  <c r="BB160" i="30"/>
  <c r="BD160" i="30"/>
  <c r="BE160" i="30"/>
  <c r="BF160" i="30"/>
  <c r="BG160" i="30"/>
  <c r="BI160" i="30"/>
  <c r="BJ160" i="30"/>
  <c r="BK160" i="30"/>
  <c r="BL160" i="30"/>
  <c r="BN160" i="30"/>
  <c r="BO160" i="30"/>
  <c r="BP160" i="30"/>
  <c r="BQ160" i="30"/>
  <c r="AV162" i="30"/>
  <c r="AW162" i="30"/>
  <c r="AY162" i="30"/>
  <c r="AZ162" i="30"/>
  <c r="BA162" i="30"/>
  <c r="BB162" i="30"/>
  <c r="BF162" i="30"/>
  <c r="BG162" i="30"/>
  <c r="BI162" i="30"/>
  <c r="BJ162" i="30"/>
  <c r="BK162" i="30"/>
  <c r="BL162" i="30"/>
  <c r="AZ164" i="30"/>
  <c r="BD164" i="30"/>
  <c r="BE164" i="30"/>
  <c r="BG164" i="30"/>
  <c r="BG165" i="30" s="1"/>
  <c r="AX166" i="30"/>
  <c r="BC166" i="30"/>
  <c r="BH166" i="30"/>
  <c r="BM166" i="30"/>
  <c r="AT167" i="30"/>
  <c r="AU167" i="30"/>
  <c r="AV167" i="30"/>
  <c r="AW167" i="30"/>
  <c r="AY167" i="30"/>
  <c r="AZ167" i="30"/>
  <c r="BA167" i="30"/>
  <c r="BB167" i="30"/>
  <c r="BD167" i="30"/>
  <c r="BE167" i="30"/>
  <c r="BF167" i="30"/>
  <c r="BG167" i="30"/>
  <c r="BI167" i="30"/>
  <c r="BJ167" i="30"/>
  <c r="BK167" i="30"/>
  <c r="BL167" i="30"/>
  <c r="AV169" i="30"/>
  <c r="AW169" i="30"/>
  <c r="AY169" i="30"/>
  <c r="AZ169" i="30"/>
  <c r="BA169" i="30"/>
  <c r="BB169" i="30"/>
  <c r="BD169" i="30"/>
  <c r="BE169" i="30"/>
  <c r="BF169" i="30"/>
  <c r="BG169" i="30"/>
  <c r="BG171" i="30" s="1"/>
  <c r="BI169" i="30"/>
  <c r="BJ169" i="30"/>
  <c r="BK169" i="30"/>
  <c r="BL169" i="30"/>
  <c r="BN169" i="30"/>
  <c r="BO169" i="30"/>
  <c r="BO171" i="30" s="1"/>
  <c r="BP169" i="30"/>
  <c r="BQ169" i="30"/>
  <c r="BQ171" i="30" s="1"/>
  <c r="BA171" i="30"/>
  <c r="BJ171" i="30"/>
  <c r="BH181" i="30"/>
  <c r="BM181" i="30"/>
  <c r="BH199" i="30"/>
  <c r="BM199" i="30"/>
  <c r="BN200" i="30"/>
  <c r="BO200" i="30"/>
  <c r="BP200" i="30"/>
  <c r="BH201" i="30"/>
  <c r="AI209" i="30"/>
  <c r="AN209" i="30"/>
  <c r="AS209" i="30"/>
  <c r="AX209" i="30"/>
  <c r="AX210" i="30" s="1"/>
  <c r="AJ210" i="30"/>
  <c r="AK210" i="30"/>
  <c r="AL210" i="30"/>
  <c r="AM210" i="30"/>
  <c r="AO210" i="30"/>
  <c r="AP210" i="30"/>
  <c r="AQ210" i="30"/>
  <c r="AR210" i="30"/>
  <c r="AT210" i="30"/>
  <c r="AU210" i="30"/>
  <c r="AV210" i="30"/>
  <c r="AW210" i="30"/>
  <c r="AY210" i="30"/>
  <c r="AZ210" i="30"/>
  <c r="AI215" i="30"/>
  <c r="AN215" i="30"/>
  <c r="AS215" i="30"/>
  <c r="AX215" i="30"/>
  <c r="AJ216" i="30"/>
  <c r="AK216" i="30"/>
  <c r="AL216" i="30"/>
  <c r="AM216" i="30"/>
  <c r="AO216" i="30"/>
  <c r="AP216" i="30"/>
  <c r="AQ216" i="30"/>
  <c r="AR216" i="30"/>
  <c r="AT216" i="30"/>
  <c r="AU216" i="30"/>
  <c r="AV216" i="30"/>
  <c r="AW216" i="30"/>
  <c r="AY216" i="30"/>
  <c r="AZ216" i="30"/>
  <c r="AJ217" i="30"/>
  <c r="AK217" i="30"/>
  <c r="AL217" i="30"/>
  <c r="AM217" i="30"/>
  <c r="AO217" i="30"/>
  <c r="AP217" i="30"/>
  <c r="AQ217" i="30"/>
  <c r="AR217" i="30"/>
  <c r="AT217" i="30"/>
  <c r="AU217" i="30"/>
  <c r="AV217" i="30"/>
  <c r="AW217" i="30"/>
  <c r="AY217" i="30"/>
  <c r="AZ217" i="30"/>
  <c r="AE219" i="30"/>
  <c r="AF219" i="30"/>
  <c r="AG219" i="30"/>
  <c r="AH219" i="30"/>
  <c r="AJ219" i="30"/>
  <c r="AK219" i="30"/>
  <c r="AL219" i="30"/>
  <c r="AM219" i="30"/>
  <c r="AO219" i="30"/>
  <c r="AP219" i="30"/>
  <c r="AQ219" i="30"/>
  <c r="AR219" i="30"/>
  <c r="AT219" i="30"/>
  <c r="AU219" i="30"/>
  <c r="AV219" i="30"/>
  <c r="AW219" i="30"/>
  <c r="AY219" i="30"/>
  <c r="AZ219" i="30"/>
  <c r="AI224" i="30"/>
  <c r="AN224" i="30"/>
  <c r="AN228" i="30" s="1"/>
  <c r="AS224" i="30"/>
  <c r="AX224" i="30"/>
  <c r="AE226" i="30"/>
  <c r="AF226" i="30"/>
  <c r="AF225" i="30" s="1"/>
  <c r="AG226" i="30"/>
  <c r="AG225" i="30" s="1"/>
  <c r="AH226" i="30"/>
  <c r="AH225" i="30" s="1"/>
  <c r="AJ226" i="30"/>
  <c r="AK226" i="30"/>
  <c r="AK225" i="30" s="1"/>
  <c r="AL226" i="30"/>
  <c r="AL225" i="30" s="1"/>
  <c r="AM226" i="30"/>
  <c r="AM225" i="30" s="1"/>
  <c r="AO226" i="30"/>
  <c r="AP226" i="30"/>
  <c r="AP225" i="30" s="1"/>
  <c r="AQ226" i="30"/>
  <c r="AQ225" i="30" s="1"/>
  <c r="AR226" i="30"/>
  <c r="AR225" i="30" s="1"/>
  <c r="AT226" i="30"/>
  <c r="AT225" i="30" s="1"/>
  <c r="AU226" i="30"/>
  <c r="AV226" i="30"/>
  <c r="AW226" i="30"/>
  <c r="AY226" i="30"/>
  <c r="AY225" i="30" s="1"/>
  <c r="AZ226" i="30"/>
  <c r="AI227" i="30"/>
  <c r="AN227" i="30"/>
  <c r="AS227" i="30"/>
  <c r="AX227" i="30"/>
  <c r="AE228" i="30"/>
  <c r="AF228" i="30"/>
  <c r="AG228" i="30"/>
  <c r="AH228" i="30"/>
  <c r="AJ228" i="30"/>
  <c r="AK228" i="30"/>
  <c r="AL228" i="30"/>
  <c r="AM228" i="30"/>
  <c r="AO228" i="30"/>
  <c r="AP228" i="30"/>
  <c r="AQ228" i="30"/>
  <c r="AR228" i="30"/>
  <c r="AT228" i="30"/>
  <c r="AU228" i="30"/>
  <c r="AV228" i="30"/>
  <c r="AW228" i="30"/>
  <c r="AY228" i="30"/>
  <c r="AZ228" i="30"/>
  <c r="AE231" i="30"/>
  <c r="AE236" i="30" s="1"/>
  <c r="AF231" i="30"/>
  <c r="AF236" i="30" s="1"/>
  <c r="AG231" i="30"/>
  <c r="AG236" i="30" s="1"/>
  <c r="AH231" i="30"/>
  <c r="AH236" i="30" s="1"/>
  <c r="AJ231" i="30"/>
  <c r="AK231" i="30"/>
  <c r="AK241" i="30" s="1"/>
  <c r="AL231" i="30"/>
  <c r="AL236" i="30" s="1"/>
  <c r="AM231" i="30"/>
  <c r="AM236" i="30" s="1"/>
  <c r="AO231" i="30"/>
  <c r="AO236" i="30" s="1"/>
  <c r="AP231" i="30"/>
  <c r="AP236" i="30" s="1"/>
  <c r="AQ231" i="30"/>
  <c r="AR231" i="30"/>
  <c r="AT231" i="30"/>
  <c r="AT236" i="30" s="1"/>
  <c r="AU231" i="30"/>
  <c r="AU241" i="30" s="1"/>
  <c r="AV231" i="30"/>
  <c r="AV236" i="30" s="1"/>
  <c r="AW231" i="30"/>
  <c r="AY231" i="30"/>
  <c r="AZ231" i="30"/>
  <c r="AZ236" i="30" s="1"/>
  <c r="AE232" i="30"/>
  <c r="AE242" i="30" s="1"/>
  <c r="AF232" i="30"/>
  <c r="AF237" i="30" s="1"/>
  <c r="AG232" i="30"/>
  <c r="AG242" i="30" s="1"/>
  <c r="AH232" i="30"/>
  <c r="AH237" i="30" s="1"/>
  <c r="AJ232" i="30"/>
  <c r="AJ237" i="30" s="1"/>
  <c r="AK232" i="30"/>
  <c r="AL232" i="30"/>
  <c r="AL242" i="30" s="1"/>
  <c r="AM232" i="30"/>
  <c r="AM233" i="30" s="1"/>
  <c r="AM238" i="30" s="1"/>
  <c r="AO232" i="30"/>
  <c r="AO242" i="30" s="1"/>
  <c r="AP232" i="30"/>
  <c r="AP237" i="30" s="1"/>
  <c r="AQ232" i="30"/>
  <c r="AQ242" i="30" s="1"/>
  <c r="AR232" i="30"/>
  <c r="AR237" i="30" s="1"/>
  <c r="AT232" i="30"/>
  <c r="AU232" i="30"/>
  <c r="AU242" i="30" s="1"/>
  <c r="AV232" i="30"/>
  <c r="AV237" i="30" s="1"/>
  <c r="AW232" i="30"/>
  <c r="AW242" i="30" s="1"/>
  <c r="AY232" i="30"/>
  <c r="AY242" i="30" s="1"/>
  <c r="AZ232" i="30"/>
  <c r="AZ225" i="30" s="1"/>
  <c r="AU236" i="30"/>
  <c r="AW236" i="30"/>
  <c r="AE241" i="30"/>
  <c r="AI246" i="30"/>
  <c r="AN246" i="30"/>
  <c r="AS246" i="30"/>
  <c r="AX246" i="30"/>
  <c r="AI247" i="30"/>
  <c r="AN247" i="30"/>
  <c r="AS247" i="30"/>
  <c r="AX247" i="30"/>
  <c r="AI248" i="30"/>
  <c r="AN248" i="30"/>
  <c r="AS248" i="30"/>
  <c r="AX248" i="30"/>
  <c r="AE249" i="30"/>
  <c r="AF249" i="30"/>
  <c r="AG249" i="30"/>
  <c r="AH249" i="30"/>
  <c r="AJ249" i="30"/>
  <c r="AK249" i="30"/>
  <c r="AL249" i="30"/>
  <c r="AM249" i="30"/>
  <c r="AO249" i="30"/>
  <c r="AP249" i="30"/>
  <c r="AQ249" i="30"/>
  <c r="AR249" i="30"/>
  <c r="AT249" i="30"/>
  <c r="AU249" i="30"/>
  <c r="AV249" i="30"/>
  <c r="AW249" i="30"/>
  <c r="AY249" i="30"/>
  <c r="AZ249" i="30"/>
  <c r="AE252" i="30"/>
  <c r="AF252" i="30"/>
  <c r="AG252" i="30"/>
  <c r="AH252" i="30"/>
  <c r="AJ252" i="30"/>
  <c r="AK252" i="30"/>
  <c r="AL252" i="30"/>
  <c r="AM252" i="30"/>
  <c r="AO252" i="30"/>
  <c r="AP252" i="30"/>
  <c r="AQ252" i="30"/>
  <c r="AR252" i="30"/>
  <c r="AT252" i="30"/>
  <c r="AU252" i="30"/>
  <c r="AV252" i="30"/>
  <c r="AW252" i="30"/>
  <c r="AY252" i="30"/>
  <c r="AZ252" i="30"/>
  <c r="AE253" i="30"/>
  <c r="AF253" i="30"/>
  <c r="AG253" i="30"/>
  <c r="AH253" i="30"/>
  <c r="AJ253" i="30"/>
  <c r="AK253" i="30"/>
  <c r="AL253" i="30"/>
  <c r="AM253" i="30"/>
  <c r="AO253" i="30"/>
  <c r="AP253" i="30"/>
  <c r="AQ253" i="30"/>
  <c r="AR253" i="30"/>
  <c r="AT253" i="30"/>
  <c r="AU253" i="30"/>
  <c r="AV253" i="30"/>
  <c r="AW253" i="30"/>
  <c r="AY253" i="30"/>
  <c r="AZ253" i="30"/>
  <c r="AT257" i="30"/>
  <c r="AU257" i="30"/>
  <c r="AV257" i="30"/>
  <c r="AW257" i="30"/>
  <c r="AY257" i="30"/>
  <c r="AZ257" i="30"/>
  <c r="AT258" i="30"/>
  <c r="AU258" i="30"/>
  <c r="AV258" i="30"/>
  <c r="AW258" i="30"/>
  <c r="AY258" i="30"/>
  <c r="AZ258" i="30"/>
  <c r="AI284" i="30"/>
  <c r="AN284" i="30"/>
  <c r="AI285" i="30"/>
  <c r="AN285" i="30"/>
  <c r="AR242" i="30" l="1"/>
  <c r="AK236" i="30"/>
  <c r="AH242" i="30"/>
  <c r="AK233" i="30"/>
  <c r="AP220" i="30"/>
  <c r="AO237" i="30"/>
  <c r="AR221" i="30"/>
  <c r="AX226" i="30"/>
  <c r="AV221" i="30"/>
  <c r="AX160" i="30"/>
  <c r="AX249" i="30"/>
  <c r="AI252" i="30"/>
  <c r="AN210" i="30"/>
  <c r="AJ242" i="30"/>
  <c r="AS228" i="30"/>
  <c r="BN131" i="30"/>
  <c r="BC150" i="30"/>
  <c r="BM143" i="30"/>
  <c r="AL241" i="30"/>
  <c r="AL243" i="30" s="1"/>
  <c r="AN232" i="30"/>
  <c r="AN237" i="30" s="1"/>
  <c r="AI228" i="30"/>
  <c r="BG155" i="30"/>
  <c r="AI226" i="30"/>
  <c r="AE254" i="30"/>
  <c r="AM237" i="30"/>
  <c r="AU233" i="30"/>
  <c r="AU238" i="30" s="1"/>
  <c r="AX228" i="30"/>
  <c r="BC162" i="30"/>
  <c r="BC163" i="30" s="1"/>
  <c r="BH144" i="30"/>
  <c r="AL237" i="30"/>
  <c r="AI231" i="30"/>
  <c r="AI236" i="30" s="1"/>
  <c r="AV241" i="30"/>
  <c r="AP241" i="30"/>
  <c r="BA155" i="30"/>
  <c r="BE131" i="30"/>
  <c r="AV259" i="30"/>
  <c r="AS252" i="30"/>
  <c r="AR220" i="30"/>
  <c r="AM220" i="30"/>
  <c r="AX219" i="30"/>
  <c r="BD171" i="30"/>
  <c r="AV164" i="30"/>
  <c r="AX167" i="30"/>
  <c r="BG145" i="30"/>
  <c r="AT259" i="30"/>
  <c r="AK254" i="30"/>
  <c r="AQ220" i="30"/>
  <c r="BK145" i="30"/>
  <c r="BA145" i="30"/>
  <c r="BF129" i="30"/>
  <c r="BF127" i="30" s="1"/>
  <c r="BE135" i="30"/>
  <c r="BG135" i="30" s="1"/>
  <c r="AP254" i="30"/>
  <c r="AF254" i="30"/>
  <c r="AN253" i="30"/>
  <c r="AM242" i="30"/>
  <c r="AF241" i="30"/>
  <c r="AE233" i="30"/>
  <c r="AE238" i="30" s="1"/>
  <c r="BC160" i="30"/>
  <c r="BC147" i="30"/>
  <c r="BP129" i="30"/>
  <c r="BP127" i="30" s="1"/>
  <c r="AI253" i="30"/>
  <c r="AL233" i="30"/>
  <c r="AL238" i="30" s="1"/>
  <c r="AU221" i="30"/>
  <c r="AK220" i="30"/>
  <c r="BF155" i="30"/>
  <c r="BI145" i="30"/>
  <c r="AV254" i="30"/>
  <c r="AM254" i="30"/>
  <c r="AX257" i="30"/>
  <c r="AU237" i="30"/>
  <c r="AY220" i="30"/>
  <c r="AJ220" i="30"/>
  <c r="BC157" i="30"/>
  <c r="BB155" i="30"/>
  <c r="BH150" i="30"/>
  <c r="BQ145" i="30"/>
  <c r="BD145" i="30"/>
  <c r="BP133" i="30"/>
  <c r="AX252" i="30"/>
  <c r="AZ237" i="30"/>
  <c r="BR150" i="30"/>
  <c r="AJ254" i="30"/>
  <c r="AZ220" i="30"/>
  <c r="BR144" i="30"/>
  <c r="AR254" i="30"/>
  <c r="AH254" i="30"/>
  <c r="AX253" i="30"/>
  <c r="AM241" i="30"/>
  <c r="AW237" i="30"/>
  <c r="AW225" i="30"/>
  <c r="AK221" i="30"/>
  <c r="AU220" i="30"/>
  <c r="AN219" i="30"/>
  <c r="AN280" i="30" s="1"/>
  <c r="AN283" i="30" s="1"/>
  <c r="BI171" i="30"/>
  <c r="BM171" i="30" s="1"/>
  <c r="BR169" i="30"/>
  <c r="BR170" i="30" s="1"/>
  <c r="BB164" i="30"/>
  <c r="BC164" i="30" s="1"/>
  <c r="BM162" i="30"/>
  <c r="BM144" i="30"/>
  <c r="BM131" i="30"/>
  <c r="BL131" i="30" s="1"/>
  <c r="BQ131" i="30" s="1"/>
  <c r="BO129" i="30"/>
  <c r="BO127" i="30" s="1"/>
  <c r="AU243" i="30"/>
  <c r="AY237" i="30"/>
  <c r="AM221" i="30"/>
  <c r="BR160" i="30"/>
  <c r="AG254" i="30"/>
  <c r="AS253" i="30"/>
  <c r="AG237" i="30"/>
  <c r="AK238" i="30"/>
  <c r="AV225" i="30"/>
  <c r="AJ221" i="30"/>
  <c r="AI219" i="30"/>
  <c r="AI280" i="30" s="1"/>
  <c r="AI283" i="30" s="1"/>
  <c r="AS210" i="30"/>
  <c r="BM184" i="30"/>
  <c r="BR143" i="30"/>
  <c r="AP242" i="30"/>
  <c r="AS242" i="30" s="1"/>
  <c r="BQ172" i="30"/>
  <c r="AU254" i="30"/>
  <c r="AT241" i="30"/>
  <c r="AP233" i="30"/>
  <c r="AP238" i="30" s="1"/>
  <c r="AE225" i="30"/>
  <c r="AI225" i="30" s="1"/>
  <c r="AE237" i="30"/>
  <c r="AH233" i="30"/>
  <c r="AH238" i="30" s="1"/>
  <c r="AU225" i="30"/>
  <c r="AV220" i="30"/>
  <c r="AW220" i="30"/>
  <c r="BL145" i="30"/>
  <c r="BR171" i="30"/>
  <c r="AO220" i="30"/>
  <c r="BH137" i="30"/>
  <c r="BH139" i="30" s="1"/>
  <c r="BH154" i="30"/>
  <c r="BO172" i="30"/>
  <c r="BC167" i="30"/>
  <c r="AS258" i="30"/>
  <c r="AS257" i="30"/>
  <c r="AH241" i="30"/>
  <c r="AH243" i="30" s="1"/>
  <c r="BR147" i="30"/>
  <c r="BJ155" i="30"/>
  <c r="BP131" i="30"/>
  <c r="BF131" i="30"/>
  <c r="BG131" i="30" s="1"/>
  <c r="AS216" i="30"/>
  <c r="AS217" i="30"/>
  <c r="AS219" i="30"/>
  <c r="AE243" i="30"/>
  <c r="AR233" i="30"/>
  <c r="AR238" i="30" s="1"/>
  <c r="AR241" i="30"/>
  <c r="AR243" i="30" s="1"/>
  <c r="AX216" i="30"/>
  <c r="AX232" i="30"/>
  <c r="AX237" i="30" s="1"/>
  <c r="AT242" i="30"/>
  <c r="AQ233" i="30"/>
  <c r="AQ238" i="30" s="1"/>
  <c r="AQ241" i="30"/>
  <c r="AQ243" i="30" s="1"/>
  <c r="AQ236" i="30"/>
  <c r="AR236" i="30"/>
  <c r="AI232" i="30"/>
  <c r="AI237" i="30" s="1"/>
  <c r="AW233" i="30"/>
  <c r="AW238" i="30" s="1"/>
  <c r="AW241" i="30"/>
  <c r="AW243" i="30" s="1"/>
  <c r="AO221" i="30"/>
  <c r="AY254" i="30"/>
  <c r="AY259" i="30"/>
  <c r="BL155" i="30"/>
  <c r="BL164" i="30"/>
  <c r="BH147" i="30"/>
  <c r="BO145" i="30"/>
  <c r="BB145" i="30"/>
  <c r="BN133" i="30"/>
  <c r="AU259" i="30"/>
  <c r="AN252" i="30"/>
  <c r="AZ242" i="30"/>
  <c r="AQ237" i="30"/>
  <c r="AN226" i="30"/>
  <c r="AJ225" i="30"/>
  <c r="AN225" i="30" s="1"/>
  <c r="BF171" i="30"/>
  <c r="BM169" i="30"/>
  <c r="BM170" i="30" s="1"/>
  <c r="BF164" i="30"/>
  <c r="BH164" i="30" s="1"/>
  <c r="BE162" i="30"/>
  <c r="BH160" i="30"/>
  <c r="BM160" i="30"/>
  <c r="BK155" i="30"/>
  <c r="BK164" i="30"/>
  <c r="BD155" i="30"/>
  <c r="BC154" i="30"/>
  <c r="BN145" i="30"/>
  <c r="BJ145" i="30"/>
  <c r="BK137" i="30"/>
  <c r="BM133" i="30"/>
  <c r="BL133" i="30" s="1"/>
  <c r="BH134" i="30"/>
  <c r="AN231" i="30"/>
  <c r="AN236" i="30" s="1"/>
  <c r="AJ233" i="30"/>
  <c r="AJ241" i="30"/>
  <c r="AL220" i="30"/>
  <c r="AL221" i="30"/>
  <c r="BM154" i="30"/>
  <c r="BI155" i="30"/>
  <c r="BI164" i="30"/>
  <c r="AL254" i="30"/>
  <c r="AV242" i="30"/>
  <c r="AV233" i="30"/>
  <c r="AV238" i="30" s="1"/>
  <c r="AS249" i="30"/>
  <c r="AO254" i="30"/>
  <c r="AS226" i="30"/>
  <c r="AN217" i="30"/>
  <c r="AN216" i="30"/>
  <c r="BH152" i="30"/>
  <c r="BM153" i="30" s="1"/>
  <c r="BD162" i="30"/>
  <c r="AX258" i="30"/>
  <c r="AW254" i="30"/>
  <c r="AW259" i="30"/>
  <c r="AI249" i="30"/>
  <c r="AF242" i="30"/>
  <c r="AJ236" i="30"/>
  <c r="AT233" i="30"/>
  <c r="AF233" i="30"/>
  <c r="AF238" i="30" s="1"/>
  <c r="AS232" i="30"/>
  <c r="AS237" i="30" s="1"/>
  <c r="AK242" i="30"/>
  <c r="AK243" i="30" s="1"/>
  <c r="AK237" i="30"/>
  <c r="AY233" i="30"/>
  <c r="AY238" i="30" s="1"/>
  <c r="AY241" i="30"/>
  <c r="AY243" i="30" s="1"/>
  <c r="AY236" i="30"/>
  <c r="AG233" i="30"/>
  <c r="AG238" i="30" s="1"/>
  <c r="AG241" i="30"/>
  <c r="AG243" i="30" s="1"/>
  <c r="AO225" i="30"/>
  <c r="AS225" i="30" s="1"/>
  <c r="AV171" i="30"/>
  <c r="BF145" i="30"/>
  <c r="BC129" i="30"/>
  <c r="BC127" i="30" s="1"/>
  <c r="BM129" i="30"/>
  <c r="BL135" i="30"/>
  <c r="AZ254" i="30"/>
  <c r="AZ259" i="30"/>
  <c r="AW221" i="30"/>
  <c r="BP171" i="30"/>
  <c r="BP145" i="30"/>
  <c r="BC144" i="30"/>
  <c r="BH145" i="30" s="1"/>
  <c r="AY171" i="30"/>
  <c r="BM150" i="30"/>
  <c r="AZ233" i="30"/>
  <c r="AZ238" i="30" s="1"/>
  <c r="AZ241" i="30"/>
  <c r="AT220" i="30"/>
  <c r="AT221" i="30"/>
  <c r="BH169" i="30"/>
  <c r="BH170" i="30" s="1"/>
  <c r="AN249" i="30"/>
  <c r="AT254" i="30"/>
  <c r="AT237" i="30"/>
  <c r="AX231" i="30"/>
  <c r="AX236" i="30" s="1"/>
  <c r="AS231" i="30"/>
  <c r="AS236" i="30" s="1"/>
  <c r="AO233" i="30"/>
  <c r="AO241" i="30"/>
  <c r="AP221" i="30"/>
  <c r="AQ254" i="30"/>
  <c r="AQ221" i="30"/>
  <c r="BH187" i="30"/>
  <c r="BM182" i="30"/>
  <c r="BE145" i="30"/>
  <c r="BE133" i="30"/>
  <c r="BO133" i="30"/>
  <c r="BJ137" i="30"/>
  <c r="BI129" i="30"/>
  <c r="BR172" i="30" l="1"/>
  <c r="AX254" i="30"/>
  <c r="BM172" i="30"/>
  <c r="BE137" i="30"/>
  <c r="AI254" i="30"/>
  <c r="AP243" i="30"/>
  <c r="AV243" i="30"/>
  <c r="AN220" i="30"/>
  <c r="BM155" i="30"/>
  <c r="BM156" i="30"/>
  <c r="BM167" i="30" s="1"/>
  <c r="BM145" i="30"/>
  <c r="AF243" i="30"/>
  <c r="AN221" i="30"/>
  <c r="AM243" i="30"/>
  <c r="BM164" i="30"/>
  <c r="AI242" i="30"/>
  <c r="AX259" i="30"/>
  <c r="BH165" i="30"/>
  <c r="BH155" i="30"/>
  <c r="AN254" i="30"/>
  <c r="BH171" i="30"/>
  <c r="BH172" i="30" s="1"/>
  <c r="BF137" i="30"/>
  <c r="BK138" i="30" s="1"/>
  <c r="AI241" i="30"/>
  <c r="AN242" i="30"/>
  <c r="AZ243" i="30"/>
  <c r="AX242" i="30"/>
  <c r="BL132" i="30"/>
  <c r="AX225" i="30"/>
  <c r="BR145" i="30"/>
  <c r="BE139" i="30"/>
  <c r="BR131" i="30"/>
  <c r="BR132" i="30" s="1"/>
  <c r="BP137" i="30"/>
  <c r="BP138" i="30" s="1"/>
  <c r="BC137" i="30"/>
  <c r="BH138" i="30" s="1"/>
  <c r="BH162" i="30"/>
  <c r="BH163" i="30" s="1"/>
  <c r="AJ243" i="30"/>
  <c r="AN241" i="30"/>
  <c r="BC165" i="30"/>
  <c r="BH153" i="30"/>
  <c r="BH156" i="30"/>
  <c r="BH167" i="30" s="1"/>
  <c r="AJ238" i="30"/>
  <c r="AN233" i="30"/>
  <c r="AN238" i="30" s="1"/>
  <c r="AX241" i="30"/>
  <c r="BO137" i="30"/>
  <c r="BO138" i="30" s="1"/>
  <c r="AS241" i="30"/>
  <c r="AO243" i="30"/>
  <c r="AS243" i="30" s="1"/>
  <c r="AT238" i="30"/>
  <c r="AX233" i="30"/>
  <c r="AX238" i="30" s="1"/>
  <c r="AS221" i="30"/>
  <c r="AX220" i="30"/>
  <c r="AS220" i="30"/>
  <c r="AX221" i="30"/>
  <c r="AS259" i="30"/>
  <c r="AS254" i="30"/>
  <c r="BD129" i="30"/>
  <c r="BI127" i="30"/>
  <c r="BN129" i="30"/>
  <c r="BL136" i="30"/>
  <c r="BQ135" i="30"/>
  <c r="BJ138" i="30"/>
  <c r="BJ139" i="30"/>
  <c r="AI233" i="30"/>
  <c r="AI238" i="30" s="1"/>
  <c r="BD133" i="30"/>
  <c r="BG133" i="30" s="1"/>
  <c r="BK139" i="30"/>
  <c r="BQ133" i="30"/>
  <c r="BR133" i="30" s="1"/>
  <c r="BR134" i="30" s="1"/>
  <c r="AO238" i="30"/>
  <c r="AS233" i="30"/>
  <c r="AS238" i="30" s="1"/>
  <c r="BM127" i="30"/>
  <c r="BL129" i="30"/>
  <c r="BM165" i="30"/>
  <c r="BI137" i="30"/>
  <c r="BI139" i="30" s="1"/>
  <c r="AI243" i="30"/>
  <c r="BM137" i="30"/>
  <c r="AT243" i="30"/>
  <c r="AX243" i="30" s="1"/>
  <c r="BC139" i="30" l="1"/>
  <c r="BH140" i="30" s="1"/>
  <c r="AN243" i="30"/>
  <c r="BF139" i="30"/>
  <c r="BM157" i="30"/>
  <c r="BL134" i="30"/>
  <c r="BN130" i="30"/>
  <c r="BN127" i="30"/>
  <c r="BD127" i="30"/>
  <c r="BG127" i="30" s="1"/>
  <c r="BG129" i="30"/>
  <c r="BL130" i="30" s="1"/>
  <c r="BP139" i="30"/>
  <c r="BP140" i="30" s="1"/>
  <c r="BI130" i="30"/>
  <c r="BO139" i="30"/>
  <c r="BO140" i="30" s="1"/>
  <c r="BQ129" i="30"/>
  <c r="BQ127" i="30" s="1"/>
  <c r="BR135" i="30"/>
  <c r="BR136" i="30" s="1"/>
  <c r="BN137" i="30"/>
  <c r="BN139" i="30" s="1"/>
  <c r="BD137" i="30"/>
  <c r="BG137" i="30" s="1"/>
  <c r="BI134" i="30"/>
  <c r="BM138" i="30"/>
  <c r="BL137" i="30"/>
  <c r="BL139" i="30" s="1"/>
  <c r="BM139" i="30"/>
  <c r="BM140" i="30" s="1"/>
  <c r="CC175" i="2"/>
  <c r="CA175" i="2"/>
  <c r="BZ175" i="2"/>
  <c r="CE176" i="2" s="1"/>
  <c r="BY175" i="2"/>
  <c r="CD176" i="2" s="1"/>
  <c r="BX175" i="2"/>
  <c r="BV175" i="2"/>
  <c r="BU175" i="2"/>
  <c r="BS175" i="2"/>
  <c r="BQ175" i="2"/>
  <c r="BO175" i="2"/>
  <c r="BN175" i="2"/>
  <c r="CD93" i="32"/>
  <c r="CD94" i="32" s="1"/>
  <c r="CC93" i="32"/>
  <c r="CA93" i="32"/>
  <c r="BZ93" i="32"/>
  <c r="BZ95" i="32" s="1"/>
  <c r="BY93" i="32"/>
  <c r="BY95" i="32" s="1"/>
  <c r="BX93" i="32"/>
  <c r="BX95" i="32" s="1"/>
  <c r="BV93" i="32"/>
  <c r="BU93" i="32"/>
  <c r="BT93" i="32"/>
  <c r="BT95" i="32" s="1"/>
  <c r="BS93" i="32"/>
  <c r="BQ93" i="32"/>
  <c r="BQ95" i="32" s="1"/>
  <c r="BP93" i="32"/>
  <c r="BP95" i="32" s="1"/>
  <c r="BO93" i="32"/>
  <c r="BN93" i="32"/>
  <c r="BN95" i="32" s="1"/>
  <c r="CF77" i="30"/>
  <c r="CE77" i="30"/>
  <c r="CE76" i="30" s="1"/>
  <c r="CD77" i="30"/>
  <c r="CC77" i="30"/>
  <c r="CA77" i="30"/>
  <c r="BY77" i="30"/>
  <c r="BX77" i="30"/>
  <c r="BV77" i="30"/>
  <c r="BU77" i="30"/>
  <c r="BT77" i="30"/>
  <c r="BT76" i="30" s="1"/>
  <c r="BT60" i="31" s="1"/>
  <c r="BS77" i="30"/>
  <c r="BQ77" i="30"/>
  <c r="BP77" i="30"/>
  <c r="BO77" i="30"/>
  <c r="BN77" i="30"/>
  <c r="CD73" i="30"/>
  <c r="CC73" i="30"/>
  <c r="CC75" i="30" s="1"/>
  <c r="CA73" i="30"/>
  <c r="CA75" i="30" s="1"/>
  <c r="BZ73" i="30"/>
  <c r="BZ75" i="30" s="1"/>
  <c r="BY73" i="30"/>
  <c r="BY75" i="30" s="1"/>
  <c r="BX73" i="30"/>
  <c r="BV73" i="30"/>
  <c r="BU73" i="30"/>
  <c r="BT73" i="30"/>
  <c r="BS73" i="30"/>
  <c r="BQ73" i="30"/>
  <c r="BP73" i="30"/>
  <c r="BO73" i="30"/>
  <c r="BN73" i="30"/>
  <c r="AT65" i="30"/>
  <c r="AU65" i="30"/>
  <c r="AV65" i="30"/>
  <c r="AW65" i="30"/>
  <c r="AY65" i="30"/>
  <c r="AZ65" i="30"/>
  <c r="BA65" i="30"/>
  <c r="BB65" i="30"/>
  <c r="BD65" i="30"/>
  <c r="BE65" i="30"/>
  <c r="BF65" i="30"/>
  <c r="BG65" i="30"/>
  <c r="BI65" i="30"/>
  <c r="BJ65" i="30"/>
  <c r="BK65" i="30"/>
  <c r="BL65" i="30"/>
  <c r="BN65" i="30"/>
  <c r="BO65" i="30"/>
  <c r="BP65" i="30"/>
  <c r="BQ65" i="30"/>
  <c r="BW65" i="30"/>
  <c r="BX65" i="30"/>
  <c r="BY65" i="30"/>
  <c r="BY66" i="30" s="1"/>
  <c r="BZ65" i="30"/>
  <c r="BZ66" i="30" s="1"/>
  <c r="CA65" i="30"/>
  <c r="CA66" i="30" s="1"/>
  <c r="CC65" i="30"/>
  <c r="CD65" i="30"/>
  <c r="AV67" i="30"/>
  <c r="AW67" i="30"/>
  <c r="AY67" i="30"/>
  <c r="AZ67" i="30"/>
  <c r="BA67" i="30"/>
  <c r="BB67" i="30"/>
  <c r="BF67" i="30"/>
  <c r="BG67" i="30"/>
  <c r="BI67" i="30"/>
  <c r="BJ67" i="30"/>
  <c r="BK67" i="30"/>
  <c r="BL67" i="30"/>
  <c r="BN67" i="30"/>
  <c r="BO67" i="30"/>
  <c r="BP67" i="30"/>
  <c r="BQ67" i="30"/>
  <c r="BS67" i="30"/>
  <c r="BS69" i="30" s="1"/>
  <c r="BT67" i="30"/>
  <c r="BT69" i="30" s="1"/>
  <c r="BU67" i="30"/>
  <c r="BU69" i="30" s="1"/>
  <c r="BV67" i="30"/>
  <c r="BV69" i="30" s="1"/>
  <c r="BX67" i="30"/>
  <c r="BY67" i="30"/>
  <c r="BZ67" i="30"/>
  <c r="CA67" i="30"/>
  <c r="CC67" i="30"/>
  <c r="CD67" i="30"/>
  <c r="CD52" i="31"/>
  <c r="CC52" i="31"/>
  <c r="CC54" i="31" s="1"/>
  <c r="CA52" i="31"/>
  <c r="CA54" i="31" s="1"/>
  <c r="BZ52" i="31"/>
  <c r="BZ54" i="31" s="1"/>
  <c r="BY52" i="31"/>
  <c r="BX52" i="31"/>
  <c r="BV52" i="31"/>
  <c r="BU52" i="31"/>
  <c r="BT52" i="31"/>
  <c r="BS52" i="31"/>
  <c r="BQ52" i="31"/>
  <c r="BP52" i="31"/>
  <c r="BO52" i="31"/>
  <c r="BN52" i="31"/>
  <c r="CC68" i="30" l="1"/>
  <c r="CB73" i="30"/>
  <c r="CA94" i="32"/>
  <c r="BS94" i="32"/>
  <c r="BV94" i="32"/>
  <c r="BV95" i="32"/>
  <c r="BS53" i="31"/>
  <c r="BR93" i="32"/>
  <c r="BW94" i="32" s="1"/>
  <c r="CD95" i="32"/>
  <c r="CF176" i="2"/>
  <c r="CB175" i="2"/>
  <c r="BW93" i="32"/>
  <c r="CB93" i="32"/>
  <c r="CB94" i="32" s="1"/>
  <c r="BY94" i="32"/>
  <c r="CA68" i="30"/>
  <c r="BS74" i="30"/>
  <c r="CD66" i="30"/>
  <c r="BT74" i="30"/>
  <c r="BY53" i="31"/>
  <c r="BG139" i="30"/>
  <c r="BN140" i="30"/>
  <c r="BR129" i="30"/>
  <c r="BR130" i="30" s="1"/>
  <c r="CB65" i="30"/>
  <c r="CB66" i="30" s="1"/>
  <c r="BR73" i="30"/>
  <c r="BZ74" i="30"/>
  <c r="CA74" i="30"/>
  <c r="BD139" i="30"/>
  <c r="BI138" i="30"/>
  <c r="BN138" i="30"/>
  <c r="BR127" i="30"/>
  <c r="BY74" i="30"/>
  <c r="BL138" i="30"/>
  <c r="BQ137" i="30"/>
  <c r="BQ138" i="30" s="1"/>
  <c r="BP68" i="30"/>
  <c r="BK68" i="30"/>
  <c r="BP66" i="30"/>
  <c r="BQ68" i="30"/>
  <c r="BG66" i="30"/>
  <c r="BB66" i="30"/>
  <c r="AX65" i="30"/>
  <c r="CC176" i="2"/>
  <c r="BK66" i="30"/>
  <c r="BV176" i="2"/>
  <c r="BX176" i="2"/>
  <c r="BZ176" i="2"/>
  <c r="BH65" i="30"/>
  <c r="BH189" i="30" s="1"/>
  <c r="BJ66" i="30"/>
  <c r="AZ66" i="30"/>
  <c r="BS176" i="2"/>
  <c r="CA176" i="2"/>
  <c r="BT94" i="32"/>
  <c r="BW69" i="30"/>
  <c r="BM67" i="30"/>
  <c r="BU94" i="32"/>
  <c r="CC94" i="32"/>
  <c r="BO95" i="32"/>
  <c r="BG68" i="30"/>
  <c r="BS95" i="32"/>
  <c r="CA95" i="32"/>
  <c r="BO66" i="30"/>
  <c r="BC65" i="30"/>
  <c r="BZ94" i="32"/>
  <c r="BO68" i="30"/>
  <c r="BQ66" i="30"/>
  <c r="BX94" i="32"/>
  <c r="BU95" i="32"/>
  <c r="CC95" i="32"/>
  <c r="CB52" i="31"/>
  <c r="CD68" i="30"/>
  <c r="BX66" i="30"/>
  <c r="BY54" i="31"/>
  <c r="BW67" i="30"/>
  <c r="CA53" i="31"/>
  <c r="BZ68" i="30"/>
  <c r="BZ53" i="31"/>
  <c r="BT53" i="31"/>
  <c r="BU74" i="30"/>
  <c r="CC74" i="30"/>
  <c r="CD69" i="30"/>
  <c r="BL68" i="30"/>
  <c r="AY66" i="30"/>
  <c r="BE66" i="30"/>
  <c r="BW73" i="30"/>
  <c r="CB74" i="30" s="1"/>
  <c r="BV74" i="30"/>
  <c r="CD74" i="30"/>
  <c r="BX75" i="30"/>
  <c r="BR67" i="30"/>
  <c r="BX74" i="30"/>
  <c r="BD66" i="30"/>
  <c r="BL66" i="30"/>
  <c r="CD75" i="30"/>
  <c r="BA68" i="30"/>
  <c r="BF68" i="30"/>
  <c r="BY69" i="30"/>
  <c r="BY70" i="30" s="1"/>
  <c r="BY68" i="30"/>
  <c r="BA66" i="30"/>
  <c r="BF66" i="30"/>
  <c r="BX69" i="30"/>
  <c r="BX68" i="30"/>
  <c r="CB67" i="30"/>
  <c r="BI66" i="30"/>
  <c r="BN66" i="30"/>
  <c r="BM65" i="30"/>
  <c r="CC66" i="30"/>
  <c r="CC69" i="30"/>
  <c r="BC67" i="30"/>
  <c r="BR65" i="30"/>
  <c r="BN68" i="30"/>
  <c r="CA69" i="30"/>
  <c r="CA70" i="30" s="1"/>
  <c r="BZ69" i="30"/>
  <c r="BZ70" i="30" s="1"/>
  <c r="BR52" i="31"/>
  <c r="BU53" i="31"/>
  <c r="CC53" i="31"/>
  <c r="BW52" i="31"/>
  <c r="BV53" i="31"/>
  <c r="CD53" i="31"/>
  <c r="BX54" i="31"/>
  <c r="BX53" i="31"/>
  <c r="CD54" i="31"/>
  <c r="BV22" i="30"/>
  <c r="BP167" i="2"/>
  <c r="BP175" i="2" s="1"/>
  <c r="BR175" i="2" s="1"/>
  <c r="BT167" i="2"/>
  <c r="CB167" i="2"/>
  <c r="CJ175" i="2"/>
  <c r="CJ176" i="2" s="1"/>
  <c r="CG175" i="2"/>
  <c r="CI175" i="2"/>
  <c r="CI176" i="2" s="1"/>
  <c r="BN168" i="2"/>
  <c r="BO168" i="2"/>
  <c r="BP168" i="2"/>
  <c r="BQ168" i="2"/>
  <c r="BS168" i="2"/>
  <c r="BT168" i="2"/>
  <c r="BU168" i="2"/>
  <c r="BV168" i="2"/>
  <c r="BX168" i="2"/>
  <c r="BY168" i="2"/>
  <c r="BZ168" i="2"/>
  <c r="CA168" i="2"/>
  <c r="CD168" i="2"/>
  <c r="CI168" i="2"/>
  <c r="CJ168" i="2"/>
  <c r="CN168" i="2"/>
  <c r="CO168" i="2"/>
  <c r="CP168" i="2"/>
  <c r="BV170" i="2"/>
  <c r="BT170" i="2" s="1"/>
  <c r="BY170" i="2"/>
  <c r="BT171" i="2"/>
  <c r="BW171" i="2" s="1"/>
  <c r="BS172" i="2"/>
  <c r="BU172" i="2"/>
  <c r="BX172" i="2"/>
  <c r="BY172" i="2"/>
  <c r="BZ172" i="2"/>
  <c r="CA172" i="2"/>
  <c r="CD172" i="2"/>
  <c r="CE172" i="2"/>
  <c r="CI172" i="2"/>
  <c r="CJ172" i="2"/>
  <c r="CK172" i="2"/>
  <c r="CM172" i="2"/>
  <c r="CN172" i="2"/>
  <c r="CO172" i="2"/>
  <c r="CP172" i="2"/>
  <c r="BN173" i="2"/>
  <c r="BO173" i="2"/>
  <c r="BP173" i="2"/>
  <c r="BQ173" i="2"/>
  <c r="BT28" i="2"/>
  <c r="BT30" i="2" s="1"/>
  <c r="BT172" i="2" s="1"/>
  <c r="BS28" i="2"/>
  <c r="BU28" i="2"/>
  <c r="BV28" i="2"/>
  <c r="BY28" i="2"/>
  <c r="BZ28" i="2"/>
  <c r="CA28" i="2"/>
  <c r="CN28" i="2"/>
  <c r="CN31" i="2" s="1"/>
  <c r="CO28" i="2"/>
  <c r="CO31" i="2" s="1"/>
  <c r="BW29" i="2"/>
  <c r="CB29" i="2"/>
  <c r="CQ29" i="2"/>
  <c r="CB30" i="2"/>
  <c r="CG30" i="2"/>
  <c r="CQ30" i="2"/>
  <c r="CO110" i="2" l="1"/>
  <c r="CN110" i="2"/>
  <c r="CL168" i="2"/>
  <c r="BW172" i="2"/>
  <c r="CG176" i="2"/>
  <c r="BR173" i="2"/>
  <c r="BW167" i="2"/>
  <c r="BT175" i="2"/>
  <c r="BW175" i="2" s="1"/>
  <c r="CR176" i="2"/>
  <c r="CH176" i="2"/>
  <c r="BU176" i="2"/>
  <c r="CB53" i="31"/>
  <c r="BQ139" i="30"/>
  <c r="BQ140" i="30" s="1"/>
  <c r="BR137" i="30"/>
  <c r="BR138" i="30" s="1"/>
  <c r="BM66" i="30"/>
  <c r="BC66" i="30"/>
  <c r="BH66" i="30"/>
  <c r="BR68" i="30"/>
  <c r="CL172" i="2"/>
  <c r="CB172" i="2"/>
  <c r="CQ168" i="2"/>
  <c r="BW168" i="2"/>
  <c r="CQ172" i="2"/>
  <c r="CG168" i="2"/>
  <c r="CD70" i="30"/>
  <c r="CB68" i="30"/>
  <c r="BW74" i="30"/>
  <c r="BR66" i="30"/>
  <c r="CC70" i="30"/>
  <c r="CB69" i="30"/>
  <c r="CB70" i="30" s="1"/>
  <c r="BX70" i="30"/>
  <c r="BW53" i="31"/>
  <c r="CG172" i="2"/>
  <c r="BW170" i="2"/>
  <c r="CB168" i="2"/>
  <c r="CG167" i="2"/>
  <c r="CK175" i="2"/>
  <c r="CK176" i="2" s="1"/>
  <c r="BW28" i="2"/>
  <c r="CB28" i="2"/>
  <c r="BW30" i="2"/>
  <c r="CQ28" i="2"/>
  <c r="BI55" i="30"/>
  <c r="BN55" i="30"/>
  <c r="BO55" i="30"/>
  <c r="BP55" i="30"/>
  <c r="BQ55" i="30"/>
  <c r="BX61" i="30"/>
  <c r="BY61" i="30"/>
  <c r="BZ61" i="30"/>
  <c r="CA61" i="30"/>
  <c r="CC61" i="30"/>
  <c r="CD61" i="30"/>
  <c r="CD50" i="31"/>
  <c r="CC50" i="31"/>
  <c r="CA50" i="31"/>
  <c r="BZ50" i="31"/>
  <c r="BY50" i="31"/>
  <c r="BX50" i="31"/>
  <c r="CC49" i="31"/>
  <c r="CA49" i="31"/>
  <c r="BZ49" i="31"/>
  <c r="BY49" i="31"/>
  <c r="BX49" i="31"/>
  <c r="BV49" i="31"/>
  <c r="BU49" i="31"/>
  <c r="BT49" i="31"/>
  <c r="BS49" i="31"/>
  <c r="CB48" i="31"/>
  <c r="BW48" i="31"/>
  <c r="BR48" i="31"/>
  <c r="BV47" i="31"/>
  <c r="BU47" i="31"/>
  <c r="BT47" i="31"/>
  <c r="BS47" i="31"/>
  <c r="BQ47" i="31"/>
  <c r="BP47" i="31"/>
  <c r="BO47" i="31"/>
  <c r="BN47" i="31"/>
  <c r="BV46" i="31"/>
  <c r="BU46" i="31"/>
  <c r="BT46" i="31"/>
  <c r="BS46" i="31"/>
  <c r="CA45" i="31"/>
  <c r="CA46" i="31" s="1"/>
  <c r="BZ45" i="31"/>
  <c r="BY45" i="31"/>
  <c r="BX45" i="31"/>
  <c r="BW45" i="31"/>
  <c r="BR45" i="31"/>
  <c r="CD43" i="31"/>
  <c r="CC43" i="31"/>
  <c r="CA43" i="31"/>
  <c r="BZ43" i="31"/>
  <c r="BY43" i="31"/>
  <c r="BX43" i="31"/>
  <c r="BV43" i="31"/>
  <c r="BU43" i="31"/>
  <c r="BT43" i="31"/>
  <c r="BS43" i="31"/>
  <c r="BQ43" i="31"/>
  <c r="BP43" i="31"/>
  <c r="BO43" i="31"/>
  <c r="BN43" i="31"/>
  <c r="CD42" i="31"/>
  <c r="CC42" i="31"/>
  <c r="CA42" i="31"/>
  <c r="BZ42" i="31"/>
  <c r="BY42" i="31"/>
  <c r="BX42" i="31"/>
  <c r="BV42" i="31"/>
  <c r="BU42" i="31"/>
  <c r="BT42" i="31"/>
  <c r="BS42" i="31"/>
  <c r="CB41" i="31"/>
  <c r="BW41" i="31"/>
  <c r="BR41" i="31"/>
  <c r="CD37" i="31"/>
  <c r="CC37" i="31"/>
  <c r="CA37" i="31"/>
  <c r="BZ37" i="31"/>
  <c r="BY37" i="31"/>
  <c r="BX37" i="31"/>
  <c r="CD36" i="31"/>
  <c r="CC36" i="31"/>
  <c r="CA36" i="31"/>
  <c r="BZ36" i="31"/>
  <c r="BY36" i="31"/>
  <c r="BX36" i="31"/>
  <c r="BV36" i="31"/>
  <c r="BU36" i="31"/>
  <c r="BT36" i="31"/>
  <c r="BS36" i="31"/>
  <c r="CB35" i="31"/>
  <c r="BW35" i="31"/>
  <c r="BR35" i="31"/>
  <c r="BV34" i="31"/>
  <c r="BU34" i="31"/>
  <c r="BT34" i="31"/>
  <c r="BS34" i="31"/>
  <c r="BQ34" i="31"/>
  <c r="BP34" i="31"/>
  <c r="BO34" i="31"/>
  <c r="BN34" i="31"/>
  <c r="BV33" i="31"/>
  <c r="BU33" i="31"/>
  <c r="BT33" i="31"/>
  <c r="BS33" i="31"/>
  <c r="CD32" i="31"/>
  <c r="CC32" i="31"/>
  <c r="CA32" i="31"/>
  <c r="CA33" i="31" s="1"/>
  <c r="BZ32" i="31"/>
  <c r="BZ33" i="31" s="1"/>
  <c r="BY32" i="31"/>
  <c r="BY33" i="31" s="1"/>
  <c r="BX32" i="31"/>
  <c r="BW32" i="31"/>
  <c r="BR32" i="31"/>
  <c r="CD30" i="31"/>
  <c r="CC30" i="31"/>
  <c r="CA30" i="31"/>
  <c r="BZ30" i="31"/>
  <c r="BY30" i="31"/>
  <c r="BX30" i="31"/>
  <c r="BV30" i="31"/>
  <c r="BU30" i="31"/>
  <c r="BT30" i="31"/>
  <c r="BS30" i="31"/>
  <c r="BQ30" i="31"/>
  <c r="BP30" i="31"/>
  <c r="BO30" i="31"/>
  <c r="BN30" i="31"/>
  <c r="CD29" i="31"/>
  <c r="CC29" i="31"/>
  <c r="CA29" i="31"/>
  <c r="BZ29" i="31"/>
  <c r="BY29" i="31"/>
  <c r="BX29" i="31"/>
  <c r="BV29" i="31"/>
  <c r="BU29" i="31"/>
  <c r="BT29" i="31"/>
  <c r="BS29" i="31"/>
  <c r="CB28" i="31"/>
  <c r="BW28" i="31"/>
  <c r="BR28" i="31"/>
  <c r="CD53" i="30"/>
  <c r="CC53" i="30"/>
  <c r="CA53" i="30"/>
  <c r="BZ53" i="30"/>
  <c r="BY53" i="30"/>
  <c r="BX53" i="30"/>
  <c r="CD52" i="30"/>
  <c r="CC52" i="30"/>
  <c r="CA52" i="30"/>
  <c r="BZ52" i="30"/>
  <c r="BY52" i="30"/>
  <c r="BX52" i="30"/>
  <c r="BV52" i="30"/>
  <c r="BU52" i="30"/>
  <c r="BT52" i="30"/>
  <c r="BS52" i="30"/>
  <c r="CB51" i="30"/>
  <c r="BW51" i="30"/>
  <c r="BR51" i="30"/>
  <c r="BV49" i="30"/>
  <c r="BU49" i="30"/>
  <c r="BT49" i="30"/>
  <c r="BS49" i="30"/>
  <c r="CD48" i="30"/>
  <c r="CC48" i="30"/>
  <c r="CA48" i="30"/>
  <c r="BZ48" i="30"/>
  <c r="BY48" i="30"/>
  <c r="BY49" i="30" s="1"/>
  <c r="BX48" i="30"/>
  <c r="BW48" i="30"/>
  <c r="BR48" i="30"/>
  <c r="CD46" i="30"/>
  <c r="CC46" i="30"/>
  <c r="CA46" i="30"/>
  <c r="BZ46" i="30"/>
  <c r="BY46" i="30"/>
  <c r="BX46" i="30"/>
  <c r="BV46" i="30"/>
  <c r="BU46" i="30"/>
  <c r="BT46" i="30"/>
  <c r="BS46" i="30"/>
  <c r="BQ46" i="30"/>
  <c r="BP46" i="30"/>
  <c r="BO46" i="30"/>
  <c r="BN46" i="30"/>
  <c r="CD45" i="30"/>
  <c r="CC45" i="30"/>
  <c r="CA45" i="30"/>
  <c r="BZ45" i="30"/>
  <c r="BY45" i="30"/>
  <c r="BX45" i="30"/>
  <c r="BV45" i="30"/>
  <c r="BU45" i="30"/>
  <c r="BT45" i="30"/>
  <c r="BS45" i="30"/>
  <c r="CB44" i="30"/>
  <c r="BW44" i="30"/>
  <c r="BR44" i="30"/>
  <c r="CD40" i="30"/>
  <c r="CC40" i="30"/>
  <c r="CA40" i="30"/>
  <c r="BZ40" i="30"/>
  <c r="BY40" i="30"/>
  <c r="BX40" i="30"/>
  <c r="CC39" i="30"/>
  <c r="CA39" i="30"/>
  <c r="BZ39" i="30"/>
  <c r="BY39" i="30"/>
  <c r="BX39" i="30"/>
  <c r="BV39" i="30"/>
  <c r="BU39" i="30"/>
  <c r="BT39" i="30"/>
  <c r="BS39" i="30"/>
  <c r="CB38" i="30"/>
  <c r="BW38" i="30"/>
  <c r="BR38" i="30"/>
  <c r="BV36" i="30"/>
  <c r="BU36" i="30"/>
  <c r="BT36" i="30"/>
  <c r="BS36" i="30"/>
  <c r="CC35" i="30"/>
  <c r="CA35" i="30"/>
  <c r="CA36" i="30" s="1"/>
  <c r="BZ35" i="30"/>
  <c r="CE36" i="30" s="1"/>
  <c r="BY35" i="30"/>
  <c r="BY36" i="30" s="1"/>
  <c r="BX35" i="30"/>
  <c r="BX36" i="30" s="1"/>
  <c r="BW35" i="30"/>
  <c r="BR35" i="30"/>
  <c r="CD33" i="30"/>
  <c r="CC33" i="30"/>
  <c r="CA33" i="30"/>
  <c r="BZ33" i="30"/>
  <c r="BY33" i="30"/>
  <c r="BX33" i="30"/>
  <c r="BV33" i="30"/>
  <c r="BU33" i="30"/>
  <c r="BT33" i="30"/>
  <c r="BS33" i="30"/>
  <c r="BQ33" i="30"/>
  <c r="BP33" i="30"/>
  <c r="BO33" i="30"/>
  <c r="BN33" i="30"/>
  <c r="CD32" i="30"/>
  <c r="CC32" i="30"/>
  <c r="CA32" i="30"/>
  <c r="BZ32" i="30"/>
  <c r="BY32" i="30"/>
  <c r="BX32" i="30"/>
  <c r="BV32" i="30"/>
  <c r="BU32" i="30"/>
  <c r="BT32" i="30"/>
  <c r="BS32" i="30"/>
  <c r="CB31" i="30"/>
  <c r="BW31" i="30"/>
  <c r="BR31" i="30"/>
  <c r="CD27" i="30"/>
  <c r="CC24" i="30"/>
  <c r="CC27" i="30" s="1"/>
  <c r="CA24" i="30"/>
  <c r="BZ24" i="30"/>
  <c r="BY24" i="30"/>
  <c r="BX24" i="30"/>
  <c r="CD23" i="30"/>
  <c r="CC23" i="30"/>
  <c r="CA23" i="30"/>
  <c r="BZ23" i="30"/>
  <c r="BY23" i="30"/>
  <c r="BX23" i="30"/>
  <c r="CD22" i="30"/>
  <c r="CC22" i="30"/>
  <c r="CA22" i="30"/>
  <c r="BZ22" i="30"/>
  <c r="BY22" i="30"/>
  <c r="BX22" i="30"/>
  <c r="BU22" i="30"/>
  <c r="BT22" i="30"/>
  <c r="BZ21" i="30"/>
  <c r="CD18" i="30"/>
  <c r="CC18" i="30"/>
  <c r="CB17" i="30"/>
  <c r="BM17" i="30"/>
  <c r="CC14" i="30"/>
  <c r="CA14" i="30"/>
  <c r="CF15" i="30" s="1"/>
  <c r="BZ14" i="30"/>
  <c r="CE15" i="30" s="1"/>
  <c r="BY14" i="30"/>
  <c r="CD15" i="30" s="1"/>
  <c r="BX14" i="30"/>
  <c r="BV14" i="30"/>
  <c r="BV17" i="30" s="1"/>
  <c r="BU14" i="30"/>
  <c r="BU37" i="30" s="1"/>
  <c r="BT14" i="30"/>
  <c r="BT17" i="30" s="1"/>
  <c r="BT75" i="30" s="1"/>
  <c r="BS14" i="30"/>
  <c r="BS17" i="30" s="1"/>
  <c r="BS75" i="30" s="1"/>
  <c r="BQ14" i="30"/>
  <c r="BQ17" i="30" s="1"/>
  <c r="BQ75" i="30" s="1"/>
  <c r="BP14" i="30"/>
  <c r="BP17" i="30" s="1"/>
  <c r="BP75" i="30" s="1"/>
  <c r="BO14" i="30"/>
  <c r="BO17" i="30" s="1"/>
  <c r="BO75" i="30" s="1"/>
  <c r="BN14" i="30"/>
  <c r="BN17" i="30" s="1"/>
  <c r="BN75" i="30" s="1"/>
  <c r="CC12" i="30"/>
  <c r="CA12" i="30"/>
  <c r="BZ12" i="30"/>
  <c r="BY12" i="30"/>
  <c r="BX12" i="30"/>
  <c r="BV12" i="30"/>
  <c r="BU12" i="30"/>
  <c r="BT12" i="30"/>
  <c r="BS12" i="30"/>
  <c r="CB11" i="30"/>
  <c r="BW11" i="30"/>
  <c r="BR11" i="30"/>
  <c r="BR12" i="30" s="1"/>
  <c r="CB9" i="30"/>
  <c r="BW9" i="30"/>
  <c r="BR9" i="30"/>
  <c r="BS30" i="32"/>
  <c r="BN30" i="32"/>
  <c r="BN33" i="32" s="1"/>
  <c r="BN24" i="32" s="1"/>
  <c r="BY24" i="31"/>
  <c r="BX24" i="31"/>
  <c r="BY23" i="31"/>
  <c r="BX23" i="31"/>
  <c r="BV23" i="31"/>
  <c r="BU23" i="31"/>
  <c r="BT23" i="31"/>
  <c r="BS23" i="31"/>
  <c r="BQ23" i="31"/>
  <c r="BP23" i="31"/>
  <c r="BO23" i="31"/>
  <c r="BY22" i="31"/>
  <c r="BX22" i="31"/>
  <c r="BV22" i="31"/>
  <c r="BU22" i="31"/>
  <c r="BT22" i="31"/>
  <c r="BS22" i="31"/>
  <c r="CA21" i="31"/>
  <c r="CA24" i="31" s="1"/>
  <c r="BZ21" i="31"/>
  <c r="BW21" i="31"/>
  <c r="BR21" i="31"/>
  <c r="CD20" i="31"/>
  <c r="CC20" i="31"/>
  <c r="CA20" i="31"/>
  <c r="BZ20" i="31"/>
  <c r="CG17" i="31"/>
  <c r="BY17" i="31"/>
  <c r="BZ19" i="31" s="1"/>
  <c r="BX17" i="31"/>
  <c r="CD15" i="31"/>
  <c r="CC15" i="31"/>
  <c r="CB14" i="31"/>
  <c r="CB54" i="31" s="1"/>
  <c r="BV14" i="31"/>
  <c r="BU14" i="31"/>
  <c r="BT14" i="31"/>
  <c r="BT54" i="31" s="1"/>
  <c r="BS14" i="31"/>
  <c r="BQ14" i="31"/>
  <c r="BQ54" i="31" s="1"/>
  <c r="BP14" i="31"/>
  <c r="BO14" i="31"/>
  <c r="BN14" i="31"/>
  <c r="BM14" i="31"/>
  <c r="BV12" i="31"/>
  <c r="BU12" i="31"/>
  <c r="BT12" i="31"/>
  <c r="BS12" i="31"/>
  <c r="CC11" i="31"/>
  <c r="CA11" i="31"/>
  <c r="BZ11" i="31"/>
  <c r="CE12" i="31" s="1"/>
  <c r="BY11" i="31"/>
  <c r="BX11" i="31"/>
  <c r="BW11" i="31"/>
  <c r="BR11" i="31"/>
  <c r="BR12" i="31" s="1"/>
  <c r="CC9" i="31"/>
  <c r="CA9" i="31"/>
  <c r="BZ9" i="31"/>
  <c r="BY9" i="31"/>
  <c r="BX9" i="31"/>
  <c r="BV9" i="31"/>
  <c r="BU9" i="31"/>
  <c r="BT9" i="31"/>
  <c r="BS9" i="31"/>
  <c r="CB8" i="31"/>
  <c r="BW8" i="31"/>
  <c r="BR8" i="31"/>
  <c r="BR9" i="31" s="1"/>
  <c r="CD91" i="32"/>
  <c r="CC91" i="32"/>
  <c r="CA91" i="32"/>
  <c r="BZ91" i="32"/>
  <c r="BY91" i="32"/>
  <c r="BX91" i="32"/>
  <c r="BV91" i="32"/>
  <c r="BU91" i="32"/>
  <c r="BT91" i="32"/>
  <c r="BS91" i="32"/>
  <c r="BQ91" i="32"/>
  <c r="BP91" i="32"/>
  <c r="BO91" i="32"/>
  <c r="BN91" i="32"/>
  <c r="CD90" i="32"/>
  <c r="CC90" i="32"/>
  <c r="CA90" i="32"/>
  <c r="BZ90" i="32"/>
  <c r="BY90" i="32"/>
  <c r="BX90" i="32"/>
  <c r="BV90" i="32"/>
  <c r="BU90" i="32"/>
  <c r="BT90" i="32"/>
  <c r="BS90" i="32"/>
  <c r="CB89" i="32"/>
  <c r="BW89" i="32"/>
  <c r="BR89" i="32"/>
  <c r="BV87" i="32"/>
  <c r="BU87" i="32"/>
  <c r="BT87" i="32"/>
  <c r="BS87" i="32"/>
  <c r="CD86" i="32"/>
  <c r="CC86" i="32"/>
  <c r="CA86" i="32"/>
  <c r="CA87" i="32" s="1"/>
  <c r="BZ86" i="32"/>
  <c r="BY86" i="32"/>
  <c r="BY87" i="32" s="1"/>
  <c r="BX86" i="32"/>
  <c r="BW86" i="32"/>
  <c r="BR86" i="32"/>
  <c r="CD85" i="32"/>
  <c r="CC85" i="32"/>
  <c r="CA85" i="32"/>
  <c r="BZ85" i="32"/>
  <c r="BY85" i="32"/>
  <c r="BX85" i="32"/>
  <c r="BV85" i="32"/>
  <c r="BU85" i="32"/>
  <c r="BT85" i="32"/>
  <c r="BS85" i="32"/>
  <c r="BQ85" i="32"/>
  <c r="BP85" i="32"/>
  <c r="BO85" i="32"/>
  <c r="BN85" i="32"/>
  <c r="CD84" i="32"/>
  <c r="CC84" i="32"/>
  <c r="CA84" i="32"/>
  <c r="BZ84" i="32"/>
  <c r="BY84" i="32"/>
  <c r="BX84" i="32"/>
  <c r="BV84" i="32"/>
  <c r="BU84" i="32"/>
  <c r="BT84" i="32"/>
  <c r="BS84" i="32"/>
  <c r="CB83" i="32"/>
  <c r="BW83" i="32"/>
  <c r="BR83" i="32"/>
  <c r="BR84" i="32" s="1"/>
  <c r="CD79" i="32"/>
  <c r="CC79" i="32"/>
  <c r="CA79" i="32"/>
  <c r="BZ79" i="32"/>
  <c r="BY79" i="32"/>
  <c r="BX79" i="32"/>
  <c r="BV79" i="32"/>
  <c r="BU79" i="32"/>
  <c r="BT79" i="32"/>
  <c r="BS79" i="32"/>
  <c r="BQ79" i="32"/>
  <c r="BP79" i="32"/>
  <c r="BO79" i="32"/>
  <c r="BN79" i="32"/>
  <c r="CD78" i="32"/>
  <c r="CC78" i="32"/>
  <c r="CA78" i="32"/>
  <c r="BZ78" i="32"/>
  <c r="BY78" i="32"/>
  <c r="BX78" i="32"/>
  <c r="BV78" i="32"/>
  <c r="BU78" i="32"/>
  <c r="BT78" i="32"/>
  <c r="BS78" i="32"/>
  <c r="CB77" i="32"/>
  <c r="BW77" i="32"/>
  <c r="BR77" i="32"/>
  <c r="BV75" i="32"/>
  <c r="BU75" i="32"/>
  <c r="BT75" i="32"/>
  <c r="BS75" i="32"/>
  <c r="CC74" i="32"/>
  <c r="CA74" i="32"/>
  <c r="CA75" i="32" s="1"/>
  <c r="BZ74" i="32"/>
  <c r="BY74" i="32"/>
  <c r="BY75" i="32" s="1"/>
  <c r="BX74" i="32"/>
  <c r="BW74" i="32"/>
  <c r="BR74" i="32"/>
  <c r="CD72" i="32"/>
  <c r="CC72" i="32"/>
  <c r="CA72" i="32"/>
  <c r="BZ72" i="32"/>
  <c r="BY72" i="32"/>
  <c r="BX72" i="32"/>
  <c r="BV72" i="32"/>
  <c r="BU72" i="32"/>
  <c r="BT72" i="32"/>
  <c r="BS72" i="32"/>
  <c r="BQ72" i="32"/>
  <c r="BP72" i="32"/>
  <c r="BO72" i="32"/>
  <c r="BN72" i="32"/>
  <c r="CD71" i="32"/>
  <c r="CC71" i="32"/>
  <c r="CA71" i="32"/>
  <c r="BZ71" i="32"/>
  <c r="BY71" i="32"/>
  <c r="BX71" i="32"/>
  <c r="BV71" i="32"/>
  <c r="BU71" i="32"/>
  <c r="BT71" i="32"/>
  <c r="BS71" i="32"/>
  <c r="CB70" i="32"/>
  <c r="BW70" i="32"/>
  <c r="BR70" i="32"/>
  <c r="BM9" i="32"/>
  <c r="BR9" i="32"/>
  <c r="BV9" i="32"/>
  <c r="BW9" i="32" s="1"/>
  <c r="BX9" i="32"/>
  <c r="BY9" i="32"/>
  <c r="CG9" i="32"/>
  <c r="BS10" i="32"/>
  <c r="BT10" i="32"/>
  <c r="BJ11" i="32"/>
  <c r="BK11" i="32"/>
  <c r="BK14" i="32" s="1"/>
  <c r="BL11" i="32"/>
  <c r="BL14" i="32" s="1"/>
  <c r="BN11" i="32"/>
  <c r="BN14" i="32" s="1"/>
  <c r="BO11" i="32"/>
  <c r="BO14" i="32" s="1"/>
  <c r="BP11" i="32"/>
  <c r="BQ11" i="32"/>
  <c r="BU11" i="32"/>
  <c r="BW11" i="32" s="1"/>
  <c r="BZ11" i="32"/>
  <c r="CA11" i="32"/>
  <c r="CC11" i="32"/>
  <c r="CD11" i="32"/>
  <c r="CF11" i="32"/>
  <c r="BO16" i="32"/>
  <c r="BP16" i="32" s="1"/>
  <c r="BQ16" i="32" s="1"/>
  <c r="BS16" i="32" s="1"/>
  <c r="BT16" i="32" s="1"/>
  <c r="BU16" i="32" s="1"/>
  <c r="BJ17" i="32"/>
  <c r="BJ18" i="32" s="1"/>
  <c r="BJ24" i="32" s="1"/>
  <c r="BK20" i="32"/>
  <c r="BL20" i="32" s="1"/>
  <c r="BO30" i="32"/>
  <c r="BO28" i="32" s="1"/>
  <c r="BP30" i="32"/>
  <c r="BP33" i="32" s="1"/>
  <c r="BQ30" i="32"/>
  <c r="BT30" i="32"/>
  <c r="BT33" i="32" s="1"/>
  <c r="BU30" i="32"/>
  <c r="BU31" i="32" s="1"/>
  <c r="BV30" i="32"/>
  <c r="BV33" i="32" s="1"/>
  <c r="BX30" i="32"/>
  <c r="CB30" i="32" s="1"/>
  <c r="CG30" i="32"/>
  <c r="BY31" i="32"/>
  <c r="BZ31" i="32"/>
  <c r="CA31" i="32"/>
  <c r="BK33" i="32"/>
  <c r="BL33" i="32"/>
  <c r="BY33" i="32"/>
  <c r="BY24" i="32" s="1"/>
  <c r="BZ33" i="32"/>
  <c r="BZ24" i="32" s="1"/>
  <c r="CE26" i="32" s="1"/>
  <c r="CA33" i="32"/>
  <c r="CA24" i="32" s="1"/>
  <c r="CC33" i="32"/>
  <c r="CC24" i="32" s="1"/>
  <c r="CD33" i="32"/>
  <c r="CD24" i="32" s="1"/>
  <c r="CE56" i="32"/>
  <c r="CF56" i="32"/>
  <c r="CF48" i="32" s="1"/>
  <c r="BR37" i="32"/>
  <c r="BW37" i="32"/>
  <c r="CB37" i="32"/>
  <c r="BS38" i="32"/>
  <c r="BT38" i="32"/>
  <c r="BU38" i="32"/>
  <c r="BV38" i="32"/>
  <c r="BX38" i="32"/>
  <c r="BY38" i="32"/>
  <c r="BZ38" i="32"/>
  <c r="CA38" i="32"/>
  <c r="CC38" i="32"/>
  <c r="CD38" i="32"/>
  <c r="BN39" i="32"/>
  <c r="BO39" i="32"/>
  <c r="BP39" i="32"/>
  <c r="BQ39" i="32"/>
  <c r="BS39" i="32"/>
  <c r="BT39" i="32"/>
  <c r="BU39" i="32"/>
  <c r="BV39" i="32"/>
  <c r="BX39" i="32"/>
  <c r="BY39" i="32"/>
  <c r="BZ39" i="32"/>
  <c r="CA39" i="32"/>
  <c r="CC39" i="32"/>
  <c r="BN41" i="32"/>
  <c r="BN88" i="32" s="1"/>
  <c r="BO41" i="32"/>
  <c r="BO88" i="32" s="1"/>
  <c r="BP41" i="32"/>
  <c r="BP43" i="32" s="1"/>
  <c r="BQ41" i="32"/>
  <c r="BQ76" i="32" s="1"/>
  <c r="BS41" i="32"/>
  <c r="BS76" i="32" s="1"/>
  <c r="BT41" i="32"/>
  <c r="BT76" i="32" s="1"/>
  <c r="BU41" i="32"/>
  <c r="BU76" i="32" s="1"/>
  <c r="BV41" i="32"/>
  <c r="BV88" i="32" s="1"/>
  <c r="BX41" i="32"/>
  <c r="BY41" i="32"/>
  <c r="BY43" i="32" s="1"/>
  <c r="BZ41" i="32"/>
  <c r="CA41" i="32"/>
  <c r="CC41" i="32"/>
  <c r="BR45" i="32"/>
  <c r="BR129" i="34" s="1"/>
  <c r="BW45" i="32"/>
  <c r="CB45" i="32"/>
  <c r="BS46" i="32"/>
  <c r="BT46" i="32"/>
  <c r="BU46" i="32"/>
  <c r="BV46" i="32"/>
  <c r="BX46" i="32"/>
  <c r="BY46" i="32"/>
  <c r="BZ46" i="32"/>
  <c r="CA46" i="32"/>
  <c r="CC46" i="32"/>
  <c r="CD46" i="32"/>
  <c r="BX48" i="32"/>
  <c r="BS48" i="32" s="1"/>
  <c r="BS51" i="32" s="1"/>
  <c r="BY48" i="32"/>
  <c r="CB52" i="32"/>
  <c r="CG52" i="32"/>
  <c r="CE53" i="32"/>
  <c r="CF53" i="32"/>
  <c r="CA54" i="32"/>
  <c r="CC54" i="32"/>
  <c r="CD54" i="32"/>
  <c r="CE54" i="32"/>
  <c r="CF54" i="32"/>
  <c r="CE61" i="32"/>
  <c r="CA62" i="32"/>
  <c r="BZ63" i="32"/>
  <c r="CA63" i="32"/>
  <c r="CC63" i="32"/>
  <c r="CD63" i="32"/>
  <c r="BQ66" i="32"/>
  <c r="BS66" i="32"/>
  <c r="BT66" i="32"/>
  <c r="BU66" i="32"/>
  <c r="BV66" i="32"/>
  <c r="CP6" i="32"/>
  <c r="CO6" i="32"/>
  <c r="CN6" i="32"/>
  <c r="CM6" i="32"/>
  <c r="CK6" i="32"/>
  <c r="CJ6" i="32"/>
  <c r="CI6" i="32"/>
  <c r="CH6" i="32"/>
  <c r="CF6" i="32"/>
  <c r="CE6" i="32"/>
  <c r="CD6" i="32"/>
  <c r="CC6" i="32"/>
  <c r="CA6" i="32"/>
  <c r="BZ6" i="32"/>
  <c r="BY6" i="32"/>
  <c r="BX6" i="32"/>
  <c r="BV6" i="32"/>
  <c r="BU6" i="32"/>
  <c r="BT6" i="32"/>
  <c r="BS6" i="32"/>
  <c r="BQ6" i="32"/>
  <c r="BP6" i="32"/>
  <c r="BO6" i="32"/>
  <c r="BN6" i="32"/>
  <c r="BL6" i="32"/>
  <c r="BK6" i="32"/>
  <c r="BJ6" i="32"/>
  <c r="BI6" i="32"/>
  <c r="BG6" i="32"/>
  <c r="BF6" i="32"/>
  <c r="BE6" i="32"/>
  <c r="BD6" i="32"/>
  <c r="BB6" i="32"/>
  <c r="BA6" i="32"/>
  <c r="AZ6" i="32"/>
  <c r="AY6" i="32"/>
  <c r="AW6" i="32"/>
  <c r="AV6" i="32"/>
  <c r="AU6" i="32"/>
  <c r="AT6" i="32"/>
  <c r="AR6" i="32"/>
  <c r="AQ6" i="32"/>
  <c r="AP6" i="32"/>
  <c r="AO6" i="32"/>
  <c r="AM6" i="32"/>
  <c r="AL6" i="32"/>
  <c r="AK6" i="32"/>
  <c r="AJ6" i="32"/>
  <c r="AH6" i="32"/>
  <c r="AG6" i="32"/>
  <c r="AF6" i="32"/>
  <c r="AE6" i="32"/>
  <c r="AC6" i="32"/>
  <c r="AB6" i="32"/>
  <c r="AA6" i="32"/>
  <c r="Z6" i="32"/>
  <c r="E6" i="32"/>
  <c r="CP5" i="32"/>
  <c r="CO5" i="32"/>
  <c r="CN5" i="32"/>
  <c r="CM5" i="32"/>
  <c r="CK5" i="32"/>
  <c r="CJ5" i="32"/>
  <c r="CI5" i="32"/>
  <c r="CH5" i="32"/>
  <c r="CF5" i="32"/>
  <c r="CE5" i="32"/>
  <c r="CD5" i="32"/>
  <c r="CC5" i="32"/>
  <c r="CA5" i="32"/>
  <c r="BZ5" i="32"/>
  <c r="BY5" i="32"/>
  <c r="BX5" i="32"/>
  <c r="BV5" i="32"/>
  <c r="BU5" i="32"/>
  <c r="BT5" i="32"/>
  <c r="BS5" i="32"/>
  <c r="BQ5" i="32"/>
  <c r="BP5" i="32"/>
  <c r="BO5" i="32"/>
  <c r="BN5" i="32"/>
  <c r="BL5" i="32"/>
  <c r="BK5" i="32"/>
  <c r="BJ5" i="32"/>
  <c r="BI5" i="32"/>
  <c r="BG5" i="32"/>
  <c r="BF5" i="32"/>
  <c r="BE5" i="32"/>
  <c r="BD5" i="32"/>
  <c r="BB5" i="32"/>
  <c r="BA5" i="32"/>
  <c r="AZ5" i="32"/>
  <c r="AY5" i="32"/>
  <c r="AW5" i="32"/>
  <c r="AV5" i="32"/>
  <c r="AU5" i="32"/>
  <c r="AT5" i="32"/>
  <c r="AR5" i="32"/>
  <c r="AQ5" i="32"/>
  <c r="AP5" i="32"/>
  <c r="AO5" i="32"/>
  <c r="AM5" i="32"/>
  <c r="AL5" i="32"/>
  <c r="AK5" i="32"/>
  <c r="AJ5" i="32"/>
  <c r="AH5" i="32"/>
  <c r="AG5" i="32"/>
  <c r="AF5" i="32"/>
  <c r="AE5" i="32"/>
  <c r="AC5" i="32"/>
  <c r="AB5" i="32"/>
  <c r="AA5" i="32"/>
  <c r="Z5" i="32"/>
  <c r="X5" i="32"/>
  <c r="W5" i="32"/>
  <c r="V5" i="32"/>
  <c r="U5" i="32"/>
  <c r="S5" i="32"/>
  <c r="R5" i="32"/>
  <c r="Q5" i="32"/>
  <c r="P5" i="32"/>
  <c r="N5" i="32"/>
  <c r="M5" i="32"/>
  <c r="L5" i="32"/>
  <c r="K5" i="32"/>
  <c r="J5" i="32"/>
  <c r="I5" i="32"/>
  <c r="H5" i="32"/>
  <c r="G5" i="32"/>
  <c r="F5" i="32"/>
  <c r="E5" i="32"/>
  <c r="CQ4" i="32"/>
  <c r="CM4" i="32"/>
  <c r="CL4" i="32"/>
  <c r="CH4" i="32"/>
  <c r="CG4" i="32"/>
  <c r="CC4" i="32"/>
  <c r="CB4" i="32"/>
  <c r="BX4" i="32"/>
  <c r="BW4" i="32"/>
  <c r="BS4" i="32"/>
  <c r="BR4" i="32"/>
  <c r="BN4" i="32"/>
  <c r="BM4" i="32"/>
  <c r="BI4" i="32"/>
  <c r="BH4" i="32"/>
  <c r="BD4" i="32"/>
  <c r="BC4" i="32"/>
  <c r="AY4" i="32"/>
  <c r="AX4" i="32"/>
  <c r="AT4" i="32"/>
  <c r="AS4" i="32"/>
  <c r="AO4" i="32"/>
  <c r="AN4" i="32"/>
  <c r="AJ4" i="32"/>
  <c r="AI4" i="32"/>
  <c r="AE4" i="32"/>
  <c r="AD4" i="32"/>
  <c r="Z4" i="32"/>
  <c r="Y4" i="32"/>
  <c r="U4" i="32"/>
  <c r="T4" i="32"/>
  <c r="P4" i="32"/>
  <c r="O4" i="32"/>
  <c r="K4" i="32"/>
  <c r="J4" i="32"/>
  <c r="I4" i="32"/>
  <c r="H4" i="32"/>
  <c r="G4" i="32"/>
  <c r="F4" i="32"/>
  <c r="E4" i="32"/>
  <c r="CP6" i="31"/>
  <c r="CO6" i="31"/>
  <c r="CN6" i="31"/>
  <c r="CM6" i="31"/>
  <c r="CK6" i="31"/>
  <c r="CJ6" i="31"/>
  <c r="CI6" i="31"/>
  <c r="CH6" i="31"/>
  <c r="CF6" i="31"/>
  <c r="CE6" i="31"/>
  <c r="CD6" i="31"/>
  <c r="CC6" i="31"/>
  <c r="CA6" i="31"/>
  <c r="BZ6" i="31"/>
  <c r="BY6" i="31"/>
  <c r="BX6" i="31"/>
  <c r="BV6" i="31"/>
  <c r="BU6" i="31"/>
  <c r="BT6" i="31"/>
  <c r="BS6" i="31"/>
  <c r="BQ6" i="31"/>
  <c r="BP6" i="31"/>
  <c r="BO6" i="31"/>
  <c r="BN6" i="31"/>
  <c r="BL6" i="31"/>
  <c r="BK6" i="31"/>
  <c r="BJ6" i="31"/>
  <c r="BI6" i="31"/>
  <c r="BG6" i="31"/>
  <c r="BF6" i="31"/>
  <c r="BE6" i="31"/>
  <c r="BD6" i="31"/>
  <c r="BB6" i="31"/>
  <c r="BA6" i="31"/>
  <c r="AZ6" i="31"/>
  <c r="AY6" i="31"/>
  <c r="AW6" i="31"/>
  <c r="AV6" i="31"/>
  <c r="AU6" i="31"/>
  <c r="AT6" i="31"/>
  <c r="AR6" i="31"/>
  <c r="AQ6" i="31"/>
  <c r="AP6" i="31"/>
  <c r="AO6" i="31"/>
  <c r="AM6" i="31"/>
  <c r="AL6" i="31"/>
  <c r="AK6" i="31"/>
  <c r="AJ6" i="31"/>
  <c r="AH6" i="31"/>
  <c r="AG6" i="31"/>
  <c r="AF6" i="31"/>
  <c r="AE6" i="31"/>
  <c r="AC6" i="31"/>
  <c r="AB6" i="31"/>
  <c r="AA6" i="31"/>
  <c r="Z6" i="31"/>
  <c r="E6" i="31"/>
  <c r="CP5" i="31"/>
  <c r="CO5" i="31"/>
  <c r="CN5" i="31"/>
  <c r="CM5" i="31"/>
  <c r="CK5" i="31"/>
  <c r="CJ5" i="31"/>
  <c r="CI5" i="31"/>
  <c r="CH5" i="31"/>
  <c r="CF5" i="31"/>
  <c r="CE5" i="31"/>
  <c r="CD5" i="31"/>
  <c r="CC5" i="31"/>
  <c r="CA5" i="31"/>
  <c r="BZ5" i="31"/>
  <c r="BY5" i="31"/>
  <c r="BX5" i="31"/>
  <c r="BV5" i="31"/>
  <c r="BU5" i="31"/>
  <c r="BT5" i="31"/>
  <c r="BS5" i="31"/>
  <c r="BQ5" i="31"/>
  <c r="BP5" i="31"/>
  <c r="BO5" i="31"/>
  <c r="BN5" i="31"/>
  <c r="BL5" i="31"/>
  <c r="BK5" i="31"/>
  <c r="BJ5" i="31"/>
  <c r="BI5" i="31"/>
  <c r="BG5" i="31"/>
  <c r="BF5" i="31"/>
  <c r="BE5" i="31"/>
  <c r="BD5" i="31"/>
  <c r="BB5" i="31"/>
  <c r="BA5" i="31"/>
  <c r="AZ5" i="31"/>
  <c r="AY5" i="31"/>
  <c r="AW5" i="31"/>
  <c r="AV5" i="31"/>
  <c r="AU5" i="31"/>
  <c r="AT5" i="31"/>
  <c r="AR5" i="31"/>
  <c r="AQ5" i="31"/>
  <c r="AP5" i="31"/>
  <c r="AO5" i="31"/>
  <c r="AM5" i="31"/>
  <c r="AL5" i="31"/>
  <c r="AK5" i="31"/>
  <c r="AJ5" i="31"/>
  <c r="AH5" i="31"/>
  <c r="AG5" i="31"/>
  <c r="AF5" i="31"/>
  <c r="AE5" i="31"/>
  <c r="AC5" i="31"/>
  <c r="AB5" i="31"/>
  <c r="AA5" i="31"/>
  <c r="Z5" i="31"/>
  <c r="X5" i="31"/>
  <c r="W5" i="31"/>
  <c r="V5" i="31"/>
  <c r="U5" i="31"/>
  <c r="S5" i="31"/>
  <c r="R5" i="31"/>
  <c r="Q5" i="31"/>
  <c r="P5" i="31"/>
  <c r="N5" i="31"/>
  <c r="M5" i="31"/>
  <c r="L5" i="31"/>
  <c r="K5" i="31"/>
  <c r="J5" i="31"/>
  <c r="I5" i="31"/>
  <c r="H5" i="31"/>
  <c r="G5" i="31"/>
  <c r="F5" i="31"/>
  <c r="E5" i="31"/>
  <c r="CQ4" i="31"/>
  <c r="CM4" i="31"/>
  <c r="CL4" i="31"/>
  <c r="CH4" i="31"/>
  <c r="CG4" i="31"/>
  <c r="CC4" i="31"/>
  <c r="CB4" i="31"/>
  <c r="BX4" i="31"/>
  <c r="BW4" i="31"/>
  <c r="BS4" i="31"/>
  <c r="BR4" i="31"/>
  <c r="BN4" i="31"/>
  <c r="BM4" i="31"/>
  <c r="BI4" i="31"/>
  <c r="BH4" i="31"/>
  <c r="BD4" i="31"/>
  <c r="BC4" i="31"/>
  <c r="AY4" i="31"/>
  <c r="AX4" i="31"/>
  <c r="AT4" i="31"/>
  <c r="AS4" i="31"/>
  <c r="AO4" i="31"/>
  <c r="AN4" i="31"/>
  <c r="AJ4" i="31"/>
  <c r="AI4" i="31"/>
  <c r="AE4" i="31"/>
  <c r="AD4" i="31"/>
  <c r="Z4" i="31"/>
  <c r="Y4" i="31"/>
  <c r="U4" i="31"/>
  <c r="T4" i="31"/>
  <c r="P4" i="31"/>
  <c r="O4" i="31"/>
  <c r="K4" i="31"/>
  <c r="J4" i="31"/>
  <c r="I4" i="31"/>
  <c r="H4" i="31"/>
  <c r="G4" i="31"/>
  <c r="F4" i="31"/>
  <c r="E4" i="31"/>
  <c r="CP6" i="30"/>
  <c r="CO6" i="30"/>
  <c r="CN6" i="30"/>
  <c r="CM6" i="30"/>
  <c r="CK6" i="30"/>
  <c r="CJ6" i="30"/>
  <c r="CI6" i="30"/>
  <c r="CH6" i="30"/>
  <c r="CF6" i="30"/>
  <c r="CE6" i="30"/>
  <c r="CD6" i="30"/>
  <c r="CC6" i="30"/>
  <c r="CA6" i="30"/>
  <c r="BZ6" i="30"/>
  <c r="BY6" i="30"/>
  <c r="BX6" i="30"/>
  <c r="BV6" i="30"/>
  <c r="BU6" i="30"/>
  <c r="BT6" i="30"/>
  <c r="BS6" i="30"/>
  <c r="BQ6" i="30"/>
  <c r="BP6" i="30"/>
  <c r="BO6" i="30"/>
  <c r="BN6" i="30"/>
  <c r="BL6" i="30"/>
  <c r="BK6" i="30"/>
  <c r="BJ6" i="30"/>
  <c r="BI6" i="30"/>
  <c r="BG6" i="30"/>
  <c r="BF6" i="30"/>
  <c r="BE6" i="30"/>
  <c r="BD6" i="30"/>
  <c r="BB6" i="30"/>
  <c r="BA6" i="30"/>
  <c r="AZ6" i="30"/>
  <c r="AY6" i="30"/>
  <c r="AW6" i="30"/>
  <c r="AV6" i="30"/>
  <c r="AU6" i="30"/>
  <c r="AT6" i="30"/>
  <c r="AR6" i="30"/>
  <c r="AQ6" i="30"/>
  <c r="AP6" i="30"/>
  <c r="AO6" i="30"/>
  <c r="AM6" i="30"/>
  <c r="AL6" i="30"/>
  <c r="AK6" i="30"/>
  <c r="AJ6" i="30"/>
  <c r="AH6" i="30"/>
  <c r="AG6" i="30"/>
  <c r="AF6" i="30"/>
  <c r="AE6" i="30"/>
  <c r="AC6" i="30"/>
  <c r="AB6" i="30"/>
  <c r="AA6" i="30"/>
  <c r="Z6" i="30"/>
  <c r="E6" i="30"/>
  <c r="CP5" i="30"/>
  <c r="CO5" i="30"/>
  <c r="CN5" i="30"/>
  <c r="CM5" i="30"/>
  <c r="CK5" i="30"/>
  <c r="CJ5" i="30"/>
  <c r="CI5" i="30"/>
  <c r="CH5" i="30"/>
  <c r="CF5" i="30"/>
  <c r="CE5" i="30"/>
  <c r="CD5" i="30"/>
  <c r="CC5" i="30"/>
  <c r="CA5" i="30"/>
  <c r="BZ5" i="30"/>
  <c r="BY5" i="30"/>
  <c r="BX5" i="30"/>
  <c r="BV5" i="30"/>
  <c r="BU5" i="30"/>
  <c r="BT5" i="30"/>
  <c r="BS5" i="30"/>
  <c r="BQ5" i="30"/>
  <c r="BP5" i="30"/>
  <c r="BO5" i="30"/>
  <c r="BN5" i="30"/>
  <c r="BL5" i="30"/>
  <c r="BK5" i="30"/>
  <c r="BJ5" i="30"/>
  <c r="BI5" i="30"/>
  <c r="BG5" i="30"/>
  <c r="BF5" i="30"/>
  <c r="BE5" i="30"/>
  <c r="BD5" i="30"/>
  <c r="BB5" i="30"/>
  <c r="BA5" i="30"/>
  <c r="AZ5" i="30"/>
  <c r="AY5" i="30"/>
  <c r="AW5" i="30"/>
  <c r="AV5" i="30"/>
  <c r="AU5" i="30"/>
  <c r="AT5" i="30"/>
  <c r="AR5" i="30"/>
  <c r="AQ5" i="30"/>
  <c r="AP5" i="30"/>
  <c r="AO5" i="30"/>
  <c r="AM5" i="30"/>
  <c r="AL5" i="30"/>
  <c r="AK5" i="30"/>
  <c r="AJ5" i="30"/>
  <c r="AH5" i="30"/>
  <c r="AG5" i="30"/>
  <c r="AF5" i="30"/>
  <c r="AE5" i="30"/>
  <c r="AC5" i="30"/>
  <c r="AB5" i="30"/>
  <c r="AA5" i="30"/>
  <c r="Z5" i="30"/>
  <c r="X5" i="30"/>
  <c r="W5" i="30"/>
  <c r="V5" i="30"/>
  <c r="U5" i="30"/>
  <c r="S5" i="30"/>
  <c r="R5" i="30"/>
  <c r="Q5" i="30"/>
  <c r="P5" i="30"/>
  <c r="N5" i="30"/>
  <c r="M5" i="30"/>
  <c r="L5" i="30"/>
  <c r="K5" i="30"/>
  <c r="J5" i="30"/>
  <c r="I5" i="30"/>
  <c r="H5" i="30"/>
  <c r="G5" i="30"/>
  <c r="F5" i="30"/>
  <c r="E5" i="30"/>
  <c r="CQ4" i="30"/>
  <c r="CM4" i="30"/>
  <c r="CL4" i="30"/>
  <c r="CH4" i="30"/>
  <c r="CG4" i="30"/>
  <c r="CC4" i="30"/>
  <c r="CB4" i="30"/>
  <c r="BX4" i="30"/>
  <c r="BW4" i="30"/>
  <c r="BS4" i="30"/>
  <c r="BR4" i="30"/>
  <c r="BN4" i="30"/>
  <c r="BM4" i="30"/>
  <c r="BI4" i="30"/>
  <c r="BH4" i="30"/>
  <c r="BD4" i="30"/>
  <c r="BC4" i="30"/>
  <c r="AY4" i="30"/>
  <c r="AX4" i="30"/>
  <c r="AT4" i="30"/>
  <c r="AS4" i="30"/>
  <c r="AO4" i="30"/>
  <c r="AN4" i="30"/>
  <c r="AJ4" i="30"/>
  <c r="AI4" i="30"/>
  <c r="AE4" i="30"/>
  <c r="AD4" i="30"/>
  <c r="Z4" i="30"/>
  <c r="Y4" i="30"/>
  <c r="U4" i="30"/>
  <c r="T4" i="30"/>
  <c r="P4" i="30"/>
  <c r="O4" i="30"/>
  <c r="K4" i="30"/>
  <c r="J4" i="30"/>
  <c r="I4" i="30"/>
  <c r="H4" i="30"/>
  <c r="G4" i="30"/>
  <c r="F4" i="30"/>
  <c r="E4" i="30"/>
  <c r="BR139" i="30" l="1"/>
  <c r="BR140" i="30" s="1"/>
  <c r="BY47" i="31"/>
  <c r="CQ110" i="2"/>
  <c r="BW33" i="31"/>
  <c r="BY27" i="30"/>
  <c r="CD25" i="30"/>
  <c r="BY12" i="31"/>
  <c r="CD12" i="31"/>
  <c r="BZ27" i="30"/>
  <c r="CE25" i="30"/>
  <c r="BW49" i="30"/>
  <c r="BZ46" i="31"/>
  <c r="CE46" i="31"/>
  <c r="CA43" i="32"/>
  <c r="CF42" i="32"/>
  <c r="CE25" i="32"/>
  <c r="CB17" i="31"/>
  <c r="CB20" i="31" s="1"/>
  <c r="CA27" i="30"/>
  <c r="CF25" i="30"/>
  <c r="BR34" i="31"/>
  <c r="BZ43" i="32"/>
  <c r="CE42" i="32"/>
  <c r="BZ75" i="32"/>
  <c r="CE75" i="32"/>
  <c r="BZ24" i="31"/>
  <c r="CE22" i="31"/>
  <c r="BZ87" i="32"/>
  <c r="CE87" i="32"/>
  <c r="BZ49" i="30"/>
  <c r="CE49" i="30"/>
  <c r="CA12" i="31"/>
  <c r="CF12" i="31"/>
  <c r="CA49" i="30"/>
  <c r="CF49" i="30"/>
  <c r="BR47" i="31"/>
  <c r="CQ31" i="2"/>
  <c r="CN176" i="2"/>
  <c r="CS176" i="2"/>
  <c r="CB75" i="30"/>
  <c r="CD36" i="30"/>
  <c r="CB45" i="30"/>
  <c r="CA37" i="30"/>
  <c r="CB95" i="32"/>
  <c r="CL175" i="2"/>
  <c r="CL176" i="2" s="1"/>
  <c r="CM176" i="2"/>
  <c r="BT176" i="2"/>
  <c r="BY176" i="2"/>
  <c r="CO176" i="2"/>
  <c r="BW48" i="32"/>
  <c r="BW51" i="32" s="1"/>
  <c r="BW95" i="32"/>
  <c r="CB38" i="32"/>
  <c r="BR46" i="32"/>
  <c r="BR128" i="30"/>
  <c r="BR95" i="32"/>
  <c r="BX51" i="32"/>
  <c r="BV16" i="32"/>
  <c r="BX16" i="32" s="1"/>
  <c r="BY16" i="32" s="1"/>
  <c r="BZ16" i="32" s="1"/>
  <c r="CA16" i="32" s="1"/>
  <c r="BY50" i="32"/>
  <c r="CB53" i="30"/>
  <c r="BV37" i="31"/>
  <c r="BV54" i="31"/>
  <c r="CD47" i="31"/>
  <c r="BN15" i="31"/>
  <c r="BN54" i="31"/>
  <c r="BP15" i="31"/>
  <c r="BP54" i="31"/>
  <c r="BQ50" i="31"/>
  <c r="BW12" i="31"/>
  <c r="BS24" i="31"/>
  <c r="BS54" i="31"/>
  <c r="CB29" i="31"/>
  <c r="BQ37" i="31"/>
  <c r="BY46" i="31"/>
  <c r="BS50" i="31"/>
  <c r="BS37" i="31"/>
  <c r="BR43" i="31"/>
  <c r="CD46" i="31"/>
  <c r="BT50" i="31"/>
  <c r="CB37" i="31"/>
  <c r="BO15" i="31"/>
  <c r="BO54" i="31"/>
  <c r="BR30" i="31"/>
  <c r="BP37" i="31"/>
  <c r="BU15" i="31"/>
  <c r="BU54" i="31"/>
  <c r="BT37" i="31"/>
  <c r="BW42" i="31"/>
  <c r="CC46" i="31"/>
  <c r="CD49" i="30"/>
  <c r="CC37" i="30"/>
  <c r="CC15" i="30"/>
  <c r="CB35" i="30"/>
  <c r="CB36" i="30" s="1"/>
  <c r="BY50" i="30"/>
  <c r="CC50" i="30"/>
  <c r="BZ50" i="30"/>
  <c r="BV75" i="30"/>
  <c r="CB23" i="30"/>
  <c r="CB40" i="30"/>
  <c r="CG20" i="30"/>
  <c r="CG21" i="30" s="1"/>
  <c r="BW33" i="30"/>
  <c r="CB46" i="30"/>
  <c r="BX37" i="30"/>
  <c r="CD37" i="30"/>
  <c r="CA50" i="30"/>
  <c r="BY37" i="30"/>
  <c r="BX50" i="30"/>
  <c r="BW36" i="30"/>
  <c r="BZ37" i="30"/>
  <c r="BP61" i="30"/>
  <c r="BQ40" i="30"/>
  <c r="BN53" i="30"/>
  <c r="BO40" i="30"/>
  <c r="BV23" i="30"/>
  <c r="BS40" i="30"/>
  <c r="BT53" i="30"/>
  <c r="BV40" i="30"/>
  <c r="BK17" i="32"/>
  <c r="BL17" i="32" s="1"/>
  <c r="BL18" i="32" s="1"/>
  <c r="BW46" i="31"/>
  <c r="CB50" i="31"/>
  <c r="CC34" i="31"/>
  <c r="BU50" i="31"/>
  <c r="BO24" i="31"/>
  <c r="CB30" i="31"/>
  <c r="CD33" i="31"/>
  <c r="BU37" i="31"/>
  <c r="BW47" i="31"/>
  <c r="BV50" i="31"/>
  <c r="BN17" i="31"/>
  <c r="BN20" i="31" s="1"/>
  <c r="BP24" i="31"/>
  <c r="BX47" i="31"/>
  <c r="CA47" i="31"/>
  <c r="BN50" i="31"/>
  <c r="BW34" i="31"/>
  <c r="CA34" i="31"/>
  <c r="BN37" i="31"/>
  <c r="BW43" i="31"/>
  <c r="CC47" i="31"/>
  <c r="BO50" i="31"/>
  <c r="BX34" i="31"/>
  <c r="BO37" i="31"/>
  <c r="CB43" i="31"/>
  <c r="BP50" i="31"/>
  <c r="CB61" i="30"/>
  <c r="CD62" i="30"/>
  <c r="CC62" i="30"/>
  <c r="BW38" i="32"/>
  <c r="BW87" i="32"/>
  <c r="BT88" i="32"/>
  <c r="BR72" i="32"/>
  <c r="CB41" i="32"/>
  <c r="CB43" i="32" s="1"/>
  <c r="CA25" i="32"/>
  <c r="BU88" i="32"/>
  <c r="CD87" i="32"/>
  <c r="BS43" i="32"/>
  <c r="BY56" i="32"/>
  <c r="BY59" i="32" s="1"/>
  <c r="BV76" i="32"/>
  <c r="BY76" i="32"/>
  <c r="CC87" i="32"/>
  <c r="BS88" i="32"/>
  <c r="BL34" i="32"/>
  <c r="CB79" i="32"/>
  <c r="BR91" i="32"/>
  <c r="CG11" i="32"/>
  <c r="CG10" i="32" s="1"/>
  <c r="BY88" i="32"/>
  <c r="BZ56" i="32"/>
  <c r="BZ48" i="32" s="1"/>
  <c r="BZ51" i="32" s="1"/>
  <c r="CC75" i="32"/>
  <c r="BW84" i="32"/>
  <c r="CB91" i="32"/>
  <c r="BW90" i="32"/>
  <c r="BW72" i="32"/>
  <c r="BO43" i="32"/>
  <c r="CB72" i="32"/>
  <c r="CA56" i="32"/>
  <c r="CF57" i="32" s="1"/>
  <c r="CG53" i="32"/>
  <c r="BR79" i="32"/>
  <c r="BQ88" i="32"/>
  <c r="CC88" i="32"/>
  <c r="BN76" i="32"/>
  <c r="BS42" i="32"/>
  <c r="BW39" i="32"/>
  <c r="CC34" i="32"/>
  <c r="BJ30" i="32"/>
  <c r="BW10" i="32"/>
  <c r="BO76" i="32"/>
  <c r="CA76" i="32"/>
  <c r="CB85" i="32"/>
  <c r="BW46" i="32"/>
  <c r="BR39" i="32"/>
  <c r="BX76" i="32"/>
  <c r="BP76" i="32"/>
  <c r="BX88" i="32"/>
  <c r="BQ43" i="32"/>
  <c r="BW85" i="32"/>
  <c r="CC56" i="32"/>
  <c r="CC42" i="32"/>
  <c r="BY42" i="32"/>
  <c r="BR11" i="32"/>
  <c r="BR10" i="32" s="1"/>
  <c r="BR85" i="32"/>
  <c r="BP88" i="32"/>
  <c r="CA88" i="32"/>
  <c r="BR55" i="30"/>
  <c r="BV61" i="30"/>
  <c r="CA62" i="30" s="1"/>
  <c r="BN61" i="30"/>
  <c r="BS66" i="30" s="1"/>
  <c r="CB32" i="30"/>
  <c r="CB33" i="30"/>
  <c r="BN56" i="30"/>
  <c r="BT61" i="30"/>
  <c r="BQ61" i="30"/>
  <c r="BV66" i="30" s="1"/>
  <c r="BS61" i="30"/>
  <c r="BO61" i="30"/>
  <c r="BT66" i="30" s="1"/>
  <c r="BW12" i="30"/>
  <c r="CB42" i="31"/>
  <c r="BX46" i="31"/>
  <c r="BZ47" i="31"/>
  <c r="CB49" i="31"/>
  <c r="BR33" i="30"/>
  <c r="BW49" i="31"/>
  <c r="CB45" i="31"/>
  <c r="BY34" i="31"/>
  <c r="BW36" i="31"/>
  <c r="BZ34" i="31"/>
  <c r="BX33" i="31"/>
  <c r="BQ50" i="30"/>
  <c r="CB36" i="31"/>
  <c r="BT50" i="30"/>
  <c r="CB32" i="31"/>
  <c r="BW30" i="31"/>
  <c r="CE32" i="31"/>
  <c r="BS50" i="30"/>
  <c r="BW29" i="31"/>
  <c r="BR46" i="30"/>
  <c r="CD34" i="31"/>
  <c r="CC33" i="31"/>
  <c r="BW46" i="30"/>
  <c r="BX49" i="30"/>
  <c r="CB52" i="30"/>
  <c r="BW32" i="30"/>
  <c r="BO37" i="30"/>
  <c r="CB48" i="30"/>
  <c r="BU50" i="30"/>
  <c r="BP53" i="30"/>
  <c r="BV53" i="30"/>
  <c r="BW45" i="30"/>
  <c r="BN50" i="30"/>
  <c r="BV50" i="30"/>
  <c r="CD50" i="30"/>
  <c r="BW52" i="30"/>
  <c r="BQ53" i="30"/>
  <c r="BN37" i="30"/>
  <c r="BV37" i="30"/>
  <c r="CC49" i="30"/>
  <c r="BO50" i="30"/>
  <c r="BO53" i="30"/>
  <c r="BP50" i="30"/>
  <c r="BS53" i="30"/>
  <c r="BN40" i="30"/>
  <c r="BT23" i="30"/>
  <c r="BT40" i="30"/>
  <c r="BS37" i="30"/>
  <c r="BY15" i="30"/>
  <c r="BZ36" i="30"/>
  <c r="BT37" i="30"/>
  <c r="CB39" i="30"/>
  <c r="BP37" i="30"/>
  <c r="BW39" i="30"/>
  <c r="CC36" i="30"/>
  <c r="BQ37" i="30"/>
  <c r="BP40" i="30"/>
  <c r="CA15" i="30"/>
  <c r="BV24" i="30"/>
  <c r="BV27" i="30" s="1"/>
  <c r="BU15" i="30"/>
  <c r="BT15" i="30"/>
  <c r="BV15" i="30"/>
  <c r="CB12" i="30"/>
  <c r="BU17" i="30"/>
  <c r="CB14" i="30"/>
  <c r="CA26" i="30"/>
  <c r="BW14" i="30"/>
  <c r="BZ15" i="30"/>
  <c r="BS15" i="30"/>
  <c r="CC26" i="30"/>
  <c r="BS24" i="30"/>
  <c r="BX25" i="30" s="1"/>
  <c r="BS23" i="30"/>
  <c r="BX18" i="30"/>
  <c r="BS18" i="30"/>
  <c r="BR17" i="30"/>
  <c r="BT24" i="30"/>
  <c r="BY25" i="30" s="1"/>
  <c r="CB24" i="30"/>
  <c r="BY26" i="30"/>
  <c r="CA18" i="30"/>
  <c r="BZ26" i="30"/>
  <c r="BR14" i="30"/>
  <c r="BR37" i="30" s="1"/>
  <c r="BX15" i="30"/>
  <c r="CB21" i="30"/>
  <c r="CF22" i="30"/>
  <c r="CC25" i="30"/>
  <c r="BT18" i="30"/>
  <c r="BV18" i="30"/>
  <c r="CE22" i="30"/>
  <c r="CD26" i="30"/>
  <c r="BX27" i="30"/>
  <c r="BN28" i="32"/>
  <c r="CG11" i="30"/>
  <c r="CG12" i="30" s="1"/>
  <c r="CG14" i="30"/>
  <c r="BY18" i="30"/>
  <c r="BS17" i="31"/>
  <c r="BW9" i="31"/>
  <c r="BV15" i="31"/>
  <c r="BY15" i="31"/>
  <c r="BT17" i="31"/>
  <c r="BT20" i="31" s="1"/>
  <c r="CB11" i="31"/>
  <c r="CB12" i="31" s="1"/>
  <c r="BO17" i="31"/>
  <c r="CD23" i="31"/>
  <c r="BN24" i="31"/>
  <c r="CB9" i="31"/>
  <c r="CC12" i="31"/>
  <c r="BZ15" i="31"/>
  <c r="BU17" i="31"/>
  <c r="BU20" i="31" s="1"/>
  <c r="BT24" i="31"/>
  <c r="BR14" i="31"/>
  <c r="CA15" i="31"/>
  <c r="BV17" i="31"/>
  <c r="BX19" i="31" s="1"/>
  <c r="BW22" i="31"/>
  <c r="BU24" i="31"/>
  <c r="BX20" i="31"/>
  <c r="BV24" i="31"/>
  <c r="BT15" i="31"/>
  <c r="BY20" i="31"/>
  <c r="BV31" i="32"/>
  <c r="BO33" i="32"/>
  <c r="BO24" i="32" s="1"/>
  <c r="BX33" i="32"/>
  <c r="CC35" i="32" s="1"/>
  <c r="BQ15" i="31"/>
  <c r="BZ22" i="31"/>
  <c r="BX12" i="31"/>
  <c r="BS15" i="31"/>
  <c r="CB21" i="31"/>
  <c r="BY18" i="31"/>
  <c r="BP17" i="31"/>
  <c r="CA23" i="31"/>
  <c r="BQ24" i="31"/>
  <c r="CA22" i="31"/>
  <c r="CG8" i="31"/>
  <c r="CG9" i="31" s="1"/>
  <c r="BZ23" i="31"/>
  <c r="BW14" i="31"/>
  <c r="BQ17" i="31"/>
  <c r="BY19" i="31"/>
  <c r="CC23" i="31"/>
  <c r="BZ12" i="31"/>
  <c r="BX15" i="31"/>
  <c r="CB84" i="32"/>
  <c r="BU33" i="32"/>
  <c r="BU35" i="32" s="1"/>
  <c r="CD75" i="32"/>
  <c r="BW75" i="32"/>
  <c r="BX87" i="32"/>
  <c r="BZ88" i="32"/>
  <c r="CB90" i="32"/>
  <c r="BW78" i="32"/>
  <c r="BW91" i="32"/>
  <c r="CD88" i="32"/>
  <c r="CC76" i="32"/>
  <c r="CB86" i="32"/>
  <c r="BT56" i="32"/>
  <c r="BT24" i="32"/>
  <c r="BY35" i="32"/>
  <c r="BX31" i="32"/>
  <c r="BX75" i="32"/>
  <c r="BZ76" i="32"/>
  <c r="CB71" i="32"/>
  <c r="CB78" i="32"/>
  <c r="BW30" i="32"/>
  <c r="BW79" i="32"/>
  <c r="BW71" i="32"/>
  <c r="CD76" i="32"/>
  <c r="CB74" i="32"/>
  <c r="BT31" i="32"/>
  <c r="BZ42" i="32"/>
  <c r="BU43" i="32"/>
  <c r="BU42" i="32"/>
  <c r="CC25" i="32"/>
  <c r="CB39" i="32"/>
  <c r="CB46" i="32"/>
  <c r="BV42" i="32"/>
  <c r="BV43" i="32"/>
  <c r="CA42" i="32"/>
  <c r="BM11" i="32"/>
  <c r="BM10" i="32" s="1"/>
  <c r="BJ14" i="32"/>
  <c r="BM14" i="32" s="1"/>
  <c r="BZ25" i="32"/>
  <c r="CD42" i="32"/>
  <c r="CD43" i="32"/>
  <c r="BY51" i="32"/>
  <c r="BT48" i="32"/>
  <c r="BP35" i="32"/>
  <c r="BW41" i="32"/>
  <c r="BS31" i="32"/>
  <c r="BX42" i="32"/>
  <c r="BX43" i="32"/>
  <c r="BN43" i="32"/>
  <c r="BR41" i="32"/>
  <c r="BR43" i="32" s="1"/>
  <c r="CA34" i="32"/>
  <c r="CD56" i="32"/>
  <c r="CB11" i="32"/>
  <c r="CB9" i="32"/>
  <c r="BQ28" i="32"/>
  <c r="BQ33" i="32"/>
  <c r="BT42" i="32"/>
  <c r="BT43" i="32"/>
  <c r="BZ34" i="32"/>
  <c r="BS33" i="32"/>
  <c r="BS56" i="32" s="1"/>
  <c r="BP28" i="32"/>
  <c r="BP24" i="32"/>
  <c r="CC43" i="32"/>
  <c r="BV56" i="32"/>
  <c r="BV24" i="32"/>
  <c r="CA26" i="32" s="1"/>
  <c r="CA35" i="32"/>
  <c r="CG33" i="32"/>
  <c r="BR30" i="32"/>
  <c r="CC16" i="32" l="1"/>
  <c r="CD16" i="32" s="1"/>
  <c r="CE16" i="32" s="1"/>
  <c r="CF16" i="32" s="1"/>
  <c r="CG56" i="32"/>
  <c r="CH80" i="33"/>
  <c r="CH81" i="33" s="1"/>
  <c r="CP176" i="2"/>
  <c r="CU176" i="2"/>
  <c r="CI61" i="33"/>
  <c r="CI48" i="33"/>
  <c r="CI64" i="33"/>
  <c r="CI65" i="33" s="1"/>
  <c r="CI53" i="33"/>
  <c r="CF37" i="30"/>
  <c r="CF36" i="30"/>
  <c r="CF47" i="31"/>
  <c r="CF46" i="31"/>
  <c r="CG45" i="31"/>
  <c r="CF34" i="31"/>
  <c r="CF33" i="31"/>
  <c r="CF18" i="30"/>
  <c r="CF27" i="30"/>
  <c r="CE34" i="31"/>
  <c r="CE33" i="31"/>
  <c r="CE73" i="30"/>
  <c r="CE78" i="30" s="1"/>
  <c r="CF23" i="30"/>
  <c r="CB176" i="2"/>
  <c r="BW176" i="2"/>
  <c r="BY60" i="32"/>
  <c r="CD61" i="32" s="1"/>
  <c r="BY57" i="32"/>
  <c r="BK18" i="32"/>
  <c r="BK29" i="32" s="1"/>
  <c r="BW50" i="31"/>
  <c r="BW54" i="31"/>
  <c r="BW17" i="31"/>
  <c r="BW20" i="31" s="1"/>
  <c r="BR37" i="31"/>
  <c r="BR54" i="31"/>
  <c r="CB37" i="30"/>
  <c r="CE61" i="30"/>
  <c r="CE62" i="30" s="1"/>
  <c r="BR75" i="30"/>
  <c r="BU75" i="30"/>
  <c r="CG48" i="30"/>
  <c r="CG50" i="30" s="1"/>
  <c r="BU66" i="30"/>
  <c r="CG17" i="30"/>
  <c r="BR18" i="30"/>
  <c r="BN62" i="30"/>
  <c r="BW37" i="31"/>
  <c r="BX18" i="31"/>
  <c r="BR50" i="31"/>
  <c r="CB42" i="32"/>
  <c r="CE57" i="32"/>
  <c r="CA48" i="32"/>
  <c r="CA51" i="32" s="1"/>
  <c r="BU48" i="32"/>
  <c r="BU51" i="32" s="1"/>
  <c r="CA58" i="32"/>
  <c r="BZ58" i="32"/>
  <c r="BW76" i="32"/>
  <c r="BZ59" i="32"/>
  <c r="BZ50" i="32"/>
  <c r="BR76" i="32"/>
  <c r="CA59" i="32"/>
  <c r="BJ33" i="32"/>
  <c r="BO35" i="32" s="1"/>
  <c r="BM30" i="32"/>
  <c r="CC48" i="32"/>
  <c r="CC59" i="32"/>
  <c r="CB10" i="32"/>
  <c r="CC58" i="32"/>
  <c r="BR88" i="32"/>
  <c r="BW88" i="32"/>
  <c r="BR61" i="30"/>
  <c r="BW66" i="30" s="1"/>
  <c r="BS62" i="30"/>
  <c r="BW17" i="30"/>
  <c r="BU61" i="30"/>
  <c r="BW61" i="30" s="1"/>
  <c r="BT62" i="30"/>
  <c r="BY62" i="30"/>
  <c r="BV62" i="30"/>
  <c r="BX62" i="30"/>
  <c r="CB47" i="31"/>
  <c r="CB46" i="31"/>
  <c r="CA25" i="30"/>
  <c r="BX26" i="30"/>
  <c r="BR53" i="30"/>
  <c r="CF42" i="31"/>
  <c r="BU18" i="30"/>
  <c r="CG41" i="31"/>
  <c r="CB33" i="31"/>
  <c r="CB34" i="31"/>
  <c r="CG28" i="31"/>
  <c r="CF29" i="31"/>
  <c r="CG44" i="30"/>
  <c r="CB49" i="30"/>
  <c r="CB50" i="30"/>
  <c r="CF73" i="30"/>
  <c r="CF45" i="30"/>
  <c r="BR15" i="30"/>
  <c r="BR50" i="30"/>
  <c r="BZ18" i="30"/>
  <c r="BU53" i="30"/>
  <c r="BW37" i="30"/>
  <c r="BW50" i="30"/>
  <c r="BR40" i="30"/>
  <c r="CG31" i="30"/>
  <c r="BU23" i="30"/>
  <c r="CF32" i="30"/>
  <c r="CG35" i="30"/>
  <c r="CB15" i="30"/>
  <c r="BU24" i="30"/>
  <c r="BW24" i="30" s="1"/>
  <c r="BU40" i="30"/>
  <c r="CG15" i="30"/>
  <c r="CE23" i="30"/>
  <c r="CE27" i="30"/>
  <c r="CE26" i="30"/>
  <c r="BT26" i="30"/>
  <c r="BT27" i="30"/>
  <c r="BW15" i="30"/>
  <c r="CB27" i="30"/>
  <c r="BS27" i="30"/>
  <c r="CF20" i="31"/>
  <c r="BZ18" i="31"/>
  <c r="BS20" i="31"/>
  <c r="BT19" i="31"/>
  <c r="CG11" i="31"/>
  <c r="CG12" i="31" s="1"/>
  <c r="BS19" i="31"/>
  <c r="BU19" i="31"/>
  <c r="BR15" i="31"/>
  <c r="BO19" i="31"/>
  <c r="BO20" i="31"/>
  <c r="BR17" i="31"/>
  <c r="BR20" i="31" s="1"/>
  <c r="BR24" i="31"/>
  <c r="BV19" i="31"/>
  <c r="BV20" i="31"/>
  <c r="BP34" i="32"/>
  <c r="BX24" i="32"/>
  <c r="BU34" i="32"/>
  <c r="BX34" i="32"/>
  <c r="BX56" i="32"/>
  <c r="BX58" i="32" s="1"/>
  <c r="CB33" i="32"/>
  <c r="CB32" i="32" s="1"/>
  <c r="BO34" i="32"/>
  <c r="BT35" i="32"/>
  <c r="BX35" i="32"/>
  <c r="BY34" i="32"/>
  <c r="BT26" i="32"/>
  <c r="BY26" i="32"/>
  <c r="BZ35" i="32"/>
  <c r="BV34" i="32"/>
  <c r="BQ19" i="31"/>
  <c r="BQ20" i="31"/>
  <c r="CB22" i="31"/>
  <c r="CB24" i="31"/>
  <c r="BW15" i="31"/>
  <c r="BW24" i="31"/>
  <c r="CB15" i="31"/>
  <c r="CE15" i="31"/>
  <c r="CE20" i="31"/>
  <c r="BP19" i="31"/>
  <c r="BP20" i="31"/>
  <c r="CB88" i="32"/>
  <c r="CB87" i="32"/>
  <c r="BU24" i="32"/>
  <c r="BZ26" i="32" s="1"/>
  <c r="BU56" i="32"/>
  <c r="BU58" i="32" s="1"/>
  <c r="CB76" i="32"/>
  <c r="CB75" i="32"/>
  <c r="BT59" i="32"/>
  <c r="BT50" i="32"/>
  <c r="BT51" i="32"/>
  <c r="BT60" i="32"/>
  <c r="BS35" i="32"/>
  <c r="BS24" i="32"/>
  <c r="BS34" i="32"/>
  <c r="BW33" i="32"/>
  <c r="BT34" i="32"/>
  <c r="BP25" i="32"/>
  <c r="CD48" i="32"/>
  <c r="CD58" i="32"/>
  <c r="CD57" i="32"/>
  <c r="CD59" i="32"/>
  <c r="BO26" i="32"/>
  <c r="BO25" i="32"/>
  <c r="BV59" i="32"/>
  <c r="CA57" i="32"/>
  <c r="BW42" i="32"/>
  <c r="BW43" i="32"/>
  <c r="BM17" i="32"/>
  <c r="BN17" i="32"/>
  <c r="BL24" i="32"/>
  <c r="BL29" i="32"/>
  <c r="CG32" i="32"/>
  <c r="BK24" i="32"/>
  <c r="BP26" i="32" s="1"/>
  <c r="BQ34" i="32"/>
  <c r="BQ24" i="32"/>
  <c r="BQ35" i="32"/>
  <c r="BV35" i="32"/>
  <c r="BR33" i="32"/>
  <c r="CD26" i="32"/>
  <c r="CD25" i="32"/>
  <c r="CE129" i="2"/>
  <c r="CE128" i="2"/>
  <c r="CC26" i="32" l="1"/>
  <c r="CH85" i="33"/>
  <c r="CH86" i="33"/>
  <c r="CH88" i="33"/>
  <c r="CH89" i="33" s="1"/>
  <c r="CH82" i="33"/>
  <c r="CQ176" i="2"/>
  <c r="CV176" i="2"/>
  <c r="CI67" i="33"/>
  <c r="CI62" i="33"/>
  <c r="CH57" i="33"/>
  <c r="CH71" i="33"/>
  <c r="CH76" i="33" s="1"/>
  <c r="CH78" i="33" s="1"/>
  <c r="CI55" i="33"/>
  <c r="CI49" i="33"/>
  <c r="CF61" i="30"/>
  <c r="CF62" i="30" s="1"/>
  <c r="CF21" i="31"/>
  <c r="CF23" i="31" s="1"/>
  <c r="CF26" i="30"/>
  <c r="CE52" i="31"/>
  <c r="CE53" i="31" s="1"/>
  <c r="CG18" i="30"/>
  <c r="CG49" i="30"/>
  <c r="BM18" i="32"/>
  <c r="BZ62" i="32"/>
  <c r="BV48" i="32"/>
  <c r="BV60" i="32" s="1"/>
  <c r="BY61" i="32"/>
  <c r="BU50" i="32"/>
  <c r="BY63" i="32"/>
  <c r="CA50" i="32"/>
  <c r="CG14" i="31"/>
  <c r="CG20" i="31" s="1"/>
  <c r="CG23" i="30"/>
  <c r="CG24" i="30"/>
  <c r="CG27" i="30" s="1"/>
  <c r="CF75" i="30"/>
  <c r="CF74" i="30"/>
  <c r="CE74" i="30"/>
  <c r="CE75" i="30"/>
  <c r="CG73" i="30"/>
  <c r="BW75" i="30"/>
  <c r="BW40" i="30"/>
  <c r="CB48" i="32"/>
  <c r="CB51" i="32" s="1"/>
  <c r="CF15" i="31"/>
  <c r="CG32" i="31"/>
  <c r="BW18" i="30"/>
  <c r="BW27" i="30"/>
  <c r="BW23" i="30"/>
  <c r="BW53" i="30"/>
  <c r="CB18" i="30"/>
  <c r="CC51" i="32"/>
  <c r="CC49" i="32"/>
  <c r="CC50" i="32"/>
  <c r="BK34" i="32"/>
  <c r="BM33" i="32"/>
  <c r="BM32" i="32" s="1"/>
  <c r="BJ45" i="32"/>
  <c r="BU62" i="30"/>
  <c r="BZ62" i="30"/>
  <c r="BW62" i="30"/>
  <c r="CB62" i="30"/>
  <c r="CG43" i="31"/>
  <c r="CG42" i="31"/>
  <c r="CE49" i="31"/>
  <c r="CE50" i="31"/>
  <c r="CF36" i="31"/>
  <c r="CF37" i="31"/>
  <c r="CG35" i="31"/>
  <c r="CE36" i="31"/>
  <c r="CE37" i="31"/>
  <c r="CG29" i="31"/>
  <c r="CG30" i="31"/>
  <c r="CF52" i="30"/>
  <c r="CF53" i="30"/>
  <c r="CG45" i="30"/>
  <c r="CG46" i="30"/>
  <c r="CG51" i="30"/>
  <c r="CE52" i="30"/>
  <c r="CE53" i="30"/>
  <c r="BU27" i="30"/>
  <c r="BZ25" i="30"/>
  <c r="CG37" i="30"/>
  <c r="CG36" i="30"/>
  <c r="CF39" i="30"/>
  <c r="CF40" i="30"/>
  <c r="CG32" i="30"/>
  <c r="CG33" i="30"/>
  <c r="CG38" i="30"/>
  <c r="CE40" i="30"/>
  <c r="BV26" i="30"/>
  <c r="BU26" i="30"/>
  <c r="CB25" i="30"/>
  <c r="CB24" i="32"/>
  <c r="CG35" i="32"/>
  <c r="CB35" i="32"/>
  <c r="BY25" i="32"/>
  <c r="BV58" i="32"/>
  <c r="BV25" i="32"/>
  <c r="BX25" i="32"/>
  <c r="CC57" i="32"/>
  <c r="BY58" i="32"/>
  <c r="BX59" i="32"/>
  <c r="BX60" i="32"/>
  <c r="BY62" i="32" s="1"/>
  <c r="CB56" i="32"/>
  <c r="CB59" i="32" s="1"/>
  <c r="BU25" i="32"/>
  <c r="CE23" i="31"/>
  <c r="BU26" i="32"/>
  <c r="BU59" i="32"/>
  <c r="BZ57" i="32"/>
  <c r="BU60" i="32"/>
  <c r="BU62" i="32" s="1"/>
  <c r="BQ25" i="32"/>
  <c r="BQ26" i="32"/>
  <c r="BO17" i="32"/>
  <c r="BN18" i="32"/>
  <c r="BN20" i="32" s="1"/>
  <c r="CD49" i="32"/>
  <c r="CD50" i="32"/>
  <c r="CD51" i="32"/>
  <c r="BL25" i="32"/>
  <c r="BN25" i="32"/>
  <c r="BV26" i="32"/>
  <c r="BW32" i="32"/>
  <c r="BW35" i="32"/>
  <c r="BT63" i="32"/>
  <c r="BT58" i="32"/>
  <c r="BS59" i="32"/>
  <c r="BW56" i="32"/>
  <c r="BX57" i="32"/>
  <c r="BS60" i="32"/>
  <c r="BT62" i="32" s="1"/>
  <c r="BR24" i="32"/>
  <c r="BK25" i="32"/>
  <c r="BK45" i="32"/>
  <c r="BM24" i="32"/>
  <c r="BM20" i="32" s="1"/>
  <c r="BR32" i="32"/>
  <c r="BW24" i="32"/>
  <c r="BS25" i="32"/>
  <c r="BS26" i="32"/>
  <c r="BX26" i="32"/>
  <c r="BT25" i="32"/>
  <c r="CD169" i="2"/>
  <c r="CC169" i="2"/>
  <c r="BK128" i="30" l="1"/>
  <c r="BK127" i="30" s="1"/>
  <c r="BK129" i="34"/>
  <c r="BK128" i="34" s="1"/>
  <c r="BJ128" i="30"/>
  <c r="BJ127" i="30" s="1"/>
  <c r="BJ129" i="34"/>
  <c r="BJ128" i="34" s="1"/>
  <c r="CB49" i="32"/>
  <c r="CI27" i="2"/>
  <c r="CI68" i="33"/>
  <c r="CI84" i="33"/>
  <c r="CH90" i="33"/>
  <c r="CI80" i="33"/>
  <c r="CI81" i="33" s="1"/>
  <c r="CJ64" i="33"/>
  <c r="CJ52" i="33"/>
  <c r="CJ53" i="33" s="1"/>
  <c r="CH72" i="33"/>
  <c r="CH73" i="33"/>
  <c r="CI69" i="33"/>
  <c r="CI71" i="33"/>
  <c r="CI57" i="33"/>
  <c r="CI56" i="33"/>
  <c r="CJ48" i="33"/>
  <c r="CJ61" i="33"/>
  <c r="CG61" i="30"/>
  <c r="CG62" i="30" s="1"/>
  <c r="CF52" i="31"/>
  <c r="CG52" i="31" s="1"/>
  <c r="CG53" i="31" s="1"/>
  <c r="CF24" i="31"/>
  <c r="CF22" i="31"/>
  <c r="CG21" i="31"/>
  <c r="CG22" i="31" s="1"/>
  <c r="CE54" i="31"/>
  <c r="CG15" i="31"/>
  <c r="CG25" i="30"/>
  <c r="BR35" i="32"/>
  <c r="BL127" i="30"/>
  <c r="BV51" i="32"/>
  <c r="BV50" i="32"/>
  <c r="BX50" i="32"/>
  <c r="CF50" i="31"/>
  <c r="CG48" i="31"/>
  <c r="CG50" i="31" s="1"/>
  <c r="CG74" i="30"/>
  <c r="CG75" i="30"/>
  <c r="CG34" i="31"/>
  <c r="CG33" i="31"/>
  <c r="CG46" i="31"/>
  <c r="CG47" i="31"/>
  <c r="BO46" i="32"/>
  <c r="BJ37" i="32"/>
  <c r="CG36" i="31"/>
  <c r="CG37" i="31"/>
  <c r="CG52" i="30"/>
  <c r="CG53" i="30"/>
  <c r="CG39" i="30"/>
  <c r="CG40" i="30"/>
  <c r="BX63" i="32"/>
  <c r="CG57" i="32"/>
  <c r="CC61" i="32"/>
  <c r="CB60" i="32"/>
  <c r="CB63" i="32" s="1"/>
  <c r="BZ61" i="32"/>
  <c r="BU63" i="32"/>
  <c r="BN29" i="32"/>
  <c r="BP14" i="32"/>
  <c r="BP17" i="32" s="1"/>
  <c r="BL45" i="32"/>
  <c r="BP46" i="32"/>
  <c r="BK37" i="32"/>
  <c r="BW26" i="32"/>
  <c r="CB26" i="32"/>
  <c r="BW59" i="32"/>
  <c r="BW60" i="32"/>
  <c r="CB57" i="32"/>
  <c r="BV62" i="32"/>
  <c r="BV63" i="32"/>
  <c r="CA61" i="32"/>
  <c r="BX62" i="32"/>
  <c r="BO18" i="32"/>
  <c r="BR26" i="32"/>
  <c r="BS63" i="32"/>
  <c r="BX61" i="32"/>
  <c r="BL128" i="34" l="1"/>
  <c r="BL128" i="30"/>
  <c r="BL129" i="34"/>
  <c r="CI85" i="33"/>
  <c r="CI86" i="33"/>
  <c r="CI88" i="33"/>
  <c r="CI82" i="33"/>
  <c r="EZ21" i="25"/>
  <c r="CI73" i="33"/>
  <c r="CI72" i="33"/>
  <c r="CJ62" i="33"/>
  <c r="CJ67" i="33"/>
  <c r="CJ65" i="33"/>
  <c r="CJ49" i="33"/>
  <c r="CJ55" i="33"/>
  <c r="CF54" i="31"/>
  <c r="CG54" i="31"/>
  <c r="CF53" i="31"/>
  <c r="CG24" i="31"/>
  <c r="CG49" i="31"/>
  <c r="BP38" i="32"/>
  <c r="BK55" i="30"/>
  <c r="BP56" i="30" s="1"/>
  <c r="BO38" i="32"/>
  <c r="BJ55" i="30"/>
  <c r="BJ41" i="32"/>
  <c r="BQ14" i="32"/>
  <c r="BR14" i="32" s="1"/>
  <c r="BR13" i="32" s="1"/>
  <c r="BP18" i="32"/>
  <c r="BW63" i="32"/>
  <c r="CB61" i="32"/>
  <c r="BO29" i="32"/>
  <c r="BO20" i="32"/>
  <c r="BL37" i="32"/>
  <c r="BL41" i="32" s="1"/>
  <c r="BQ46" i="32"/>
  <c r="BK41" i="32"/>
  <c r="CJ80" i="33" l="1"/>
  <c r="CJ82" i="33" s="1"/>
  <c r="CJ84" i="33"/>
  <c r="CI89" i="33"/>
  <c r="CI90" i="33"/>
  <c r="CK64" i="33"/>
  <c r="CK52" i="33"/>
  <c r="CJ57" i="33"/>
  <c r="CJ56" i="33"/>
  <c r="CK48" i="33"/>
  <c r="CK61" i="33"/>
  <c r="CL8" i="33"/>
  <c r="CL10" i="33" s="1"/>
  <c r="CJ69" i="33"/>
  <c r="CJ71" i="33"/>
  <c r="CJ68" i="33"/>
  <c r="CM61" i="33"/>
  <c r="CR62" i="33" s="1"/>
  <c r="CM48" i="33"/>
  <c r="CR49" i="33" s="1"/>
  <c r="BO56" i="30"/>
  <c r="BQ38" i="32"/>
  <c r="BL55" i="30"/>
  <c r="BQ56" i="30" s="1"/>
  <c r="BP29" i="32"/>
  <c r="BP20" i="32"/>
  <c r="BL43" i="32"/>
  <c r="BQ42" i="32"/>
  <c r="BQ17" i="32"/>
  <c r="BO22" i="32"/>
  <c r="BO21" i="32"/>
  <c r="BK43" i="32"/>
  <c r="BP42" i="32"/>
  <c r="CJ81" i="33" l="1"/>
  <c r="CJ88" i="33"/>
  <c r="CJ89" i="33" s="1"/>
  <c r="CJ85" i="33"/>
  <c r="CJ86" i="33"/>
  <c r="CK65" i="33"/>
  <c r="CL64" i="33"/>
  <c r="CL66" i="33" s="1"/>
  <c r="CK49" i="33"/>
  <c r="CK55" i="33"/>
  <c r="CL48" i="33"/>
  <c r="CL50" i="33" s="1"/>
  <c r="CM62" i="33"/>
  <c r="CM64" i="33"/>
  <c r="CR65" i="33" s="1"/>
  <c r="CM52" i="33"/>
  <c r="CM14" i="33"/>
  <c r="CJ72" i="33"/>
  <c r="CJ73" i="33"/>
  <c r="CL9" i="33"/>
  <c r="CM49" i="33"/>
  <c r="CK62" i="33"/>
  <c r="CK67" i="33"/>
  <c r="CL61" i="33"/>
  <c r="CK53" i="33"/>
  <c r="CL52" i="33"/>
  <c r="BM55" i="30"/>
  <c r="BR56" i="30" s="1"/>
  <c r="BS14" i="32"/>
  <c r="BS17" i="32" s="1"/>
  <c r="BR17" i="32"/>
  <c r="BQ18" i="32"/>
  <c r="BP22" i="32"/>
  <c r="BP21" i="32"/>
  <c r="CK84" i="33" l="1"/>
  <c r="CK80" i="33"/>
  <c r="CK82" i="33" s="1"/>
  <c r="CJ90" i="33"/>
  <c r="CM55" i="33"/>
  <c r="CR53" i="33"/>
  <c r="CL63" i="33"/>
  <c r="CL62" i="33"/>
  <c r="CM65" i="33"/>
  <c r="CK71" i="33"/>
  <c r="CK68" i="33"/>
  <c r="CK69" i="33"/>
  <c r="CL67" i="33"/>
  <c r="CM67" i="33"/>
  <c r="CL49" i="33"/>
  <c r="CN61" i="33"/>
  <c r="CS62" i="33" s="1"/>
  <c r="CN48" i="33"/>
  <c r="CS49" i="33" s="1"/>
  <c r="CK56" i="33"/>
  <c r="CK57" i="33"/>
  <c r="CL55" i="33"/>
  <c r="CL53" i="33"/>
  <c r="CL54" i="33"/>
  <c r="CL65" i="33"/>
  <c r="CO48" i="33"/>
  <c r="CT49" i="33" s="1"/>
  <c r="CO61" i="33"/>
  <c r="CT62" i="33" s="1"/>
  <c r="CM53" i="33"/>
  <c r="BQ29" i="32"/>
  <c r="BQ20" i="32"/>
  <c r="BR18" i="32"/>
  <c r="BR20" i="32" s="1"/>
  <c r="BR22" i="32" s="1"/>
  <c r="BT14" i="32"/>
  <c r="BS18" i="32"/>
  <c r="CK81" i="33" l="1"/>
  <c r="CM80" i="33"/>
  <c r="CM81" i="33" s="1"/>
  <c r="CM84" i="33"/>
  <c r="CM85" i="33" s="1"/>
  <c r="CK88" i="33"/>
  <c r="CK90" i="33" s="1"/>
  <c r="CK85" i="33"/>
  <c r="CM57" i="33"/>
  <c r="CM56" i="33"/>
  <c r="CK86" i="33"/>
  <c r="CL84" i="33"/>
  <c r="CL85" i="33" s="1"/>
  <c r="CR68" i="33"/>
  <c r="CR56" i="33"/>
  <c r="CL80" i="33"/>
  <c r="CK72" i="33"/>
  <c r="CK73" i="33"/>
  <c r="CL71" i="33"/>
  <c r="CO49" i="33"/>
  <c r="CN49" i="33"/>
  <c r="CM68" i="33"/>
  <c r="CM69" i="33"/>
  <c r="CM71" i="33"/>
  <c r="CN62" i="33"/>
  <c r="CL68" i="33"/>
  <c r="CL69" i="33"/>
  <c r="CO52" i="33"/>
  <c r="CO14" i="33"/>
  <c r="CO64" i="33"/>
  <c r="CN67" i="33"/>
  <c r="CN52" i="33"/>
  <c r="CS53" i="33" s="1"/>
  <c r="CN14" i="33"/>
  <c r="CL56" i="33"/>
  <c r="CL57" i="33"/>
  <c r="CO62" i="33"/>
  <c r="BT17" i="32"/>
  <c r="BQ22" i="32"/>
  <c r="BQ21" i="32"/>
  <c r="BS29" i="32"/>
  <c r="BS20" i="32"/>
  <c r="BZ12" i="18"/>
  <c r="BX68" i="2"/>
  <c r="BX69" i="2" s="1"/>
  <c r="CC63" i="18"/>
  <c r="BZ68" i="2"/>
  <c r="BZ69" i="2" s="1"/>
  <c r="CR81" i="33" l="1"/>
  <c r="CR82" i="33"/>
  <c r="CM82" i="33"/>
  <c r="CM88" i="33"/>
  <c r="CM90" i="33" s="1"/>
  <c r="CR72" i="33"/>
  <c r="CK89" i="33"/>
  <c r="CL88" i="33"/>
  <c r="CL86" i="33"/>
  <c r="CR85" i="33"/>
  <c r="CL82" i="33"/>
  <c r="CL81" i="33"/>
  <c r="CM86" i="33"/>
  <c r="CR86" i="33"/>
  <c r="CO53" i="33"/>
  <c r="CT53" i="33"/>
  <c r="CO65" i="33"/>
  <c r="CT65" i="33"/>
  <c r="CS68" i="33"/>
  <c r="CO55" i="33"/>
  <c r="CO67" i="33"/>
  <c r="CN69" i="33"/>
  <c r="CN68" i="33"/>
  <c r="CN71" i="33"/>
  <c r="CM73" i="33"/>
  <c r="CM72" i="33"/>
  <c r="CN53" i="33"/>
  <c r="CN65" i="33"/>
  <c r="CN55" i="33"/>
  <c r="CL73" i="33"/>
  <c r="CL72" i="33"/>
  <c r="BS21" i="32"/>
  <c r="BS22" i="32"/>
  <c r="BU14" i="32"/>
  <c r="BT18" i="32"/>
  <c r="CM89" i="33" l="1"/>
  <c r="CO80" i="33"/>
  <c r="CR90" i="33"/>
  <c r="CR89" i="33"/>
  <c r="CN80" i="33"/>
  <c r="CN81" i="33" s="1"/>
  <c r="CS72" i="33"/>
  <c r="CL89" i="33"/>
  <c r="CL90" i="33"/>
  <c r="CN84" i="33"/>
  <c r="CS85" i="33" s="1"/>
  <c r="CT68" i="33"/>
  <c r="CO84" i="33"/>
  <c r="CT56" i="33"/>
  <c r="CS56" i="33"/>
  <c r="CO56" i="33"/>
  <c r="CO68" i="33"/>
  <c r="CO57" i="33"/>
  <c r="CO71" i="33"/>
  <c r="CO69" i="33"/>
  <c r="CP48" i="33"/>
  <c r="CU49" i="33" s="1"/>
  <c r="CP61" i="33"/>
  <c r="CU62" i="33" s="1"/>
  <c r="CQ8" i="33"/>
  <c r="CN57" i="33"/>
  <c r="CN56" i="33"/>
  <c r="CN73" i="33"/>
  <c r="CN72" i="33"/>
  <c r="BT29" i="32"/>
  <c r="BT20" i="32"/>
  <c r="BU17" i="32"/>
  <c r="H10" i="26"/>
  <c r="CS82" i="33" l="1"/>
  <c r="CN82" i="33"/>
  <c r="CS81" i="33"/>
  <c r="CQ10" i="33"/>
  <c r="CV9" i="33"/>
  <c r="CO88" i="33"/>
  <c r="CN86" i="33"/>
  <c r="CN88" i="33"/>
  <c r="CN85" i="33"/>
  <c r="CS86" i="33"/>
  <c r="CO81" i="33"/>
  <c r="CT81" i="33"/>
  <c r="CO85" i="33"/>
  <c r="CT85" i="33"/>
  <c r="CO82" i="33"/>
  <c r="CT82" i="33"/>
  <c r="CO86" i="33"/>
  <c r="CT86" i="33"/>
  <c r="CO72" i="33"/>
  <c r="CT72" i="33"/>
  <c r="CO73" i="33"/>
  <c r="CP62" i="33"/>
  <c r="CQ61" i="33"/>
  <c r="CV62" i="33" s="1"/>
  <c r="CP49" i="33"/>
  <c r="CQ48" i="33"/>
  <c r="CV49" i="33" s="1"/>
  <c r="CP14" i="33"/>
  <c r="CP64" i="33"/>
  <c r="CP52" i="33"/>
  <c r="CU53" i="33" s="1"/>
  <c r="CQ9" i="33"/>
  <c r="BV14" i="32"/>
  <c r="BW14" i="32" s="1"/>
  <c r="BW13" i="32" s="1"/>
  <c r="BU18" i="32"/>
  <c r="BT21" i="32"/>
  <c r="BT22" i="32"/>
  <c r="CO90" i="33" l="1"/>
  <c r="CO89" i="33"/>
  <c r="CT89" i="33"/>
  <c r="CT90" i="33"/>
  <c r="CN89" i="33"/>
  <c r="CN90" i="33"/>
  <c r="CS89" i="33"/>
  <c r="CS90" i="33"/>
  <c r="CP67" i="33"/>
  <c r="CU65" i="33"/>
  <c r="CP53" i="33"/>
  <c r="CQ52" i="33"/>
  <c r="CV53" i="33" s="1"/>
  <c r="CP65" i="33"/>
  <c r="CQ64" i="33"/>
  <c r="CV65" i="33" s="1"/>
  <c r="CP55" i="33"/>
  <c r="CQ14" i="33"/>
  <c r="CQ13" i="33"/>
  <c r="CQ62" i="33"/>
  <c r="CQ63" i="33"/>
  <c r="CQ49" i="33"/>
  <c r="CQ50" i="33"/>
  <c r="BV17" i="32"/>
  <c r="BU20" i="32"/>
  <c r="BU29" i="32"/>
  <c r="BV18" i="32" l="1"/>
  <c r="BV29" i="32" s="1"/>
  <c r="CU68" i="33"/>
  <c r="CP84" i="33"/>
  <c r="CP80" i="33"/>
  <c r="CU56" i="33"/>
  <c r="CP68" i="33"/>
  <c r="CQ67" i="33"/>
  <c r="CP69" i="33"/>
  <c r="CP71" i="33"/>
  <c r="CU72" i="33" s="1"/>
  <c r="CQ65" i="33"/>
  <c r="CQ66" i="33"/>
  <c r="CQ53" i="33"/>
  <c r="CQ54" i="33"/>
  <c r="CP56" i="33"/>
  <c r="CP57" i="33"/>
  <c r="CQ55" i="33"/>
  <c r="CV56" i="33" s="1"/>
  <c r="BX14" i="32"/>
  <c r="BX17" i="32" s="1"/>
  <c r="BY14" i="32" s="1"/>
  <c r="BY17" i="32" s="1"/>
  <c r="BW17" i="32"/>
  <c r="BW18" i="32"/>
  <c r="BW20" i="32" s="1"/>
  <c r="BW22" i="32" s="1"/>
  <c r="BV20" i="32"/>
  <c r="BV21" i="32" s="1"/>
  <c r="BU21" i="32"/>
  <c r="BU22" i="32"/>
  <c r="BQ86" i="13"/>
  <c r="BW86" i="13"/>
  <c r="CB91" i="13"/>
  <c r="CB88" i="13"/>
  <c r="CB82" i="13"/>
  <c r="BW91" i="13"/>
  <c r="BW82" i="13"/>
  <c r="CQ91" i="13"/>
  <c r="CQ88" i="13"/>
  <c r="CQ82" i="13"/>
  <c r="CL82" i="13"/>
  <c r="CG91" i="13"/>
  <c r="CG88" i="13"/>
  <c r="CG82" i="13"/>
  <c r="CA42" i="13"/>
  <c r="BX28" i="13"/>
  <c r="CA25" i="13"/>
  <c r="CA16" i="13"/>
  <c r="CA11" i="13"/>
  <c r="CA10" i="13"/>
  <c r="CB51" i="12"/>
  <c r="CC51" i="12" s="1"/>
  <c r="CA46" i="12"/>
  <c r="CA50" i="12" s="1"/>
  <c r="CA52" i="12" s="1"/>
  <c r="CA40" i="12"/>
  <c r="CA31" i="12"/>
  <c r="CA37" i="12" s="1"/>
  <c r="BZ31" i="12"/>
  <c r="CA46" i="2"/>
  <c r="CC171" i="2"/>
  <c r="CC170" i="2"/>
  <c r="BY119" i="2"/>
  <c r="CD51" i="12" l="1"/>
  <c r="CC52" i="12"/>
  <c r="BX18" i="32"/>
  <c r="BX20" i="32" s="1"/>
  <c r="CP88" i="33"/>
  <c r="CP81" i="33"/>
  <c r="CU81" i="33"/>
  <c r="CP85" i="33"/>
  <c r="CU85" i="33"/>
  <c r="CP82" i="33"/>
  <c r="CU82" i="33"/>
  <c r="CP86" i="33"/>
  <c r="CU86" i="33"/>
  <c r="CV68" i="33"/>
  <c r="CQ84" i="33"/>
  <c r="CQ71" i="33"/>
  <c r="CV72" i="33" s="1"/>
  <c r="CQ68" i="33"/>
  <c r="CP73" i="33"/>
  <c r="CQ69" i="33"/>
  <c r="CP72" i="33"/>
  <c r="CC173" i="2"/>
  <c r="CC52" i="2" s="1"/>
  <c r="CQ80" i="33"/>
  <c r="CQ57" i="33"/>
  <c r="CQ56" i="33"/>
  <c r="BX22" i="32"/>
  <c r="BV22" i="32"/>
  <c r="BZ14" i="32"/>
  <c r="BY18" i="32"/>
  <c r="CA55" i="30"/>
  <c r="BX29" i="32" l="1"/>
  <c r="BY29" i="32"/>
  <c r="BY20" i="32"/>
  <c r="CE51" i="12"/>
  <c r="CD52" i="12"/>
  <c r="CP90" i="33"/>
  <c r="CP89" i="33"/>
  <c r="CU90" i="33"/>
  <c r="CU89" i="33"/>
  <c r="CQ88" i="33"/>
  <c r="CV89" i="33" s="1"/>
  <c r="CQ85" i="33"/>
  <c r="CV85" i="33"/>
  <c r="CQ81" i="33"/>
  <c r="CV81" i="33"/>
  <c r="CQ86" i="33"/>
  <c r="CV86" i="33"/>
  <c r="CQ82" i="33"/>
  <c r="CV82" i="33"/>
  <c r="CQ72" i="33"/>
  <c r="CQ73" i="33"/>
  <c r="BX21" i="32"/>
  <c r="BZ17" i="32"/>
  <c r="BX55" i="30"/>
  <c r="BS55" i="30"/>
  <c r="CE52" i="12" l="1"/>
  <c r="CF51" i="12"/>
  <c r="CV90" i="33"/>
  <c r="CQ89" i="33"/>
  <c r="CQ90" i="33"/>
  <c r="BX56" i="30"/>
  <c r="BS56" i="30"/>
  <c r="BT58" i="30"/>
  <c r="BT55" i="30"/>
  <c r="BT56" i="30" s="1"/>
  <c r="BU58" i="30"/>
  <c r="BU55" i="30"/>
  <c r="BU56" i="30" s="1"/>
  <c r="BV58" i="30"/>
  <c r="BV55" i="30"/>
  <c r="CA14" i="32"/>
  <c r="CB14" i="32" s="1"/>
  <c r="CB13" i="32" s="1"/>
  <c r="BZ18" i="32"/>
  <c r="BZ29" i="32" s="1"/>
  <c r="BY22" i="32"/>
  <c r="BY21" i="32"/>
  <c r="CF52" i="12" l="1"/>
  <c r="CG51" i="12"/>
  <c r="CH51" i="12" s="1"/>
  <c r="BS58" i="30"/>
  <c r="BW55" i="30"/>
  <c r="BW56" i="30" s="1"/>
  <c r="BV56" i="30"/>
  <c r="CA56" i="30"/>
  <c r="BZ20" i="32"/>
  <c r="CA17" i="32"/>
  <c r="CH52" i="12" l="1"/>
  <c r="CI51" i="12"/>
  <c r="CJ51" i="12" s="1"/>
  <c r="BW58" i="30"/>
  <c r="CB17" i="32"/>
  <c r="CC14" i="32" s="1"/>
  <c r="CC17" i="32" s="1"/>
  <c r="CA18" i="32"/>
  <c r="BZ21" i="32"/>
  <c r="BZ22" i="32"/>
  <c r="AB16" i="21"/>
  <c r="AD16" i="21" s="1"/>
  <c r="U14" i="21"/>
  <c r="CD14" i="32" l="1"/>
  <c r="CD17" i="32" s="1"/>
  <c r="CE14" i="32" s="1"/>
  <c r="CC18" i="32"/>
  <c r="CA29" i="32"/>
  <c r="CA20" i="32"/>
  <c r="CB18" i="32"/>
  <c r="CB20" i="32" s="1"/>
  <c r="FX5" i="25"/>
  <c r="FU5" i="25"/>
  <c r="FR5" i="25"/>
  <c r="FO5" i="25"/>
  <c r="CP30" i="13"/>
  <c r="CO30" i="13"/>
  <c r="CN30" i="13"/>
  <c r="CM30" i="13"/>
  <c r="BZ18" i="18"/>
  <c r="BZ40" i="12" s="1"/>
  <c r="CC9" i="30" l="1"/>
  <c r="CC9" i="34"/>
  <c r="CC20" i="32"/>
  <c r="CB22" i="32"/>
  <c r="CA21" i="32"/>
  <c r="CA22" i="32"/>
  <c r="CC21" i="32"/>
  <c r="CC22" i="32"/>
  <c r="CP6" i="19"/>
  <c r="CO6" i="19"/>
  <c r="CN6" i="19"/>
  <c r="CM6" i="19"/>
  <c r="CP5" i="19"/>
  <c r="CO5" i="19"/>
  <c r="CN5" i="19"/>
  <c r="CM5" i="19"/>
  <c r="CQ4" i="19"/>
  <c r="CM4" i="19"/>
  <c r="CQ68" i="18"/>
  <c r="CQ67" i="18"/>
  <c r="CQ66" i="18"/>
  <c r="CP63" i="18"/>
  <c r="CO63" i="18"/>
  <c r="CN63" i="18"/>
  <c r="CM63" i="18"/>
  <c r="CQ62" i="18"/>
  <c r="CQ61" i="18"/>
  <c r="CQ60" i="18"/>
  <c r="CQ49" i="18"/>
  <c r="CQ38" i="18"/>
  <c r="CR38" i="18" s="1"/>
  <c r="CS38" i="18" s="1"/>
  <c r="CT38" i="18" s="1"/>
  <c r="CU38" i="18" s="1"/>
  <c r="CV38" i="18" s="1"/>
  <c r="CP6" i="18"/>
  <c r="CO6" i="18"/>
  <c r="CN6" i="18"/>
  <c r="CM6" i="18"/>
  <c r="CP5" i="18"/>
  <c r="CO5" i="18"/>
  <c r="CN5" i="18"/>
  <c r="CM5" i="18"/>
  <c r="CQ4" i="18"/>
  <c r="CM4" i="18"/>
  <c r="CP87" i="13"/>
  <c r="CO87" i="13"/>
  <c r="CN87" i="13"/>
  <c r="CM87" i="13"/>
  <c r="CP86" i="13"/>
  <c r="CO86" i="13"/>
  <c r="CN86" i="13"/>
  <c r="CM86" i="13"/>
  <c r="CP85" i="13"/>
  <c r="CO85" i="13"/>
  <c r="CN85" i="13"/>
  <c r="CM85" i="13"/>
  <c r="CP84" i="13"/>
  <c r="CO84" i="13"/>
  <c r="CN84" i="13"/>
  <c r="CM84" i="13"/>
  <c r="CP83" i="13"/>
  <c r="CO83" i="13"/>
  <c r="CN83" i="13"/>
  <c r="CM83" i="13"/>
  <c r="CQ43" i="13"/>
  <c r="CQ42" i="13"/>
  <c r="CQ36" i="13"/>
  <c r="CQ89" i="13" s="1"/>
  <c r="CQ35" i="13"/>
  <c r="CQ34" i="13"/>
  <c r="CQ33" i="13"/>
  <c r="CQ28" i="13"/>
  <c r="CQ27" i="13"/>
  <c r="CQ72" i="13" s="1"/>
  <c r="U13" i="21" s="1"/>
  <c r="CQ26" i="13"/>
  <c r="CQ25" i="13"/>
  <c r="CQ20" i="13"/>
  <c r="CP133" i="2"/>
  <c r="CP118" i="2" s="1"/>
  <c r="CQ14" i="13"/>
  <c r="CQ12" i="13"/>
  <c r="CQ11" i="13"/>
  <c r="CQ10" i="13"/>
  <c r="CP6" i="13"/>
  <c r="CO6" i="13"/>
  <c r="CN6" i="13"/>
  <c r="CM6" i="13"/>
  <c r="CP5" i="13"/>
  <c r="CO5" i="13"/>
  <c r="CN5" i="13"/>
  <c r="CM5" i="13"/>
  <c r="CM4" i="13"/>
  <c r="CP6" i="12"/>
  <c r="CO6" i="12"/>
  <c r="CN6" i="12"/>
  <c r="CM6" i="12"/>
  <c r="CP5" i="12"/>
  <c r="CO5" i="12"/>
  <c r="CN5" i="12"/>
  <c r="CM5" i="12"/>
  <c r="CQ4" i="12"/>
  <c r="CM4" i="12"/>
  <c r="CP149" i="2"/>
  <c r="CO149" i="2"/>
  <c r="CN149" i="2"/>
  <c r="CP148" i="2"/>
  <c r="CP171" i="2" s="1"/>
  <c r="CO148" i="2"/>
  <c r="CO171" i="2" s="1"/>
  <c r="CN148" i="2"/>
  <c r="CN171" i="2" s="1"/>
  <c r="CP146" i="2"/>
  <c r="CP170" i="2" s="1"/>
  <c r="CO146" i="2"/>
  <c r="CO170" i="2" s="1"/>
  <c r="CN146" i="2"/>
  <c r="CN170" i="2" s="1"/>
  <c r="CM146" i="2"/>
  <c r="CM170" i="2" s="1"/>
  <c r="CP144" i="2"/>
  <c r="CO144" i="2"/>
  <c r="CN144" i="2"/>
  <c r="CN133" i="2"/>
  <c r="CP130" i="2"/>
  <c r="CO130" i="2"/>
  <c r="CN130" i="2"/>
  <c r="CM130" i="2"/>
  <c r="CP129" i="2"/>
  <c r="CO129" i="2"/>
  <c r="CN129" i="2"/>
  <c r="CP128" i="2"/>
  <c r="CO128" i="2"/>
  <c r="CN128" i="2"/>
  <c r="CQ121" i="2"/>
  <c r="CQ120" i="2"/>
  <c r="CQ119" i="2"/>
  <c r="CQ103" i="2"/>
  <c r="CP102" i="2"/>
  <c r="CO102" i="2"/>
  <c r="CN102" i="2"/>
  <c r="CM102" i="2"/>
  <c r="CQ78" i="2"/>
  <c r="CQ77" i="2"/>
  <c r="CQ76" i="2"/>
  <c r="CQ55" i="13" s="1"/>
  <c r="CQ63" i="2"/>
  <c r="CQ62" i="2"/>
  <c r="CQ46" i="2"/>
  <c r="CQ39" i="2"/>
  <c r="CP39" i="2"/>
  <c r="CO39" i="2"/>
  <c r="CN39" i="2"/>
  <c r="CM39" i="2"/>
  <c r="CQ38" i="2"/>
  <c r="CP38" i="2"/>
  <c r="CO38" i="2"/>
  <c r="CN38" i="2"/>
  <c r="CM38" i="2"/>
  <c r="CQ5" i="2"/>
  <c r="W15" i="1" s="1"/>
  <c r="CQ86" i="13" l="1"/>
  <c r="CQ73" i="13" s="1"/>
  <c r="CQ52" i="13"/>
  <c r="CQ130" i="2"/>
  <c r="CQ71" i="13"/>
  <c r="U12" i="21" s="1"/>
  <c r="CN118" i="2"/>
  <c r="CN145" i="2" s="1"/>
  <c r="CP169" i="2"/>
  <c r="W48" i="1"/>
  <c r="W7" i="1"/>
  <c r="W42" i="1" s="1"/>
  <c r="W35" i="1"/>
  <c r="CP178" i="2"/>
  <c r="CP75" i="33" s="1"/>
  <c r="CP74" i="33" s="1"/>
  <c r="CP76" i="33" s="1"/>
  <c r="CO178" i="2"/>
  <c r="CO75" i="33" s="1"/>
  <c r="CO74" i="33" s="1"/>
  <c r="CO76" i="33" s="1"/>
  <c r="CN178" i="2"/>
  <c r="CM178" i="2"/>
  <c r="CM75" i="33" s="1"/>
  <c r="CM74" i="33" s="1"/>
  <c r="CM76" i="33" s="1"/>
  <c r="CQ85" i="13"/>
  <c r="CQ58" i="13"/>
  <c r="CQ83" i="13"/>
  <c r="CQ70" i="13"/>
  <c r="U11" i="21" s="1"/>
  <c r="CQ5" i="18"/>
  <c r="CQ5" i="33"/>
  <c r="CQ5" i="34"/>
  <c r="CQ84" i="13"/>
  <c r="CQ170" i="2"/>
  <c r="CQ171" i="2"/>
  <c r="CQ149" i="2"/>
  <c r="CQ5" i="32"/>
  <c r="CQ5" i="30"/>
  <c r="CQ5" i="31"/>
  <c r="GA5" i="25"/>
  <c r="FQ7" i="25" s="1"/>
  <c r="CQ128" i="2"/>
  <c r="CQ5" i="13"/>
  <c r="CQ5" i="19"/>
  <c r="CM15" i="19" s="1"/>
  <c r="CP145" i="2"/>
  <c r="CQ5" i="12"/>
  <c r="CM118" i="2"/>
  <c r="CD18" i="32"/>
  <c r="CQ71" i="2"/>
  <c r="CP16" i="13"/>
  <c r="CQ11" i="12"/>
  <c r="CR16" i="13" s="1"/>
  <c r="CV16" i="13" s="1"/>
  <c r="CQ102" i="2"/>
  <c r="CQ144" i="2"/>
  <c r="CQ146" i="2"/>
  <c r="CQ148" i="2"/>
  <c r="CN16" i="13"/>
  <c r="CQ59" i="13"/>
  <c r="CQ87" i="13"/>
  <c r="CQ129" i="2"/>
  <c r="CQ56" i="13"/>
  <c r="CQ30" i="13"/>
  <c r="CQ63" i="18"/>
  <c r="CQ53" i="13"/>
  <c r="CQ57" i="13"/>
  <c r="CO133" i="2"/>
  <c r="CO118" i="2" s="1"/>
  <c r="FW7" i="25"/>
  <c r="FT7" i="25"/>
  <c r="CO16" i="19"/>
  <c r="CN16" i="19"/>
  <c r="CM14" i="19" l="1"/>
  <c r="CO15" i="19"/>
  <c r="CN14" i="19"/>
  <c r="CO14" i="19"/>
  <c r="CP15" i="19"/>
  <c r="CN15" i="19"/>
  <c r="CM16" i="19"/>
  <c r="FZ7" i="25"/>
  <c r="CN169" i="2"/>
  <c r="CN173" i="2" s="1"/>
  <c r="CN52" i="2" s="1"/>
  <c r="GC7" i="25"/>
  <c r="CP16" i="19"/>
  <c r="CP14" i="19"/>
  <c r="CD9" i="30"/>
  <c r="CD9" i="34"/>
  <c r="CD20" i="32"/>
  <c r="CD21" i="32" s="1"/>
  <c r="CP173" i="2"/>
  <c r="CP52" i="2" s="1"/>
  <c r="CQ133" i="2"/>
  <c r="CM169" i="2"/>
  <c r="CM173" i="2" s="1"/>
  <c r="CM145" i="2"/>
  <c r="CN75" i="33"/>
  <c r="CN74" i="33" s="1"/>
  <c r="CN76" i="33" s="1"/>
  <c r="CU92" i="33"/>
  <c r="CT92" i="33"/>
  <c r="CU77" i="33"/>
  <c r="CT77" i="33"/>
  <c r="CO78" i="33"/>
  <c r="CP78" i="33"/>
  <c r="CQ177" i="2"/>
  <c r="CQ178" i="2" s="1"/>
  <c r="CO169" i="2"/>
  <c r="CO173" i="2" s="1"/>
  <c r="CE17" i="32"/>
  <c r="CQ74" i="13"/>
  <c r="CQ60" i="13"/>
  <c r="CO145" i="2"/>
  <c r="CQ118" i="2"/>
  <c r="CM52" i="2" l="1"/>
  <c r="CS77" i="33"/>
  <c r="CS92" i="33"/>
  <c r="CN78" i="33"/>
  <c r="CQ74" i="33"/>
  <c r="CQ76" i="33" s="1"/>
  <c r="CM92" i="33"/>
  <c r="CR92" i="33"/>
  <c r="CR77" i="33"/>
  <c r="CM78" i="33"/>
  <c r="CM77" i="33"/>
  <c r="CO52" i="2"/>
  <c r="CQ179" i="2"/>
  <c r="CQ173" i="2"/>
  <c r="CQ169" i="2"/>
  <c r="CQ145" i="2"/>
  <c r="CF14" i="32"/>
  <c r="CG14" i="32" s="1"/>
  <c r="CG13" i="32" s="1"/>
  <c r="CE18" i="32"/>
  <c r="CD22" i="32"/>
  <c r="BW31" i="32"/>
  <c r="CB31" i="32"/>
  <c r="BY63" i="18"/>
  <c r="CA63" i="18" s="1"/>
  <c r="BU12" i="18"/>
  <c r="BV12" i="18"/>
  <c r="BW17" i="18"/>
  <c r="CE9" i="34" l="1"/>
  <c r="CE20" i="32"/>
  <c r="CE21" i="32" s="1"/>
  <c r="CQ52" i="2"/>
  <c r="CQ75" i="33"/>
  <c r="CV92" i="33"/>
  <c r="CV77" i="33"/>
  <c r="CQ78" i="33"/>
  <c r="CE9" i="30"/>
  <c r="CF17" i="32"/>
  <c r="CE22" i="32" l="1"/>
  <c r="CG17" i="32"/>
  <c r="CF18" i="32"/>
  <c r="CF9" i="30" l="1"/>
  <c r="CG9" i="30" s="1"/>
  <c r="CF9" i="34"/>
  <c r="CG9" i="34" s="1"/>
  <c r="CF20" i="32"/>
  <c r="CF21" i="32" s="1"/>
  <c r="CE65" i="30"/>
  <c r="CE66" i="30" s="1"/>
  <c r="CE48" i="32"/>
  <c r="CF74" i="32"/>
  <c r="CG18" i="32"/>
  <c r="CE46" i="32"/>
  <c r="CE63" i="32"/>
  <c r="CE59" i="32"/>
  <c r="CA119" i="2"/>
  <c r="CA146" i="2" s="1"/>
  <c r="CA149" i="2"/>
  <c r="CA148" i="2"/>
  <c r="CA171" i="2" s="1"/>
  <c r="CA144" i="2"/>
  <c r="BZ46" i="12"/>
  <c r="BZ37" i="12"/>
  <c r="CA18" i="13"/>
  <c r="CA27" i="13"/>
  <c r="CA26" i="13"/>
  <c r="BZ28" i="13"/>
  <c r="CA19" i="13"/>
  <c r="CA13" i="13"/>
  <c r="CA14" i="13"/>
  <c r="CA133" i="2" s="1"/>
  <c r="CA118" i="2" s="1"/>
  <c r="CA12" i="13"/>
  <c r="CB12" i="13" s="1"/>
  <c r="CA71" i="2"/>
  <c r="CF22" i="32" l="1"/>
  <c r="CA169" i="2"/>
  <c r="CA145" i="2"/>
  <c r="CF76" i="32"/>
  <c r="CF75" i="32"/>
  <c r="CE67" i="30"/>
  <c r="CA170" i="2"/>
  <c r="CA173" i="2" s="1"/>
  <c r="CA52" i="2" s="1"/>
  <c r="CE50" i="32"/>
  <c r="CE49" i="32"/>
  <c r="CE51" i="32"/>
  <c r="CH9" i="30"/>
  <c r="CF25" i="32"/>
  <c r="CF26" i="32"/>
  <c r="CG24" i="32"/>
  <c r="EK22" i="25"/>
  <c r="CB5" i="2"/>
  <c r="CG26" i="32" l="1"/>
  <c r="CG20" i="32"/>
  <c r="CB5" i="34"/>
  <c r="CB5" i="33"/>
  <c r="CF65" i="30"/>
  <c r="CF66" i="30" s="1"/>
  <c r="CE68" i="30"/>
  <c r="CE69" i="30"/>
  <c r="CB5" i="32"/>
  <c r="CB5" i="30"/>
  <c r="CB5" i="31"/>
  <c r="R15" i="1"/>
  <c r="CG22" i="32"/>
  <c r="CF46" i="32"/>
  <c r="CF63" i="32"/>
  <c r="CF59" i="32"/>
  <c r="CF67" i="30"/>
  <c r="CF68" i="30" s="1"/>
  <c r="CG45" i="32"/>
  <c r="CG65" i="30" l="1"/>
  <c r="CG66" i="30" s="1"/>
  <c r="CG67" i="30"/>
  <c r="CG68" i="30" s="1"/>
  <c r="CE70" i="30"/>
  <c r="CF69" i="30"/>
  <c r="CF70" i="30" s="1"/>
  <c r="CE93" i="32"/>
  <c r="CE90" i="32"/>
  <c r="CE91" i="32"/>
  <c r="CF71" i="32"/>
  <c r="CE79" i="32"/>
  <c r="CE78" i="32"/>
  <c r="CF49" i="32"/>
  <c r="CF50" i="32"/>
  <c r="CF51" i="32"/>
  <c r="CG48" i="32"/>
  <c r="CF38" i="32"/>
  <c r="CG37" i="32"/>
  <c r="CI9" i="30"/>
  <c r="CG46" i="32"/>
  <c r="CG63" i="32"/>
  <c r="CG59" i="32"/>
  <c r="CF84" i="32" l="1"/>
  <c r="CF86" i="32"/>
  <c r="CG69" i="30"/>
  <c r="CG70" i="30" s="1"/>
  <c r="CE94" i="32"/>
  <c r="CE95" i="32"/>
  <c r="CG83" i="32"/>
  <c r="CG70" i="32"/>
  <c r="CG41" i="32"/>
  <c r="CG38" i="32"/>
  <c r="CG39" i="32"/>
  <c r="CG51" i="32"/>
  <c r="CG49" i="32"/>
  <c r="CF87" i="32" l="1"/>
  <c r="CF88" i="32"/>
  <c r="CF79" i="32"/>
  <c r="CF78" i="32"/>
  <c r="CG77" i="32"/>
  <c r="CG86" i="32"/>
  <c r="CG84" i="32"/>
  <c r="CG85" i="32"/>
  <c r="CG74" i="32"/>
  <c r="CG76" i="32" s="1"/>
  <c r="CG72" i="32"/>
  <c r="CG71" i="32"/>
  <c r="CJ9" i="30"/>
  <c r="CG42" i="32"/>
  <c r="CG43" i="32"/>
  <c r="BZ130" i="2"/>
  <c r="BZ129" i="2"/>
  <c r="BZ128" i="2"/>
  <c r="BY58" i="18"/>
  <c r="CA58" i="18" s="1"/>
  <c r="BY38" i="13"/>
  <c r="BZ33" i="13"/>
  <c r="CA33" i="13" s="1"/>
  <c r="BY28" i="13"/>
  <c r="BZ11" i="13"/>
  <c r="BY11" i="13"/>
  <c r="BZ50" i="12"/>
  <c r="BZ52" i="12" s="1"/>
  <c r="BY46" i="12"/>
  <c r="BY12" i="18"/>
  <c r="BY31" i="12"/>
  <c r="BY37" i="12" s="1"/>
  <c r="BZ20" i="12"/>
  <c r="BZ133" i="2"/>
  <c r="BZ118" i="2" s="1"/>
  <c r="BZ169" i="2" s="1"/>
  <c r="BZ149" i="2"/>
  <c r="BZ148" i="2"/>
  <c r="BZ171" i="2" s="1"/>
  <c r="CB171" i="2" s="1"/>
  <c r="BZ146" i="2"/>
  <c r="BZ170" i="2" s="1"/>
  <c r="CB170" i="2" s="1"/>
  <c r="BZ144" i="2"/>
  <c r="BZ71" i="2"/>
  <c r="BZ72" i="2" s="1"/>
  <c r="BR46" i="2"/>
  <c r="BW45" i="2"/>
  <c r="BW44" i="2"/>
  <c r="BW43" i="2"/>
  <c r="BZ38" i="13" l="1"/>
  <c r="BZ74" i="33"/>
  <c r="BZ76" i="33" s="1"/>
  <c r="CE92" i="33" s="1"/>
  <c r="BZ79" i="34"/>
  <c r="BZ55" i="31"/>
  <c r="BZ57" i="31" s="1"/>
  <c r="BZ177" i="2"/>
  <c r="BZ96" i="32"/>
  <c r="BZ76" i="30"/>
  <c r="CF93" i="32"/>
  <c r="BZ173" i="2"/>
  <c r="BZ52" i="2" s="1"/>
  <c r="CG87" i="32"/>
  <c r="CG88" i="32"/>
  <c r="CG75" i="32"/>
  <c r="CG79" i="32"/>
  <c r="CG78" i="32"/>
  <c r="CF91" i="32"/>
  <c r="CF90" i="32"/>
  <c r="CG89" i="32"/>
  <c r="BZ145" i="2"/>
  <c r="BZ60" i="31" l="1"/>
  <c r="BZ78" i="33"/>
  <c r="CE77" i="33"/>
  <c r="CE80" i="34"/>
  <c r="CF94" i="32"/>
  <c r="CF95" i="32"/>
  <c r="CG93" i="32"/>
  <c r="CG91" i="32"/>
  <c r="CG90" i="32"/>
  <c r="CK9" i="30"/>
  <c r="CL9" i="30" s="1"/>
  <c r="CG95" i="32" l="1"/>
  <c r="CG94" i="32"/>
  <c r="CM9" i="30"/>
  <c r="CN9" i="30" l="1"/>
  <c r="BZ179" i="2"/>
  <c r="BZ98" i="32" l="1"/>
  <c r="BZ78" i="30"/>
  <c r="BY18" i="18"/>
  <c r="BY40" i="12" s="1"/>
  <c r="BY59" i="18"/>
  <c r="BY68" i="2" l="1"/>
  <c r="CA59" i="18"/>
  <c r="CA68" i="2" s="1"/>
  <c r="CA69" i="2" s="1"/>
  <c r="BZ80" i="30"/>
  <c r="BZ100" i="32"/>
  <c r="BZ59" i="31"/>
  <c r="CO9" i="30"/>
  <c r="CB13" i="12"/>
  <c r="BY69" i="2" l="1"/>
  <c r="CB69" i="2" s="1"/>
  <c r="CB68" i="2"/>
  <c r="AT60" i="1"/>
  <c r="CB13" i="13"/>
  <c r="CA20" i="12"/>
  <c r="CP9" i="30" l="1"/>
  <c r="CQ9" i="30" s="1"/>
  <c r="V11" i="1" l="1"/>
  <c r="CG13" i="12"/>
  <c r="CK13" i="12" l="1"/>
  <c r="W10" i="1"/>
  <c r="W11" i="1" s="1"/>
  <c r="U19" i="21" s="1"/>
  <c r="H18" i="26" l="1"/>
  <c r="J18" i="26" s="1"/>
  <c r="BY130" i="2"/>
  <c r="CA130" i="2"/>
  <c r="BX38" i="13"/>
  <c r="BX30" i="13"/>
  <c r="BX11" i="13"/>
  <c r="BY50" i="12"/>
  <c r="BY52" i="12" s="1"/>
  <c r="BW51" i="12"/>
  <c r="BX46" i="12"/>
  <c r="BX50" i="12" s="1"/>
  <c r="BX12" i="18"/>
  <c r="BX18" i="18" s="1"/>
  <c r="BX40" i="12" s="1"/>
  <c r="BX31" i="12"/>
  <c r="BX37" i="12" s="1"/>
  <c r="BX133" i="2"/>
  <c r="BY49" i="2"/>
  <c r="F18" i="26" l="1"/>
  <c r="G18" i="26"/>
  <c r="I18" i="26"/>
  <c r="BY74" i="33"/>
  <c r="BY76" i="33" s="1"/>
  <c r="BY78" i="33" s="1"/>
  <c r="BY79" i="34"/>
  <c r="BY55" i="31"/>
  <c r="BY57" i="31" s="1"/>
  <c r="BY96" i="32"/>
  <c r="BY177" i="2"/>
  <c r="BY76" i="30"/>
  <c r="CA177" i="2"/>
  <c r="CA179" i="2" s="1"/>
  <c r="CA74" i="33"/>
  <c r="CA76" i="33" s="1"/>
  <c r="CA78" i="33" s="1"/>
  <c r="CA79" i="34"/>
  <c r="CA55" i="31"/>
  <c r="CA57" i="31" s="1"/>
  <c r="CA96" i="32"/>
  <c r="CA76" i="30"/>
  <c r="BX118" i="2"/>
  <c r="BX169" i="2" s="1"/>
  <c r="BY128" i="2"/>
  <c r="BY60" i="31" l="1"/>
  <c r="BX173" i="2"/>
  <c r="BX52" i="2" s="1"/>
  <c r="BX87" i="13"/>
  <c r="BX86" i="13"/>
  <c r="BX85" i="13"/>
  <c r="BX84" i="13"/>
  <c r="BX83" i="13"/>
  <c r="BX14" i="2" l="1"/>
  <c r="CA84" i="13"/>
  <c r="BZ84" i="13"/>
  <c r="BY84" i="13"/>
  <c r="CB84" i="13" s="1"/>
  <c r="CK84" i="13"/>
  <c r="CI84" i="13"/>
  <c r="CH84" i="13"/>
  <c r="CG84" i="13"/>
  <c r="BY85" i="13"/>
  <c r="BY83" i="13"/>
  <c r="BV18" i="18"/>
  <c r="E36" i="19"/>
  <c r="E35" i="19"/>
  <c r="E34" i="19"/>
  <c r="E31" i="19"/>
  <c r="E30" i="19"/>
  <c r="E29" i="19"/>
  <c r="E26" i="19"/>
  <c r="E25" i="19"/>
  <c r="E24" i="19"/>
  <c r="E21" i="19"/>
  <c r="E20" i="19"/>
  <c r="E19" i="19"/>
  <c r="E16" i="19"/>
  <c r="E15" i="19"/>
  <c r="E14" i="19"/>
  <c r="AA18" i="21"/>
  <c r="S14" i="21"/>
  <c r="T14" i="21"/>
  <c r="CL36" i="13"/>
  <c r="CL89" i="13" s="1"/>
  <c r="CL35" i="13"/>
  <c r="CL34" i="13"/>
  <c r="CG25" i="13"/>
  <c r="CG70" i="13" s="1"/>
  <c r="CL32" i="12"/>
  <c r="CM32" i="12" s="1"/>
  <c r="CN32" i="12" s="1"/>
  <c r="CO32" i="12" s="1"/>
  <c r="CP32" i="12" s="1"/>
  <c r="CL11" i="12"/>
  <c r="CM16" i="13" s="1"/>
  <c r="CQ16" i="13" s="1"/>
  <c r="CK83" i="13"/>
  <c r="CI30" i="13"/>
  <c r="CH28" i="13" s="1"/>
  <c r="CH30" i="13" s="1"/>
  <c r="BY144" i="2"/>
  <c r="BX130" i="2"/>
  <c r="BX129" i="2"/>
  <c r="BX128" i="2"/>
  <c r="BX149" i="2"/>
  <c r="BX148" i="2"/>
  <c r="BX146" i="2"/>
  <c r="BX144" i="2"/>
  <c r="BV46" i="12"/>
  <c r="BV50" i="12" s="1"/>
  <c r="BW50" i="12" s="1"/>
  <c r="BW52" i="12" s="1"/>
  <c r="BX38" i="12"/>
  <c r="BW36" i="12"/>
  <c r="BV31" i="12"/>
  <c r="BV37" i="12" s="1"/>
  <c r="BX20" i="12"/>
  <c r="BW13" i="12"/>
  <c r="BW14" i="12"/>
  <c r="BV38" i="13"/>
  <c r="BW37" i="13"/>
  <c r="BV28" i="13"/>
  <c r="BV30" i="13" s="1"/>
  <c r="BV71" i="2"/>
  <c r="BV72" i="2" s="1"/>
  <c r="BX71" i="2"/>
  <c r="BX72" i="2" s="1"/>
  <c r="BX49" i="2"/>
  <c r="BV46" i="2"/>
  <c r="BW46" i="2" s="1"/>
  <c r="BW85" i="2"/>
  <c r="BV86" i="2"/>
  <c r="BU149" i="2"/>
  <c r="BU148" i="2"/>
  <c r="BU146" i="2"/>
  <c r="BU144" i="2"/>
  <c r="BU133" i="2"/>
  <c r="BU118" i="2" s="1"/>
  <c r="BT129" i="2"/>
  <c r="BT128" i="2"/>
  <c r="BV119" i="2"/>
  <c r="BW119" i="2" s="1"/>
  <c r="BV130" i="2"/>
  <c r="BV133" i="2"/>
  <c r="BV118" i="2" s="1"/>
  <c r="BV129" i="2"/>
  <c r="CD130" i="2"/>
  <c r="CD177" i="2" s="1"/>
  <c r="CD129" i="2"/>
  <c r="CD128" i="2"/>
  <c r="CB117" i="2"/>
  <c r="CJ133" i="2"/>
  <c r="CJ118" i="2" s="1"/>
  <c r="CK133" i="2"/>
  <c r="CK118" i="2" s="1"/>
  <c r="CB48" i="12"/>
  <c r="CG48" i="12" s="1"/>
  <c r="CK48" i="12" s="1"/>
  <c r="CL48" i="12" s="1"/>
  <c r="CM48" i="12" s="1"/>
  <c r="CN48" i="12" s="1"/>
  <c r="CO48" i="12" s="1"/>
  <c r="CP48" i="12" s="1"/>
  <c r="CQ48" i="12" s="1"/>
  <c r="CR48" i="12" s="1"/>
  <c r="CS48" i="12" s="1"/>
  <c r="CT48" i="12" s="1"/>
  <c r="CU48" i="12" s="1"/>
  <c r="CV48" i="12" s="1"/>
  <c r="CB42" i="12"/>
  <c r="CG42" i="12" s="1"/>
  <c r="BW42" i="12"/>
  <c r="CB43" i="12"/>
  <c r="CG43" i="12" s="1"/>
  <c r="BW43" i="12"/>
  <c r="CB36" i="12"/>
  <c r="CG36" i="12" s="1"/>
  <c r="CB23" i="12"/>
  <c r="CB34" i="12"/>
  <c r="BU85" i="13"/>
  <c r="BT85" i="13"/>
  <c r="BT84" i="13"/>
  <c r="FI5" i="25"/>
  <c r="FF5" i="25"/>
  <c r="FC5" i="25"/>
  <c r="EZ5" i="25"/>
  <c r="CK6" i="19"/>
  <c r="CJ6" i="19"/>
  <c r="CI6" i="19"/>
  <c r="CH6" i="19"/>
  <c r="CK5" i="19"/>
  <c r="CJ5" i="19"/>
  <c r="CI5" i="19"/>
  <c r="CH5" i="19"/>
  <c r="CL4" i="19"/>
  <c r="CH4" i="19"/>
  <c r="CL43" i="13"/>
  <c r="CL42" i="13"/>
  <c r="CL28" i="13"/>
  <c r="CL27" i="13"/>
  <c r="CL26" i="13"/>
  <c r="CL14" i="13"/>
  <c r="CL53" i="13" s="1"/>
  <c r="CL12" i="13"/>
  <c r="BT12" i="18"/>
  <c r="BS12" i="18"/>
  <c r="BU18" i="18"/>
  <c r="CH63" i="18"/>
  <c r="CI63" i="18"/>
  <c r="CK63" i="18"/>
  <c r="CL62" i="18"/>
  <c r="CL61" i="18"/>
  <c r="CL60" i="18"/>
  <c r="CF63" i="18"/>
  <c r="CE63" i="18"/>
  <c r="CD63" i="18"/>
  <c r="BY71" i="2"/>
  <c r="CK171" i="2"/>
  <c r="CJ171" i="2"/>
  <c r="CK170" i="2"/>
  <c r="CL146" i="2"/>
  <c r="CK144" i="2"/>
  <c r="CK129" i="2"/>
  <c r="CI129" i="2"/>
  <c r="CK128" i="2"/>
  <c r="CI128" i="2"/>
  <c r="J10" i="1"/>
  <c r="J11" i="1" s="1"/>
  <c r="K10" i="1"/>
  <c r="I11" i="1"/>
  <c r="I13" i="1" s="1"/>
  <c r="I35" i="1"/>
  <c r="I42" i="1"/>
  <c r="J42" i="1"/>
  <c r="K42" i="1"/>
  <c r="BR82" i="13"/>
  <c r="CB14" i="12"/>
  <c r="BR166" i="2"/>
  <c r="BS86" i="2"/>
  <c r="BR85" i="2"/>
  <c r="BW5" i="2"/>
  <c r="BU38" i="13"/>
  <c r="BT38" i="13"/>
  <c r="BT40" i="13" s="1"/>
  <c r="BS38" i="13"/>
  <c r="BS40" i="13" s="1"/>
  <c r="BV87" i="13"/>
  <c r="BV85" i="13"/>
  <c r="BV84" i="13"/>
  <c r="BV83" i="13"/>
  <c r="BU28" i="13"/>
  <c r="BU30" i="13" s="1"/>
  <c r="BV11" i="13"/>
  <c r="BU11" i="13"/>
  <c r="BV38" i="12"/>
  <c r="BU31" i="12"/>
  <c r="BU37" i="12" s="1"/>
  <c r="BU46" i="12"/>
  <c r="BV20" i="12"/>
  <c r="BV149" i="2"/>
  <c r="BV148" i="2"/>
  <c r="BV144" i="2"/>
  <c r="BU130" i="2"/>
  <c r="BU129" i="2"/>
  <c r="BU128" i="2"/>
  <c r="BT18" i="18"/>
  <c r="BS18" i="18"/>
  <c r="BR17" i="18"/>
  <c r="BV5" i="19"/>
  <c r="ET5" i="25"/>
  <c r="EQ5" i="25"/>
  <c r="EN5" i="25"/>
  <c r="EK5" i="25"/>
  <c r="EE5" i="25"/>
  <c r="EB5" i="25"/>
  <c r="DY5" i="25"/>
  <c r="DV5" i="25"/>
  <c r="DP5" i="25"/>
  <c r="DM5" i="25"/>
  <c r="DJ5" i="25"/>
  <c r="DG5" i="25"/>
  <c r="DA5" i="25"/>
  <c r="CX5" i="25"/>
  <c r="CU5" i="25"/>
  <c r="CR5" i="25"/>
  <c r="CL5" i="25"/>
  <c r="CI5" i="25"/>
  <c r="CF5" i="25"/>
  <c r="CC5" i="25"/>
  <c r="BW5" i="25"/>
  <c r="BT5" i="25"/>
  <c r="BQ5" i="25"/>
  <c r="BN5" i="25"/>
  <c r="BH5" i="25"/>
  <c r="BE5" i="25"/>
  <c r="BB5" i="25"/>
  <c r="AY5" i="25"/>
  <c r="AS5" i="25"/>
  <c r="AP5" i="25"/>
  <c r="AM5" i="25"/>
  <c r="AJ5" i="25"/>
  <c r="AD5" i="25"/>
  <c r="AA5" i="25"/>
  <c r="X5" i="25"/>
  <c r="U5" i="25"/>
  <c r="O5" i="25"/>
  <c r="L5" i="25"/>
  <c r="I5" i="25"/>
  <c r="CF6" i="19"/>
  <c r="CE6" i="19"/>
  <c r="CD6" i="19"/>
  <c r="CC6" i="19"/>
  <c r="CA6" i="19"/>
  <c r="BZ6" i="19"/>
  <c r="BY6" i="19"/>
  <c r="BX6" i="19"/>
  <c r="BV6" i="19"/>
  <c r="BU6" i="19"/>
  <c r="BT6" i="19"/>
  <c r="BS6" i="19"/>
  <c r="BQ6" i="19"/>
  <c r="BP6" i="19"/>
  <c r="BO6" i="19"/>
  <c r="BN6" i="19"/>
  <c r="BL6" i="19"/>
  <c r="BK6" i="19"/>
  <c r="BJ6" i="19"/>
  <c r="BI6" i="19"/>
  <c r="BG6" i="19"/>
  <c r="BF6" i="19"/>
  <c r="BE6" i="19"/>
  <c r="BD6" i="19"/>
  <c r="BB6" i="19"/>
  <c r="BA6" i="19"/>
  <c r="AZ6" i="19"/>
  <c r="AY6" i="19"/>
  <c r="AW6" i="19"/>
  <c r="AV6" i="19"/>
  <c r="AU6" i="19"/>
  <c r="AT6" i="19"/>
  <c r="AR6" i="19"/>
  <c r="AQ6" i="19"/>
  <c r="AP6" i="19"/>
  <c r="AO6" i="19"/>
  <c r="AM6" i="19"/>
  <c r="AL6" i="19"/>
  <c r="AK6" i="19"/>
  <c r="AJ6" i="19"/>
  <c r="AH6" i="19"/>
  <c r="AG6" i="19"/>
  <c r="AF6" i="19"/>
  <c r="AE6" i="19"/>
  <c r="CF5" i="19"/>
  <c r="CE5" i="19"/>
  <c r="CD5" i="19"/>
  <c r="CC5" i="19"/>
  <c r="CA5" i="19"/>
  <c r="BZ5" i="19"/>
  <c r="BY5" i="19"/>
  <c r="BX5" i="19"/>
  <c r="BU5" i="19"/>
  <c r="BT5" i="19"/>
  <c r="BS5" i="19"/>
  <c r="BQ5" i="19"/>
  <c r="BP5" i="19"/>
  <c r="BO5" i="19"/>
  <c r="BN5" i="19"/>
  <c r="BL5" i="19"/>
  <c r="BK5" i="19"/>
  <c r="BJ5" i="19"/>
  <c r="BI5" i="19"/>
  <c r="BG5" i="19"/>
  <c r="BF5" i="19"/>
  <c r="BE5" i="19"/>
  <c r="BD5" i="19"/>
  <c r="BB5" i="19"/>
  <c r="BA5" i="19"/>
  <c r="AZ5" i="19"/>
  <c r="AY5" i="19"/>
  <c r="AW5" i="19"/>
  <c r="AV5" i="19"/>
  <c r="AU5" i="19"/>
  <c r="AT5" i="19"/>
  <c r="AR5" i="19"/>
  <c r="AQ5" i="19"/>
  <c r="AP5" i="19"/>
  <c r="AO5" i="19"/>
  <c r="AM5" i="19"/>
  <c r="AL5" i="19"/>
  <c r="AK5" i="19"/>
  <c r="AJ5" i="19"/>
  <c r="AH5" i="19"/>
  <c r="AG5" i="19"/>
  <c r="AF5" i="19"/>
  <c r="AE5" i="19"/>
  <c r="AC5" i="19"/>
  <c r="AB5" i="19"/>
  <c r="AA5" i="19"/>
  <c r="Z5" i="19"/>
  <c r="X5" i="19"/>
  <c r="W5" i="19"/>
  <c r="V5" i="19"/>
  <c r="U5" i="19"/>
  <c r="S5" i="19"/>
  <c r="R5" i="19"/>
  <c r="Q5" i="19"/>
  <c r="P5" i="19"/>
  <c r="N5" i="19"/>
  <c r="M5" i="19"/>
  <c r="L5" i="19"/>
  <c r="K5" i="19"/>
  <c r="J5" i="19"/>
  <c r="I5" i="19"/>
  <c r="H5" i="19"/>
  <c r="G5" i="19"/>
  <c r="F5" i="19"/>
  <c r="E5" i="19"/>
  <c r="CG4" i="19"/>
  <c r="CC4" i="19"/>
  <c r="CB4" i="19"/>
  <c r="BX4" i="19"/>
  <c r="BW4" i="19"/>
  <c r="BS4" i="19"/>
  <c r="BR4" i="19"/>
  <c r="BN4" i="19"/>
  <c r="BM4" i="19"/>
  <c r="BI4" i="19"/>
  <c r="BH4" i="19"/>
  <c r="BD4" i="19"/>
  <c r="BC4" i="19"/>
  <c r="AY4" i="19"/>
  <c r="AX4" i="19"/>
  <c r="AT4" i="19"/>
  <c r="AS4" i="19"/>
  <c r="AO4" i="19"/>
  <c r="AN4" i="19"/>
  <c r="AJ4" i="19"/>
  <c r="AI4" i="19"/>
  <c r="AE4" i="19"/>
  <c r="AD4" i="19"/>
  <c r="Z4" i="19"/>
  <c r="Y4" i="19"/>
  <c r="U4" i="19"/>
  <c r="T4" i="19"/>
  <c r="P4" i="19"/>
  <c r="O4" i="19"/>
  <c r="K4" i="19"/>
  <c r="J4" i="19"/>
  <c r="I4" i="19"/>
  <c r="H4" i="19"/>
  <c r="G4" i="19"/>
  <c r="F4" i="19"/>
  <c r="E4" i="19"/>
  <c r="AS69" i="18"/>
  <c r="AS68" i="18"/>
  <c r="AS67" i="18"/>
  <c r="AS66" i="18"/>
  <c r="AN69" i="18"/>
  <c r="AN68" i="18"/>
  <c r="AN67" i="18"/>
  <c r="AN66" i="18"/>
  <c r="AI69" i="18"/>
  <c r="AI68" i="18"/>
  <c r="AI67" i="18"/>
  <c r="AD69" i="18"/>
  <c r="T69" i="18"/>
  <c r="CL68" i="18"/>
  <c r="CL67" i="18"/>
  <c r="CL66" i="18"/>
  <c r="CG68" i="18"/>
  <c r="CG67" i="18"/>
  <c r="CG66" i="18"/>
  <c r="CB68" i="18"/>
  <c r="CB67" i="18"/>
  <c r="CB66" i="18"/>
  <c r="BW68" i="18"/>
  <c r="BW67" i="18"/>
  <c r="BW66" i="18"/>
  <c r="BR68" i="18"/>
  <c r="BR67" i="18"/>
  <c r="BR66" i="18"/>
  <c r="BM68" i="18"/>
  <c r="BM67" i="18"/>
  <c r="BM66" i="18"/>
  <c r="BH68" i="18"/>
  <c r="BH67" i="18"/>
  <c r="BH66" i="18"/>
  <c r="BC68" i="18"/>
  <c r="BC67" i="18"/>
  <c r="BC66" i="18"/>
  <c r="AX68" i="18"/>
  <c r="AX67" i="18"/>
  <c r="AX66" i="18"/>
  <c r="AG66" i="18"/>
  <c r="AI66" i="18" s="1"/>
  <c r="BT63" i="18"/>
  <c r="BU63" i="18" s="1"/>
  <c r="BR63" i="18"/>
  <c r="BR88" i="13" s="1"/>
  <c r="BR62" i="18"/>
  <c r="BR61" i="18"/>
  <c r="BR87" i="13" s="1"/>
  <c r="BR74" i="13" s="1"/>
  <c r="BR60" i="18"/>
  <c r="BR59" i="18"/>
  <c r="BR58" i="18"/>
  <c r="BM63" i="18"/>
  <c r="BM88" i="13" s="1"/>
  <c r="BM62" i="18"/>
  <c r="BM61" i="18"/>
  <c r="BM87" i="13" s="1"/>
  <c r="BM60" i="13" s="1"/>
  <c r="BM60" i="18"/>
  <c r="BM86" i="13" s="1"/>
  <c r="BM59" i="18"/>
  <c r="BM58" i="18"/>
  <c r="BH63" i="18"/>
  <c r="BH88" i="13" s="1"/>
  <c r="BH62" i="18"/>
  <c r="BH61" i="18"/>
  <c r="BH87" i="13" s="1"/>
  <c r="BH60" i="18"/>
  <c r="BH86" i="13" s="1"/>
  <c r="BH59" i="18"/>
  <c r="BH58" i="18"/>
  <c r="BC63" i="18"/>
  <c r="BC88" i="13" s="1"/>
  <c r="BC62" i="18"/>
  <c r="BC61" i="18"/>
  <c r="BC87" i="13" s="1"/>
  <c r="BC60" i="18"/>
  <c r="BC86" i="13" s="1"/>
  <c r="BC73" i="13" s="1"/>
  <c r="BC59" i="18"/>
  <c r="BC58" i="18"/>
  <c r="AX63" i="18"/>
  <c r="AX62" i="18"/>
  <c r="AX59" i="18"/>
  <c r="AX58" i="18"/>
  <c r="AS63" i="18"/>
  <c r="AS62" i="18"/>
  <c r="AS61" i="18"/>
  <c r="AS87" i="13" s="1"/>
  <c r="AS60" i="18"/>
  <c r="AS59" i="18"/>
  <c r="AS58" i="18"/>
  <c r="AN63" i="18"/>
  <c r="AN62" i="18"/>
  <c r="AN61" i="18"/>
  <c r="AN87" i="13" s="1"/>
  <c r="AN74" i="13" s="1"/>
  <c r="AN60" i="18"/>
  <c r="AN86" i="13" s="1"/>
  <c r="AN59" i="18"/>
  <c r="AN58" i="18"/>
  <c r="AI63" i="18"/>
  <c r="AI62" i="18"/>
  <c r="AI61" i="18"/>
  <c r="AI87" i="13" s="1"/>
  <c r="AI60" i="18"/>
  <c r="AI59" i="18"/>
  <c r="AI58" i="18"/>
  <c r="CG62" i="18"/>
  <c r="CG61" i="18"/>
  <c r="CG60" i="18"/>
  <c r="CB62" i="18"/>
  <c r="CB61" i="18"/>
  <c r="CB60" i="18"/>
  <c r="BW61" i="18"/>
  <c r="BT62" i="18"/>
  <c r="BU62" i="18" s="1"/>
  <c r="AW61" i="18"/>
  <c r="AX61" i="18" s="1"/>
  <c r="AX87" i="13" s="1"/>
  <c r="AX60" i="13" s="1"/>
  <c r="AW60" i="18"/>
  <c r="AX60" i="18" s="1"/>
  <c r="AX86" i="13" s="1"/>
  <c r="BT60" i="18"/>
  <c r="BU60" i="18" s="1"/>
  <c r="BT59" i="18"/>
  <c r="BT68" i="2" s="1"/>
  <c r="BT69" i="2" s="1"/>
  <c r="BT58" i="18"/>
  <c r="BU58" i="18" s="1"/>
  <c r="BV58" i="18" s="1"/>
  <c r="AX54" i="18"/>
  <c r="AS54" i="18"/>
  <c r="AN54" i="18"/>
  <c r="AI54" i="18"/>
  <c r="AG49" i="18"/>
  <c r="AG51" i="18" s="1"/>
  <c r="AG55" i="18" s="1"/>
  <c r="AG61" i="2" s="1"/>
  <c r="AF49" i="18"/>
  <c r="AF51" i="18" s="1"/>
  <c r="AF55" i="18" s="1"/>
  <c r="AF61" i="2" s="1"/>
  <c r="AE49" i="18"/>
  <c r="AE51" i="18" s="1"/>
  <c r="AE55" i="18" s="1"/>
  <c r="AE61" i="2" s="1"/>
  <c r="AR47" i="18"/>
  <c r="AH47" i="18"/>
  <c r="AI47" i="18" s="1"/>
  <c r="AR46" i="18"/>
  <c r="AQ46" i="18"/>
  <c r="AP46" i="18"/>
  <c r="AO46" i="18"/>
  <c r="AM46" i="18"/>
  <c r="AL46" i="18"/>
  <c r="AJ46" i="18"/>
  <c r="AH46" i="18"/>
  <c r="AR45" i="18"/>
  <c r="AQ45" i="18"/>
  <c r="AP45" i="18"/>
  <c r="AO45" i="18"/>
  <c r="AM45" i="18"/>
  <c r="AL45" i="18"/>
  <c r="AJ45" i="18"/>
  <c r="AH45" i="18"/>
  <c r="AI45" i="18" s="1"/>
  <c r="AR44" i="18"/>
  <c r="AQ44" i="18"/>
  <c r="AP44" i="18"/>
  <c r="AO44" i="18"/>
  <c r="AM44" i="18"/>
  <c r="AL44" i="18"/>
  <c r="AJ44" i="18"/>
  <c r="AI44" i="18"/>
  <c r="AH44" i="18"/>
  <c r="AR43" i="18"/>
  <c r="AQ43" i="18"/>
  <c r="AP43" i="18"/>
  <c r="AO43" i="18"/>
  <c r="AM43" i="18"/>
  <c r="AL43" i="18"/>
  <c r="AJ43" i="18"/>
  <c r="AH43" i="18"/>
  <c r="AI43" i="18"/>
  <c r="AR40" i="18"/>
  <c r="AQ40" i="18"/>
  <c r="AP40" i="18"/>
  <c r="AO40" i="18"/>
  <c r="AM40" i="18"/>
  <c r="AL40" i="18"/>
  <c r="AJ40" i="18"/>
  <c r="AH40" i="18"/>
  <c r="AI40" i="18" s="1"/>
  <c r="BD38" i="18"/>
  <c r="BE38" i="18" s="1"/>
  <c r="BF38" i="18" s="1"/>
  <c r="BG38" i="18" s="1"/>
  <c r="BC38" i="18"/>
  <c r="AY38" i="18"/>
  <c r="AZ38" i="18" s="1"/>
  <c r="BA38" i="18" s="1"/>
  <c r="AX38" i="18"/>
  <c r="AU38" i="18"/>
  <c r="AV38" i="18" s="1"/>
  <c r="AS38" i="18"/>
  <c r="AN38" i="18"/>
  <c r="AI38" i="18"/>
  <c r="AN36" i="18"/>
  <c r="AN35" i="18"/>
  <c r="AN34" i="18"/>
  <c r="AN33" i="18"/>
  <c r="AN32" i="18"/>
  <c r="AN31" i="18"/>
  <c r="AI36" i="18"/>
  <c r="AI35" i="18"/>
  <c r="AI34" i="18"/>
  <c r="AI33" i="18"/>
  <c r="AI32" i="18"/>
  <c r="AI31" i="18"/>
  <c r="AT36" i="18"/>
  <c r="AS36" i="18"/>
  <c r="AT35" i="18"/>
  <c r="AU35" i="18" s="1"/>
  <c r="AS35" i="18"/>
  <c r="AT34" i="18"/>
  <c r="AT45" i="18" s="1"/>
  <c r="AS34" i="18"/>
  <c r="AT33" i="18"/>
  <c r="AU33" i="18" s="1"/>
  <c r="AU44" i="18" s="1"/>
  <c r="AS33" i="18"/>
  <c r="AT32" i="18"/>
  <c r="AS32" i="18"/>
  <c r="AT31" i="18"/>
  <c r="AU31" i="18" s="1"/>
  <c r="AV31" i="18" s="1"/>
  <c r="AW31" i="18" s="1"/>
  <c r="AS31" i="18"/>
  <c r="AT29" i="18"/>
  <c r="AT40" i="18" s="1"/>
  <c r="AS29" i="18"/>
  <c r="AN29" i="18"/>
  <c r="AI29" i="18"/>
  <c r="AR20" i="18"/>
  <c r="AS20" i="18" s="1"/>
  <c r="AT20" i="18" s="1"/>
  <c r="S17" i="18"/>
  <c r="S18" i="18" s="1"/>
  <c r="BR16" i="18"/>
  <c r="BR15" i="18"/>
  <c r="BR14" i="18"/>
  <c r="BR13" i="18"/>
  <c r="BM17" i="18"/>
  <c r="BM16" i="18"/>
  <c r="BM15" i="18"/>
  <c r="BM14" i="18"/>
  <c r="BM13" i="18"/>
  <c r="BH17" i="18"/>
  <c r="BH16" i="18"/>
  <c r="BH15" i="18"/>
  <c r="BH14" i="18"/>
  <c r="BH13" i="18"/>
  <c r="AW17" i="18"/>
  <c r="AX17" i="18" s="1"/>
  <c r="AY17" i="18" s="1"/>
  <c r="AZ17" i="18" s="1"/>
  <c r="AS17" i="18"/>
  <c r="AS16" i="18"/>
  <c r="AS15" i="18"/>
  <c r="AS14" i="18"/>
  <c r="AS13" i="18"/>
  <c r="AN17" i="18"/>
  <c r="AI17" i="18"/>
  <c r="AX16" i="18"/>
  <c r="AY16" i="18" s="1"/>
  <c r="AZ16" i="18" s="1"/>
  <c r="BA16" i="18" s="1"/>
  <c r="BB16" i="18" s="1"/>
  <c r="BC16" i="18" s="1"/>
  <c r="AN16" i="18"/>
  <c r="AN15" i="18"/>
  <c r="AN14" i="18"/>
  <c r="AN13" i="18"/>
  <c r="AI16" i="18"/>
  <c r="AK46" i="18" s="1"/>
  <c r="AI15" i="18"/>
  <c r="AK45" i="18" s="1"/>
  <c r="AI14" i="18"/>
  <c r="AK44" i="18" s="1"/>
  <c r="AI13" i="18"/>
  <c r="AK43" i="18" s="1"/>
  <c r="AD16" i="18"/>
  <c r="AD15" i="18"/>
  <c r="AD14" i="18"/>
  <c r="AD13" i="18"/>
  <c r="Y16" i="18"/>
  <c r="Y15" i="18"/>
  <c r="Y14" i="18"/>
  <c r="Y13" i="18"/>
  <c r="AW15" i="18"/>
  <c r="AX14" i="18"/>
  <c r="AY14" i="18" s="1"/>
  <c r="BB17" i="18"/>
  <c r="BB15" i="18"/>
  <c r="BB13" i="18"/>
  <c r="BC13" i="18" s="1"/>
  <c r="AV13" i="18"/>
  <c r="AV12" i="18" s="1"/>
  <c r="BQ12" i="18"/>
  <c r="BR12" i="18" s="1"/>
  <c r="BP12" i="18"/>
  <c r="BO12" i="18"/>
  <c r="BO18" i="18" s="1"/>
  <c r="BO40" i="12" s="1"/>
  <c r="BN12" i="18"/>
  <c r="BL12" i="18"/>
  <c r="BL18" i="18" s="1"/>
  <c r="BM18" i="18" s="1"/>
  <c r="BK12" i="18"/>
  <c r="BK18" i="18" s="1"/>
  <c r="BK40" i="12" s="1"/>
  <c r="BJ12" i="18"/>
  <c r="BJ18" i="18" s="1"/>
  <c r="BJ40" i="12" s="1"/>
  <c r="BI12" i="18"/>
  <c r="BG12" i="18"/>
  <c r="BH12" i="18" s="1"/>
  <c r="BF12" i="18"/>
  <c r="BF18" i="18" s="1"/>
  <c r="BF40" i="12" s="1"/>
  <c r="BE12" i="18"/>
  <c r="BD12" i="18"/>
  <c r="AU12" i="18"/>
  <c r="AT12" i="18"/>
  <c r="AT18" i="18" s="1"/>
  <c r="AT40" i="12" s="1"/>
  <c r="AT59" i="12" s="1"/>
  <c r="AR12" i="18"/>
  <c r="AS12" i="18" s="1"/>
  <c r="AQ12" i="18"/>
  <c r="AP12" i="18"/>
  <c r="AO12" i="18"/>
  <c r="AO42" i="18" s="1"/>
  <c r="AM12" i="18"/>
  <c r="AL12" i="18"/>
  <c r="AK12" i="18"/>
  <c r="AJ12" i="18"/>
  <c r="AH12" i="18"/>
  <c r="AH42" i="18" s="1"/>
  <c r="AI42" i="18" s="1"/>
  <c r="AC12" i="18"/>
  <c r="X12" i="18"/>
  <c r="BR10" i="18"/>
  <c r="BM10" i="18"/>
  <c r="BH10" i="18"/>
  <c r="BC10" i="18"/>
  <c r="AX10" i="18"/>
  <c r="AS10" i="18"/>
  <c r="AN10" i="18"/>
  <c r="AI10" i="18"/>
  <c r="AK40" i="18" s="1"/>
  <c r="AN40" i="18" s="1"/>
  <c r="AC10" i="18"/>
  <c r="AC31" i="12" s="1"/>
  <c r="X10" i="18"/>
  <c r="Y10" i="18" s="1"/>
  <c r="CK6" i="18"/>
  <c r="CJ6" i="18"/>
  <c r="CI6" i="18"/>
  <c r="CH6" i="18"/>
  <c r="CF6" i="18"/>
  <c r="CE6" i="18"/>
  <c r="CD6" i="18"/>
  <c r="CC6" i="18"/>
  <c r="CA6" i="18"/>
  <c r="BZ6" i="18"/>
  <c r="BY6" i="18"/>
  <c r="BX6" i="18"/>
  <c r="BV6" i="18"/>
  <c r="BU6" i="18"/>
  <c r="BT6" i="18"/>
  <c r="BS6" i="18"/>
  <c r="BQ6" i="18"/>
  <c r="BP6" i="18"/>
  <c r="BO6" i="18"/>
  <c r="BN6" i="18"/>
  <c r="BL6" i="18"/>
  <c r="BK6" i="18"/>
  <c r="BJ6" i="18"/>
  <c r="BI6" i="18"/>
  <c r="BG6" i="18"/>
  <c r="BF6" i="18"/>
  <c r="BE6" i="18"/>
  <c r="BD6" i="18"/>
  <c r="BB6" i="18"/>
  <c r="BA6" i="18"/>
  <c r="AZ6" i="18"/>
  <c r="AY6" i="18"/>
  <c r="AW6" i="18"/>
  <c r="AV6" i="18"/>
  <c r="AU6" i="18"/>
  <c r="AT6" i="18"/>
  <c r="AR6" i="18"/>
  <c r="AQ6" i="18"/>
  <c r="AP6" i="18"/>
  <c r="AO6" i="18"/>
  <c r="AM6" i="18"/>
  <c r="AL6" i="18"/>
  <c r="AK6" i="18"/>
  <c r="AJ6" i="18"/>
  <c r="AH6" i="18"/>
  <c r="AG6" i="18"/>
  <c r="AF6" i="18"/>
  <c r="AE6" i="18"/>
  <c r="AC6" i="18"/>
  <c r="AB6" i="18"/>
  <c r="AA6" i="18"/>
  <c r="Z6" i="18"/>
  <c r="Y6" i="18"/>
  <c r="X6" i="18"/>
  <c r="W6" i="18"/>
  <c r="V6" i="18"/>
  <c r="U6" i="18"/>
  <c r="T6" i="18"/>
  <c r="S6" i="18"/>
  <c r="CK5" i="18"/>
  <c r="CJ5" i="18"/>
  <c r="CI5" i="18"/>
  <c r="CH5" i="18"/>
  <c r="CF5" i="18"/>
  <c r="CE5" i="18"/>
  <c r="CD5" i="18"/>
  <c r="CC5" i="18"/>
  <c r="CA5" i="18"/>
  <c r="BZ5" i="18"/>
  <c r="BY5" i="18"/>
  <c r="BX5" i="18"/>
  <c r="BV5" i="18"/>
  <c r="BU5" i="18"/>
  <c r="BT5" i="18"/>
  <c r="BS5" i="18"/>
  <c r="BQ5" i="18"/>
  <c r="BP5" i="18"/>
  <c r="BO5" i="18"/>
  <c r="BN5" i="18"/>
  <c r="BL5" i="18"/>
  <c r="BJ5" i="18"/>
  <c r="BI5" i="18"/>
  <c r="BG5" i="18"/>
  <c r="BF5" i="18"/>
  <c r="BE5" i="18"/>
  <c r="BD5" i="18"/>
  <c r="BB5" i="18"/>
  <c r="BA5" i="18"/>
  <c r="AZ5" i="18"/>
  <c r="AY5" i="18"/>
  <c r="AW5" i="18"/>
  <c r="AV5" i="18"/>
  <c r="AU5" i="18"/>
  <c r="AT5" i="18"/>
  <c r="AR5" i="18"/>
  <c r="AQ5" i="18"/>
  <c r="AP5" i="18"/>
  <c r="AO5" i="18"/>
  <c r="AM5" i="18"/>
  <c r="AL5" i="18"/>
  <c r="AK5" i="18"/>
  <c r="AJ5" i="18"/>
  <c r="AH5" i="18"/>
  <c r="AG5" i="18"/>
  <c r="AF5" i="18"/>
  <c r="AE5" i="18"/>
  <c r="AC5" i="18"/>
  <c r="AB5" i="18"/>
  <c r="AA5" i="18"/>
  <c r="Z5" i="18"/>
  <c r="X5" i="18"/>
  <c r="W5" i="18"/>
  <c r="V5" i="18"/>
  <c r="U5" i="18"/>
  <c r="S5" i="18"/>
  <c r="R5" i="18"/>
  <c r="Q5" i="18"/>
  <c r="P5" i="18"/>
  <c r="N5" i="18"/>
  <c r="M5" i="18"/>
  <c r="L5" i="18"/>
  <c r="K5" i="18"/>
  <c r="J5" i="18"/>
  <c r="I5" i="18"/>
  <c r="H5" i="18"/>
  <c r="G5" i="18"/>
  <c r="F5" i="18"/>
  <c r="E5" i="18"/>
  <c r="CL4" i="18"/>
  <c r="CH4" i="18"/>
  <c r="CG4" i="18"/>
  <c r="CC4" i="18"/>
  <c r="CB4" i="18"/>
  <c r="BX4" i="18"/>
  <c r="BW4" i="18"/>
  <c r="BS4" i="18"/>
  <c r="BR4" i="18"/>
  <c r="BN4" i="18"/>
  <c r="BM4" i="18"/>
  <c r="BI4" i="18"/>
  <c r="BH4" i="18"/>
  <c r="BD4" i="18"/>
  <c r="BC4" i="18"/>
  <c r="AY4" i="18"/>
  <c r="AX4" i="18"/>
  <c r="AT4" i="18"/>
  <c r="AS4" i="18"/>
  <c r="AO4" i="18"/>
  <c r="AN4" i="18"/>
  <c r="AJ4" i="18"/>
  <c r="AI4" i="18"/>
  <c r="AE4" i="18"/>
  <c r="AD4" i="18"/>
  <c r="Z4" i="18"/>
  <c r="Y4" i="18"/>
  <c r="U4" i="18"/>
  <c r="T4" i="18"/>
  <c r="P4" i="18"/>
  <c r="O4" i="18"/>
  <c r="K4" i="18"/>
  <c r="J4" i="18"/>
  <c r="I4" i="18"/>
  <c r="H4" i="18"/>
  <c r="G4" i="18"/>
  <c r="F4" i="18"/>
  <c r="E4" i="18"/>
  <c r="AR26" i="2"/>
  <c r="AQ26" i="2"/>
  <c r="AP26" i="2"/>
  <c r="AO26" i="2"/>
  <c r="AM26" i="2"/>
  <c r="AL26" i="2"/>
  <c r="AK26" i="2"/>
  <c r="AJ26" i="2"/>
  <c r="AH26" i="2"/>
  <c r="AG26" i="2"/>
  <c r="AF26" i="2"/>
  <c r="AE26" i="2"/>
  <c r="AQ22" i="2"/>
  <c r="AQ19" i="19" s="1"/>
  <c r="AQ29" i="19" s="1"/>
  <c r="AQ45" i="19" s="1"/>
  <c r="AO22" i="2"/>
  <c r="AK22" i="2"/>
  <c r="AK19" i="19" s="1"/>
  <c r="AK29" i="19" s="1"/>
  <c r="AK45" i="19" s="1"/>
  <c r="AJ22" i="2"/>
  <c r="AJ19" i="19" s="1"/>
  <c r="AJ29" i="19" s="1"/>
  <c r="AJ45" i="19" s="1"/>
  <c r="AH22" i="2"/>
  <c r="BE67" i="30"/>
  <c r="BD67" i="30"/>
  <c r="BQ69" i="30"/>
  <c r="BP69" i="30"/>
  <c r="BO69" i="30"/>
  <c r="BN69" i="30"/>
  <c r="BE69" i="30"/>
  <c r="BD69" i="30"/>
  <c r="BT11" i="2"/>
  <c r="BO11" i="2"/>
  <c r="BN11" i="2"/>
  <c r="AD89" i="13"/>
  <c r="Y89" i="13"/>
  <c r="T89" i="13"/>
  <c r="AW88" i="13"/>
  <c r="AV88" i="13"/>
  <c r="AU88" i="13"/>
  <c r="AT88" i="13"/>
  <c r="AN82" i="13"/>
  <c r="AI86" i="13"/>
  <c r="AI73" i="13" s="1"/>
  <c r="AD87" i="13"/>
  <c r="AD60" i="13" s="1"/>
  <c r="AD86" i="13"/>
  <c r="AD73" i="13" s="1"/>
  <c r="AD85" i="13"/>
  <c r="AD84" i="13"/>
  <c r="AD83" i="13"/>
  <c r="Y87" i="13"/>
  <c r="Y86" i="13"/>
  <c r="Y59" i="13" s="1"/>
  <c r="Y85" i="13"/>
  <c r="Y84" i="13"/>
  <c r="Y83" i="13"/>
  <c r="T87" i="13"/>
  <c r="T86" i="13"/>
  <c r="T85" i="13"/>
  <c r="T84" i="13"/>
  <c r="T83" i="13"/>
  <c r="CK87" i="13"/>
  <c r="CI87" i="13"/>
  <c r="CH87" i="13"/>
  <c r="CK86" i="13"/>
  <c r="CI86" i="13"/>
  <c r="CH86" i="13"/>
  <c r="BS88" i="13"/>
  <c r="BQ88" i="13"/>
  <c r="BP88" i="13"/>
  <c r="BO88" i="13"/>
  <c r="BN88" i="13"/>
  <c r="BL88" i="13"/>
  <c r="BK88" i="13"/>
  <c r="BJ88" i="13"/>
  <c r="BI88" i="13"/>
  <c r="BG88" i="13"/>
  <c r="BF88" i="13"/>
  <c r="BE88" i="13"/>
  <c r="BD88" i="13"/>
  <c r="BB88" i="13"/>
  <c r="BA88" i="13"/>
  <c r="AZ88" i="13"/>
  <c r="AY88" i="13"/>
  <c r="CA87" i="13"/>
  <c r="BZ87" i="13"/>
  <c r="BY87" i="13"/>
  <c r="BU87" i="13"/>
  <c r="BT87" i="13"/>
  <c r="BS87" i="13"/>
  <c r="BQ87" i="13"/>
  <c r="BP87" i="13"/>
  <c r="BO87" i="13"/>
  <c r="BN87" i="13"/>
  <c r="BL87" i="13"/>
  <c r="BK87" i="13"/>
  <c r="BJ87" i="13"/>
  <c r="BI87" i="13"/>
  <c r="BG87" i="13"/>
  <c r="BF87" i="13"/>
  <c r="BE87" i="13"/>
  <c r="BD87" i="13"/>
  <c r="BB87" i="13"/>
  <c r="BA87" i="13"/>
  <c r="AZ87" i="13"/>
  <c r="AY87" i="13"/>
  <c r="CA86" i="13"/>
  <c r="BZ86" i="13"/>
  <c r="BY86" i="13"/>
  <c r="BR86" i="13"/>
  <c r="BR73" i="13" s="1"/>
  <c r="BP86" i="13"/>
  <c r="BO86" i="13"/>
  <c r="BN86" i="13"/>
  <c r="BL86" i="13"/>
  <c r="BK86" i="13"/>
  <c r="BJ86" i="13"/>
  <c r="BI86" i="13"/>
  <c r="BG86" i="13"/>
  <c r="BF86" i="13"/>
  <c r="BE86" i="13"/>
  <c r="BD86" i="13"/>
  <c r="BB86" i="13"/>
  <c r="BA86" i="13"/>
  <c r="AZ86" i="13"/>
  <c r="AY86" i="13"/>
  <c r="CA85" i="13"/>
  <c r="BZ85" i="13"/>
  <c r="BS85" i="13"/>
  <c r="BW85" i="13" s="1"/>
  <c r="BQ85" i="13"/>
  <c r="BP85" i="13"/>
  <c r="BO85" i="13"/>
  <c r="BN85" i="13"/>
  <c r="BL85" i="13"/>
  <c r="BK85" i="13"/>
  <c r="BJ85" i="13"/>
  <c r="BI85" i="13"/>
  <c r="BG85" i="13"/>
  <c r="BF85" i="13"/>
  <c r="BE85" i="13"/>
  <c r="BD85" i="13"/>
  <c r="BB85" i="13"/>
  <c r="BA85" i="13"/>
  <c r="AZ85" i="13"/>
  <c r="AY85" i="13"/>
  <c r="BU84" i="13"/>
  <c r="BS84" i="13"/>
  <c r="BQ84" i="13"/>
  <c r="BP84" i="13"/>
  <c r="BO84" i="13"/>
  <c r="BN84" i="13"/>
  <c r="BL84" i="13"/>
  <c r="BK84" i="13"/>
  <c r="BJ84" i="13"/>
  <c r="BI84" i="13"/>
  <c r="BG84" i="13"/>
  <c r="BF84" i="13"/>
  <c r="BE84" i="13"/>
  <c r="BD84" i="13"/>
  <c r="BB84" i="13"/>
  <c r="BA84" i="13"/>
  <c r="AZ84" i="13"/>
  <c r="AY84" i="13"/>
  <c r="CA83" i="13"/>
  <c r="BZ83" i="13"/>
  <c r="BU83" i="13"/>
  <c r="BT83" i="13"/>
  <c r="BS83" i="13"/>
  <c r="BQ83" i="13"/>
  <c r="BP83" i="13"/>
  <c r="BO83" i="13"/>
  <c r="BN83" i="13"/>
  <c r="BL83" i="13"/>
  <c r="BK83" i="13"/>
  <c r="BJ83" i="13"/>
  <c r="BI83" i="13"/>
  <c r="BG83" i="13"/>
  <c r="BF83" i="13"/>
  <c r="BE83" i="13"/>
  <c r="BD83" i="13"/>
  <c r="BB83" i="13"/>
  <c r="BA83" i="13"/>
  <c r="AZ83" i="13"/>
  <c r="AY83" i="13"/>
  <c r="AV87" i="13"/>
  <c r="AU87" i="13"/>
  <c r="AT87" i="13"/>
  <c r="AV86" i="13"/>
  <c r="AU86" i="13"/>
  <c r="AT86" i="13"/>
  <c r="AS86" i="13"/>
  <c r="AS59" i="13" s="1"/>
  <c r="AW85" i="13"/>
  <c r="AV85" i="13"/>
  <c r="AU85" i="13"/>
  <c r="AT85" i="13"/>
  <c r="AW84" i="13"/>
  <c r="AV84" i="13"/>
  <c r="AU84" i="13"/>
  <c r="AT84" i="13"/>
  <c r="AW83" i="13"/>
  <c r="AV83" i="13"/>
  <c r="AU83" i="13"/>
  <c r="AT83" i="13"/>
  <c r="BM82" i="13"/>
  <c r="AD72" i="13"/>
  <c r="H13" i="21" s="1"/>
  <c r="AD71" i="13"/>
  <c r="H12" i="21"/>
  <c r="AD70" i="13"/>
  <c r="H11" i="21" s="1"/>
  <c r="AD69" i="13"/>
  <c r="H10" i="21" s="1"/>
  <c r="Y72" i="13"/>
  <c r="Y71" i="13"/>
  <c r="G12" i="21" s="1"/>
  <c r="Y70" i="13"/>
  <c r="G11" i="21" s="1"/>
  <c r="Y69" i="13"/>
  <c r="G10" i="21" s="1"/>
  <c r="E74" i="13"/>
  <c r="E73" i="13"/>
  <c r="T72" i="13"/>
  <c r="T71" i="13"/>
  <c r="T70" i="13"/>
  <c r="T69" i="13"/>
  <c r="BR61" i="13"/>
  <c r="BM61" i="13"/>
  <c r="BM55" i="13"/>
  <c r="BM53" i="13"/>
  <c r="AD58" i="13"/>
  <c r="AD57" i="13"/>
  <c r="AD56" i="13"/>
  <c r="AD55" i="13"/>
  <c r="AD54" i="13"/>
  <c r="AD53" i="13"/>
  <c r="Y58" i="13"/>
  <c r="Y57" i="13"/>
  <c r="Y56" i="13"/>
  <c r="Y55" i="13"/>
  <c r="Y54" i="13"/>
  <c r="Y53" i="13"/>
  <c r="E60" i="13"/>
  <c r="E59" i="13"/>
  <c r="T58" i="13"/>
  <c r="T57" i="13"/>
  <c r="T56" i="13"/>
  <c r="T55" i="13"/>
  <c r="T54" i="13"/>
  <c r="T53" i="13"/>
  <c r="O48" i="13"/>
  <c r="T46" i="13"/>
  <c r="CG43" i="13"/>
  <c r="CG42" i="13"/>
  <c r="CB43" i="13"/>
  <c r="CB42" i="13"/>
  <c r="BW42" i="13"/>
  <c r="BU43" i="13"/>
  <c r="BS43" i="13"/>
  <c r="BW43" i="13" s="1"/>
  <c r="BO43" i="13"/>
  <c r="BN43" i="13"/>
  <c r="BM43" i="13"/>
  <c r="BH43" i="13"/>
  <c r="BH42" i="13"/>
  <c r="BC43" i="13"/>
  <c r="AX43" i="13"/>
  <c r="AX42" i="13"/>
  <c r="AS43" i="13"/>
  <c r="AS42" i="13"/>
  <c r="AN43" i="13"/>
  <c r="AN42" i="13"/>
  <c r="AI43" i="13"/>
  <c r="AI42" i="13"/>
  <c r="BR42" i="13"/>
  <c r="BM42" i="13"/>
  <c r="AZ42" i="13"/>
  <c r="BC42" i="13" s="1"/>
  <c r="BQ38" i="13"/>
  <c r="BP38" i="13"/>
  <c r="BP40" i="13" s="1"/>
  <c r="BO38" i="13"/>
  <c r="BO40" i="13" s="1"/>
  <c r="BN38" i="13"/>
  <c r="BN40" i="13" s="1"/>
  <c r="BL38" i="13"/>
  <c r="BL40" i="13" s="1"/>
  <c r="BJ38" i="13"/>
  <c r="BJ40" i="13" s="1"/>
  <c r="BI38" i="13"/>
  <c r="BI40" i="13" s="1"/>
  <c r="BG38" i="13"/>
  <c r="BG40" i="13" s="1"/>
  <c r="BF38" i="13"/>
  <c r="BF40" i="13" s="1"/>
  <c r="BE38" i="13"/>
  <c r="BE40" i="13" s="1"/>
  <c r="BD38" i="13"/>
  <c r="BD40" i="13" s="1"/>
  <c r="BB38" i="13"/>
  <c r="BB40" i="13" s="1"/>
  <c r="BA38" i="13"/>
  <c r="BA40" i="13" s="1"/>
  <c r="AZ38" i="13"/>
  <c r="AZ40" i="13" s="1"/>
  <c r="AY38" i="13"/>
  <c r="AY40" i="13" s="1"/>
  <c r="AW38" i="13"/>
  <c r="AW40" i="13" s="1"/>
  <c r="AV38" i="13"/>
  <c r="AV40" i="13" s="1"/>
  <c r="AU38" i="13"/>
  <c r="AU40" i="13" s="1"/>
  <c r="AR38" i="13"/>
  <c r="AR40" i="13" s="1"/>
  <c r="AM38" i="13"/>
  <c r="AM40" i="13" s="1"/>
  <c r="AL38" i="13"/>
  <c r="AL40" i="13" s="1"/>
  <c r="AJ38" i="13"/>
  <c r="AJ40" i="13" s="1"/>
  <c r="AH38" i="13"/>
  <c r="AH40" i="13" s="1"/>
  <c r="AG38" i="13"/>
  <c r="AF38" i="13"/>
  <c r="AF40" i="13" s="1"/>
  <c r="AE38" i="13"/>
  <c r="AE40" i="13" s="1"/>
  <c r="BV40" i="13"/>
  <c r="BR37" i="13"/>
  <c r="BR36" i="13"/>
  <c r="BR35" i="13"/>
  <c r="BR34" i="13"/>
  <c r="BR33" i="13"/>
  <c r="BM37" i="13"/>
  <c r="BM36" i="13"/>
  <c r="BM35" i="13"/>
  <c r="BM34" i="13"/>
  <c r="BH37" i="13"/>
  <c r="BH36" i="13"/>
  <c r="BH35" i="13"/>
  <c r="BH34" i="13"/>
  <c r="BH33" i="13"/>
  <c r="BC37" i="13"/>
  <c r="BC36" i="13"/>
  <c r="BC35" i="13"/>
  <c r="BC34" i="13"/>
  <c r="BC33" i="13"/>
  <c r="AX37" i="13"/>
  <c r="AX36" i="13"/>
  <c r="AX35" i="13"/>
  <c r="AX34" i="13"/>
  <c r="AS37" i="13"/>
  <c r="AS36" i="13"/>
  <c r="AS35" i="13"/>
  <c r="AS34" i="13"/>
  <c r="AN37" i="13"/>
  <c r="AN36" i="13"/>
  <c r="AN89" i="13" s="1"/>
  <c r="AN35" i="13"/>
  <c r="AN34" i="13"/>
  <c r="AI37" i="13"/>
  <c r="AI36" i="13"/>
  <c r="AI89" i="13" s="1"/>
  <c r="AI35" i="13"/>
  <c r="AI34" i="13"/>
  <c r="AI33" i="13"/>
  <c r="CG36" i="13"/>
  <c r="CG89" i="13" s="1"/>
  <c r="CG35" i="13"/>
  <c r="CG34" i="13"/>
  <c r="CG33" i="13"/>
  <c r="CB36" i="13"/>
  <c r="CB35" i="13"/>
  <c r="CB34" i="13"/>
  <c r="CB33" i="13"/>
  <c r="BW36" i="13"/>
  <c r="BW35" i="13"/>
  <c r="BW34" i="13"/>
  <c r="BW33" i="13"/>
  <c r="BK33" i="13"/>
  <c r="AT33" i="13"/>
  <c r="AQ33" i="13"/>
  <c r="AP33" i="13"/>
  <c r="AO33" i="13"/>
  <c r="AO38" i="13" s="1"/>
  <c r="AK33" i="13"/>
  <c r="AN33" i="13" s="1"/>
  <c r="AD33" i="13"/>
  <c r="AD38" i="13" s="1"/>
  <c r="Y33" i="13"/>
  <c r="Y38" i="13" s="1"/>
  <c r="Y40" i="13" s="1"/>
  <c r="T33" i="13"/>
  <c r="T38" i="13" s="1"/>
  <c r="T40" i="13" s="1"/>
  <c r="BZ30" i="13"/>
  <c r="BY30" i="13"/>
  <c r="CG28" i="13"/>
  <c r="CB27" i="13"/>
  <c r="CB26" i="13"/>
  <c r="CB57" i="13" s="1"/>
  <c r="CB25" i="13"/>
  <c r="BW27" i="13"/>
  <c r="BW58" i="13" s="1"/>
  <c r="BW26" i="13"/>
  <c r="BW25" i="13"/>
  <c r="BT28" i="13"/>
  <c r="BT30" i="13" s="1"/>
  <c r="BS28" i="13"/>
  <c r="BS30" i="13" s="1"/>
  <c r="BQ28" i="13"/>
  <c r="BQ30" i="13" s="1"/>
  <c r="BP28" i="13"/>
  <c r="BP30" i="13" s="1"/>
  <c r="BO28" i="13"/>
  <c r="BO30" i="13" s="1"/>
  <c r="BN28" i="13"/>
  <c r="BL28" i="13"/>
  <c r="BL30" i="13" s="1"/>
  <c r="BK28" i="13"/>
  <c r="BK30" i="13" s="1"/>
  <c r="BJ28" i="13"/>
  <c r="BJ30" i="13" s="1"/>
  <c r="BI28" i="13"/>
  <c r="BI30" i="13" s="1"/>
  <c r="BG28" i="13"/>
  <c r="BG30" i="13" s="1"/>
  <c r="BF28" i="13"/>
  <c r="BF30" i="13" s="1"/>
  <c r="BE28" i="13"/>
  <c r="BE30" i="13" s="1"/>
  <c r="BD28" i="13"/>
  <c r="BD30" i="13" s="1"/>
  <c r="BB28" i="13"/>
  <c r="BB30" i="13" s="1"/>
  <c r="BA28" i="13"/>
  <c r="BA30" i="13" s="1"/>
  <c r="AZ28" i="13"/>
  <c r="AZ30" i="13" s="1"/>
  <c r="AY28" i="13"/>
  <c r="AY30" i="13" s="1"/>
  <c r="AW28" i="13"/>
  <c r="AW30" i="13" s="1"/>
  <c r="AV28" i="13"/>
  <c r="AV30" i="13" s="1"/>
  <c r="AU28" i="13"/>
  <c r="AT28" i="13"/>
  <c r="AT30" i="13" s="1"/>
  <c r="AR28" i="13"/>
  <c r="AR30" i="13" s="1"/>
  <c r="AQ28" i="13"/>
  <c r="AQ30" i="13" s="1"/>
  <c r="AP28" i="13"/>
  <c r="AP30" i="13" s="1"/>
  <c r="AO28" i="13"/>
  <c r="AO30" i="13"/>
  <c r="AM28" i="13"/>
  <c r="AM30" i="13" s="1"/>
  <c r="AL28" i="13"/>
  <c r="AL30" i="13" s="1"/>
  <c r="AK28" i="13"/>
  <c r="AK30" i="13" s="1"/>
  <c r="AJ28" i="13"/>
  <c r="AJ30" i="13" s="1"/>
  <c r="AH28" i="13"/>
  <c r="AH30" i="13" s="1"/>
  <c r="AG28" i="13"/>
  <c r="AG30" i="13" s="1"/>
  <c r="AF28" i="13"/>
  <c r="AF30" i="13" s="1"/>
  <c r="AE28" i="13"/>
  <c r="AE30" i="13" s="1"/>
  <c r="AD28" i="13"/>
  <c r="AD30" i="13" s="1"/>
  <c r="Y28" i="13"/>
  <c r="Y30" i="13" s="1"/>
  <c r="T28" i="13"/>
  <c r="T82" i="13" s="1"/>
  <c r="BR27" i="13"/>
  <c r="BR85" i="13" s="1"/>
  <c r="BR26" i="13"/>
  <c r="BR57" i="13" s="1"/>
  <c r="BR25" i="13"/>
  <c r="BR56" i="13" s="1"/>
  <c r="BM27" i="13"/>
  <c r="BM85" i="13" s="1"/>
  <c r="BM26" i="13"/>
  <c r="BM71" i="13" s="1"/>
  <c r="O12" i="21" s="1"/>
  <c r="BM25" i="13"/>
  <c r="BH27" i="13"/>
  <c r="BH58" i="13" s="1"/>
  <c r="BH26" i="13"/>
  <c r="BH57" i="13" s="1"/>
  <c r="BH25" i="13"/>
  <c r="BH70" i="13" s="1"/>
  <c r="N11" i="21" s="1"/>
  <c r="BC27" i="13"/>
  <c r="BC72" i="13" s="1"/>
  <c r="M13" i="21" s="1"/>
  <c r="BC26" i="13"/>
  <c r="BC57" i="13" s="1"/>
  <c r="BC25" i="13"/>
  <c r="AX27" i="13"/>
  <c r="AX85" i="13" s="1"/>
  <c r="AX26" i="13"/>
  <c r="AX84" i="13" s="1"/>
  <c r="AX25" i="13"/>
  <c r="AS27" i="13"/>
  <c r="AS72" i="13" s="1"/>
  <c r="K13" i="21" s="1"/>
  <c r="AS26" i="13"/>
  <c r="AS71" i="13" s="1"/>
  <c r="K12" i="21" s="1"/>
  <c r="AS25" i="13"/>
  <c r="AS56" i="13" s="1"/>
  <c r="AN27" i="13"/>
  <c r="AN85" i="13" s="1"/>
  <c r="AN26" i="13"/>
  <c r="AN71" i="13" s="1"/>
  <c r="J12" i="21" s="1"/>
  <c r="AN25" i="13"/>
  <c r="AN70" i="13" s="1"/>
  <c r="J11" i="21" s="1"/>
  <c r="AI27" i="13"/>
  <c r="AI85" i="13" s="1"/>
  <c r="AI26" i="13"/>
  <c r="AI71" i="13" s="1"/>
  <c r="I12" i="21" s="1"/>
  <c r="AI25" i="13"/>
  <c r="AI56" i="13" s="1"/>
  <c r="CH85" i="13"/>
  <c r="CG85" i="13"/>
  <c r="CG26" i="13"/>
  <c r="CG71" i="13" s="1"/>
  <c r="BW17" i="13"/>
  <c r="BW16" i="13"/>
  <c r="BR19" i="13"/>
  <c r="BR17" i="13"/>
  <c r="BR16" i="13"/>
  <c r="BM19" i="13"/>
  <c r="BM18" i="13"/>
  <c r="BM17" i="13"/>
  <c r="BM16" i="13"/>
  <c r="BH19" i="13"/>
  <c r="BH18" i="13"/>
  <c r="BH17" i="13"/>
  <c r="BH16" i="13"/>
  <c r="BC19" i="13"/>
  <c r="BC18" i="13"/>
  <c r="BC17" i="13"/>
  <c r="BC16" i="13"/>
  <c r="AX19" i="13"/>
  <c r="AX18" i="13"/>
  <c r="AX17" i="13"/>
  <c r="AX16" i="13"/>
  <c r="AS19" i="13"/>
  <c r="AS18" i="13"/>
  <c r="AS17" i="13"/>
  <c r="AS16" i="13"/>
  <c r="AN19" i="13"/>
  <c r="AN18" i="13"/>
  <c r="AN17" i="13"/>
  <c r="AN16" i="13"/>
  <c r="AI19" i="13"/>
  <c r="AI18" i="13"/>
  <c r="AI17" i="13"/>
  <c r="AI16" i="13"/>
  <c r="BS18" i="13"/>
  <c r="BW18" i="13" s="1"/>
  <c r="BO18" i="13"/>
  <c r="BR18" i="13"/>
  <c r="BR14" i="13"/>
  <c r="BR133" i="2" s="1"/>
  <c r="BR13" i="13"/>
  <c r="BR12" i="13"/>
  <c r="BR11" i="13"/>
  <c r="BR10" i="13"/>
  <c r="BR130" i="2" s="1"/>
  <c r="BH14" i="13"/>
  <c r="BH133" i="2" s="1"/>
  <c r="BH13" i="13"/>
  <c r="BH12" i="13"/>
  <c r="BC14" i="13"/>
  <c r="BC13" i="13"/>
  <c r="BC12" i="13"/>
  <c r="AX14" i="13"/>
  <c r="AX133" i="2" s="1"/>
  <c r="AX13" i="13"/>
  <c r="AX12" i="13"/>
  <c r="AS14" i="13"/>
  <c r="AS13" i="13"/>
  <c r="AS12" i="13"/>
  <c r="AN14" i="13"/>
  <c r="AN133" i="2" s="1"/>
  <c r="AN53" i="13"/>
  <c r="AN13" i="13"/>
  <c r="AN12" i="13"/>
  <c r="AI14" i="13"/>
  <c r="AI53" i="13" s="1"/>
  <c r="AI13" i="13"/>
  <c r="AI12" i="13"/>
  <c r="BY133" i="2"/>
  <c r="CB14" i="13"/>
  <c r="BW14" i="13"/>
  <c r="BW133" i="2" s="1"/>
  <c r="BM13" i="13"/>
  <c r="CG12" i="13"/>
  <c r="CB10" i="13"/>
  <c r="CB130" i="2" s="1"/>
  <c r="BW12" i="13"/>
  <c r="BW10" i="13"/>
  <c r="BW130" i="2" s="1"/>
  <c r="BL12" i="13"/>
  <c r="BK12" i="13"/>
  <c r="BT11" i="13"/>
  <c r="BS11" i="13"/>
  <c r="BM10" i="13"/>
  <c r="BH10" i="13"/>
  <c r="BC10" i="13"/>
  <c r="AX10" i="13"/>
  <c r="AX52" i="13" s="1"/>
  <c r="AR10" i="13"/>
  <c r="AR130" i="2" s="1"/>
  <c r="AQ10" i="13"/>
  <c r="AQ130" i="2" s="1"/>
  <c r="AP10" i="13"/>
  <c r="AP130" i="2" s="1"/>
  <c r="AO10" i="13"/>
  <c r="AM10" i="13"/>
  <c r="AM130" i="2" s="1"/>
  <c r="AL10" i="13"/>
  <c r="AL130" i="2" s="1"/>
  <c r="AK10" i="13"/>
  <c r="AK130" i="2" s="1"/>
  <c r="AJ10" i="13"/>
  <c r="AJ130" i="2" s="1"/>
  <c r="AH10" i="13"/>
  <c r="AH130" i="2" s="1"/>
  <c r="AG10" i="13"/>
  <c r="AG130" i="2" s="1"/>
  <c r="AF10" i="13"/>
  <c r="AF130" i="2" s="1"/>
  <c r="AE10" i="13"/>
  <c r="AE130" i="2" s="1"/>
  <c r="AD10" i="13"/>
  <c r="AD52" i="13" s="1"/>
  <c r="Y10" i="13"/>
  <c r="Y52" i="13" s="1"/>
  <c r="T10" i="13"/>
  <c r="T52" i="13"/>
  <c r="CK6" i="13"/>
  <c r="CJ6" i="13"/>
  <c r="CI6" i="13"/>
  <c r="CH6" i="13"/>
  <c r="CF6" i="13"/>
  <c r="CE6" i="13"/>
  <c r="CD6" i="13"/>
  <c r="CC6" i="13"/>
  <c r="CA6" i="13"/>
  <c r="BZ6" i="13"/>
  <c r="BY6" i="13"/>
  <c r="BX6" i="13"/>
  <c r="BV6" i="13"/>
  <c r="BU6" i="13"/>
  <c r="BT6" i="13"/>
  <c r="BS6" i="13"/>
  <c r="BQ6" i="13"/>
  <c r="BP6" i="13"/>
  <c r="BO6" i="13"/>
  <c r="BN6" i="13"/>
  <c r="BL6" i="13"/>
  <c r="BK6" i="13"/>
  <c r="BJ6" i="13"/>
  <c r="BI6" i="13"/>
  <c r="BG6" i="13"/>
  <c r="BF6" i="13"/>
  <c r="BE6" i="13"/>
  <c r="BD6" i="13"/>
  <c r="BB6" i="13"/>
  <c r="BA6" i="13"/>
  <c r="AZ6" i="13"/>
  <c r="AY6" i="13"/>
  <c r="AW6" i="13"/>
  <c r="AV6" i="13"/>
  <c r="AU6" i="13"/>
  <c r="AT6" i="13"/>
  <c r="AR6" i="13"/>
  <c r="AQ6" i="13"/>
  <c r="AP6" i="13"/>
  <c r="AO6" i="13"/>
  <c r="AM6" i="13"/>
  <c r="AL6" i="13"/>
  <c r="AK6" i="13"/>
  <c r="AJ6" i="13"/>
  <c r="AH6" i="13"/>
  <c r="AG6" i="13"/>
  <c r="AF6" i="13"/>
  <c r="AE6" i="13"/>
  <c r="AC6" i="13"/>
  <c r="AB6" i="13"/>
  <c r="AA6" i="13"/>
  <c r="Z6" i="13"/>
  <c r="E6" i="13"/>
  <c r="E5" i="13"/>
  <c r="E4" i="13"/>
  <c r="CK5" i="13"/>
  <c r="CJ5" i="13"/>
  <c r="CI5" i="13"/>
  <c r="CH5" i="13"/>
  <c r="CF5" i="13"/>
  <c r="CE5" i="13"/>
  <c r="CD5" i="13"/>
  <c r="CC5" i="13"/>
  <c r="CA5" i="13"/>
  <c r="BZ5" i="13"/>
  <c r="BY5" i="13"/>
  <c r="BX5" i="13"/>
  <c r="BV5" i="13"/>
  <c r="BU5" i="13"/>
  <c r="BT5" i="13"/>
  <c r="BS5" i="13"/>
  <c r="BQ5" i="13"/>
  <c r="BP5" i="13"/>
  <c r="BO5" i="13"/>
  <c r="BN5" i="13"/>
  <c r="BL5" i="13"/>
  <c r="BK5" i="13"/>
  <c r="BJ5" i="13"/>
  <c r="BI5" i="13"/>
  <c r="BG5" i="13"/>
  <c r="BF5" i="13"/>
  <c r="BE5" i="13"/>
  <c r="BD5" i="13"/>
  <c r="BB5" i="13"/>
  <c r="BA5" i="13"/>
  <c r="AZ5" i="13"/>
  <c r="AY5" i="13"/>
  <c r="AW5" i="13"/>
  <c r="AV5" i="13"/>
  <c r="AU5" i="13"/>
  <c r="AT5" i="13"/>
  <c r="AR5" i="13"/>
  <c r="AQ5" i="13"/>
  <c r="AP5" i="13"/>
  <c r="AO5" i="13"/>
  <c r="AM5" i="13"/>
  <c r="AL5" i="13"/>
  <c r="AK5" i="13"/>
  <c r="AJ5" i="13"/>
  <c r="AH5" i="13"/>
  <c r="AG5" i="13"/>
  <c r="AF5" i="13"/>
  <c r="AE5" i="13"/>
  <c r="AC5" i="13"/>
  <c r="AB5" i="13"/>
  <c r="AA5" i="13"/>
  <c r="Z5" i="13"/>
  <c r="X5" i="13"/>
  <c r="W5" i="13"/>
  <c r="V5" i="13"/>
  <c r="U5" i="13"/>
  <c r="S5" i="13"/>
  <c r="R5" i="13"/>
  <c r="Q5" i="13"/>
  <c r="P5" i="13"/>
  <c r="N5" i="13"/>
  <c r="M5" i="13"/>
  <c r="L5" i="13"/>
  <c r="K5" i="13"/>
  <c r="J5" i="13"/>
  <c r="I5" i="13"/>
  <c r="H5" i="13"/>
  <c r="G5" i="13"/>
  <c r="F5" i="13"/>
  <c r="CL4" i="13"/>
  <c r="CH4" i="13"/>
  <c r="CG4" i="13"/>
  <c r="CC4" i="13"/>
  <c r="CB4" i="13"/>
  <c r="BX4" i="13"/>
  <c r="BW4" i="13"/>
  <c r="BS4" i="13"/>
  <c r="BR4" i="13"/>
  <c r="BN4" i="13"/>
  <c r="BM4" i="13"/>
  <c r="BI4" i="13"/>
  <c r="BH4" i="13"/>
  <c r="BD4" i="13"/>
  <c r="BC4" i="13"/>
  <c r="AY4" i="13"/>
  <c r="AX4" i="13"/>
  <c r="AT4" i="13"/>
  <c r="AS4" i="13"/>
  <c r="AO4" i="13"/>
  <c r="AN4" i="13"/>
  <c r="AJ4" i="13"/>
  <c r="AI4" i="13"/>
  <c r="AE4" i="13"/>
  <c r="AD4" i="13"/>
  <c r="Z4" i="13"/>
  <c r="Y4" i="13"/>
  <c r="U4" i="13"/>
  <c r="T4" i="13"/>
  <c r="P4" i="13"/>
  <c r="O4" i="13"/>
  <c r="K4" i="13"/>
  <c r="J4" i="13"/>
  <c r="I4" i="13"/>
  <c r="H4" i="13"/>
  <c r="G4" i="13"/>
  <c r="F4" i="13"/>
  <c r="BR51" i="12"/>
  <c r="BR49" i="12"/>
  <c r="BR48" i="12"/>
  <c r="BR47" i="12"/>
  <c r="BM51" i="12"/>
  <c r="BM49" i="12"/>
  <c r="BM48" i="12"/>
  <c r="BM47" i="12"/>
  <c r="BH51" i="12"/>
  <c r="BH49" i="12"/>
  <c r="BH48" i="12"/>
  <c r="BH47" i="12"/>
  <c r="BC51" i="12"/>
  <c r="BC49" i="12"/>
  <c r="BC48" i="12"/>
  <c r="BC47" i="12"/>
  <c r="AX51" i="12"/>
  <c r="AX49" i="12"/>
  <c r="AX48" i="12"/>
  <c r="AX47" i="12"/>
  <c r="AS51" i="12"/>
  <c r="AS49" i="12"/>
  <c r="AS48" i="12"/>
  <c r="AS47" i="12"/>
  <c r="AN51" i="12"/>
  <c r="AN49" i="12"/>
  <c r="AN48" i="12"/>
  <c r="AN47" i="12"/>
  <c r="AI51" i="12"/>
  <c r="AI49" i="12"/>
  <c r="AI48" i="12"/>
  <c r="AI47" i="12"/>
  <c r="AD51" i="12"/>
  <c r="AD49" i="12"/>
  <c r="AD48" i="12"/>
  <c r="AD47" i="12"/>
  <c r="Y51" i="12"/>
  <c r="Y49" i="12"/>
  <c r="Y48" i="12"/>
  <c r="Y47" i="12"/>
  <c r="T51" i="12"/>
  <c r="T49" i="12"/>
  <c r="T48" i="12"/>
  <c r="T47" i="12"/>
  <c r="BF47" i="12"/>
  <c r="BF46" i="12" s="1"/>
  <c r="BF50" i="12" s="1"/>
  <c r="BF52" i="12" s="1"/>
  <c r="BW49" i="12"/>
  <c r="BW48" i="12"/>
  <c r="BU50" i="12"/>
  <c r="BU52" i="12" s="1"/>
  <c r="BT46" i="12"/>
  <c r="BT50" i="12" s="1"/>
  <c r="BT52" i="12" s="1"/>
  <c r="BS46" i="12"/>
  <c r="BS50" i="12" s="1"/>
  <c r="BS52" i="12" s="1"/>
  <c r="BQ46" i="12"/>
  <c r="BP46" i="12"/>
  <c r="BP50" i="12" s="1"/>
  <c r="BP52" i="12" s="1"/>
  <c r="BO46" i="12"/>
  <c r="BO50" i="12" s="1"/>
  <c r="BO52" i="12" s="1"/>
  <c r="BN46" i="12"/>
  <c r="BN50" i="12" s="1"/>
  <c r="BN52" i="12" s="1"/>
  <c r="BL46" i="12"/>
  <c r="BK46" i="12"/>
  <c r="BK50" i="12" s="1"/>
  <c r="BK52" i="12" s="1"/>
  <c r="BJ46" i="12"/>
  <c r="BJ50" i="12" s="1"/>
  <c r="BJ52" i="12" s="1"/>
  <c r="BI46" i="12"/>
  <c r="BI50" i="12" s="1"/>
  <c r="BI52" i="12" s="1"/>
  <c r="BG46" i="12"/>
  <c r="BE46" i="12"/>
  <c r="BE50" i="12" s="1"/>
  <c r="BE52" i="12" s="1"/>
  <c r="BD46" i="12"/>
  <c r="BD50" i="12" s="1"/>
  <c r="BD52" i="12" s="1"/>
  <c r="BB46" i="12"/>
  <c r="BA46" i="12"/>
  <c r="BA50" i="12" s="1"/>
  <c r="BA52" i="12" s="1"/>
  <c r="AZ46" i="12"/>
  <c r="AZ50" i="12" s="1"/>
  <c r="AZ52" i="12" s="1"/>
  <c r="AY46" i="12"/>
  <c r="AY50" i="12" s="1"/>
  <c r="AY52" i="12" s="1"/>
  <c r="AW46" i="12"/>
  <c r="AV46" i="12"/>
  <c r="AV50" i="12"/>
  <c r="AV52" i="12" s="1"/>
  <c r="AU46" i="12"/>
  <c r="AU50" i="12" s="1"/>
  <c r="AU52" i="12" s="1"/>
  <c r="AT46" i="12"/>
  <c r="AT50" i="12" s="1"/>
  <c r="AT52" i="12" s="1"/>
  <c r="AR46" i="12"/>
  <c r="AQ46" i="12"/>
  <c r="AQ50" i="12" s="1"/>
  <c r="AQ52" i="12" s="1"/>
  <c r="AP46" i="12"/>
  <c r="AP50" i="12" s="1"/>
  <c r="AP52" i="12" s="1"/>
  <c r="AO46" i="12"/>
  <c r="AO50" i="12" s="1"/>
  <c r="AO52" i="12" s="1"/>
  <c r="AM46" i="12"/>
  <c r="AL46" i="12"/>
  <c r="AL50" i="12"/>
  <c r="AL52" i="12" s="1"/>
  <c r="AK46" i="12"/>
  <c r="AK50" i="12" s="1"/>
  <c r="AK52" i="12" s="1"/>
  <c r="AJ46" i="12"/>
  <c r="AJ50" i="12"/>
  <c r="AJ52" i="12" s="1"/>
  <c r="AH46" i="12"/>
  <c r="AH50" i="12" s="1"/>
  <c r="AC46" i="12"/>
  <c r="AD46" i="12" s="1"/>
  <c r="X46" i="12"/>
  <c r="X50" i="12" s="1"/>
  <c r="S46" i="12"/>
  <c r="T46" i="12" s="1"/>
  <c r="BR43" i="12"/>
  <c r="BR42" i="12"/>
  <c r="BM43" i="12"/>
  <c r="BM42" i="12"/>
  <c r="BH43" i="12"/>
  <c r="BH42" i="12"/>
  <c r="BC43" i="12"/>
  <c r="BC42" i="12"/>
  <c r="AX43" i="12"/>
  <c r="AX42" i="12"/>
  <c r="AS43" i="12"/>
  <c r="AS42" i="12"/>
  <c r="AN43" i="12"/>
  <c r="AN42" i="12"/>
  <c r="AI43" i="12"/>
  <c r="AI42" i="12"/>
  <c r="AI41" i="12"/>
  <c r="AD43" i="12"/>
  <c r="AD42" i="12"/>
  <c r="Y43" i="12"/>
  <c r="Y42" i="12"/>
  <c r="T43" i="12"/>
  <c r="T42" i="12"/>
  <c r="AH41" i="12"/>
  <c r="AH60" i="12"/>
  <c r="AI60" i="12" s="1"/>
  <c r="AC41" i="12"/>
  <c r="AC60" i="12" s="1"/>
  <c r="AD60" i="12" s="1"/>
  <c r="X41" i="12"/>
  <c r="X60" i="12" s="1"/>
  <c r="Y60" i="12" s="1"/>
  <c r="S41" i="12"/>
  <c r="S60" i="12" s="1"/>
  <c r="T60" i="12" s="1"/>
  <c r="BL40" i="12"/>
  <c r="AQ41" i="12"/>
  <c r="AQ60" i="12" s="1"/>
  <c r="AP41" i="12"/>
  <c r="AP60" i="12" s="1"/>
  <c r="AO41" i="12"/>
  <c r="AO60" i="12"/>
  <c r="AM41" i="12"/>
  <c r="AL41" i="12"/>
  <c r="AL60" i="12" s="1"/>
  <c r="AK41" i="12"/>
  <c r="AK60" i="12" s="1"/>
  <c r="AJ41" i="12"/>
  <c r="AJ60" i="12" s="1"/>
  <c r="BR36" i="12"/>
  <c r="BR35" i="12"/>
  <c r="BR34" i="12"/>
  <c r="BR33" i="12"/>
  <c r="BR32" i="12"/>
  <c r="BM36" i="12"/>
  <c r="BM35" i="12"/>
  <c r="BM34" i="12"/>
  <c r="BM33" i="12"/>
  <c r="BM32" i="12"/>
  <c r="BH36" i="12"/>
  <c r="BH35" i="12"/>
  <c r="BH34" i="12"/>
  <c r="BH33" i="12"/>
  <c r="BH32" i="12"/>
  <c r="BC36" i="12"/>
  <c r="BC35" i="12"/>
  <c r="BC34" i="12"/>
  <c r="BC33" i="12"/>
  <c r="BC32" i="12"/>
  <c r="AX36" i="12"/>
  <c r="AX35" i="12"/>
  <c r="AX34" i="12"/>
  <c r="AX33" i="12"/>
  <c r="AX32" i="12"/>
  <c r="AS35" i="12"/>
  <c r="AS34" i="12"/>
  <c r="AS33" i="12"/>
  <c r="AS32" i="12"/>
  <c r="AN35" i="12"/>
  <c r="AN34" i="12"/>
  <c r="AN33" i="12"/>
  <c r="AN32" i="12"/>
  <c r="AI35" i="12"/>
  <c r="AI34" i="12"/>
  <c r="AI33" i="12"/>
  <c r="AI32" i="12"/>
  <c r="AD35" i="12"/>
  <c r="AD34" i="12"/>
  <c r="AD33" i="12"/>
  <c r="AD32" i="12"/>
  <c r="Y35" i="12"/>
  <c r="Y34" i="12"/>
  <c r="Y33" i="12"/>
  <c r="Y32" i="12"/>
  <c r="T35" i="12"/>
  <c r="T34" i="12"/>
  <c r="T33" i="12"/>
  <c r="T32" i="12"/>
  <c r="BW32" i="12"/>
  <c r="CB32" i="12"/>
  <c r="BW31" i="12"/>
  <c r="BT31" i="12"/>
  <c r="BS31" i="12"/>
  <c r="BQ31" i="12"/>
  <c r="BP31" i="12"/>
  <c r="BP37" i="12" s="1"/>
  <c r="BO31" i="12"/>
  <c r="BN31" i="12"/>
  <c r="BN37" i="12" s="1"/>
  <c r="BL31" i="12"/>
  <c r="BM31" i="12" s="1"/>
  <c r="BK31" i="12"/>
  <c r="BJ31" i="12"/>
  <c r="BI31" i="12"/>
  <c r="BI37" i="12" s="1"/>
  <c r="BG31" i="12"/>
  <c r="BF31" i="12"/>
  <c r="BE31" i="12"/>
  <c r="BD31" i="12"/>
  <c r="BB31" i="12"/>
  <c r="BC31" i="12" s="1"/>
  <c r="BA31" i="12"/>
  <c r="AZ31" i="12"/>
  <c r="AZ37" i="12" s="1"/>
  <c r="AY31" i="12"/>
  <c r="AY37" i="12" s="1"/>
  <c r="AY38" i="12" s="1"/>
  <c r="AW31" i="12"/>
  <c r="AV31" i="12"/>
  <c r="AU31" i="12"/>
  <c r="AU37" i="12" s="1"/>
  <c r="AU38" i="12" s="1"/>
  <c r="AT31" i="12"/>
  <c r="AT37" i="12" s="1"/>
  <c r="AT38" i="12" s="1"/>
  <c r="AR31" i="12"/>
  <c r="AR37" i="12" s="1"/>
  <c r="AQ31" i="12"/>
  <c r="AP31" i="12"/>
  <c r="AP37" i="12" s="1"/>
  <c r="AO31" i="12"/>
  <c r="AM31" i="12"/>
  <c r="AL31" i="12"/>
  <c r="AL37" i="12" s="1"/>
  <c r="AK31" i="12"/>
  <c r="AK37" i="12" s="1"/>
  <c r="AJ31" i="12"/>
  <c r="AJ37" i="12" s="1"/>
  <c r="AH31" i="12"/>
  <c r="AH37" i="12" s="1"/>
  <c r="AI37" i="12" s="1"/>
  <c r="X31" i="12"/>
  <c r="X37" i="12" s="1"/>
  <c r="Y37" i="12" s="1"/>
  <c r="S31" i="12"/>
  <c r="S37" i="12" s="1"/>
  <c r="BR25" i="12"/>
  <c r="BR24" i="12"/>
  <c r="BR23" i="12"/>
  <c r="BR22" i="12"/>
  <c r="BR21" i="12"/>
  <c r="BR19" i="12"/>
  <c r="BR18" i="12"/>
  <c r="BM25" i="12"/>
  <c r="BM24" i="12"/>
  <c r="BM23" i="12"/>
  <c r="BM22" i="12"/>
  <c r="BM21" i="12"/>
  <c r="BM19" i="12"/>
  <c r="BM20" i="12" s="1"/>
  <c r="BM18" i="12"/>
  <c r="BH25" i="12"/>
  <c r="BH24" i="12"/>
  <c r="BH23" i="12"/>
  <c r="BH22" i="12"/>
  <c r="BH21" i="12"/>
  <c r="BH19" i="12"/>
  <c r="BH18" i="12"/>
  <c r="BC25" i="12"/>
  <c r="BC24" i="12"/>
  <c r="BC23" i="12"/>
  <c r="BC22" i="12"/>
  <c r="BC21" i="12"/>
  <c r="BC19" i="12"/>
  <c r="BC18" i="12"/>
  <c r="AX25" i="12"/>
  <c r="AX24" i="12"/>
  <c r="AX23" i="12"/>
  <c r="AX22" i="12"/>
  <c r="AX21" i="12"/>
  <c r="AX19" i="12"/>
  <c r="AX18" i="12"/>
  <c r="AS25" i="12"/>
  <c r="AS24" i="12"/>
  <c r="AS23" i="12"/>
  <c r="AS22" i="12"/>
  <c r="AS21" i="12"/>
  <c r="AS19" i="12"/>
  <c r="AS18" i="12"/>
  <c r="AN25" i="12"/>
  <c r="AN24" i="12"/>
  <c r="AN23" i="12"/>
  <c r="AN22" i="12"/>
  <c r="AN21" i="12"/>
  <c r="AN19" i="12"/>
  <c r="AN18" i="12"/>
  <c r="AI25" i="12"/>
  <c r="AI24" i="12"/>
  <c r="AI23" i="12"/>
  <c r="AI22" i="12"/>
  <c r="AI21" i="12"/>
  <c r="AI19" i="12"/>
  <c r="AI18" i="12"/>
  <c r="AI20" i="12" s="1"/>
  <c r="AD25" i="12"/>
  <c r="AD24" i="12"/>
  <c r="AD23" i="12"/>
  <c r="AD22" i="12"/>
  <c r="AD21" i="12"/>
  <c r="AD20" i="12"/>
  <c r="Y25" i="12"/>
  <c r="Y24" i="12"/>
  <c r="Y23" i="12"/>
  <c r="Y22" i="12"/>
  <c r="Y21" i="12"/>
  <c r="Y20" i="12"/>
  <c r="T25" i="12"/>
  <c r="T24" i="12"/>
  <c r="T23" i="12"/>
  <c r="T22" i="12"/>
  <c r="T21" i="12"/>
  <c r="T20" i="12"/>
  <c r="BW25" i="12"/>
  <c r="CB25" i="12"/>
  <c r="CG25" i="12" s="1"/>
  <c r="BW24" i="12"/>
  <c r="BU20" i="12"/>
  <c r="BT20" i="12"/>
  <c r="BS20" i="12"/>
  <c r="BQ20" i="12"/>
  <c r="BP20" i="12"/>
  <c r="BO20" i="12"/>
  <c r="BN20" i="12"/>
  <c r="BL20" i="12"/>
  <c r="BK20" i="12"/>
  <c r="BJ20" i="12"/>
  <c r="BI20" i="12"/>
  <c r="BG20" i="12"/>
  <c r="BF20" i="12"/>
  <c r="BE20" i="12"/>
  <c r="BD20" i="12"/>
  <c r="BB20" i="12"/>
  <c r="BA20" i="12"/>
  <c r="AZ20" i="12"/>
  <c r="AY20" i="12"/>
  <c r="AW20" i="12"/>
  <c r="AV20" i="12"/>
  <c r="AU20" i="12"/>
  <c r="AT20" i="12"/>
  <c r="AR20" i="12"/>
  <c r="AQ20" i="12"/>
  <c r="AP20" i="12"/>
  <c r="AO20" i="12"/>
  <c r="AM20" i="12"/>
  <c r="AL20" i="12"/>
  <c r="AK20" i="12"/>
  <c r="AJ20" i="12"/>
  <c r="AH20" i="12"/>
  <c r="BW23" i="12"/>
  <c r="CB22" i="12"/>
  <c r="CG22" i="12" s="1"/>
  <c r="BW22" i="12"/>
  <c r="BW21" i="12"/>
  <c r="CB21" i="12"/>
  <c r="BW19" i="12"/>
  <c r="CB19" i="12"/>
  <c r="BR14" i="12"/>
  <c r="BR13" i="12"/>
  <c r="BR12" i="12"/>
  <c r="BR11" i="12"/>
  <c r="BR10" i="12"/>
  <c r="BM14" i="12"/>
  <c r="BM13" i="12"/>
  <c r="BM12" i="12"/>
  <c r="BM11" i="12"/>
  <c r="BM10" i="12"/>
  <c r="BH14" i="12"/>
  <c r="BH13" i="12"/>
  <c r="BH12" i="12"/>
  <c r="BH11" i="12"/>
  <c r="BH10" i="12"/>
  <c r="BC14" i="12"/>
  <c r="BC13" i="12"/>
  <c r="BC12" i="12"/>
  <c r="BC11" i="12"/>
  <c r="BC10" i="12"/>
  <c r="AX14" i="12"/>
  <c r="AX13" i="12"/>
  <c r="AX12" i="12"/>
  <c r="AX11" i="12"/>
  <c r="AX10" i="12"/>
  <c r="AS13" i="12"/>
  <c r="AS12" i="12"/>
  <c r="AS11" i="12"/>
  <c r="AS10" i="12"/>
  <c r="AN13" i="12"/>
  <c r="AN12" i="12"/>
  <c r="AN11" i="12"/>
  <c r="AN10" i="12"/>
  <c r="AI13" i="12"/>
  <c r="AI12" i="12"/>
  <c r="AI11" i="12"/>
  <c r="AI10" i="12"/>
  <c r="AD13" i="12"/>
  <c r="AD12" i="12"/>
  <c r="AD11" i="12"/>
  <c r="AD10" i="12"/>
  <c r="Y13" i="12"/>
  <c r="Y12" i="12"/>
  <c r="Y11" i="12"/>
  <c r="Y10" i="12"/>
  <c r="T13" i="12"/>
  <c r="T12" i="12"/>
  <c r="T11" i="12"/>
  <c r="T10" i="12"/>
  <c r="BW12" i="12"/>
  <c r="CB12" i="12"/>
  <c r="CG12" i="12" s="1"/>
  <c r="BW11" i="12"/>
  <c r="CB11" i="12"/>
  <c r="CK6" i="12"/>
  <c r="CJ6" i="12"/>
  <c r="CI6" i="12"/>
  <c r="CH6" i="12"/>
  <c r="CF6" i="12"/>
  <c r="CE6" i="12"/>
  <c r="CD6" i="12"/>
  <c r="CC6" i="12"/>
  <c r="CA6" i="12"/>
  <c r="BZ6" i="12"/>
  <c r="BY6" i="12"/>
  <c r="BX6" i="12"/>
  <c r="BV6" i="12"/>
  <c r="BU6" i="12"/>
  <c r="BT6" i="12"/>
  <c r="BS6" i="12"/>
  <c r="BQ6" i="12"/>
  <c r="BP6" i="12"/>
  <c r="BO6" i="12"/>
  <c r="BN6" i="12"/>
  <c r="BL6" i="12"/>
  <c r="BK6" i="12"/>
  <c r="BJ6" i="12"/>
  <c r="BI6" i="12"/>
  <c r="BG6" i="12"/>
  <c r="BF6" i="12"/>
  <c r="BE6" i="12"/>
  <c r="BD6" i="12"/>
  <c r="BB6" i="12"/>
  <c r="BA6" i="12"/>
  <c r="AZ6" i="12"/>
  <c r="AY6" i="12"/>
  <c r="AW6" i="12"/>
  <c r="AV6" i="12"/>
  <c r="AU6" i="12"/>
  <c r="AT6" i="12"/>
  <c r="AR6" i="12"/>
  <c r="AQ6" i="12"/>
  <c r="AP6" i="12"/>
  <c r="AO6" i="12"/>
  <c r="AM6" i="12"/>
  <c r="AL6" i="12"/>
  <c r="AK6" i="12"/>
  <c r="AJ6" i="12"/>
  <c r="AH6" i="12"/>
  <c r="AG6" i="12"/>
  <c r="AF6" i="12"/>
  <c r="AE6" i="12"/>
  <c r="AC6" i="12"/>
  <c r="AB6" i="12"/>
  <c r="AA6" i="12"/>
  <c r="Z6" i="12"/>
  <c r="X6" i="12"/>
  <c r="W6" i="12"/>
  <c r="V6" i="12"/>
  <c r="U6" i="12"/>
  <c r="S6" i="12"/>
  <c r="S5" i="12"/>
  <c r="E6" i="12"/>
  <c r="E5" i="12"/>
  <c r="E4" i="12"/>
  <c r="CK5" i="12"/>
  <c r="CJ5" i="12"/>
  <c r="CI5" i="12"/>
  <c r="CH5" i="12"/>
  <c r="CF5" i="12"/>
  <c r="CE5" i="12"/>
  <c r="CD5" i="12"/>
  <c r="CC5" i="12"/>
  <c r="CA5" i="12"/>
  <c r="BZ5" i="12"/>
  <c r="BY5" i="12"/>
  <c r="BX5" i="12"/>
  <c r="BV5" i="12"/>
  <c r="BU5" i="12"/>
  <c r="BT5" i="12"/>
  <c r="BS5" i="12"/>
  <c r="BQ5" i="12"/>
  <c r="BP5" i="12"/>
  <c r="BO5" i="12"/>
  <c r="BN5" i="12"/>
  <c r="BL5" i="12"/>
  <c r="BK5" i="12"/>
  <c r="BJ5" i="12"/>
  <c r="BI5" i="12"/>
  <c r="BG5" i="12"/>
  <c r="BF5" i="12"/>
  <c r="BE5" i="12"/>
  <c r="BD5" i="12"/>
  <c r="BB5" i="12"/>
  <c r="BA5" i="12"/>
  <c r="AZ5" i="12"/>
  <c r="AY5" i="12"/>
  <c r="AW5" i="12"/>
  <c r="AV5" i="12"/>
  <c r="AU5" i="12"/>
  <c r="AT5" i="12"/>
  <c r="AR5" i="12"/>
  <c r="AQ5" i="12"/>
  <c r="AP5" i="12"/>
  <c r="AO5" i="12"/>
  <c r="AM5" i="12"/>
  <c r="AL5" i="12"/>
  <c r="AK5" i="12"/>
  <c r="AJ5" i="12"/>
  <c r="AH5" i="12"/>
  <c r="AG5" i="12"/>
  <c r="AF5" i="12"/>
  <c r="AE5" i="12"/>
  <c r="AC5" i="12"/>
  <c r="AB5" i="12"/>
  <c r="AA5" i="12"/>
  <c r="Z5" i="12"/>
  <c r="X5" i="12"/>
  <c r="W5" i="12"/>
  <c r="V5" i="12"/>
  <c r="U5" i="12"/>
  <c r="R5" i="12"/>
  <c r="Q5" i="12"/>
  <c r="P5" i="12"/>
  <c r="N5" i="12"/>
  <c r="M5" i="12"/>
  <c r="L5" i="12"/>
  <c r="K5" i="12"/>
  <c r="J5" i="12"/>
  <c r="I5" i="12"/>
  <c r="H5" i="12"/>
  <c r="G5" i="12"/>
  <c r="F5" i="12"/>
  <c r="CL4" i="12"/>
  <c r="CH4" i="12"/>
  <c r="CG4" i="12"/>
  <c r="CC4" i="12"/>
  <c r="CB4" i="12"/>
  <c r="BX4" i="12"/>
  <c r="BW4" i="12"/>
  <c r="BS4" i="12"/>
  <c r="BR4" i="12"/>
  <c r="BN4" i="12"/>
  <c r="BM4" i="12"/>
  <c r="BI4" i="12"/>
  <c r="BH4" i="12"/>
  <c r="BD4" i="12"/>
  <c r="BC4" i="12"/>
  <c r="AY4" i="12"/>
  <c r="AX4" i="12"/>
  <c r="AT4" i="12"/>
  <c r="AS4" i="12"/>
  <c r="AO4" i="12"/>
  <c r="AN4" i="12"/>
  <c r="AJ4" i="12"/>
  <c r="AI4" i="12"/>
  <c r="AE4" i="12"/>
  <c r="AD4" i="12"/>
  <c r="Z4" i="12"/>
  <c r="Y4" i="12"/>
  <c r="U4" i="12"/>
  <c r="T4" i="12"/>
  <c r="P4" i="12"/>
  <c r="O4" i="12"/>
  <c r="K4" i="12"/>
  <c r="J4" i="12"/>
  <c r="I4" i="12"/>
  <c r="H4" i="12"/>
  <c r="G4" i="12"/>
  <c r="F4" i="12"/>
  <c r="BM166" i="2"/>
  <c r="BH166" i="2"/>
  <c r="BC166" i="2"/>
  <c r="AX166" i="2"/>
  <c r="AS166" i="2"/>
  <c r="AN166" i="2"/>
  <c r="AI166" i="2"/>
  <c r="BH159" i="2"/>
  <c r="BH158" i="2"/>
  <c r="BH156" i="2"/>
  <c r="BH155" i="2"/>
  <c r="BH154" i="2"/>
  <c r="BM156" i="2"/>
  <c r="BL156" i="2"/>
  <c r="BK156" i="2"/>
  <c r="BM154" i="2"/>
  <c r="BW150" i="2"/>
  <c r="BR150" i="2"/>
  <c r="E149" i="2"/>
  <c r="E148" i="2"/>
  <c r="E146" i="2"/>
  <c r="E145" i="2"/>
  <c r="E144" i="2"/>
  <c r="CD149" i="2"/>
  <c r="CE171" i="2"/>
  <c r="CD148" i="2"/>
  <c r="CD171" i="2" s="1"/>
  <c r="CE170" i="2"/>
  <c r="CD146" i="2"/>
  <c r="CD170" i="2" s="1"/>
  <c r="BY149" i="2"/>
  <c r="BY148" i="2"/>
  <c r="BY146" i="2"/>
  <c r="BT149" i="2"/>
  <c r="BS149" i="2"/>
  <c r="BT148" i="2"/>
  <c r="BS148" i="2"/>
  <c r="BT146" i="2"/>
  <c r="BS146" i="2"/>
  <c r="BT144" i="2"/>
  <c r="BS144" i="2"/>
  <c r="BQ149" i="2"/>
  <c r="BP149" i="2"/>
  <c r="BO149" i="2"/>
  <c r="BN149" i="2"/>
  <c r="BQ148" i="2"/>
  <c r="BP148" i="2"/>
  <c r="BO148" i="2"/>
  <c r="BN148" i="2"/>
  <c r="BQ146" i="2"/>
  <c r="BP146" i="2"/>
  <c r="BO146" i="2"/>
  <c r="BN146" i="2"/>
  <c r="BQ144" i="2"/>
  <c r="BP144" i="2"/>
  <c r="BO144" i="2"/>
  <c r="BN144" i="2"/>
  <c r="BR137" i="2"/>
  <c r="BM137" i="2"/>
  <c r="BM133" i="2"/>
  <c r="Y133" i="2"/>
  <c r="T133" i="2"/>
  <c r="BT133" i="2"/>
  <c r="BT118" i="2" s="1"/>
  <c r="BS133" i="2"/>
  <c r="BS118" i="2" s="1"/>
  <c r="BS169" i="2" s="1"/>
  <c r="BQ133" i="2"/>
  <c r="BQ118" i="2" s="1"/>
  <c r="BQ169" i="2" s="1"/>
  <c r="BP133" i="2"/>
  <c r="BO133" i="2"/>
  <c r="BO197" i="34" s="1"/>
  <c r="BN133" i="2"/>
  <c r="BL133" i="2"/>
  <c r="BL157" i="2" s="1"/>
  <c r="BK133" i="2"/>
  <c r="BK157" i="2" s="1"/>
  <c r="BJ133" i="2"/>
  <c r="BJ157" i="2" s="1"/>
  <c r="BI133" i="2"/>
  <c r="BI157" i="2" s="1"/>
  <c r="BG133" i="2"/>
  <c r="BG157" i="2" s="1"/>
  <c r="BF133" i="2"/>
  <c r="BF157" i="2" s="1"/>
  <c r="BE133" i="2"/>
  <c r="BE157" i="2" s="1"/>
  <c r="BD133" i="2"/>
  <c r="BD157" i="2" s="1"/>
  <c r="BB133" i="2"/>
  <c r="BA133" i="2"/>
  <c r="AZ133" i="2"/>
  <c r="AY133" i="2"/>
  <c r="AW133" i="2"/>
  <c r="AV133" i="2"/>
  <c r="AU133" i="2"/>
  <c r="AT133" i="2"/>
  <c r="AR133" i="2"/>
  <c r="AQ133" i="2"/>
  <c r="AP133" i="2"/>
  <c r="AO133" i="2"/>
  <c r="AM133" i="2"/>
  <c r="AL133" i="2"/>
  <c r="AK133" i="2"/>
  <c r="AJ133" i="2"/>
  <c r="AH133" i="2"/>
  <c r="AG133" i="2"/>
  <c r="AF133" i="2"/>
  <c r="AE133" i="2"/>
  <c r="AD133" i="2"/>
  <c r="BY179" i="2"/>
  <c r="BS130" i="2"/>
  <c r="BQ130" i="2"/>
  <c r="BP130" i="2"/>
  <c r="BO130" i="2"/>
  <c r="BN130" i="2"/>
  <c r="BL130" i="2"/>
  <c r="BK130" i="2"/>
  <c r="BJ130" i="2"/>
  <c r="BI130" i="2"/>
  <c r="BG130" i="2"/>
  <c r="BF130" i="2"/>
  <c r="BE130" i="2"/>
  <c r="BD130" i="2"/>
  <c r="BC130" i="2"/>
  <c r="BB130" i="2"/>
  <c r="BA130" i="2"/>
  <c r="AZ130" i="2"/>
  <c r="AY130" i="2"/>
  <c r="AX130" i="2"/>
  <c r="AW130" i="2"/>
  <c r="AV130" i="2"/>
  <c r="AU130" i="2"/>
  <c r="AT130" i="2"/>
  <c r="E129" i="2"/>
  <c r="E128" i="2"/>
  <c r="CA129" i="2"/>
  <c r="BY129" i="2"/>
  <c r="BS129" i="2"/>
  <c r="BQ129" i="2"/>
  <c r="BP129" i="2"/>
  <c r="BO129" i="2"/>
  <c r="BN129" i="2"/>
  <c r="CA128" i="2"/>
  <c r="BS128" i="2"/>
  <c r="BQ128" i="2"/>
  <c r="BP128" i="2"/>
  <c r="BO128" i="2"/>
  <c r="BN128" i="2"/>
  <c r="CG121" i="2"/>
  <c r="CG117" i="2"/>
  <c r="CB121" i="2"/>
  <c r="CB120" i="2"/>
  <c r="CB119" i="2"/>
  <c r="BW121" i="2"/>
  <c r="BW120" i="2"/>
  <c r="BR121" i="2"/>
  <c r="BR120" i="2"/>
  <c r="BR119" i="2"/>
  <c r="BR117" i="2"/>
  <c r="CL103" i="2"/>
  <c r="CG103" i="2"/>
  <c r="CB103" i="2"/>
  <c r="BW103" i="2"/>
  <c r="BR103" i="2"/>
  <c r="BM103" i="2"/>
  <c r="BH103" i="2"/>
  <c r="AV102" i="2"/>
  <c r="CK102" i="2"/>
  <c r="CJ102" i="2"/>
  <c r="CI102" i="2"/>
  <c r="CH102" i="2"/>
  <c r="CF102" i="2"/>
  <c r="CE102" i="2"/>
  <c r="CD102" i="2"/>
  <c r="CC102" i="2"/>
  <c r="CA102" i="2"/>
  <c r="BZ102" i="2"/>
  <c r="BY102" i="2"/>
  <c r="BX102" i="2"/>
  <c r="BV102" i="2"/>
  <c r="BU102" i="2"/>
  <c r="BT102" i="2"/>
  <c r="BS102" i="2"/>
  <c r="BQ102" i="2"/>
  <c r="BP102" i="2"/>
  <c r="BO102" i="2"/>
  <c r="BN102" i="2"/>
  <c r="BL102" i="2"/>
  <c r="BK102" i="2"/>
  <c r="BJ102" i="2"/>
  <c r="BI102" i="2"/>
  <c r="BG102" i="2"/>
  <c r="BF102" i="2"/>
  <c r="BE102" i="2"/>
  <c r="BD102" i="2"/>
  <c r="BA102" i="2"/>
  <c r="BA99" i="2"/>
  <c r="BH85" i="2"/>
  <c r="BM85" i="2"/>
  <c r="BC85" i="2"/>
  <c r="AX85" i="2"/>
  <c r="CL78" i="2"/>
  <c r="CL77" i="2"/>
  <c r="CG78" i="2"/>
  <c r="CG77" i="2"/>
  <c r="CB78" i="2"/>
  <c r="CB77" i="2"/>
  <c r="BW78" i="2"/>
  <c r="BW77" i="2"/>
  <c r="BR78" i="2"/>
  <c r="BR77" i="2"/>
  <c r="BR76" i="2"/>
  <c r="BR55" i="13" s="1"/>
  <c r="BH78" i="2"/>
  <c r="BH77" i="2"/>
  <c r="BH76" i="2"/>
  <c r="BH55" i="13" s="1"/>
  <c r="BB78" i="2"/>
  <c r="BB102" i="2" s="1"/>
  <c r="AX78" i="2"/>
  <c r="AX77" i="2"/>
  <c r="AX76" i="2"/>
  <c r="AX55" i="13" s="1"/>
  <c r="BC77" i="2"/>
  <c r="BC76" i="2"/>
  <c r="BC55" i="13" s="1"/>
  <c r="AS77" i="2"/>
  <c r="AS76" i="2"/>
  <c r="AS55" i="13" s="1"/>
  <c r="AN77" i="2"/>
  <c r="AN76" i="2"/>
  <c r="AN55" i="13" s="1"/>
  <c r="AI77" i="2"/>
  <c r="AI76" i="2"/>
  <c r="AI55" i="13" s="1"/>
  <c r="CL76" i="2"/>
  <c r="CL55" i="13" s="1"/>
  <c r="CG76" i="2"/>
  <c r="CG55" i="13" s="1"/>
  <c r="BW76" i="2"/>
  <c r="BW55" i="13" s="1"/>
  <c r="BD72" i="2"/>
  <c r="AZ72" i="2"/>
  <c r="AY72" i="2"/>
  <c r="AR72" i="2"/>
  <c r="AM72" i="2"/>
  <c r="BU71" i="2"/>
  <c r="BU72" i="2" s="1"/>
  <c r="BT71" i="2"/>
  <c r="BT72" i="2" s="1"/>
  <c r="BS71" i="2"/>
  <c r="BS72" i="2" s="1"/>
  <c r="BL71" i="2"/>
  <c r="BL72" i="2" s="1"/>
  <c r="BK71" i="2"/>
  <c r="BK72" i="2" s="1"/>
  <c r="BJ71" i="2"/>
  <c r="BJ72" i="2" s="1"/>
  <c r="BG71" i="2"/>
  <c r="BG72" i="2" s="1"/>
  <c r="BF71" i="2"/>
  <c r="BE71" i="2"/>
  <c r="BE72" i="2" s="1"/>
  <c r="BB71" i="2"/>
  <c r="BB72" i="2" s="1"/>
  <c r="BA71" i="2"/>
  <c r="BA72" i="2" s="1"/>
  <c r="AW71" i="2"/>
  <c r="AW72" i="2" s="1"/>
  <c r="AV71" i="2"/>
  <c r="AV72" i="2" s="1"/>
  <c r="BR70" i="2"/>
  <c r="BH70" i="2"/>
  <c r="BC70" i="2"/>
  <c r="AX70" i="2"/>
  <c r="AS70" i="2"/>
  <c r="AN70" i="2"/>
  <c r="AI70" i="2"/>
  <c r="BM69" i="2"/>
  <c r="BM68" i="2" s="1"/>
  <c r="BM69" i="13" s="1"/>
  <c r="O10" i="21" s="1"/>
  <c r="BQ68" i="2"/>
  <c r="BQ69" i="2" s="1"/>
  <c r="BP68" i="2"/>
  <c r="BP69" i="2" s="1"/>
  <c r="BO68" i="2"/>
  <c r="BO69" i="2" s="1"/>
  <c r="BN68" i="2"/>
  <c r="BL68" i="2"/>
  <c r="BL69" i="2" s="1"/>
  <c r="BK68" i="2"/>
  <c r="BK69" i="2" s="1"/>
  <c r="BJ68" i="2"/>
  <c r="BJ69" i="2" s="1"/>
  <c r="BI68" i="2"/>
  <c r="BI69" i="2" s="1"/>
  <c r="BG68" i="2"/>
  <c r="BG69" i="2" s="1"/>
  <c r="BF68" i="2"/>
  <c r="BF69" i="2" s="1"/>
  <c r="BE68" i="2"/>
  <c r="BE69" i="2" s="1"/>
  <c r="BD68" i="2"/>
  <c r="BD69" i="2" s="1"/>
  <c r="BB68" i="2"/>
  <c r="BB69" i="2" s="1"/>
  <c r="BA68" i="2"/>
  <c r="BA69" i="2" s="1"/>
  <c r="AZ68" i="2"/>
  <c r="AZ69" i="2" s="1"/>
  <c r="AY68" i="2"/>
  <c r="AY69" i="2" s="1"/>
  <c r="AW68" i="2"/>
  <c r="AW69" i="2" s="1"/>
  <c r="AV68" i="2"/>
  <c r="AV69" i="2" s="1"/>
  <c r="AU68" i="2"/>
  <c r="AU69" i="2" s="1"/>
  <c r="AT68" i="2"/>
  <c r="AT69" i="2" s="1"/>
  <c r="AR68" i="2"/>
  <c r="AR69" i="2" s="1"/>
  <c r="AQ68" i="2"/>
  <c r="AQ69" i="2" s="1"/>
  <c r="AP68" i="2"/>
  <c r="AP69" i="2" s="1"/>
  <c r="AO68" i="2"/>
  <c r="AO69" i="2" s="1"/>
  <c r="AM68" i="2"/>
  <c r="AM69" i="2" s="1"/>
  <c r="AL68" i="2"/>
  <c r="AL69" i="2" s="1"/>
  <c r="AK68" i="2"/>
  <c r="AK69" i="2" s="1"/>
  <c r="AJ68" i="2"/>
  <c r="AJ69" i="2" s="1"/>
  <c r="AH68" i="2"/>
  <c r="AH69" i="2" s="1"/>
  <c r="AG68" i="2"/>
  <c r="AG69" i="2" s="1"/>
  <c r="AF68" i="2"/>
  <c r="AF69" i="2" s="1"/>
  <c r="AE68" i="2"/>
  <c r="AE69" i="2" s="1"/>
  <c r="CL63" i="2"/>
  <c r="CB63" i="2"/>
  <c r="CB62" i="2"/>
  <c r="BW63" i="2"/>
  <c r="BW62" i="2"/>
  <c r="BR63" i="2"/>
  <c r="BR62" i="2"/>
  <c r="BH63" i="2"/>
  <c r="BH62" i="2"/>
  <c r="BC63" i="2"/>
  <c r="BC62" i="2"/>
  <c r="AX63" i="2"/>
  <c r="AS63" i="2"/>
  <c r="AS62" i="2"/>
  <c r="AN63" i="2"/>
  <c r="AN62" i="2"/>
  <c r="AI63" i="2"/>
  <c r="AI62" i="2"/>
  <c r="BK62" i="2"/>
  <c r="AW62" i="2"/>
  <c r="AX62" i="2" s="1"/>
  <c r="AD61" i="2"/>
  <c r="AD68" i="13" s="1"/>
  <c r="H9" i="21" s="1"/>
  <c r="Y61" i="2"/>
  <c r="Y68" i="13" s="1"/>
  <c r="G9" i="21" s="1"/>
  <c r="T61" i="2"/>
  <c r="T68" i="13" s="1"/>
  <c r="BU49" i="2"/>
  <c r="BT49" i="2"/>
  <c r="BS49" i="2"/>
  <c r="BQ49" i="2"/>
  <c r="BP49" i="2"/>
  <c r="BO49" i="2"/>
  <c r="BN49" i="2"/>
  <c r="BM49" i="2"/>
  <c r="BI49" i="2"/>
  <c r="BG49" i="2"/>
  <c r="BF49" i="2"/>
  <c r="BE49" i="2"/>
  <c r="BD49" i="2"/>
  <c r="BB49" i="2"/>
  <c r="AZ49" i="2"/>
  <c r="AY49" i="2"/>
  <c r="AV49" i="2"/>
  <c r="AU49" i="2"/>
  <c r="AT49" i="2"/>
  <c r="AR49" i="2"/>
  <c r="AQ49" i="2"/>
  <c r="AP49" i="2"/>
  <c r="AO49" i="2"/>
  <c r="AM49" i="2"/>
  <c r="AL49" i="2"/>
  <c r="AK49" i="2"/>
  <c r="AJ49" i="2"/>
  <c r="AH49" i="2"/>
  <c r="AG49" i="2"/>
  <c r="AF49" i="2"/>
  <c r="AE49" i="2"/>
  <c r="AD49" i="2"/>
  <c r="Y49" i="2"/>
  <c r="T49" i="2"/>
  <c r="BH48" i="2"/>
  <c r="BH47" i="2"/>
  <c r="BC47" i="2"/>
  <c r="BA48" i="2"/>
  <c r="BA49" i="2" s="1"/>
  <c r="AW48" i="2"/>
  <c r="AX48" i="2" s="1"/>
  <c r="AS48" i="2"/>
  <c r="AS47" i="2"/>
  <c r="AN48" i="2"/>
  <c r="AN47" i="2"/>
  <c r="AI48" i="2"/>
  <c r="AI47" i="2"/>
  <c r="BQ48" i="2"/>
  <c r="BQ71" i="2" s="1"/>
  <c r="BQ72" i="2" s="1"/>
  <c r="BP48" i="2"/>
  <c r="BP71" i="2" s="1"/>
  <c r="BP72" i="2" s="1"/>
  <c r="BO48" i="2"/>
  <c r="BO71" i="2" s="1"/>
  <c r="BO72" i="2" s="1"/>
  <c r="BN48" i="2"/>
  <c r="BN71" i="2" s="1"/>
  <c r="BL48" i="2"/>
  <c r="BK48" i="2"/>
  <c r="BJ48" i="2"/>
  <c r="BQ47" i="2"/>
  <c r="BP47" i="2"/>
  <c r="BO47" i="2"/>
  <c r="BN47" i="2"/>
  <c r="BL47" i="2"/>
  <c r="BK47" i="2"/>
  <c r="BJ47" i="2"/>
  <c r="AX47" i="2"/>
  <c r="CB46" i="2"/>
  <c r="BR45" i="2"/>
  <c r="BR44" i="2"/>
  <c r="BR43"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W32" i="2"/>
  <c r="BR32" i="2"/>
  <c r="BR26" i="2"/>
  <c r="BM26" i="2"/>
  <c r="BH26" i="2"/>
  <c r="BC26" i="2"/>
  <c r="AX26" i="2"/>
  <c r="AD22" i="2"/>
  <c r="AD19" i="19" s="1"/>
  <c r="Y22" i="2"/>
  <c r="Y36" i="2" s="1"/>
  <c r="Y54" i="2" s="1"/>
  <c r="T22" i="2"/>
  <c r="T36" i="2" s="1"/>
  <c r="T54" i="2" s="1"/>
  <c r="BA20" i="2"/>
  <c r="BA39" i="2" s="1"/>
  <c r="AZ20" i="2"/>
  <c r="AZ39" i="2" s="1"/>
  <c r="AY20" i="2"/>
  <c r="AY39" i="2" s="1"/>
  <c r="AW20" i="2"/>
  <c r="AW39" i="2" s="1"/>
  <c r="AV20" i="2"/>
  <c r="AV39" i="2" s="1"/>
  <c r="AU20" i="2"/>
  <c r="AU39" i="2" s="1"/>
  <c r="AT20" i="2"/>
  <c r="AT39" i="2" s="1"/>
  <c r="AR20" i="2"/>
  <c r="AR39" i="2" s="1"/>
  <c r="AQ20" i="2"/>
  <c r="AQ39" i="2" s="1"/>
  <c r="AP20" i="2"/>
  <c r="AP39" i="2" s="1"/>
  <c r="AO20" i="2"/>
  <c r="AO39" i="2" s="1"/>
  <c r="AM20" i="2"/>
  <c r="AM39" i="2" s="1"/>
  <c r="AL20" i="2"/>
  <c r="AL39" i="2" s="1"/>
  <c r="AK20" i="2"/>
  <c r="AK39" i="2" s="1"/>
  <c r="AJ20" i="2"/>
  <c r="AH20" i="2"/>
  <c r="AH39" i="2" s="1"/>
  <c r="AG20" i="2"/>
  <c r="AG39" i="2" s="1"/>
  <c r="AF20" i="2"/>
  <c r="AF39" i="2" s="1"/>
  <c r="AE20" i="2"/>
  <c r="BA19" i="2"/>
  <c r="BA38" i="2" s="1"/>
  <c r="AZ19" i="2"/>
  <c r="AZ38" i="2" s="1"/>
  <c r="AY19" i="2"/>
  <c r="AY38" i="2" s="1"/>
  <c r="AW19" i="2"/>
  <c r="AW38" i="2" s="1"/>
  <c r="AV19" i="2"/>
  <c r="AV38" i="2" s="1"/>
  <c r="AU19" i="2"/>
  <c r="AU38" i="2" s="1"/>
  <c r="AT19" i="2"/>
  <c r="AT38" i="2" s="1"/>
  <c r="AR19" i="2"/>
  <c r="AR38" i="2" s="1"/>
  <c r="AQ19" i="2"/>
  <c r="AQ38" i="2" s="1"/>
  <c r="AP19" i="2"/>
  <c r="AP38" i="2" s="1"/>
  <c r="AO19" i="2"/>
  <c r="AM19" i="2"/>
  <c r="AM38" i="2" s="1"/>
  <c r="AL19" i="2"/>
  <c r="AL38" i="2" s="1"/>
  <c r="AK19" i="2"/>
  <c r="AK38" i="2" s="1"/>
  <c r="AJ19" i="2"/>
  <c r="AJ38" i="2" s="1"/>
  <c r="AH19" i="2"/>
  <c r="AH38" i="2" s="1"/>
  <c r="AG19" i="2"/>
  <c r="AG38" i="2" s="1"/>
  <c r="AF19" i="2"/>
  <c r="AF38" i="2" s="1"/>
  <c r="AE19" i="2"/>
  <c r="AE38" i="2" s="1"/>
  <c r="BL18" i="2"/>
  <c r="BK18" i="2"/>
  <c r="BJ18" i="2"/>
  <c r="BI18" i="2"/>
  <c r="BG18" i="2"/>
  <c r="BF18" i="2"/>
  <c r="BE18" i="2"/>
  <c r="BD18" i="2"/>
  <c r="BB18" i="2"/>
  <c r="BA18" i="2"/>
  <c r="AZ18" i="2"/>
  <c r="AY18" i="2"/>
  <c r="AW18" i="2"/>
  <c r="AV18" i="2"/>
  <c r="AU18" i="2"/>
  <c r="AT18" i="2"/>
  <c r="BQ17" i="2"/>
  <c r="BP17" i="2"/>
  <c r="BO17" i="2"/>
  <c r="BN17" i="2"/>
  <c r="BL17" i="2"/>
  <c r="BK17" i="2"/>
  <c r="BJ17" i="2"/>
  <c r="BI17" i="2"/>
  <c r="BG17" i="2"/>
  <c r="BF17" i="2"/>
  <c r="BE17" i="2"/>
  <c r="BD17" i="2"/>
  <c r="BB17" i="2"/>
  <c r="BA17" i="2"/>
  <c r="AZ17" i="2"/>
  <c r="AY17" i="2"/>
  <c r="AW17" i="2"/>
  <c r="AV17" i="2"/>
  <c r="AU17" i="2"/>
  <c r="AT17" i="2"/>
  <c r="BQ16" i="2"/>
  <c r="BP16" i="2"/>
  <c r="BO16" i="2"/>
  <c r="BN16" i="2"/>
  <c r="BL16" i="2"/>
  <c r="BK16" i="2"/>
  <c r="BJ16" i="2"/>
  <c r="BI16" i="2"/>
  <c r="BG16" i="2"/>
  <c r="BF16" i="2"/>
  <c r="BE16" i="2"/>
  <c r="BD16" i="2"/>
  <c r="BB16" i="2"/>
  <c r="BA16" i="2"/>
  <c r="AZ16" i="2"/>
  <c r="AY16" i="2"/>
  <c r="AW16" i="2"/>
  <c r="AV16" i="2"/>
  <c r="AU16" i="2"/>
  <c r="AT16" i="2"/>
  <c r="BU15" i="2"/>
  <c r="BT15" i="2"/>
  <c r="BS15" i="2"/>
  <c r="BQ15" i="2"/>
  <c r="BP15" i="2"/>
  <c r="BO15" i="2"/>
  <c r="BN15" i="2"/>
  <c r="BM15" i="2"/>
  <c r="CL5" i="2"/>
  <c r="CG5" i="13"/>
  <c r="CB5" i="12"/>
  <c r="BR5" i="2"/>
  <c r="BM5" i="2"/>
  <c r="BH5" i="2"/>
  <c r="BC5" i="2"/>
  <c r="AX5" i="2"/>
  <c r="AS5" i="2"/>
  <c r="AN5" i="2"/>
  <c r="AI5" i="2"/>
  <c r="AD5" i="2"/>
  <c r="Y5" i="2"/>
  <c r="T5" i="2"/>
  <c r="O5" i="2"/>
  <c r="E2" i="2"/>
  <c r="J10" i="26"/>
  <c r="I10" i="26"/>
  <c r="G10" i="26"/>
  <c r="F10" i="26"/>
  <c r="E4" i="26"/>
  <c r="E2" i="26"/>
  <c r="X16" i="21"/>
  <c r="E15" i="21"/>
  <c r="E14" i="21"/>
  <c r="E13" i="21"/>
  <c r="E12" i="21"/>
  <c r="E11" i="21"/>
  <c r="E10" i="21"/>
  <c r="E9" i="21"/>
  <c r="E8" i="21"/>
  <c r="R14" i="21"/>
  <c r="Q14" i="21"/>
  <c r="P14" i="21"/>
  <c r="O14" i="21"/>
  <c r="N14" i="21"/>
  <c r="M14" i="21"/>
  <c r="L14" i="21"/>
  <c r="K14" i="21"/>
  <c r="J14" i="21"/>
  <c r="I14" i="21"/>
  <c r="H14" i="21"/>
  <c r="G14" i="21"/>
  <c r="G13" i="21"/>
  <c r="E2" i="21"/>
  <c r="AB1084" i="1"/>
  <c r="AB1085" i="1" s="1"/>
  <c r="AB1086" i="1" s="1"/>
  <c r="AB1087" i="1" s="1"/>
  <c r="AB1088" i="1" s="1"/>
  <c r="AB1089" i="1" s="1"/>
  <c r="AB1090" i="1" s="1"/>
  <c r="AB1091" i="1" s="1"/>
  <c r="AB1092" i="1" s="1"/>
  <c r="AB1093" i="1" s="1"/>
  <c r="AB1094" i="1" s="1"/>
  <c r="AB1095" i="1" s="1"/>
  <c r="AB1096" i="1" s="1"/>
  <c r="AB1097" i="1" s="1"/>
  <c r="AB1098" i="1" s="1"/>
  <c r="AB1099" i="1" s="1"/>
  <c r="AB1100" i="1" s="1"/>
  <c r="AB1101" i="1" s="1"/>
  <c r="AB1102" i="1" s="1"/>
  <c r="AB1103" i="1" s="1"/>
  <c r="Z102" i="1"/>
  <c r="Z101" i="1"/>
  <c r="Z100" i="1"/>
  <c r="AD1060" i="1" s="1"/>
  <c r="Z71" i="1"/>
  <c r="Z70" i="1"/>
  <c r="Z69" i="1"/>
  <c r="AG707" i="1" s="1"/>
  <c r="AD10" i="18"/>
  <c r="BC17" i="18"/>
  <c r="AU42" i="18"/>
  <c r="AU18" i="18"/>
  <c r="AU40" i="12" s="1"/>
  <c r="AK17" i="18"/>
  <c r="AM47" i="18" s="1"/>
  <c r="AM49" i="18" s="1"/>
  <c r="AM51" i="18" s="1"/>
  <c r="AM55" i="18" s="1"/>
  <c r="AM61" i="2" s="1"/>
  <c r="AX31" i="18"/>
  <c r="AY31" i="18"/>
  <c r="AZ31" i="18" s="1"/>
  <c r="BA31" i="18" s="1"/>
  <c r="BB31" i="18" s="1"/>
  <c r="BD31" i="18" s="1"/>
  <c r="BE31" i="18" s="1"/>
  <c r="BD18" i="18"/>
  <c r="BD40" i="12" s="1"/>
  <c r="BD59" i="12" s="1"/>
  <c r="BN18" i="18"/>
  <c r="BN40" i="12"/>
  <c r="AR41" i="12"/>
  <c r="AR60" i="12" s="1"/>
  <c r="AS60" i="12" s="1"/>
  <c r="AM42" i="18"/>
  <c r="AM18" i="18"/>
  <c r="AM40" i="12" s="1"/>
  <c r="AN40" i="12" s="1"/>
  <c r="BI18" i="18"/>
  <c r="BI40" i="12" s="1"/>
  <c r="BI59" i="12" s="1"/>
  <c r="BW10" i="18"/>
  <c r="AO17" i="18"/>
  <c r="AO47" i="18" s="1"/>
  <c r="AX15" i="18"/>
  <c r="AY15" i="18" s="1"/>
  <c r="AZ15" i="18" s="1"/>
  <c r="AN12" i="18"/>
  <c r="AP17" i="18"/>
  <c r="AP18" i="18" s="1"/>
  <c r="AC17" i="18"/>
  <c r="AD12" i="18"/>
  <c r="BM12" i="18"/>
  <c r="BC15" i="18"/>
  <c r="BS40" i="12"/>
  <c r="BS59" i="12" s="1"/>
  <c r="AU29" i="18"/>
  <c r="AR18" i="18"/>
  <c r="AS18" i="18" s="1"/>
  <c r="AU46" i="18"/>
  <c r="AV35" i="18"/>
  <c r="AV46" i="18" s="1"/>
  <c r="BE18" i="18"/>
  <c r="BE40" i="12" s="1"/>
  <c r="AT47" i="18"/>
  <c r="AU36" i="18"/>
  <c r="AU47" i="18" s="1"/>
  <c r="BP18" i="18"/>
  <c r="BP40" i="12" s="1"/>
  <c r="BP59" i="12" s="1"/>
  <c r="AV33" i="18"/>
  <c r="AV44" i="18" s="1"/>
  <c r="AN45" i="18"/>
  <c r="AQ38" i="13"/>
  <c r="AQ40" i="13" s="1"/>
  <c r="AS53" i="13"/>
  <c r="AS133" i="2"/>
  <c r="BC58" i="13"/>
  <c r="AT38" i="13"/>
  <c r="AT40" i="13" s="1"/>
  <c r="AX33" i="13"/>
  <c r="AN60" i="13"/>
  <c r="AI133" i="2"/>
  <c r="AP38" i="13"/>
  <c r="AP40" i="13" s="1"/>
  <c r="BM83" i="13"/>
  <c r="BM56" i="13"/>
  <c r="BM70" i="13"/>
  <c r="O11" i="21"/>
  <c r="BW71" i="13"/>
  <c r="Q12" i="21" s="1"/>
  <c r="T130" i="2"/>
  <c r="BM84" i="13"/>
  <c r="BC56" i="13"/>
  <c r="AS33" i="13"/>
  <c r="AI70" i="13"/>
  <c r="I11" i="21" s="1"/>
  <c r="BH20" i="12"/>
  <c r="BK38" i="12"/>
  <c r="BW10" i="12"/>
  <c r="CB10" i="12"/>
  <c r="BW18" i="12"/>
  <c r="BW20" i="12" s="1"/>
  <c r="AN46" i="12"/>
  <c r="AM50" i="12"/>
  <c r="AN50" i="12" s="1"/>
  <c r="AX46" i="12"/>
  <c r="AW50" i="12"/>
  <c r="BG50" i="12"/>
  <c r="BH50" i="12" s="1"/>
  <c r="BH52" i="12" s="1"/>
  <c r="BH46" i="12"/>
  <c r="AM37" i="12"/>
  <c r="AM38" i="12" s="1"/>
  <c r="AN31" i="12"/>
  <c r="AW37" i="12"/>
  <c r="AX37" i="12" s="1"/>
  <c r="AX31" i="12"/>
  <c r="BG37" i="12"/>
  <c r="BH37" i="12" s="1"/>
  <c r="BH31" i="12"/>
  <c r="BR31" i="12"/>
  <c r="BQ37" i="12"/>
  <c r="BR37" i="12" s="1"/>
  <c r="BR20" i="12"/>
  <c r="T31" i="12"/>
  <c r="AO37" i="12"/>
  <c r="AO38" i="12" s="1"/>
  <c r="BS37" i="12"/>
  <c r="BS38" i="12" s="1"/>
  <c r="Y41" i="12"/>
  <c r="BE37" i="12"/>
  <c r="AL38" i="12"/>
  <c r="AV37" i="12"/>
  <c r="AV38" i="12" s="1"/>
  <c r="Y31" i="12"/>
  <c r="BK37" i="12"/>
  <c r="AC50" i="12"/>
  <c r="AC52" i="12" s="1"/>
  <c r="BD37" i="12"/>
  <c r="BD38" i="12" s="1"/>
  <c r="BL37" i="12"/>
  <c r="BL38" i="12" s="1"/>
  <c r="BT37" i="12"/>
  <c r="BT38" i="12"/>
  <c r="AI46" i="12"/>
  <c r="AI31" i="12"/>
  <c r="BM46" i="12"/>
  <c r="BL50" i="12"/>
  <c r="BL52" i="12" s="1"/>
  <c r="AM60" i="12"/>
  <c r="AN60" i="12" s="1"/>
  <c r="AN41" i="12"/>
  <c r="AS46" i="12"/>
  <c r="AR50" i="12"/>
  <c r="T41" i="12"/>
  <c r="BW166" i="2"/>
  <c r="AW33" i="18"/>
  <c r="AX33" i="18" s="1"/>
  <c r="AV29" i="18"/>
  <c r="AW29" i="18" s="1"/>
  <c r="AX29" i="18" s="1"/>
  <c r="AU40" i="18"/>
  <c r="BC31" i="18"/>
  <c r="BW15" i="18"/>
  <c r="BT40" i="12"/>
  <c r="BT59" i="12" s="1"/>
  <c r="AX50" i="12"/>
  <c r="AX52" i="12" s="1"/>
  <c r="AW52" i="12"/>
  <c r="AW38" i="12"/>
  <c r="AM52" i="12"/>
  <c r="AD50" i="12"/>
  <c r="BW12" i="18"/>
  <c r="BW16" i="18"/>
  <c r="AY33" i="18"/>
  <c r="AZ33" i="18" s="1"/>
  <c r="AN52" i="12"/>
  <c r="BV15" i="2"/>
  <c r="BW14" i="18"/>
  <c r="BW13" i="18"/>
  <c r="CH83" i="13"/>
  <c r="AS83" i="13"/>
  <c r="BC84" i="13"/>
  <c r="AI38" i="13"/>
  <c r="BC85" i="13"/>
  <c r="AS85" i="13"/>
  <c r="AI57" i="13"/>
  <c r="AS70" i="13"/>
  <c r="K11" i="21" s="1"/>
  <c r="BR72" i="13"/>
  <c r="P13" i="21" s="1"/>
  <c r="AS57" i="13"/>
  <c r="BR83" i="13"/>
  <c r="BN30" i="13"/>
  <c r="CG27" i="13"/>
  <c r="CG72" i="13" s="1"/>
  <c r="BR58" i="13"/>
  <c r="AI58" i="13"/>
  <c r="AX56" i="13"/>
  <c r="CI85" i="13"/>
  <c r="BH56" i="13"/>
  <c r="AG40" i="13"/>
  <c r="AI40" i="13" s="1"/>
  <c r="AS58" i="13"/>
  <c r="AS84" i="13"/>
  <c r="CK85" i="13"/>
  <c r="BQ40" i="13"/>
  <c r="BH83" i="13"/>
  <c r="AX70" i="13"/>
  <c r="L11" i="21" s="1"/>
  <c r="BW28" i="13"/>
  <c r="T30" i="13"/>
  <c r="AI84" i="13"/>
  <c r="AX57" i="13"/>
  <c r="AN57" i="13"/>
  <c r="AX71" i="13"/>
  <c r="L12" i="21" s="1"/>
  <c r="AX83" i="13"/>
  <c r="CB46" i="12"/>
  <c r="CG46" i="12" s="1"/>
  <c r="CB76" i="2"/>
  <c r="CB55" i="13" s="1"/>
  <c r="BW37" i="12"/>
  <c r="BU38" i="12"/>
  <c r="BW34" i="12"/>
  <c r="BW33" i="12"/>
  <c r="BW19" i="13"/>
  <c r="BW35" i="12"/>
  <c r="BW70" i="2"/>
  <c r="BW13" i="13"/>
  <c r="BW47" i="12"/>
  <c r="CG11" i="12"/>
  <c r="CG32" i="12"/>
  <c r="CB5" i="19"/>
  <c r="BX40" i="13"/>
  <c r="BU40" i="12"/>
  <c r="BU59" i="12" s="1"/>
  <c r="BV40" i="12"/>
  <c r="BW18" i="18"/>
  <c r="CF130" i="2"/>
  <c r="CG10" i="13"/>
  <c r="CG52" i="13" s="1"/>
  <c r="CI130" i="2"/>
  <c r="CK130" i="2"/>
  <c r="CJ130" i="2"/>
  <c r="CL10" i="13"/>
  <c r="BW58" i="18"/>
  <c r="BX11" i="2"/>
  <c r="BX12" i="2"/>
  <c r="BX15" i="2"/>
  <c r="BY20" i="12"/>
  <c r="CB18" i="12"/>
  <c r="CB56" i="13"/>
  <c r="BX52" i="12"/>
  <c r="CB16" i="18"/>
  <c r="BX59" i="12"/>
  <c r="CB14" i="18"/>
  <c r="BE38" i="12" l="1"/>
  <c r="BH40" i="13"/>
  <c r="BR43" i="13"/>
  <c r="BO59" i="12"/>
  <c r="AT46" i="18"/>
  <c r="AO18" i="18"/>
  <c r="BQ38" i="12"/>
  <c r="AW40" i="18"/>
  <c r="AV36" i="18"/>
  <c r="AW36" i="18" s="1"/>
  <c r="AY29" i="18"/>
  <c r="BM50" i="12"/>
  <c r="BM52" i="12" s="1"/>
  <c r="AG785" i="1"/>
  <c r="AG552" i="1"/>
  <c r="AG1088" i="1"/>
  <c r="AG261" i="1"/>
  <c r="AG399" i="1"/>
  <c r="AG501" i="1"/>
  <c r="AG518" i="1"/>
  <c r="AG691" i="1"/>
  <c r="AG206" i="1"/>
  <c r="AG153" i="1"/>
  <c r="AG480" i="1"/>
  <c r="AG495" i="1"/>
  <c r="AG557" i="1"/>
  <c r="AG687" i="1"/>
  <c r="AG345" i="1"/>
  <c r="AG257" i="1"/>
  <c r="AG199" i="1"/>
  <c r="AG555" i="1"/>
  <c r="AG589" i="1"/>
  <c r="AG711" i="1"/>
  <c r="AG346" i="1"/>
  <c r="AG146" i="1"/>
  <c r="AG216" i="1"/>
  <c r="AG349" i="1"/>
  <c r="AG970" i="1"/>
  <c r="AG805" i="1"/>
  <c r="AG895" i="1"/>
  <c r="AG1040" i="1"/>
  <c r="AG220" i="1"/>
  <c r="AG299" i="1"/>
  <c r="AG313" i="1"/>
  <c r="AG632" i="1"/>
  <c r="AG1034" i="1"/>
  <c r="AG813" i="1"/>
  <c r="AG983" i="1"/>
  <c r="AG120" i="1"/>
  <c r="AG420" i="1"/>
  <c r="AG426" i="1"/>
  <c r="AG728" i="1"/>
  <c r="AG953" i="1"/>
  <c r="AG892" i="1"/>
  <c r="AG774" i="1"/>
  <c r="AG739" i="1"/>
  <c r="AG1074" i="1"/>
  <c r="AG914" i="1"/>
  <c r="AG360" i="1"/>
  <c r="AG539" i="1"/>
  <c r="AG463" i="1"/>
  <c r="AG930" i="1"/>
  <c r="AG808" i="1"/>
  <c r="AG247" i="1"/>
  <c r="AG891" i="1"/>
  <c r="AG1036" i="1"/>
  <c r="AG941" i="1"/>
  <c r="AG886" i="1"/>
  <c r="AG1071" i="1"/>
  <c r="AG434" i="1"/>
  <c r="AG233" i="1"/>
  <c r="AG704" i="1"/>
  <c r="AG952" i="1"/>
  <c r="AG444" i="1"/>
  <c r="AG639" i="1"/>
  <c r="AG392" i="1"/>
  <c r="AG321" i="1"/>
  <c r="AG134" i="1"/>
  <c r="AG269" i="1"/>
  <c r="AG604" i="1"/>
  <c r="AG574" i="1"/>
  <c r="AG369" i="1"/>
  <c r="AG219" i="1"/>
  <c r="AG170" i="1"/>
  <c r="AG277" i="1"/>
  <c r="AG584" i="1"/>
  <c r="AG684" i="1"/>
  <c r="AG598" i="1"/>
  <c r="AG273" i="1"/>
  <c r="AG289" i="1"/>
  <c r="AG238" i="1"/>
  <c r="AG583" i="1"/>
  <c r="AG740" i="1"/>
  <c r="AG630" i="1"/>
  <c r="AG164" i="1"/>
  <c r="AG551" i="1"/>
  <c r="AG387" i="1"/>
  <c r="AG873" i="1"/>
  <c r="AG828" i="1"/>
  <c r="AG742" i="1"/>
  <c r="AG978" i="1"/>
  <c r="AG1073" i="1"/>
  <c r="AG411" i="1"/>
  <c r="AG487" i="1"/>
  <c r="AG875" i="1"/>
  <c r="AG845" i="1"/>
  <c r="AG991" i="1"/>
  <c r="AG659" i="1"/>
  <c r="AG977" i="1"/>
  <c r="AG657" i="1"/>
  <c r="AG304" i="1"/>
  <c r="AG752" i="1"/>
  <c r="AG674" i="1"/>
  <c r="AG125" i="1"/>
  <c r="AG936" i="1"/>
  <c r="AG287" i="1"/>
  <c r="AG971" i="1"/>
  <c r="AG1044" i="1"/>
  <c r="AG949" i="1"/>
  <c r="AG1070" i="1"/>
  <c r="AV18" i="18"/>
  <c r="AV40" i="12" s="1"/>
  <c r="AV59" i="12" s="1"/>
  <c r="AV42" i="18"/>
  <c r="AD31" i="12"/>
  <c r="AC37" i="12"/>
  <c r="BW46" i="12"/>
  <c r="AK47" i="18"/>
  <c r="AN38" i="12"/>
  <c r="AJ42" i="18"/>
  <c r="AU34" i="18"/>
  <c r="AW47" i="18"/>
  <c r="AN37" i="12"/>
  <c r="AX20" i="12"/>
  <c r="AN58" i="13"/>
  <c r="AD59" i="13"/>
  <c r="AS44" i="18"/>
  <c r="BU59" i="18"/>
  <c r="BU68" i="2" s="1"/>
  <c r="BU69" i="2" s="1"/>
  <c r="AW44" i="18"/>
  <c r="AR22" i="18"/>
  <c r="AS22" i="18" s="1"/>
  <c r="AG328" i="1"/>
  <c r="AG305" i="1"/>
  <c r="AG202" i="1"/>
  <c r="AG801" i="1"/>
  <c r="AG546" i="1"/>
  <c r="AG610" i="1"/>
  <c r="AG664" i="1"/>
  <c r="AG649" i="1"/>
  <c r="AG595" i="1"/>
  <c r="AG652" i="1"/>
  <c r="AG509" i="1"/>
  <c r="AG957" i="1"/>
  <c r="AG958" i="1"/>
  <c r="AG999" i="1"/>
  <c r="BG38" i="12"/>
  <c r="AR42" i="18"/>
  <c r="AW13" i="18"/>
  <c r="AW12" i="18" s="1"/>
  <c r="AU59" i="12"/>
  <c r="AN20" i="12"/>
  <c r="AS20" i="12"/>
  <c r="AI83" i="13"/>
  <c r="BK59" i="12"/>
  <c r="AK18" i="18"/>
  <c r="BM57" i="13"/>
  <c r="AS45" i="18"/>
  <c r="AR49" i="18"/>
  <c r="AR51" i="18" s="1"/>
  <c r="AR55" i="18" s="1"/>
  <c r="AR61" i="2" s="1"/>
  <c r="BW30" i="13"/>
  <c r="AR40" i="12"/>
  <c r="Y38" i="12"/>
  <c r="AN72" i="13"/>
  <c r="J13" i="21" s="1"/>
  <c r="BE59" i="12"/>
  <c r="BN59" i="12"/>
  <c r="AY36" i="18"/>
  <c r="AZ36" i="18" s="1"/>
  <c r="AZ47" i="18" s="1"/>
  <c r="AX38" i="12"/>
  <c r="AX58" i="13"/>
  <c r="AH38" i="12"/>
  <c r="BW38" i="12"/>
  <c r="AX72" i="13"/>
  <c r="L13" i="21" s="1"/>
  <c r="AT42" i="18"/>
  <c r="AX53" i="13"/>
  <c r="BF59" i="12"/>
  <c r="BV52" i="12"/>
  <c r="AR38" i="12"/>
  <c r="AS37" i="12"/>
  <c r="BC40" i="13"/>
  <c r="S22" i="18"/>
  <c r="S40" i="12"/>
  <c r="BA33" i="18"/>
  <c r="BB33" i="18" s="1"/>
  <c r="AP40" i="12"/>
  <c r="AP59" i="12" s="1"/>
  <c r="AP22" i="18"/>
  <c r="BI38" i="18"/>
  <c r="BJ38" i="18" s="1"/>
  <c r="BK38" i="18" s="1"/>
  <c r="BL38" i="18" s="1"/>
  <c r="BH38" i="18"/>
  <c r="AT41" i="12"/>
  <c r="AT60" i="12" s="1"/>
  <c r="AU20" i="18"/>
  <c r="AT22" i="18"/>
  <c r="S38" i="12"/>
  <c r="T37" i="12"/>
  <c r="T38" i="12" s="1"/>
  <c r="X52" i="12"/>
  <c r="Y50" i="12"/>
  <c r="AI38" i="12"/>
  <c r="AI50" i="12"/>
  <c r="AH52" i="12"/>
  <c r="AI52" i="12" s="1"/>
  <c r="AY44" i="18"/>
  <c r="AZ14" i="18"/>
  <c r="BA14" i="18" s="1"/>
  <c r="BH84" i="13"/>
  <c r="AW35" i="18"/>
  <c r="AS41" i="12"/>
  <c r="AG931" i="1"/>
  <c r="AG329" i="1"/>
  <c r="AG457" i="1"/>
  <c r="AG867" i="1"/>
  <c r="AG130" i="1"/>
  <c r="AG169" i="1"/>
  <c r="AG585" i="1"/>
  <c r="AG236" i="1"/>
  <c r="AG993" i="1"/>
  <c r="AG675" i="1"/>
  <c r="AG405" i="1"/>
  <c r="AG374" i="1"/>
  <c r="AG1017" i="1"/>
  <c r="AG666" i="1"/>
  <c r="AG540" i="1"/>
  <c r="AG908" i="1"/>
  <c r="AG645" i="1"/>
  <c r="AG1093" i="1"/>
  <c r="AG870" i="1"/>
  <c r="AG743" i="1"/>
  <c r="BP38" i="12"/>
  <c r="BR38" i="12"/>
  <c r="AS46" i="18"/>
  <c r="AP42" i="18"/>
  <c r="Y46" i="12"/>
  <c r="AN56" i="13"/>
  <c r="BC71" i="13"/>
  <c r="M12" i="21" s="1"/>
  <c r="AS38" i="13"/>
  <c r="AD74" i="13"/>
  <c r="BG18" i="18"/>
  <c r="BH18" i="18" s="1"/>
  <c r="BR40" i="13"/>
  <c r="AX36" i="18"/>
  <c r="AM59" i="12"/>
  <c r="AN59" i="12" s="1"/>
  <c r="AV47" i="18"/>
  <c r="AX47" i="18" s="1"/>
  <c r="AG881" i="1"/>
  <c r="AG256" i="1"/>
  <c r="AG385" i="1"/>
  <c r="AG817" i="1"/>
  <c r="AG913" i="1"/>
  <c r="AG187" i="1"/>
  <c r="AG643" i="1"/>
  <c r="AG258" i="1"/>
  <c r="AG144" i="1"/>
  <c r="AG784" i="1"/>
  <c r="AG413" i="1"/>
  <c r="AG382" i="1"/>
  <c r="AG239" i="1"/>
  <c r="AG746" i="1"/>
  <c r="AG596" i="1"/>
  <c r="AG940" i="1"/>
  <c r="AG661" i="1"/>
  <c r="AG486" i="1"/>
  <c r="AG878" i="1"/>
  <c r="AG783" i="1"/>
  <c r="BM37" i="12"/>
  <c r="BM38" i="12" s="1"/>
  <c r="X17" i="18"/>
  <c r="Y17" i="18" s="1"/>
  <c r="AT54" i="12"/>
  <c r="BB37" i="12"/>
  <c r="AN43" i="18"/>
  <c r="BR38" i="13"/>
  <c r="AP47" i="18"/>
  <c r="Y12" i="18"/>
  <c r="AS31" i="12"/>
  <c r="BJ37" i="12"/>
  <c r="BJ38" i="12" s="1"/>
  <c r="AN84" i="13"/>
  <c r="BH28" i="13"/>
  <c r="BH30" i="13" s="1"/>
  <c r="BR28" i="13"/>
  <c r="BR30" i="13" s="1"/>
  <c r="CA28" i="13"/>
  <c r="BW84" i="13"/>
  <c r="AN44" i="18"/>
  <c r="AI72" i="13"/>
  <c r="I13" i="21" s="1"/>
  <c r="BW53" i="13"/>
  <c r="BG52" i="12"/>
  <c r="X38" i="12"/>
  <c r="AD41" i="12"/>
  <c r="BC52" i="13"/>
  <c r="BC179" i="34"/>
  <c r="BC178" i="34" s="1"/>
  <c r="BC178" i="30"/>
  <c r="BC177" i="30" s="1"/>
  <c r="AX40" i="13"/>
  <c r="BC38" i="13"/>
  <c r="AY47" i="18"/>
  <c r="AI28" i="13"/>
  <c r="AP38" i="12"/>
  <c r="AP54" i="12" s="1"/>
  <c r="BH130" i="2"/>
  <c r="BH179" i="34"/>
  <c r="BH178" i="34" s="1"/>
  <c r="BH186" i="34" s="1"/>
  <c r="BH178" i="30"/>
  <c r="BH177" i="30" s="1"/>
  <c r="BH185" i="30" s="1"/>
  <c r="BR84" i="13"/>
  <c r="BR71" i="13"/>
  <c r="P12" i="21" s="1"/>
  <c r="AQ47" i="18"/>
  <c r="AU22" i="18"/>
  <c r="BW83" i="13"/>
  <c r="CB83" i="13"/>
  <c r="BC20" i="12"/>
  <c r="AJ38" i="12"/>
  <c r="AZ38" i="12"/>
  <c r="BH71" i="13"/>
  <c r="N12" i="21" s="1"/>
  <c r="CB85" i="13"/>
  <c r="CJ145" i="2"/>
  <c r="CL118" i="2"/>
  <c r="CI178" i="2"/>
  <c r="CI78" i="34" s="1"/>
  <c r="CJ74" i="33"/>
  <c r="CJ76" i="33" s="1"/>
  <c r="AG624" i="1"/>
  <c r="AG209" i="1"/>
  <c r="AG617" i="1"/>
  <c r="AG192" i="1"/>
  <c r="AG514" i="1"/>
  <c r="AG736" i="1"/>
  <c r="AG158" i="1"/>
  <c r="AG386" i="1"/>
  <c r="AG928" i="1"/>
  <c r="AG312" i="1"/>
  <c r="AG833" i="1"/>
  <c r="AG324" i="1"/>
  <c r="AG133" i="1"/>
  <c r="AG479" i="1"/>
  <c r="AG1032" i="1"/>
  <c r="AG729" i="1"/>
  <c r="AG375" i="1"/>
  <c r="AG858" i="1"/>
  <c r="AG460" i="1"/>
  <c r="AG756" i="1"/>
  <c r="AG1052" i="1"/>
  <c r="AG701" i="1"/>
  <c r="AG1029" i="1"/>
  <c r="AG670" i="1"/>
  <c r="AG1014" i="1"/>
  <c r="AG847" i="1"/>
  <c r="AG560" i="1"/>
  <c r="AG193" i="1"/>
  <c r="AG591" i="1"/>
  <c r="AG176" i="1"/>
  <c r="AG384" i="1"/>
  <c r="AG615" i="1"/>
  <c r="AG106" i="1"/>
  <c r="AG400" i="1"/>
  <c r="AG1056" i="1"/>
  <c r="AG337" i="1"/>
  <c r="AG961" i="1"/>
  <c r="AG402" i="1"/>
  <c r="AG173" i="1"/>
  <c r="AG543" i="1"/>
  <c r="AG366" i="1"/>
  <c r="AG841" i="1"/>
  <c r="AG383" i="1"/>
  <c r="AG890" i="1"/>
  <c r="AG468" i="1"/>
  <c r="AG796" i="1"/>
  <c r="AG445" i="1"/>
  <c r="AG741" i="1"/>
  <c r="AG1085" i="1"/>
  <c r="AG734" i="1"/>
  <c r="AG1022" i="1"/>
  <c r="AG855" i="1"/>
  <c r="AG156" i="1"/>
  <c r="AG214" i="1"/>
  <c r="CQ32" i="12"/>
  <c r="CR32" i="12" s="1"/>
  <c r="CS32" i="12" s="1"/>
  <c r="CT32" i="12" s="1"/>
  <c r="BM12" i="13"/>
  <c r="CL85" i="13"/>
  <c r="CL133" i="2"/>
  <c r="CK169" i="2"/>
  <c r="CK173" i="2" s="1"/>
  <c r="CF177" i="2"/>
  <c r="CF179" i="2" s="1"/>
  <c r="CI171" i="2"/>
  <c r="CL171" i="2" s="1"/>
  <c r="CL148" i="2"/>
  <c r="CL129" i="2"/>
  <c r="CC177" i="2"/>
  <c r="CI170" i="2"/>
  <c r="CL170" i="2" s="1"/>
  <c r="CJ178" i="2"/>
  <c r="CL58" i="13"/>
  <c r="CL72" i="13"/>
  <c r="T13" i="21" s="1"/>
  <c r="CK46" i="12"/>
  <c r="CL46" i="12" s="1"/>
  <c r="CM46" i="12" s="1"/>
  <c r="CN46" i="12" s="1"/>
  <c r="CO46" i="12" s="1"/>
  <c r="CP46" i="12" s="1"/>
  <c r="CQ46" i="12" s="1"/>
  <c r="CR46" i="12" s="1"/>
  <c r="CS46" i="12" s="1"/>
  <c r="CT46" i="12" s="1"/>
  <c r="CU46" i="12" s="1"/>
  <c r="CV46" i="12" s="1"/>
  <c r="CL43" i="12"/>
  <c r="CM43" i="12" s="1"/>
  <c r="CN43" i="12" s="1"/>
  <c r="CO43" i="12" s="1"/>
  <c r="CP43" i="12" s="1"/>
  <c r="CQ43" i="12" s="1"/>
  <c r="CR43" i="12" s="1"/>
  <c r="CS43" i="12" s="1"/>
  <c r="CT43" i="12" s="1"/>
  <c r="CU43" i="12" s="1"/>
  <c r="CV43" i="12" s="1"/>
  <c r="CL12" i="12"/>
  <c r="W58" i="1"/>
  <c r="Y16" i="21"/>
  <c r="Z16" i="21" s="1"/>
  <c r="CK178" i="2"/>
  <c r="CK75" i="33" s="1"/>
  <c r="CL71" i="13"/>
  <c r="T12" i="21" s="1"/>
  <c r="CL57" i="13"/>
  <c r="AD1097" i="1"/>
  <c r="AD881" i="1"/>
  <c r="AD705" i="1"/>
  <c r="AD890" i="1"/>
  <c r="AD704" i="1"/>
  <c r="AD1029" i="1"/>
  <c r="AD982" i="1"/>
  <c r="AD943" i="1"/>
  <c r="AD1095" i="1"/>
  <c r="AD1028" i="1"/>
  <c r="AD839" i="1"/>
  <c r="AD663" i="1"/>
  <c r="AD920" i="1"/>
  <c r="AD734" i="1"/>
  <c r="AD641" i="1"/>
  <c r="AD992" i="1"/>
  <c r="AD1083" i="1"/>
  <c r="AD841" i="1"/>
  <c r="AD689" i="1"/>
  <c r="AD1082" i="1"/>
  <c r="AD872" i="1"/>
  <c r="AD696" i="1"/>
  <c r="AD1069" i="1"/>
  <c r="AD998" i="1"/>
  <c r="AD951" i="1"/>
  <c r="AG344" i="1"/>
  <c r="AD1017" i="1"/>
  <c r="AD799" i="1"/>
  <c r="AD647" i="1"/>
  <c r="AG577" i="1"/>
  <c r="AG174" i="1"/>
  <c r="AD870" i="1"/>
  <c r="AD718" i="1"/>
  <c r="AG151" i="1"/>
  <c r="AG361" i="1"/>
  <c r="AG722" i="1"/>
  <c r="AG161" i="1"/>
  <c r="AG376" i="1"/>
  <c r="AG723" i="1"/>
  <c r="AG227" i="1"/>
  <c r="AG656" i="1"/>
  <c r="AG205" i="1"/>
  <c r="AG431" i="1"/>
  <c r="AG920" i="1"/>
  <c r="AG422" i="1"/>
  <c r="AG857" i="1"/>
  <c r="AG319" i="1"/>
  <c r="AG609" i="1"/>
  <c r="AG859" i="1"/>
  <c r="AG500" i="1"/>
  <c r="AG748" i="1"/>
  <c r="AG980" i="1"/>
  <c r="AG517" i="1"/>
  <c r="AG789" i="1"/>
  <c r="AG997" i="1"/>
  <c r="AG582" i="1"/>
  <c r="AG814" i="1"/>
  <c r="AG1030" i="1"/>
  <c r="AG839" i="1"/>
  <c r="AG1039" i="1"/>
  <c r="AD1092" i="1"/>
  <c r="AD666" i="1"/>
  <c r="AD1035" i="1"/>
  <c r="AD649" i="1"/>
  <c r="AD832" i="1"/>
  <c r="AD967" i="1"/>
  <c r="AD791" i="1"/>
  <c r="AD678" i="1"/>
  <c r="AD717" i="1"/>
  <c r="AD824" i="1"/>
  <c r="AD1046" i="1"/>
  <c r="AD599" i="1"/>
  <c r="AD846" i="1"/>
  <c r="AD987" i="1"/>
  <c r="AD777" i="1"/>
  <c r="AD986" i="1"/>
  <c r="AD632" i="1"/>
  <c r="AD910" i="1"/>
  <c r="AD1062" i="1"/>
  <c r="AD1015" i="1"/>
  <c r="AD931" i="1"/>
  <c r="AD735" i="1"/>
  <c r="AD583" i="1"/>
  <c r="AD1027" i="1"/>
  <c r="AD806" i="1"/>
  <c r="AD654" i="1"/>
  <c r="AD797" i="1"/>
  <c r="AG472" i="1"/>
  <c r="AD997" i="1"/>
  <c r="AD1043" i="1"/>
  <c r="AD1007" i="1"/>
  <c r="AD941" i="1"/>
  <c r="AD670" i="1"/>
  <c r="AD746" i="1"/>
  <c r="AD808" i="1"/>
  <c r="AD965" i="1"/>
  <c r="AD769" i="1"/>
  <c r="AD976" i="1"/>
  <c r="AD768" i="1"/>
  <c r="AD616" i="1"/>
  <c r="AD918" i="1"/>
  <c r="AD1102" i="1"/>
  <c r="AD1031" i="1"/>
  <c r="AG191" i="1"/>
  <c r="AD909" i="1"/>
  <c r="AD727" i="1"/>
  <c r="AG963" i="1"/>
  <c r="AG320" i="1"/>
  <c r="AD1004" i="1"/>
  <c r="AD798" i="1"/>
  <c r="AD614" i="1"/>
  <c r="AG235" i="1"/>
  <c r="AG522" i="1"/>
  <c r="AG1024" i="1"/>
  <c r="AG248" i="1"/>
  <c r="AG523" i="1"/>
  <c r="AG135" i="1"/>
  <c r="AG338" i="1"/>
  <c r="AG117" i="1"/>
  <c r="AG317" i="1"/>
  <c r="AG648" i="1"/>
  <c r="AG1096" i="1"/>
  <c r="AG594" i="1"/>
  <c r="AG231" i="1"/>
  <c r="AG433" i="1"/>
  <c r="AG874" i="1"/>
  <c r="AG1051" i="1"/>
  <c r="AG612" i="1"/>
  <c r="AG884" i="1"/>
  <c r="AG1084" i="1"/>
  <c r="AG653" i="1"/>
  <c r="AG885" i="1"/>
  <c r="AG1101" i="1"/>
  <c r="AG726" i="1"/>
  <c r="AG926" i="1"/>
  <c r="AG703" i="1"/>
  <c r="AG927" i="1"/>
  <c r="AD829" i="1"/>
  <c r="AG787" i="1"/>
  <c r="AD1058" i="1"/>
  <c r="AD833" i="1"/>
  <c r="AD1068" i="1"/>
  <c r="AD680" i="1"/>
  <c r="AD1077" i="1"/>
  <c r="AD1038" i="1"/>
  <c r="AD607" i="1"/>
  <c r="AD862" i="1"/>
  <c r="AD817" i="1"/>
  <c r="AD640" i="1"/>
  <c r="AD1093" i="1"/>
  <c r="AD775" i="1"/>
  <c r="AD1041" i="1"/>
  <c r="AD913" i="1"/>
  <c r="AD753" i="1"/>
  <c r="AD954" i="1"/>
  <c r="AD760" i="1"/>
  <c r="AD576" i="1"/>
  <c r="AD934" i="1"/>
  <c r="AD887" i="1"/>
  <c r="AD1071" i="1"/>
  <c r="AD863" i="1"/>
  <c r="AD711" i="1"/>
  <c r="AD952" i="1"/>
  <c r="AD782" i="1"/>
  <c r="AD606" i="1"/>
  <c r="AD579" i="1"/>
  <c r="AD882" i="1"/>
  <c r="AD995" i="1"/>
  <c r="AD901" i="1"/>
  <c r="AD713" i="1"/>
  <c r="AD900" i="1"/>
  <c r="AD744" i="1"/>
  <c r="AD568" i="1"/>
  <c r="AD974" i="1"/>
  <c r="AD903" i="1"/>
  <c r="AD1079" i="1"/>
  <c r="AD855" i="1"/>
  <c r="AD671" i="1"/>
  <c r="AD940" i="1"/>
  <c r="AD742" i="1"/>
  <c r="AD590" i="1"/>
  <c r="AD602" i="1"/>
  <c r="AD925" i="1"/>
  <c r="CL52" i="13"/>
  <c r="CL130" i="2"/>
  <c r="CJ169" i="2"/>
  <c r="CJ173" i="2" s="1"/>
  <c r="CL128" i="2"/>
  <c r="AD588" i="1"/>
  <c r="AD643" i="1"/>
  <c r="AD724" i="1"/>
  <c r="AD813" i="1"/>
  <c r="AD897" i="1"/>
  <c r="AD1003" i="1"/>
  <c r="AD1072" i="1"/>
  <c r="AD977" i="1"/>
  <c r="AD891" i="1"/>
  <c r="AD825" i="1"/>
  <c r="AD761" i="1"/>
  <c r="AD697" i="1"/>
  <c r="AD1057" i="1"/>
  <c r="AD964" i="1"/>
  <c r="AD880" i="1"/>
  <c r="AD816" i="1"/>
  <c r="AD752" i="1"/>
  <c r="AD688" i="1"/>
  <c r="AD624" i="1"/>
  <c r="AD1021" i="1"/>
  <c r="AD1085" i="1"/>
  <c r="AD926" i="1"/>
  <c r="AD990" i="1"/>
  <c r="AD1054" i="1"/>
  <c r="AD895" i="1"/>
  <c r="AD959" i="1"/>
  <c r="AD1023" i="1"/>
  <c r="AD1087" i="1"/>
  <c r="AD1005" i="1"/>
  <c r="AD921" i="1"/>
  <c r="AD847" i="1"/>
  <c r="AD783" i="1"/>
  <c r="AD719" i="1"/>
  <c r="AD655" i="1"/>
  <c r="AD591" i="1"/>
  <c r="AD1016" i="1"/>
  <c r="AD930" i="1"/>
  <c r="AD854" i="1"/>
  <c r="AD790" i="1"/>
  <c r="AD726" i="1"/>
  <c r="AD662" i="1"/>
  <c r="AD598" i="1"/>
  <c r="AD594" i="1"/>
  <c r="AD659" i="1"/>
  <c r="AD739" i="1"/>
  <c r="AD819" i="1"/>
  <c r="AD905" i="1"/>
  <c r="AD1012" i="1"/>
  <c r="AG371" i="1"/>
  <c r="AD1044" i="1"/>
  <c r="AD809" i="1"/>
  <c r="AD944" i="1"/>
  <c r="AD736" i="1"/>
  <c r="AD1037" i="1"/>
  <c r="AD1006" i="1"/>
  <c r="AD975" i="1"/>
  <c r="AD899" i="1"/>
  <c r="AD703" i="1"/>
  <c r="AD908" i="1"/>
  <c r="AD710" i="1"/>
  <c r="AD675" i="1"/>
  <c r="AD936" i="1"/>
  <c r="AD1033" i="1"/>
  <c r="AD945" i="1"/>
  <c r="AD865" i="1"/>
  <c r="AD801" i="1"/>
  <c r="AD737" i="1"/>
  <c r="AD673" i="1"/>
  <c r="AD1018" i="1"/>
  <c r="AD932" i="1"/>
  <c r="AD856" i="1"/>
  <c r="AD792" i="1"/>
  <c r="AD728" i="1"/>
  <c r="AD664" i="1"/>
  <c r="AD600" i="1"/>
  <c r="AD1045" i="1"/>
  <c r="AD886" i="1"/>
  <c r="AD950" i="1"/>
  <c r="AD1014" i="1"/>
  <c r="AD1078" i="1"/>
  <c r="AD919" i="1"/>
  <c r="AD983" i="1"/>
  <c r="AD1047" i="1"/>
  <c r="AD1067" i="1"/>
  <c r="AD973" i="1"/>
  <c r="AD889" i="1"/>
  <c r="AD823" i="1"/>
  <c r="AD759" i="1"/>
  <c r="AD695" i="1"/>
  <c r="AD631" i="1"/>
  <c r="AD567" i="1"/>
  <c r="AD1080" i="1"/>
  <c r="AD984" i="1"/>
  <c r="AD898" i="1"/>
  <c r="AD830" i="1"/>
  <c r="AD766" i="1"/>
  <c r="AD702" i="1"/>
  <c r="AD638" i="1"/>
  <c r="AD574" i="1"/>
  <c r="AD617" i="1"/>
  <c r="AD690" i="1"/>
  <c r="AD770" i="1"/>
  <c r="AD850" i="1"/>
  <c r="AD947" i="1"/>
  <c r="AD1073" i="1"/>
  <c r="AG979" i="1"/>
  <c r="AD873" i="1"/>
  <c r="AD681" i="1"/>
  <c r="AD1032" i="1"/>
  <c r="AD800" i="1"/>
  <c r="AD608" i="1"/>
  <c r="AD942" i="1"/>
  <c r="AD911" i="1"/>
  <c r="AD1103" i="1"/>
  <c r="AD985" i="1"/>
  <c r="AD767" i="1"/>
  <c r="AD575" i="1"/>
  <c r="AD994" i="1"/>
  <c r="AD774" i="1"/>
  <c r="AD582" i="1"/>
  <c r="AD762" i="1"/>
  <c r="AD1048" i="1"/>
  <c r="AD1019" i="1"/>
  <c r="AD933" i="1"/>
  <c r="AD857" i="1"/>
  <c r="AD793" i="1"/>
  <c r="AD729" i="1"/>
  <c r="AD665" i="1"/>
  <c r="AD1008" i="1"/>
  <c r="AD922" i="1"/>
  <c r="AD848" i="1"/>
  <c r="AD784" i="1"/>
  <c r="AD720" i="1"/>
  <c r="AD656" i="1"/>
  <c r="AD592" i="1"/>
  <c r="AD1053" i="1"/>
  <c r="AD894" i="1"/>
  <c r="AD958" i="1"/>
  <c r="AD1022" i="1"/>
  <c r="AD1086" i="1"/>
  <c r="AD927" i="1"/>
  <c r="AD991" i="1"/>
  <c r="AD1055" i="1"/>
  <c r="AD1056" i="1"/>
  <c r="AD963" i="1"/>
  <c r="AD879" i="1"/>
  <c r="AD815" i="1"/>
  <c r="AD751" i="1"/>
  <c r="AD687" i="1"/>
  <c r="AD623" i="1"/>
  <c r="AD1066" i="1"/>
  <c r="AD972" i="1"/>
  <c r="AD888" i="1"/>
  <c r="AD822" i="1"/>
  <c r="AD758" i="1"/>
  <c r="AD694" i="1"/>
  <c r="AD630" i="1"/>
  <c r="AD566" i="1"/>
  <c r="AD569" i="1"/>
  <c r="AD619" i="1"/>
  <c r="AD692" i="1"/>
  <c r="AD778" i="1"/>
  <c r="AD866" i="1"/>
  <c r="AD968" i="1"/>
  <c r="AD1084" i="1"/>
  <c r="AD955" i="1"/>
  <c r="AD745" i="1"/>
  <c r="AD864" i="1"/>
  <c r="AD672" i="1"/>
  <c r="AD1101" i="1"/>
  <c r="AD1070" i="1"/>
  <c r="AD1039" i="1"/>
  <c r="AD1081" i="1"/>
  <c r="AD831" i="1"/>
  <c r="AD639" i="1"/>
  <c r="AD1091" i="1"/>
  <c r="AD838" i="1"/>
  <c r="AD646" i="1"/>
  <c r="AD605" i="1"/>
  <c r="AD842" i="1"/>
  <c r="AD1009" i="1"/>
  <c r="AD923" i="1"/>
  <c r="AD849" i="1"/>
  <c r="AD785" i="1"/>
  <c r="AD721" i="1"/>
  <c r="AD657" i="1"/>
  <c r="AD1096" i="1"/>
  <c r="AD996" i="1"/>
  <c r="AD912" i="1"/>
  <c r="AD840" i="1"/>
  <c r="AD776" i="1"/>
  <c r="AD712" i="1"/>
  <c r="AD648" i="1"/>
  <c r="AD584" i="1"/>
  <c r="AD1061" i="1"/>
  <c r="AD902" i="1"/>
  <c r="AD966" i="1"/>
  <c r="AD1030" i="1"/>
  <c r="AD1094" i="1"/>
  <c r="AD935" i="1"/>
  <c r="AD999" i="1"/>
  <c r="AD1063" i="1"/>
  <c r="AD1042" i="1"/>
  <c r="AD953" i="1"/>
  <c r="AD871" i="1"/>
  <c r="AD807" i="1"/>
  <c r="AD743" i="1"/>
  <c r="AD679" i="1"/>
  <c r="AD615" i="1"/>
  <c r="AD1052" i="1"/>
  <c r="AD962" i="1"/>
  <c r="AD878" i="1"/>
  <c r="AD814" i="1"/>
  <c r="AD750" i="1"/>
  <c r="AD686" i="1"/>
  <c r="AD622" i="1"/>
  <c r="AD577" i="1"/>
  <c r="AD628" i="1"/>
  <c r="AD708" i="1"/>
  <c r="AD788" i="1"/>
  <c r="AD868" i="1"/>
  <c r="AD970" i="1"/>
  <c r="AD1098" i="1"/>
  <c r="BW5" i="34"/>
  <c r="BW5" i="33"/>
  <c r="AD5" i="19"/>
  <c r="AD5" i="33"/>
  <c r="AD5" i="34"/>
  <c r="BR5" i="12"/>
  <c r="BR5" i="33"/>
  <c r="BR5" i="34"/>
  <c r="Y5" i="34"/>
  <c r="Y5" i="33"/>
  <c r="AI5" i="12"/>
  <c r="AI5" i="34"/>
  <c r="AI5" i="33"/>
  <c r="O5" i="33"/>
  <c r="O5" i="34"/>
  <c r="T5" i="18"/>
  <c r="T5" i="33"/>
  <c r="T5" i="34"/>
  <c r="BM5" i="19"/>
  <c r="BM5" i="34"/>
  <c r="BM5" i="33"/>
  <c r="AN5" i="34"/>
  <c r="AN5" i="33"/>
  <c r="BC5" i="18"/>
  <c r="BC5" i="34"/>
  <c r="BC5" i="33"/>
  <c r="BZ5" i="25"/>
  <c r="CB12" i="25" s="1"/>
  <c r="BH5" i="34"/>
  <c r="BH5" i="33"/>
  <c r="AG5" i="25"/>
  <c r="AS5" i="34"/>
  <c r="AS5" i="33"/>
  <c r="CL5" i="34"/>
  <c r="CL5" i="33"/>
  <c r="AX5" i="34"/>
  <c r="AX5" i="33"/>
  <c r="BQ55" i="31"/>
  <c r="BQ57" i="31" s="1"/>
  <c r="BQ96" i="32"/>
  <c r="BQ98" i="32" s="1"/>
  <c r="BQ177" i="2"/>
  <c r="BQ179" i="2" s="1"/>
  <c r="BQ76" i="30"/>
  <c r="BQ78" i="30" s="1"/>
  <c r="CD74" i="33"/>
  <c r="CD76" i="33" s="1"/>
  <c r="CD92" i="33" s="1"/>
  <c r="CD79" i="34"/>
  <c r="CD179" i="2"/>
  <c r="CD55" i="31"/>
  <c r="CD57" i="31" s="1"/>
  <c r="CD58" i="31" s="1"/>
  <c r="CD96" i="32"/>
  <c r="CD98" i="32" s="1"/>
  <c r="CD76" i="30"/>
  <c r="CD78" i="30" s="1"/>
  <c r="BP196" i="30"/>
  <c r="BP197" i="34"/>
  <c r="BX74" i="33"/>
  <c r="BX177" i="2"/>
  <c r="CB177" i="2" s="1"/>
  <c r="CB178" i="2" s="1"/>
  <c r="BX55" i="31"/>
  <c r="BX96" i="32"/>
  <c r="BX76" i="30"/>
  <c r="CB76" i="30" s="1"/>
  <c r="CB77" i="30" s="1"/>
  <c r="BM196" i="30"/>
  <c r="BM197" i="34"/>
  <c r="CC74" i="33"/>
  <c r="CC55" i="31"/>
  <c r="CC57" i="31" s="1"/>
  <c r="CC96" i="32"/>
  <c r="CC76" i="30"/>
  <c r="CC78" i="30" s="1"/>
  <c r="BN96" i="32"/>
  <c r="BN55" i="31"/>
  <c r="BN177" i="2"/>
  <c r="BN179" i="2" s="1"/>
  <c r="BN76" i="30"/>
  <c r="BS55" i="31"/>
  <c r="BS177" i="2"/>
  <c r="BS179" i="2" s="1"/>
  <c r="BS96" i="32"/>
  <c r="BS76" i="30"/>
  <c r="CF55" i="31"/>
  <c r="CF57" i="31" s="1"/>
  <c r="CF79" i="34"/>
  <c r="CF74" i="33"/>
  <c r="CF76" i="33" s="1"/>
  <c r="CF92" i="33" s="1"/>
  <c r="BU96" i="32"/>
  <c r="BU98" i="32" s="1"/>
  <c r="BU177" i="2"/>
  <c r="BU179" i="2" s="1"/>
  <c r="BU55" i="31"/>
  <c r="BU57" i="31" s="1"/>
  <c r="BU76" i="30"/>
  <c r="BU78" i="30" s="1"/>
  <c r="BV96" i="32"/>
  <c r="BV98" i="32" s="1"/>
  <c r="BV177" i="2"/>
  <c r="BV179" i="2" s="1"/>
  <c r="BV55" i="31"/>
  <c r="BV57" i="31" s="1"/>
  <c r="BV76" i="30"/>
  <c r="B2" i="24"/>
  <c r="E2" i="33"/>
  <c r="E2" i="34"/>
  <c r="BO96" i="32"/>
  <c r="BO98" i="32" s="1"/>
  <c r="BO55" i="31"/>
  <c r="BO57" i="31" s="1"/>
  <c r="BO177" i="2"/>
  <c r="BO179" i="2" s="1"/>
  <c r="BO76" i="30"/>
  <c r="BO78" i="30" s="1"/>
  <c r="BM178" i="30"/>
  <c r="BM187" i="30" s="1"/>
  <c r="BM179" i="34"/>
  <c r="CH52" i="2"/>
  <c r="BN196" i="30"/>
  <c r="BN197" i="34"/>
  <c r="BH196" i="30"/>
  <c r="BH197" i="34"/>
  <c r="CI74" i="33"/>
  <c r="CI169" i="2"/>
  <c r="BP96" i="32"/>
  <c r="BP98" i="32" s="1"/>
  <c r="BP55" i="31"/>
  <c r="BP57" i="31" s="1"/>
  <c r="BP177" i="2"/>
  <c r="BP179" i="2" s="1"/>
  <c r="BP76" i="30"/>
  <c r="BP78" i="30" s="1"/>
  <c r="CD173" i="2"/>
  <c r="AD570" i="1"/>
  <c r="AD580" i="1"/>
  <c r="AD596" i="1"/>
  <c r="AD610" i="1"/>
  <c r="AD621" i="1"/>
  <c r="AD642" i="1"/>
  <c r="AD660" i="1"/>
  <c r="AD685" i="1"/>
  <c r="AD701" i="1"/>
  <c r="AD722" i="1"/>
  <c r="AD740" i="1"/>
  <c r="AD765" i="1"/>
  <c r="AD787" i="1"/>
  <c r="AD803" i="1"/>
  <c r="AD820" i="1"/>
  <c r="AD845" i="1"/>
  <c r="AD867" i="1"/>
  <c r="AD892" i="1"/>
  <c r="AD914" i="1"/>
  <c r="AD939" i="1"/>
  <c r="AD969" i="1"/>
  <c r="AD1000" i="1"/>
  <c r="AD1034" i="1"/>
  <c r="AD1059" i="1"/>
  <c r="AD1088" i="1"/>
  <c r="AG200" i="1"/>
  <c r="AG448" i="1"/>
  <c r="AG945" i="1"/>
  <c r="AD564" i="1"/>
  <c r="AD578" i="1"/>
  <c r="AD589" i="1"/>
  <c r="AD603" i="1"/>
  <c r="AD618" i="1"/>
  <c r="AD635" i="1"/>
  <c r="AD650" i="1"/>
  <c r="AD669" i="1"/>
  <c r="AD691" i="1"/>
  <c r="AD714" i="1"/>
  <c r="AD738" i="1"/>
  <c r="AD754" i="1"/>
  <c r="AD771" i="1"/>
  <c r="AD794" i="1"/>
  <c r="AD818" i="1"/>
  <c r="AD836" i="1"/>
  <c r="AD852" i="1"/>
  <c r="AD874" i="1"/>
  <c r="AD904" i="1"/>
  <c r="AD928" i="1"/>
  <c r="AD961" i="1"/>
  <c r="AD981" i="1"/>
  <c r="AD1010" i="1"/>
  <c r="AD1036" i="1"/>
  <c r="AD1076" i="1"/>
  <c r="AG121" i="1"/>
  <c r="AG330" i="1"/>
  <c r="AG683" i="1"/>
  <c r="CL84" i="13"/>
  <c r="CI179" i="2"/>
  <c r="CK179" i="2"/>
  <c r="CF96" i="32"/>
  <c r="CF98" i="32" s="1"/>
  <c r="CF76" i="30"/>
  <c r="Y5" i="12"/>
  <c r="BV49" i="2"/>
  <c r="BW49" i="2" s="1"/>
  <c r="AV5" i="25"/>
  <c r="AX12" i="25" s="1"/>
  <c r="CO5" i="25"/>
  <c r="BR129" i="2"/>
  <c r="BT98" i="32"/>
  <c r="BT100" i="32" s="1"/>
  <c r="BT78" i="30"/>
  <c r="BO118" i="2"/>
  <c r="BO169" i="2" s="1"/>
  <c r="BO196" i="30"/>
  <c r="CL149" i="2"/>
  <c r="AX5" i="12"/>
  <c r="AV69" i="30"/>
  <c r="AZ69" i="30"/>
  <c r="BE70" i="30" s="1"/>
  <c r="BB69" i="30"/>
  <c r="BJ69" i="30"/>
  <c r="BF69" i="30"/>
  <c r="BK69" i="30"/>
  <c r="BG69" i="30"/>
  <c r="CE98" i="32"/>
  <c r="CA98" i="32"/>
  <c r="CA78" i="30"/>
  <c r="BY98" i="32"/>
  <c r="BY78" i="30"/>
  <c r="BY80" i="30" s="1"/>
  <c r="BJ68" i="30"/>
  <c r="BE68" i="30"/>
  <c r="BL69" i="30"/>
  <c r="AY69" i="30"/>
  <c r="AW69" i="30"/>
  <c r="BI69" i="30"/>
  <c r="BR69" i="30"/>
  <c r="BA69" i="30"/>
  <c r="BD68" i="30"/>
  <c r="BI68" i="30"/>
  <c r="BV169" i="2"/>
  <c r="BV173" i="2" s="1"/>
  <c r="BV52" i="2" s="1"/>
  <c r="EW5" i="25"/>
  <c r="BT169" i="2"/>
  <c r="BT173" i="2" s="1"/>
  <c r="BT52" i="2" s="1"/>
  <c r="BC5" i="19"/>
  <c r="BW144" i="2"/>
  <c r="BU169" i="2"/>
  <c r="BU173" i="2" s="1"/>
  <c r="BU52" i="2" s="1"/>
  <c r="CE173" i="2"/>
  <c r="BR5" i="19"/>
  <c r="CG170" i="2"/>
  <c r="T5" i="13"/>
  <c r="BS173" i="2"/>
  <c r="BS52" i="2" s="1"/>
  <c r="CG171" i="2"/>
  <c r="BM130" i="2"/>
  <c r="N15" i="1"/>
  <c r="N48" i="1" s="1"/>
  <c r="Y5" i="13"/>
  <c r="BR128" i="2"/>
  <c r="Y5" i="18"/>
  <c r="BC78" i="2"/>
  <c r="CB128" i="2"/>
  <c r="Y5" i="19"/>
  <c r="BH5" i="18"/>
  <c r="BH5" i="19"/>
  <c r="T5" i="19"/>
  <c r="BR148" i="2"/>
  <c r="BH5" i="13"/>
  <c r="CL5" i="19"/>
  <c r="CJ15" i="19" s="1"/>
  <c r="BR149" i="2"/>
  <c r="BW148" i="2"/>
  <c r="CG5" i="18"/>
  <c r="AX5" i="18"/>
  <c r="BK5" i="25"/>
  <c r="BR146" i="2"/>
  <c r="L15" i="1"/>
  <c r="L35" i="1" s="1"/>
  <c r="BC5" i="12"/>
  <c r="AN5" i="32"/>
  <c r="AN5" i="30"/>
  <c r="AN5" i="31"/>
  <c r="O5" i="30"/>
  <c r="O5" i="32"/>
  <c r="O5" i="31"/>
  <c r="AN5" i="18"/>
  <c r="AD5" i="18"/>
  <c r="AD5" i="31"/>
  <c r="AD5" i="32"/>
  <c r="AD5" i="30"/>
  <c r="BM5" i="32"/>
  <c r="BM5" i="31"/>
  <c r="BM5" i="30"/>
  <c r="AD5" i="13"/>
  <c r="AS5" i="13"/>
  <c r="BM5" i="18"/>
  <c r="AI5" i="31"/>
  <c r="AI5" i="32"/>
  <c r="AI5" i="30"/>
  <c r="BR5" i="31"/>
  <c r="BR5" i="32"/>
  <c r="BR5" i="30"/>
  <c r="BR47" i="2"/>
  <c r="BW129" i="2"/>
  <c r="BW149" i="2"/>
  <c r="R5" i="25"/>
  <c r="CG5" i="12"/>
  <c r="CG5" i="31"/>
  <c r="CG5" i="32"/>
  <c r="CG5" i="30"/>
  <c r="AD5" i="12"/>
  <c r="CG5" i="19"/>
  <c r="BM5" i="12"/>
  <c r="T5" i="12"/>
  <c r="T5" i="31"/>
  <c r="T5" i="32"/>
  <c r="T5" i="30"/>
  <c r="BC5" i="32"/>
  <c r="BC5" i="30"/>
  <c r="BC5" i="31"/>
  <c r="BW5" i="31"/>
  <c r="BW5" i="32"/>
  <c r="BW5" i="30"/>
  <c r="AX5" i="32"/>
  <c r="AX5" i="31"/>
  <c r="AX5" i="30"/>
  <c r="AX5" i="13"/>
  <c r="O15" i="1"/>
  <c r="O35" i="1" s="1"/>
  <c r="BC48" i="2"/>
  <c r="Y5" i="32"/>
  <c r="Y5" i="30"/>
  <c r="Y5" i="31"/>
  <c r="CL5" i="12"/>
  <c r="CL5" i="32"/>
  <c r="CL5" i="31"/>
  <c r="CL5" i="30"/>
  <c r="V15" i="1"/>
  <c r="AW49" i="2"/>
  <c r="AX49" i="2" s="1"/>
  <c r="BW5" i="12"/>
  <c r="AS5" i="32"/>
  <c r="AS5" i="30"/>
  <c r="AS5" i="31"/>
  <c r="O5" i="18"/>
  <c r="AS5" i="18"/>
  <c r="O5" i="19"/>
  <c r="AX5" i="19"/>
  <c r="BM5" i="13"/>
  <c r="BH5" i="12"/>
  <c r="BH5" i="31"/>
  <c r="BH5" i="32"/>
  <c r="BH5" i="30"/>
  <c r="BO58" i="30"/>
  <c r="BT59" i="30" s="1"/>
  <c r="BN58" i="30"/>
  <c r="BS59" i="30" s="1"/>
  <c r="BK58" i="30"/>
  <c r="BK61" i="30" s="1"/>
  <c r="BP62" i="30" s="1"/>
  <c r="BP58" i="30"/>
  <c r="BU59" i="30" s="1"/>
  <c r="BL58" i="30"/>
  <c r="BL61" i="30" s="1"/>
  <c r="BQ62" i="30" s="1"/>
  <c r="BM52" i="13"/>
  <c r="AD130" i="2"/>
  <c r="AN68" i="2"/>
  <c r="AN69" i="13" s="1"/>
  <c r="J10" i="21" s="1"/>
  <c r="AI68" i="2"/>
  <c r="AI69" i="13" s="1"/>
  <c r="I10" i="21" s="1"/>
  <c r="AX68" i="2"/>
  <c r="AX69" i="13" s="1"/>
  <c r="L10" i="21" s="1"/>
  <c r="BC68" i="2"/>
  <c r="BC69" i="13" s="1"/>
  <c r="M10" i="21" s="1"/>
  <c r="BR68" i="2"/>
  <c r="BR69" i="13" s="1"/>
  <c r="P10" i="21" s="1"/>
  <c r="Y130" i="2"/>
  <c r="Y134" i="2" s="1"/>
  <c r="AI10" i="13"/>
  <c r="AI130" i="2" s="1"/>
  <c r="AS10" i="13"/>
  <c r="AS130" i="2" s="1"/>
  <c r="BY118" i="2"/>
  <c r="BY169" i="2" s="1"/>
  <c r="CB133" i="2"/>
  <c r="BN69" i="2"/>
  <c r="BR69" i="2" s="1"/>
  <c r="BR54" i="13" s="1"/>
  <c r="AS68" i="2"/>
  <c r="AS69" i="13" s="1"/>
  <c r="K10" i="21" s="1"/>
  <c r="BH68" i="2"/>
  <c r="BH69" i="13" s="1"/>
  <c r="N10" i="21" s="1"/>
  <c r="E2" i="25"/>
  <c r="E2" i="30"/>
  <c r="E2" i="31"/>
  <c r="E2" i="32"/>
  <c r="BN118" i="2"/>
  <c r="BN169" i="2" s="1"/>
  <c r="BI58" i="30"/>
  <c r="BJ58" i="30"/>
  <c r="BJ61" i="30" s="1"/>
  <c r="BQ58" i="30"/>
  <c r="BQ12" i="2"/>
  <c r="CL11" i="13"/>
  <c r="CG133" i="2"/>
  <c r="CG83" i="13"/>
  <c r="BW87" i="13"/>
  <c r="BW74" i="13" s="1"/>
  <c r="CG87" i="13"/>
  <c r="CG74" i="13" s="1"/>
  <c r="BR59" i="13"/>
  <c r="BT88" i="13"/>
  <c r="Y73" i="13"/>
  <c r="AW86" i="13"/>
  <c r="CL87" i="13"/>
  <c r="CL74" i="13" s="1"/>
  <c r="BM59" i="13"/>
  <c r="BM73" i="13"/>
  <c r="AN73" i="13"/>
  <c r="AN59" i="13"/>
  <c r="AX73" i="13"/>
  <c r="AX59" i="13"/>
  <c r="BH60" i="13"/>
  <c r="BH74" i="13"/>
  <c r="BC59" i="13"/>
  <c r="AW87" i="13"/>
  <c r="CB87" i="13"/>
  <c r="CB74" i="13" s="1"/>
  <c r="CG86" i="13"/>
  <c r="CG73" i="13" s="1"/>
  <c r="CB86" i="13"/>
  <c r="CB73" i="13" s="1"/>
  <c r="CL86" i="13"/>
  <c r="CL73" i="13" s="1"/>
  <c r="CK25" i="12"/>
  <c r="CL25" i="12" s="1"/>
  <c r="CM25" i="12" s="1"/>
  <c r="CN25" i="12" s="1"/>
  <c r="CO25" i="12" s="1"/>
  <c r="CP25" i="12" s="1"/>
  <c r="CQ25" i="12" s="1"/>
  <c r="CR25" i="12" s="1"/>
  <c r="CS25" i="12" s="1"/>
  <c r="CT25" i="12" s="1"/>
  <c r="CU25" i="12" s="1"/>
  <c r="CV25" i="12" s="1"/>
  <c r="CK22" i="12"/>
  <c r="CL22" i="12" s="1"/>
  <c r="CM22" i="12" s="1"/>
  <c r="CN22" i="12" s="1"/>
  <c r="CO22" i="12" s="1"/>
  <c r="CP22" i="12" s="1"/>
  <c r="CQ22" i="12" s="1"/>
  <c r="CG149" i="2"/>
  <c r="E2" i="18"/>
  <c r="E2" i="12"/>
  <c r="E2" i="13"/>
  <c r="E2" i="19"/>
  <c r="BH102" i="2"/>
  <c r="BR102" i="2"/>
  <c r="CB102" i="2"/>
  <c r="CL102" i="2"/>
  <c r="CG146" i="2"/>
  <c r="CG128" i="2"/>
  <c r="BU11" i="2"/>
  <c r="BQ11" i="2"/>
  <c r="AS26" i="2"/>
  <c r="CB70" i="13"/>
  <c r="R11" i="21" s="1"/>
  <c r="R48" i="1"/>
  <c r="T57" i="2"/>
  <c r="T66" i="2" s="1"/>
  <c r="T83" i="2" s="1"/>
  <c r="T65" i="2"/>
  <c r="BC71" i="2"/>
  <c r="BR49" i="2"/>
  <c r="BH69" i="2"/>
  <c r="BH54" i="13" s="1"/>
  <c r="CG16" i="13"/>
  <c r="CG57" i="13"/>
  <c r="CG129" i="2"/>
  <c r="CG148" i="2"/>
  <c r="CG23" i="12"/>
  <c r="CG14" i="12"/>
  <c r="R35" i="1"/>
  <c r="R7" i="1"/>
  <c r="R42" i="1" s="1"/>
  <c r="AB18" i="21"/>
  <c r="CG30" i="13"/>
  <c r="AX38" i="13"/>
  <c r="BR60" i="13"/>
  <c r="Y82" i="13"/>
  <c r="AX74" i="13"/>
  <c r="BV145" i="2"/>
  <c r="BR52" i="13"/>
  <c r="BC28" i="13"/>
  <c r="BC30" i="13" s="1"/>
  <c r="AN28" i="13"/>
  <c r="AN30" i="13" s="1"/>
  <c r="BM58" i="13"/>
  <c r="BH85" i="13"/>
  <c r="BH52" i="13"/>
  <c r="CG21" i="12"/>
  <c r="CG63" i="18"/>
  <c r="BC83" i="13"/>
  <c r="BC70" i="13"/>
  <c r="M11" i="21" s="1"/>
  <c r="BW118" i="2"/>
  <c r="BW70" i="13"/>
  <c r="Q11" i="21" s="1"/>
  <c r="BW56" i="13"/>
  <c r="S12" i="21"/>
  <c r="CI83" i="13"/>
  <c r="CL83" i="13" s="1"/>
  <c r="AN83" i="13"/>
  <c r="CC30" i="13"/>
  <c r="BH53" i="13"/>
  <c r="BW72" i="13"/>
  <c r="Q13" i="21" s="1"/>
  <c r="BW57" i="13"/>
  <c r="AD40" i="13"/>
  <c r="BH72" i="13"/>
  <c r="N13" i="21" s="1"/>
  <c r="BQ145" i="2"/>
  <c r="AS73" i="13"/>
  <c r="AO130" i="2"/>
  <c r="BH38" i="13"/>
  <c r="BM28" i="13"/>
  <c r="BM30" i="13" s="1"/>
  <c r="CK30" i="13"/>
  <c r="AO40" i="13"/>
  <c r="AS40" i="13" s="1"/>
  <c r="BR53" i="13"/>
  <c r="BR70" i="13"/>
  <c r="P11" i="21" s="1"/>
  <c r="BM72" i="13"/>
  <c r="O13" i="21" s="1"/>
  <c r="AD82" i="13"/>
  <c r="AN10" i="13"/>
  <c r="AS28" i="13"/>
  <c r="AS30" i="13" s="1"/>
  <c r="CB72" i="13"/>
  <c r="R13" i="21" s="1"/>
  <c r="BM74" i="13"/>
  <c r="AI59" i="13"/>
  <c r="BM54" i="13"/>
  <c r="BP118" i="2"/>
  <c r="BP169" i="2" s="1"/>
  <c r="BM157" i="2"/>
  <c r="BH157" i="2"/>
  <c r="BY59" i="12"/>
  <c r="AR22" i="2"/>
  <c r="AR36" i="2" s="1"/>
  <c r="BS11" i="2"/>
  <c r="AI22" i="2"/>
  <c r="AI19" i="19" s="1"/>
  <c r="CB148" i="2"/>
  <c r="AI26" i="2"/>
  <c r="AN26" i="2"/>
  <c r="BP11" i="2"/>
  <c r="AJ36" i="2"/>
  <c r="AJ40" i="2" s="1"/>
  <c r="AX19" i="2"/>
  <c r="AX38" i="2" s="1"/>
  <c r="BC17" i="2"/>
  <c r="BR15" i="2"/>
  <c r="BR16" i="2"/>
  <c r="BH18" i="2"/>
  <c r="AI19" i="2"/>
  <c r="AI38" i="2" s="1"/>
  <c r="AX16" i="2"/>
  <c r="BL22" i="2"/>
  <c r="BL36" i="2" s="1"/>
  <c r="BL54" i="2" s="1"/>
  <c r="BM17" i="2"/>
  <c r="AY22" i="2"/>
  <c r="AY7" i="25" s="1"/>
  <c r="BH16" i="2"/>
  <c r="AX18" i="2"/>
  <c r="BW15" i="2"/>
  <c r="CG19" i="12"/>
  <c r="CG130" i="2"/>
  <c r="CG144" i="2"/>
  <c r="Z18" i="21"/>
  <c r="CB20" i="12"/>
  <c r="CB71" i="13"/>
  <c r="R12" i="21" s="1"/>
  <c r="CB146" i="2"/>
  <c r="CK145" i="2"/>
  <c r="CD145" i="2"/>
  <c r="CG53" i="13"/>
  <c r="CL144" i="2"/>
  <c r="CB63" i="18"/>
  <c r="CB58" i="13"/>
  <c r="CB33" i="12"/>
  <c r="CB16" i="13"/>
  <c r="BC69" i="2"/>
  <c r="BC54" i="13" s="1"/>
  <c r="BH71" i="2"/>
  <c r="AD36" i="2"/>
  <c r="AD54" i="2" s="1"/>
  <c r="AD57" i="2" s="1"/>
  <c r="AD66" i="2" s="1"/>
  <c r="AN49" i="2"/>
  <c r="BH49" i="2"/>
  <c r="BW102" i="2"/>
  <c r="CG102" i="2"/>
  <c r="CG11" i="13"/>
  <c r="BW72" i="2"/>
  <c r="AI69" i="2"/>
  <c r="AI54" i="13" s="1"/>
  <c r="BW11" i="13"/>
  <c r="CB11" i="13"/>
  <c r="AI49" i="2"/>
  <c r="AS49" i="2"/>
  <c r="BC72" i="2"/>
  <c r="CB71" i="2"/>
  <c r="Y65" i="2"/>
  <c r="Y57" i="2"/>
  <c r="BC49" i="2"/>
  <c r="AX69" i="2"/>
  <c r="AX54" i="13" s="1"/>
  <c r="BM102" i="2"/>
  <c r="BW71" i="2"/>
  <c r="BF72" i="2"/>
  <c r="BH72" i="2" s="1"/>
  <c r="CL71" i="2"/>
  <c r="T134" i="2"/>
  <c r="AS69" i="2"/>
  <c r="AS54" i="13" s="1"/>
  <c r="AN69" i="2"/>
  <c r="AN54" i="13" s="1"/>
  <c r="BR11" i="2"/>
  <c r="AM22" i="2"/>
  <c r="AM23" i="2" s="1"/>
  <c r="AQ36" i="2"/>
  <c r="AQ54" i="2" s="1"/>
  <c r="AO38" i="2"/>
  <c r="AS19" i="2"/>
  <c r="AS38" i="2" s="1"/>
  <c r="AN20" i="2"/>
  <c r="AN39" i="2" s="1"/>
  <c r="AJ39" i="2"/>
  <c r="BM16" i="2"/>
  <c r="BI22" i="2"/>
  <c r="BI19" i="19" s="1"/>
  <c r="AP22" i="2"/>
  <c r="AP19" i="19" s="1"/>
  <c r="AP29" i="19" s="1"/>
  <c r="AP45" i="19" s="1"/>
  <c r="AS22" i="2"/>
  <c r="AZ22" i="2"/>
  <c r="BB7" i="25" s="1"/>
  <c r="AU22" i="2"/>
  <c r="AU19" i="19" s="1"/>
  <c r="AU24" i="19" s="1"/>
  <c r="AU40" i="19" s="1"/>
  <c r="BE22" i="2"/>
  <c r="BE19" i="19" s="1"/>
  <c r="BE24" i="19" s="1"/>
  <c r="BE40" i="19" s="1"/>
  <c r="BM18" i="2"/>
  <c r="BP12" i="2"/>
  <c r="BA22" i="2"/>
  <c r="BE7" i="25" s="1"/>
  <c r="BK22" i="2"/>
  <c r="BK36" i="2" s="1"/>
  <c r="AV22" i="2"/>
  <c r="AV19" i="19" s="1"/>
  <c r="BF22" i="2"/>
  <c r="BF19" i="19" s="1"/>
  <c r="BF24" i="19" s="1"/>
  <c r="BF40" i="19" s="1"/>
  <c r="BJ22" i="2"/>
  <c r="BJ19" i="19" s="1"/>
  <c r="BB22" i="2"/>
  <c r="BH7" i="25" s="1"/>
  <c r="AW22" i="2"/>
  <c r="AW36" i="2" s="1"/>
  <c r="AW54" i="2" s="1"/>
  <c r="AW56" i="2" s="1"/>
  <c r="BG22" i="2"/>
  <c r="AO19" i="19"/>
  <c r="AO29" i="19" s="1"/>
  <c r="AO45" i="19" s="1"/>
  <c r="AO23" i="2"/>
  <c r="AH19" i="19"/>
  <c r="AH36" i="2"/>
  <c r="AH40" i="2" s="1"/>
  <c r="BX22" i="2"/>
  <c r="AN19" i="2"/>
  <c r="AN38" i="2" s="1"/>
  <c r="AS20" i="2"/>
  <c r="AS39" i="2" s="1"/>
  <c r="AT22" i="2"/>
  <c r="AT23" i="2" s="1"/>
  <c r="AO36" i="2"/>
  <c r="BV11" i="2"/>
  <c r="BX58" i="30"/>
  <c r="AI20" i="2"/>
  <c r="AI39" i="2" s="1"/>
  <c r="AE39" i="2"/>
  <c r="AX20" i="2"/>
  <c r="AX39" i="2" s="1"/>
  <c r="BC16" i="2"/>
  <c r="BD22" i="2"/>
  <c r="BD19" i="19" s="1"/>
  <c r="BH17" i="2"/>
  <c r="BR17" i="2"/>
  <c r="BC18" i="2"/>
  <c r="AX17" i="2"/>
  <c r="AL22" i="2"/>
  <c r="AE22" i="2"/>
  <c r="AF22" i="2"/>
  <c r="AK23" i="2" s="1"/>
  <c r="AG22" i="2"/>
  <c r="BY11" i="2"/>
  <c r="K11" i="1"/>
  <c r="BV59" i="12"/>
  <c r="BW59" i="12" s="1"/>
  <c r="BW40" i="12"/>
  <c r="CB13" i="18"/>
  <c r="CG58" i="13"/>
  <c r="S13" i="21"/>
  <c r="AW42" i="18"/>
  <c r="AX42" i="18" s="1"/>
  <c r="AW18" i="18"/>
  <c r="AX12" i="18"/>
  <c r="S11" i="21"/>
  <c r="CG56" i="13"/>
  <c r="EQ26" i="25"/>
  <c r="BC33" i="18"/>
  <c r="BD33" i="18"/>
  <c r="BE33" i="18" s="1"/>
  <c r="AK36" i="2"/>
  <c r="CB85" i="2"/>
  <c r="BE42" i="18"/>
  <c r="BF31" i="18"/>
  <c r="CG10" i="12"/>
  <c r="BA12" i="18"/>
  <c r="BA44" i="18"/>
  <c r="DD5" i="25"/>
  <c r="BR5" i="18"/>
  <c r="P15" i="1"/>
  <c r="BR5" i="13"/>
  <c r="BA36" i="18"/>
  <c r="BB14" i="18"/>
  <c r="J15" i="1"/>
  <c r="J35" i="1" s="1"/>
  <c r="AN5" i="13"/>
  <c r="AN5" i="12"/>
  <c r="AN5" i="19"/>
  <c r="AO40" i="12"/>
  <c r="AO59" i="12" s="1"/>
  <c r="AO22" i="18"/>
  <c r="AX13" i="18"/>
  <c r="AY13" i="18" s="1"/>
  <c r="BQ50" i="12"/>
  <c r="BR46" i="12"/>
  <c r="AM22" i="18"/>
  <c r="AN18" i="18"/>
  <c r="AD52" i="12"/>
  <c r="AS43" i="18"/>
  <c r="AO49" i="18"/>
  <c r="AV40" i="18"/>
  <c r="AX40" i="18" s="1"/>
  <c r="AG592" i="1"/>
  <c r="AG222" i="1"/>
  <c r="AG915" i="1"/>
  <c r="AG368" i="1"/>
  <c r="AG119" i="1"/>
  <c r="AG976" i="1"/>
  <c r="AG488" i="1"/>
  <c r="AG175" i="1"/>
  <c r="AG851" i="1"/>
  <c r="AG340" i="1"/>
  <c r="AG102" i="1"/>
  <c r="AG178" i="1"/>
  <c r="AG336" i="1"/>
  <c r="AG562" i="1"/>
  <c r="AG992" i="1"/>
  <c r="AG179" i="1"/>
  <c r="AG348" i="1"/>
  <c r="AG603" i="1"/>
  <c r="AG116" i="1"/>
  <c r="AG291" i="1"/>
  <c r="AG567" i="1"/>
  <c r="AG1058" i="1"/>
  <c r="AG245" i="1"/>
  <c r="AG389" i="1"/>
  <c r="AG593" i="1"/>
  <c r="AG888" i="1"/>
  <c r="AG350" i="1"/>
  <c r="AG530" i="1"/>
  <c r="AG793" i="1"/>
  <c r="AG1097" i="1"/>
  <c r="AG359" i="1"/>
  <c r="AG545" i="1"/>
  <c r="AG826" i="1"/>
  <c r="AG827" i="1"/>
  <c r="AG428" i="1"/>
  <c r="AG572" i="1"/>
  <c r="AG724" i="1"/>
  <c r="AG868" i="1"/>
  <c r="AG1012" i="1"/>
  <c r="AG485" i="1"/>
  <c r="AG629" i="1"/>
  <c r="AG773" i="1"/>
  <c r="AG917" i="1"/>
  <c r="AG1069" i="1"/>
  <c r="AG558" i="1"/>
  <c r="AG702" i="1"/>
  <c r="AG854" i="1"/>
  <c r="AG998" i="1"/>
  <c r="AG671" i="1"/>
  <c r="AG815" i="1"/>
  <c r="AG967" i="1"/>
  <c r="AR52" i="12"/>
  <c r="AS50" i="12"/>
  <c r="AS52" i="12" s="1"/>
  <c r="AG128" i="1"/>
  <c r="AG331" i="1"/>
  <c r="BR71" i="2"/>
  <c r="BN72" i="2"/>
  <c r="AG1008" i="1"/>
  <c r="AG899" i="1"/>
  <c r="AG800" i="1"/>
  <c r="AG720" i="1"/>
  <c r="AG640" i="1"/>
  <c r="AG575" i="1"/>
  <c r="AG511" i="1"/>
  <c r="AG439" i="1"/>
  <c r="AG395" i="1"/>
  <c r="AG355" i="1"/>
  <c r="AG315" i="1"/>
  <c r="AG282" i="1"/>
  <c r="AG244" i="1"/>
  <c r="AG212" i="1"/>
  <c r="AG184" i="1"/>
  <c r="AG155" i="1"/>
  <c r="AG127" i="1"/>
  <c r="AG995" i="1"/>
  <c r="AG883" i="1"/>
  <c r="AG795" i="1"/>
  <c r="AG715" i="1"/>
  <c r="AG635" i="1"/>
  <c r="AG571" i="1"/>
  <c r="AG498" i="1"/>
  <c r="AG438" i="1"/>
  <c r="AG394" i="1"/>
  <c r="AG354" i="1"/>
  <c r="AG314" i="1"/>
  <c r="AG276" i="1"/>
  <c r="AG243" i="1"/>
  <c r="AG211" i="1"/>
  <c r="AG183" i="1"/>
  <c r="AG154" i="1"/>
  <c r="AG122" i="1"/>
  <c r="AG1059" i="1"/>
  <c r="AG947" i="1"/>
  <c r="AG850" i="1"/>
  <c r="AG768" i="1"/>
  <c r="AG688" i="1"/>
  <c r="AG611" i="1"/>
  <c r="AG538" i="1"/>
  <c r="AG474" i="1"/>
  <c r="AG419" i="1"/>
  <c r="AG379" i="1"/>
  <c r="AG339" i="1"/>
  <c r="AG298" i="1"/>
  <c r="AG265" i="1"/>
  <c r="AG232" i="1"/>
  <c r="AG201" i="1"/>
  <c r="AG172" i="1"/>
  <c r="AG140" i="1"/>
  <c r="AG112" i="1"/>
  <c r="AG944" i="1"/>
  <c r="AG763" i="1"/>
  <c r="AG641" i="1"/>
  <c r="AG536" i="1"/>
  <c r="AG435" i="1"/>
  <c r="AG370" i="1"/>
  <c r="AG297" i="1"/>
  <c r="AG250" i="1"/>
  <c r="AG195" i="1"/>
  <c r="AG150" i="1"/>
  <c r="AG109" i="1"/>
  <c r="AG1043" i="1"/>
  <c r="AG912" i="1"/>
  <c r="AG755" i="1"/>
  <c r="AG631" i="1"/>
  <c r="AG535" i="1"/>
  <c r="AG418" i="1"/>
  <c r="AG356" i="1"/>
  <c r="AG296" i="1"/>
  <c r="AG242" i="1"/>
  <c r="AG194" i="1"/>
  <c r="AG139" i="1"/>
  <c r="AG101" i="1"/>
  <c r="AG1042" i="1"/>
  <c r="AG882" i="1"/>
  <c r="AG747" i="1"/>
  <c r="AG601" i="1"/>
  <c r="AG512" i="1"/>
  <c r="AG417" i="1"/>
  <c r="AG353" i="1"/>
  <c r="AG294" i="1"/>
  <c r="AG230" i="1"/>
  <c r="AG185" i="1"/>
  <c r="AG138" i="1"/>
  <c r="AG1041" i="1"/>
  <c r="AG849" i="1"/>
  <c r="AG721" i="1"/>
  <c r="AG600" i="1"/>
  <c r="AG497" i="1"/>
  <c r="AG410" i="1"/>
  <c r="AG332" i="1"/>
  <c r="AG283" i="1"/>
  <c r="AG228" i="1"/>
  <c r="AG182" i="1"/>
  <c r="AG137" i="1"/>
  <c r="AG1079" i="1"/>
  <c r="AG1015" i="1"/>
  <c r="AG951" i="1"/>
  <c r="AG887" i="1"/>
  <c r="AG823" i="1"/>
  <c r="AG759" i="1"/>
  <c r="AG695" i="1"/>
  <c r="AG1102" i="1"/>
  <c r="AG1038" i="1"/>
  <c r="AG974" i="1"/>
  <c r="AG910" i="1"/>
  <c r="AG846" i="1"/>
  <c r="AG782" i="1"/>
  <c r="AG718" i="1"/>
  <c r="AG654" i="1"/>
  <c r="AG590" i="1"/>
  <c r="AG526" i="1"/>
  <c r="AG462" i="1"/>
  <c r="AG1053" i="1"/>
  <c r="AG989" i="1"/>
  <c r="AG925" i="1"/>
  <c r="AG861" i="1"/>
  <c r="AG797" i="1"/>
  <c r="AG733" i="1"/>
  <c r="AG669" i="1"/>
  <c r="AG605" i="1"/>
  <c r="AG541" i="1"/>
  <c r="AG477" i="1"/>
  <c r="AG1092" i="1"/>
  <c r="AG1028" i="1"/>
  <c r="AG964" i="1"/>
  <c r="AG900" i="1"/>
  <c r="AG836" i="1"/>
  <c r="AG772" i="1"/>
  <c r="AG708" i="1"/>
  <c r="AG644" i="1"/>
  <c r="AG580" i="1"/>
  <c r="AG516" i="1"/>
  <c r="AG452" i="1"/>
  <c r="AG1035" i="1"/>
  <c r="AG907" i="1"/>
  <c r="AG1066" i="1"/>
  <c r="AG938" i="1"/>
  <c r="AG810" i="1"/>
  <c r="AG682" i="1"/>
  <c r="AG570" i="1"/>
  <c r="AG467" i="1"/>
  <c r="AG391" i="1"/>
  <c r="AG327" i="1"/>
  <c r="AG263" i="1"/>
  <c r="AG1065" i="1"/>
  <c r="AG937" i="1"/>
  <c r="AG809" i="1"/>
  <c r="AG681" i="1"/>
  <c r="AG569" i="1"/>
  <c r="AG466" i="1"/>
  <c r="AG390" i="1"/>
  <c r="AG326" i="1"/>
  <c r="AG1000" i="1"/>
  <c r="AG872" i="1"/>
  <c r="AG744" i="1"/>
  <c r="AG618" i="1"/>
  <c r="AG515" i="1"/>
  <c r="AG421" i="1"/>
  <c r="AG357" i="1"/>
  <c r="AG293" i="1"/>
  <c r="AG229" i="1"/>
  <c r="AG165" i="1"/>
  <c r="AG1090" i="1"/>
  <c r="AG834" i="1"/>
  <c r="AG627" i="1"/>
  <c r="AG464" i="1"/>
  <c r="AG352" i="1"/>
  <c r="AG259" i="1"/>
  <c r="AG180" i="1"/>
  <c r="AG108" i="1"/>
  <c r="AG865" i="1"/>
  <c r="AG651" i="1"/>
  <c r="AG483" i="1"/>
  <c r="AG362" i="1"/>
  <c r="AG268" i="1"/>
  <c r="AG188" i="1"/>
  <c r="AG115" i="1"/>
  <c r="AG896" i="1"/>
  <c r="AG673" i="1"/>
  <c r="AG499" i="1"/>
  <c r="AG372" i="1"/>
  <c r="AG278" i="1"/>
  <c r="AG196" i="1"/>
  <c r="AG123" i="1"/>
  <c r="AG129" i="1"/>
  <c r="AG251" i="1"/>
  <c r="AG403" i="1"/>
  <c r="AG642" i="1"/>
  <c r="AG1010" i="1"/>
  <c r="AG159" i="1"/>
  <c r="AG286" i="1"/>
  <c r="AG450" i="1"/>
  <c r="AG737" i="1"/>
  <c r="AG131" i="1"/>
  <c r="AG254" i="1"/>
  <c r="AG408" i="1"/>
  <c r="AG658" i="1"/>
  <c r="AG1027" i="1"/>
  <c r="AG177" i="1"/>
  <c r="AG307" i="1"/>
  <c r="AG496" i="1"/>
  <c r="AG848" i="1"/>
  <c r="AG599" i="1"/>
  <c r="AG396" i="1"/>
  <c r="AG275" i="1"/>
  <c r="AG168" i="1"/>
  <c r="AG1103" i="1"/>
  <c r="AG1031" i="1"/>
  <c r="AG959" i="1"/>
  <c r="AG879" i="1"/>
  <c r="AG807" i="1"/>
  <c r="AG735" i="1"/>
  <c r="AG663" i="1"/>
  <c r="AG1062" i="1"/>
  <c r="AG990" i="1"/>
  <c r="AG918" i="1"/>
  <c r="AG838" i="1"/>
  <c r="AG766" i="1"/>
  <c r="AG694" i="1"/>
  <c r="AG622" i="1"/>
  <c r="AG550" i="1"/>
  <c r="AG478" i="1"/>
  <c r="AG1061" i="1"/>
  <c r="AG981" i="1"/>
  <c r="AG909" i="1"/>
  <c r="AG837" i="1"/>
  <c r="AG765" i="1"/>
  <c r="AG693" i="1"/>
  <c r="AG621" i="1"/>
  <c r="AG549" i="1"/>
  <c r="AG469" i="1"/>
  <c r="AG1076" i="1"/>
  <c r="AG1004" i="1"/>
  <c r="AG932" i="1"/>
  <c r="AG860" i="1"/>
  <c r="AG788" i="1"/>
  <c r="AG716" i="1"/>
  <c r="AG636" i="1"/>
  <c r="AG564" i="1"/>
  <c r="AG492" i="1"/>
  <c r="AG1099" i="1"/>
  <c r="AG955" i="1"/>
  <c r="AG1098" i="1"/>
  <c r="AG954" i="1"/>
  <c r="AG794" i="1"/>
  <c r="AG650" i="1"/>
  <c r="AG531" i="1"/>
  <c r="AG423" i="1"/>
  <c r="AG351" i="1"/>
  <c r="AG279" i="1"/>
  <c r="AG1081" i="1"/>
  <c r="AG921" i="1"/>
  <c r="AG777" i="1"/>
  <c r="AG633" i="1"/>
  <c r="AG519" i="1"/>
  <c r="AG414" i="1"/>
  <c r="AG342" i="1"/>
  <c r="AG1016" i="1"/>
  <c r="AG856" i="1"/>
  <c r="AG712" i="1"/>
  <c r="AG579" i="1"/>
  <c r="AG465" i="1"/>
  <c r="AG381" i="1"/>
  <c r="AG309" i="1"/>
  <c r="AG237" i="1"/>
  <c r="AG157" i="1"/>
  <c r="AG1026" i="1"/>
  <c r="AG754" i="1"/>
  <c r="AG547" i="1"/>
  <c r="AG388" i="1"/>
  <c r="AG281" i="1"/>
  <c r="AG190" i="1"/>
  <c r="AG1089" i="1"/>
  <c r="AG802" i="1"/>
  <c r="AG586" i="1"/>
  <c r="AG412" i="1"/>
  <c r="AG300" i="1"/>
  <c r="AG207" i="1"/>
  <c r="AG124" i="1"/>
  <c r="AG864" i="1"/>
  <c r="AG625" i="1"/>
  <c r="AG440" i="1"/>
  <c r="AG322" i="1"/>
  <c r="AG225" i="1"/>
  <c r="AG142" i="1"/>
  <c r="AG113" i="1"/>
  <c r="AG266" i="1"/>
  <c r="AG449" i="1"/>
  <c r="AG769" i="1"/>
  <c r="AG103" i="1"/>
  <c r="AG234" i="1"/>
  <c r="AG404" i="1"/>
  <c r="AG690" i="1"/>
  <c r="AG147" i="1"/>
  <c r="AG288" i="1"/>
  <c r="AG489" i="1"/>
  <c r="AG818" i="1"/>
  <c r="AG136" i="1"/>
  <c r="AG274" i="1"/>
  <c r="AG458" i="1"/>
  <c r="AG786" i="1"/>
  <c r="AG835" i="1"/>
  <c r="AG576" i="1"/>
  <c r="AG393" i="1"/>
  <c r="AG264" i="1"/>
  <c r="AG167" i="1"/>
  <c r="AG1095" i="1"/>
  <c r="AG1023" i="1"/>
  <c r="AG943" i="1"/>
  <c r="AG871" i="1"/>
  <c r="AG799" i="1"/>
  <c r="AG727" i="1"/>
  <c r="AG655" i="1"/>
  <c r="AG1054" i="1"/>
  <c r="AG982" i="1"/>
  <c r="AG902" i="1"/>
  <c r="AG830" i="1"/>
  <c r="AG758" i="1"/>
  <c r="AG686" i="1"/>
  <c r="AG614" i="1"/>
  <c r="AG542" i="1"/>
  <c r="AG470" i="1"/>
  <c r="AG1045" i="1"/>
  <c r="AG973" i="1"/>
  <c r="AG901" i="1"/>
  <c r="AG829" i="1"/>
  <c r="AG757" i="1"/>
  <c r="AG685" i="1"/>
  <c r="AG613" i="1"/>
  <c r="AG533" i="1"/>
  <c r="AG461" i="1"/>
  <c r="AG1068" i="1"/>
  <c r="AG996" i="1"/>
  <c r="AG924" i="1"/>
  <c r="AG852" i="1"/>
  <c r="AG780" i="1"/>
  <c r="AG700" i="1"/>
  <c r="AG628" i="1"/>
  <c r="AG556" i="1"/>
  <c r="AG484" i="1"/>
  <c r="AG1083" i="1"/>
  <c r="AG939" i="1"/>
  <c r="AG1082" i="1"/>
  <c r="AG922" i="1"/>
  <c r="AG778" i="1"/>
  <c r="AG634" i="1"/>
  <c r="AG520" i="1"/>
  <c r="AG415" i="1"/>
  <c r="AG343" i="1"/>
  <c r="AG271" i="1"/>
  <c r="AG1049" i="1"/>
  <c r="AG905" i="1"/>
  <c r="AG761" i="1"/>
  <c r="AG619" i="1"/>
  <c r="AG505" i="1"/>
  <c r="AG406" i="1"/>
  <c r="AG334" i="1"/>
  <c r="AG984" i="1"/>
  <c r="AG840" i="1"/>
  <c r="AG696" i="1"/>
  <c r="AG568" i="1"/>
  <c r="AG451" i="1"/>
  <c r="AG373" i="1"/>
  <c r="AG301" i="1"/>
  <c r="AG221" i="1"/>
  <c r="AG149" i="1"/>
  <c r="AG994" i="1"/>
  <c r="AG731" i="1"/>
  <c r="AG527" i="1"/>
  <c r="AG377" i="1"/>
  <c r="AG270" i="1"/>
  <c r="AG171" i="1"/>
  <c r="AG1057" i="1"/>
  <c r="AG779" i="1"/>
  <c r="AG563" i="1"/>
  <c r="AG401" i="1"/>
  <c r="AG290" i="1"/>
  <c r="AG198" i="1"/>
  <c r="AG107" i="1"/>
  <c r="AG832" i="1"/>
  <c r="AG602" i="1"/>
  <c r="AG425" i="1"/>
  <c r="AG310" i="1"/>
  <c r="AG215" i="1"/>
  <c r="AG132" i="1"/>
  <c r="AG145" i="1"/>
  <c r="AG284" i="1"/>
  <c r="AG475" i="1"/>
  <c r="AG816" i="1"/>
  <c r="AG118" i="1"/>
  <c r="AG252" i="1"/>
  <c r="AG424" i="1"/>
  <c r="AG770" i="1"/>
  <c r="AG163" i="1"/>
  <c r="AG306" i="1"/>
  <c r="AG521" i="1"/>
  <c r="AG880" i="1"/>
  <c r="AG148" i="1"/>
  <c r="AG292" i="1"/>
  <c r="AG528" i="1"/>
  <c r="AG819" i="1"/>
  <c r="AG811" i="1"/>
  <c r="AG561" i="1"/>
  <c r="AG378" i="1"/>
  <c r="AG262" i="1"/>
  <c r="AG166" i="1"/>
  <c r="AG1087" i="1"/>
  <c r="AG1007" i="1"/>
  <c r="AG935" i="1"/>
  <c r="AG863" i="1"/>
  <c r="AG791" i="1"/>
  <c r="AG719" i="1"/>
  <c r="AG647" i="1"/>
  <c r="AG1046" i="1"/>
  <c r="AG966" i="1"/>
  <c r="AG894" i="1"/>
  <c r="AG822" i="1"/>
  <c r="AG750" i="1"/>
  <c r="AG678" i="1"/>
  <c r="AG606" i="1"/>
  <c r="AG534" i="1"/>
  <c r="AG454" i="1"/>
  <c r="AG1037" i="1"/>
  <c r="AG965" i="1"/>
  <c r="AG893" i="1"/>
  <c r="AG821" i="1"/>
  <c r="AG749" i="1"/>
  <c r="AG677" i="1"/>
  <c r="AG597" i="1"/>
  <c r="AG525" i="1"/>
  <c r="AG453" i="1"/>
  <c r="AG1060" i="1"/>
  <c r="AG988" i="1"/>
  <c r="AG916" i="1"/>
  <c r="AG844" i="1"/>
  <c r="AG764" i="1"/>
  <c r="AG692" i="1"/>
  <c r="AG620" i="1"/>
  <c r="AG548" i="1"/>
  <c r="AG476" i="1"/>
  <c r="AG1067" i="1"/>
  <c r="AG923" i="1"/>
  <c r="AG1050" i="1"/>
  <c r="AG906" i="1"/>
  <c r="AG762" i="1"/>
  <c r="AG623" i="1"/>
  <c r="AG506" i="1"/>
  <c r="AG407" i="1"/>
  <c r="AG335" i="1"/>
  <c r="AG255" i="1"/>
  <c r="AG1033" i="1"/>
  <c r="AG889" i="1"/>
  <c r="AG745" i="1"/>
  <c r="AG608" i="1"/>
  <c r="AG491" i="1"/>
  <c r="AG398" i="1"/>
  <c r="AG318" i="1"/>
  <c r="AG968" i="1"/>
  <c r="AG824" i="1"/>
  <c r="AG680" i="1"/>
  <c r="AG554" i="1"/>
  <c r="AG441" i="1"/>
  <c r="AG365" i="1"/>
  <c r="AG285" i="1"/>
  <c r="AG213" i="1"/>
  <c r="AG141" i="1"/>
  <c r="AG962" i="1"/>
  <c r="AG705" i="1"/>
  <c r="AG507" i="1"/>
  <c r="AG363" i="1"/>
  <c r="AG249" i="1"/>
  <c r="AG162" i="1"/>
  <c r="AG1025" i="1"/>
  <c r="AG753" i="1"/>
  <c r="AG946" i="1"/>
  <c r="AG672" i="1"/>
  <c r="AG471" i="1"/>
  <c r="AG316" i="1"/>
  <c r="AG210" i="1"/>
  <c r="AG111" i="1"/>
  <c r="AG1047" i="1"/>
  <c r="AG975" i="1"/>
  <c r="AG903" i="1"/>
  <c r="AG831" i="1"/>
  <c r="AG751" i="1"/>
  <c r="AG679" i="1"/>
  <c r="AG1078" i="1"/>
  <c r="AG1006" i="1"/>
  <c r="AG934" i="1"/>
  <c r="AG862" i="1"/>
  <c r="AG790" i="1"/>
  <c r="AG710" i="1"/>
  <c r="AG638" i="1"/>
  <c r="AG566" i="1"/>
  <c r="AG494" i="1"/>
  <c r="AG1077" i="1"/>
  <c r="AG1005" i="1"/>
  <c r="AG933" i="1"/>
  <c r="AG853" i="1"/>
  <c r="AG781" i="1"/>
  <c r="AG709" i="1"/>
  <c r="AG637" i="1"/>
  <c r="AG565" i="1"/>
  <c r="AG493" i="1"/>
  <c r="AG1100" i="1"/>
  <c r="AG1020" i="1"/>
  <c r="AG948" i="1"/>
  <c r="AG876" i="1"/>
  <c r="AG804" i="1"/>
  <c r="AG732" i="1"/>
  <c r="AG660" i="1"/>
  <c r="AG588" i="1"/>
  <c r="AG508" i="1"/>
  <c r="AG436" i="1"/>
  <c r="AG987" i="1"/>
  <c r="AG843" i="1"/>
  <c r="AG986" i="1"/>
  <c r="AG842" i="1"/>
  <c r="AG698" i="1"/>
  <c r="AG559" i="1"/>
  <c r="AG443" i="1"/>
  <c r="AG367" i="1"/>
  <c r="AG295" i="1"/>
  <c r="AG223" i="1"/>
  <c r="AG969" i="1"/>
  <c r="AG825" i="1"/>
  <c r="AG665" i="1"/>
  <c r="AG544" i="1"/>
  <c r="AG432" i="1"/>
  <c r="AG358" i="1"/>
  <c r="AG1048" i="1"/>
  <c r="AG904" i="1"/>
  <c r="AG760" i="1"/>
  <c r="AG607" i="1"/>
  <c r="AG490" i="1"/>
  <c r="AG397" i="1"/>
  <c r="AG325" i="1"/>
  <c r="AG253" i="1"/>
  <c r="AG181" i="1"/>
  <c r="AG1091" i="1"/>
  <c r="AG803" i="1"/>
  <c r="AG587" i="1"/>
  <c r="AG416" i="1"/>
  <c r="AG302" i="1"/>
  <c r="AG208" i="1"/>
  <c r="AG126" i="1"/>
  <c r="AG897" i="1"/>
  <c r="AG626" i="1"/>
  <c r="AG446" i="1"/>
  <c r="AG323" i="1"/>
  <c r="AG226" i="1"/>
  <c r="AG143" i="1"/>
  <c r="AG960" i="1"/>
  <c r="AG699" i="1"/>
  <c r="AG482" i="1"/>
  <c r="AG347" i="1"/>
  <c r="AG246" i="1"/>
  <c r="AG160" i="1"/>
  <c r="AG218" i="1"/>
  <c r="AG380" i="1"/>
  <c r="AG689" i="1"/>
  <c r="AG203" i="1"/>
  <c r="AG364" i="1"/>
  <c r="AG616" i="1"/>
  <c r="AG1011" i="1"/>
  <c r="AG104" i="1"/>
  <c r="AG240" i="1"/>
  <c r="AG430" i="1"/>
  <c r="AG738" i="1"/>
  <c r="AG105" i="1"/>
  <c r="AG241" i="1"/>
  <c r="AG409" i="1"/>
  <c r="AG706" i="1"/>
  <c r="AG1075" i="1"/>
  <c r="AG224" i="1"/>
  <c r="AG473" i="1"/>
  <c r="AG1009" i="1"/>
  <c r="O5" i="13"/>
  <c r="O5" i="12"/>
  <c r="AT43" i="18"/>
  <c r="AU32" i="18"/>
  <c r="AG553" i="1"/>
  <c r="AG204" i="1"/>
  <c r="AG578" i="1"/>
  <c r="AG272" i="1"/>
  <c r="AG1072" i="1"/>
  <c r="AG513" i="1"/>
  <c r="AG186" i="1"/>
  <c r="AG114" i="1"/>
  <c r="AG267" i="1"/>
  <c r="AG459" i="1"/>
  <c r="AG771" i="1"/>
  <c r="AG152" i="1"/>
  <c r="AG280" i="1"/>
  <c r="AG503" i="1"/>
  <c r="AG929" i="1"/>
  <c r="AG217" i="1"/>
  <c r="AG427" i="1"/>
  <c r="AG866" i="1"/>
  <c r="AG189" i="1"/>
  <c r="AG333" i="1"/>
  <c r="AG504" i="1"/>
  <c r="AG776" i="1"/>
  <c r="AG1064" i="1"/>
  <c r="AG442" i="1"/>
  <c r="AG697" i="1"/>
  <c r="AG985" i="1"/>
  <c r="AG303" i="1"/>
  <c r="AG456" i="1"/>
  <c r="AG714" i="1"/>
  <c r="AG1002" i="1"/>
  <c r="AG1003" i="1"/>
  <c r="AG524" i="1"/>
  <c r="AG668" i="1"/>
  <c r="AG812" i="1"/>
  <c r="AG956" i="1"/>
  <c r="AG429" i="1"/>
  <c r="AG573" i="1"/>
  <c r="AG717" i="1"/>
  <c r="AG869" i="1"/>
  <c r="AG1013" i="1"/>
  <c r="AG502" i="1"/>
  <c r="AG646" i="1"/>
  <c r="AG798" i="1"/>
  <c r="AG942" i="1"/>
  <c r="AG1086" i="1"/>
  <c r="AG767" i="1"/>
  <c r="AG911" i="1"/>
  <c r="AG1055" i="1"/>
  <c r="BH38" i="12"/>
  <c r="AD17" i="18"/>
  <c r="AC18" i="18"/>
  <c r="AG260" i="1"/>
  <c r="AG537" i="1"/>
  <c r="AS5" i="19"/>
  <c r="AR15" i="19" s="1"/>
  <c r="K15" i="1"/>
  <c r="K35" i="1" s="1"/>
  <c r="AS5" i="12"/>
  <c r="AM54" i="12"/>
  <c r="AN54" i="12" s="1"/>
  <c r="AG447" i="1"/>
  <c r="AG898" i="1"/>
  <c r="AG197" i="1"/>
  <c r="AG341" i="1"/>
  <c r="AG529" i="1"/>
  <c r="AG792" i="1"/>
  <c r="AG1080" i="1"/>
  <c r="AG455" i="1"/>
  <c r="AG713" i="1"/>
  <c r="AG1001" i="1"/>
  <c r="AG311" i="1"/>
  <c r="AG481" i="1"/>
  <c r="AG730" i="1"/>
  <c r="AG1018" i="1"/>
  <c r="AG1019" i="1"/>
  <c r="AG532" i="1"/>
  <c r="AG676" i="1"/>
  <c r="AG820" i="1"/>
  <c r="AG972" i="1"/>
  <c r="AG437" i="1"/>
  <c r="AG581" i="1"/>
  <c r="AG725" i="1"/>
  <c r="AG877" i="1"/>
  <c r="AG1021" i="1"/>
  <c r="AG510" i="1"/>
  <c r="AG662" i="1"/>
  <c r="AG806" i="1"/>
  <c r="AG950" i="1"/>
  <c r="AG1094" i="1"/>
  <c r="AG775" i="1"/>
  <c r="AG919" i="1"/>
  <c r="AG1063" i="1"/>
  <c r="AG110" i="1"/>
  <c r="AG308" i="1"/>
  <c r="AG667" i="1"/>
  <c r="BC37" i="12"/>
  <c r="BC38" i="12" s="1"/>
  <c r="BB38" i="12"/>
  <c r="BH73" i="13"/>
  <c r="BH59" i="13"/>
  <c r="BM48" i="2"/>
  <c r="BM71" i="2" s="1"/>
  <c r="BM72" i="2" s="1"/>
  <c r="BK49" i="2"/>
  <c r="BT145" i="2"/>
  <c r="BL59" i="12"/>
  <c r="BM59" i="12" s="1"/>
  <c r="BM40" i="12"/>
  <c r="BB50" i="12"/>
  <c r="BC46" i="12"/>
  <c r="AI46" i="18"/>
  <c r="AH49" i="18"/>
  <c r="BV63" i="18"/>
  <c r="BU88" i="13"/>
  <c r="AN46" i="18"/>
  <c r="BC60" i="13"/>
  <c r="BC74" i="13"/>
  <c r="AD565" i="1"/>
  <c r="AD585" i="1"/>
  <c r="AD604" i="1"/>
  <c r="AD627" i="1"/>
  <c r="AD644" i="1"/>
  <c r="AD674" i="1"/>
  <c r="AD698" i="1"/>
  <c r="AD723" i="1"/>
  <c r="AD749" i="1"/>
  <c r="AD772" i="1"/>
  <c r="AD802" i="1"/>
  <c r="AD826" i="1"/>
  <c r="AD851" i="1"/>
  <c r="AD877" i="1"/>
  <c r="AD906" i="1"/>
  <c r="AD946" i="1"/>
  <c r="AD978" i="1"/>
  <c r="AD1011" i="1"/>
  <c r="AD1051" i="1"/>
  <c r="AD1089" i="1"/>
  <c r="M15" i="1"/>
  <c r="BC5" i="13"/>
  <c r="BR48" i="2"/>
  <c r="BN38" i="12"/>
  <c r="BC53" i="13"/>
  <c r="BC133" i="2"/>
  <c r="BM33" i="13"/>
  <c r="BK38" i="13"/>
  <c r="BG40" i="12"/>
  <c r="BI38" i="12"/>
  <c r="BO37" i="12"/>
  <c r="BO38" i="12" s="1"/>
  <c r="AQ18" i="18"/>
  <c r="AQ42" i="18"/>
  <c r="AQ49" i="18" s="1"/>
  <c r="AQ51" i="18" s="1"/>
  <c r="AQ55" i="18" s="1"/>
  <c r="AQ61" i="2" s="1"/>
  <c r="DS5" i="25"/>
  <c r="BW5" i="19"/>
  <c r="Q15" i="1"/>
  <c r="BW5" i="13"/>
  <c r="BW5" i="18"/>
  <c r="AD629" i="1"/>
  <c r="AD653" i="1"/>
  <c r="AD676" i="1"/>
  <c r="AD706" i="1"/>
  <c r="AD730" i="1"/>
  <c r="AD755" i="1"/>
  <c r="AD781" i="1"/>
  <c r="AD804" i="1"/>
  <c r="AD834" i="1"/>
  <c r="AD858" i="1"/>
  <c r="AD883" i="1"/>
  <c r="AD917" i="1"/>
  <c r="AD948" i="1"/>
  <c r="AD988" i="1"/>
  <c r="AD1020" i="1"/>
  <c r="AI5" i="19"/>
  <c r="AI5" i="13"/>
  <c r="AI5" i="18"/>
  <c r="FL5" i="25"/>
  <c r="FN7" i="25" s="1"/>
  <c r="CL5" i="18"/>
  <c r="CL5" i="13"/>
  <c r="AQ37" i="12"/>
  <c r="AQ38" i="12" s="1"/>
  <c r="BA37" i="12"/>
  <c r="BA38" i="12" s="1"/>
  <c r="AU30" i="13"/>
  <c r="AX28" i="13"/>
  <c r="AX30" i="13" s="1"/>
  <c r="AH18" i="18"/>
  <c r="AI12" i="18"/>
  <c r="AK42" i="18" s="1"/>
  <c r="AD1100" i="1"/>
  <c r="AD1075" i="1"/>
  <c r="AD1050" i="1"/>
  <c r="AD1025" i="1"/>
  <c r="AD1002" i="1"/>
  <c r="AD980" i="1"/>
  <c r="AD960" i="1"/>
  <c r="AD938" i="1"/>
  <c r="AD916" i="1"/>
  <c r="AD896" i="1"/>
  <c r="AD876" i="1"/>
  <c r="AD860" i="1"/>
  <c r="AD844" i="1"/>
  <c r="AD828" i="1"/>
  <c r="AD812" i="1"/>
  <c r="AD796" i="1"/>
  <c r="AD780" i="1"/>
  <c r="AD764" i="1"/>
  <c r="AD748" i="1"/>
  <c r="AD732" i="1"/>
  <c r="AD716" i="1"/>
  <c r="AD700" i="1"/>
  <c r="AD684" i="1"/>
  <c r="AD668" i="1"/>
  <c r="AD652" i="1"/>
  <c r="AD637" i="1"/>
  <c r="AD626" i="1"/>
  <c r="AD612" i="1"/>
  <c r="AD601" i="1"/>
  <c r="AD587" i="1"/>
  <c r="AD573" i="1"/>
  <c r="AD1099" i="1"/>
  <c r="AD1074" i="1"/>
  <c r="AD1049" i="1"/>
  <c r="AD1024" i="1"/>
  <c r="AD1001" i="1"/>
  <c r="AD979" i="1"/>
  <c r="AD957" i="1"/>
  <c r="AD937" i="1"/>
  <c r="AD915" i="1"/>
  <c r="AD893" i="1"/>
  <c r="AD875" i="1"/>
  <c r="AD859" i="1"/>
  <c r="AD843" i="1"/>
  <c r="AD827" i="1"/>
  <c r="AD811" i="1"/>
  <c r="AD795" i="1"/>
  <c r="AD779" i="1"/>
  <c r="AD763" i="1"/>
  <c r="AD747" i="1"/>
  <c r="AD731" i="1"/>
  <c r="AD715" i="1"/>
  <c r="AD699" i="1"/>
  <c r="AD683" i="1"/>
  <c r="AD667" i="1"/>
  <c r="AD651" i="1"/>
  <c r="AD636" i="1"/>
  <c r="AD625" i="1"/>
  <c r="AD611" i="1"/>
  <c r="AD597" i="1"/>
  <c r="AD586" i="1"/>
  <c r="AD572" i="1"/>
  <c r="AD1090" i="1"/>
  <c r="AD1065" i="1"/>
  <c r="AD1040" i="1"/>
  <c r="AD1013" i="1"/>
  <c r="AD993" i="1"/>
  <c r="AD971" i="1"/>
  <c r="AD949" i="1"/>
  <c r="AD929" i="1"/>
  <c r="AD907" i="1"/>
  <c r="AD885" i="1"/>
  <c r="AD869" i="1"/>
  <c r="AD853" i="1"/>
  <c r="AD837" i="1"/>
  <c r="AD821" i="1"/>
  <c r="AD805" i="1"/>
  <c r="AD789" i="1"/>
  <c r="AD773" i="1"/>
  <c r="AD757" i="1"/>
  <c r="AD741" i="1"/>
  <c r="AD725" i="1"/>
  <c r="AD709" i="1"/>
  <c r="AD693" i="1"/>
  <c r="AD677" i="1"/>
  <c r="AD661" i="1"/>
  <c r="AD645" i="1"/>
  <c r="AD634" i="1"/>
  <c r="AD620" i="1"/>
  <c r="AD609" i="1"/>
  <c r="AD595" i="1"/>
  <c r="AD581" i="1"/>
  <c r="AD571" i="1"/>
  <c r="AD593" i="1"/>
  <c r="AD613" i="1"/>
  <c r="AD633" i="1"/>
  <c r="AD658" i="1"/>
  <c r="AD682" i="1"/>
  <c r="AD707" i="1"/>
  <c r="AD733" i="1"/>
  <c r="AD756" i="1"/>
  <c r="AD786" i="1"/>
  <c r="AD810" i="1"/>
  <c r="AD835" i="1"/>
  <c r="AD861" i="1"/>
  <c r="AD884" i="1"/>
  <c r="AD924" i="1"/>
  <c r="AD956" i="1"/>
  <c r="AD989" i="1"/>
  <c r="AD1026" i="1"/>
  <c r="AD1064" i="1"/>
  <c r="BJ49" i="2"/>
  <c r="BM47" i="2"/>
  <c r="BR144" i="2"/>
  <c r="CB149" i="2"/>
  <c r="CB52" i="13"/>
  <c r="AI60" i="13"/>
  <c r="AI74" i="13"/>
  <c r="AK38" i="12"/>
  <c r="AJ17" i="18"/>
  <c r="BS145" i="2"/>
  <c r="CB144" i="2"/>
  <c r="CB53" i="13"/>
  <c r="BJ59" i="12"/>
  <c r="BU40" i="13"/>
  <c r="BW40" i="13" s="1"/>
  <c r="BW38" i="13"/>
  <c r="BX145" i="2"/>
  <c r="EH5" i="25"/>
  <c r="EJ12" i="25" s="1"/>
  <c r="CB5" i="18"/>
  <c r="CB5" i="13"/>
  <c r="BL49" i="2"/>
  <c r="S50" i="12"/>
  <c r="Y74" i="13"/>
  <c r="Y60" i="13"/>
  <c r="BV62" i="18"/>
  <c r="BW62" i="18" s="1"/>
  <c r="AS60" i="13"/>
  <c r="AS74" i="13"/>
  <c r="BF37" i="12"/>
  <c r="BF38" i="12" s="1"/>
  <c r="BW52" i="13"/>
  <c r="AK38" i="13"/>
  <c r="AK40" i="13" s="1"/>
  <c r="AN40" i="13" s="1"/>
  <c r="BV146" i="2"/>
  <c r="BW146" i="2" s="1"/>
  <c r="BV128" i="2"/>
  <c r="BW128" i="2" s="1"/>
  <c r="CL25" i="13"/>
  <c r="CB18" i="13"/>
  <c r="CI145" i="2"/>
  <c r="AT44" i="18"/>
  <c r="CB129" i="2"/>
  <c r="BV59" i="18"/>
  <c r="BV68" i="2" s="1"/>
  <c r="BV69" i="2" s="1"/>
  <c r="BW69" i="2" s="1"/>
  <c r="AL17" i="18"/>
  <c r="AL42" i="18"/>
  <c r="BQ18" i="18"/>
  <c r="AS40" i="18"/>
  <c r="BV60" i="18"/>
  <c r="BU145" i="2"/>
  <c r="BP16" i="19"/>
  <c r="BP15" i="19"/>
  <c r="BP14" i="19"/>
  <c r="CZ12" i="25"/>
  <c r="CW12" i="25"/>
  <c r="CT12" i="25"/>
  <c r="BM12" i="25"/>
  <c r="BM7" i="25"/>
  <c r="BG12" i="25"/>
  <c r="BD12" i="25"/>
  <c r="BA12" i="25"/>
  <c r="BV12" i="25"/>
  <c r="CJ16" i="19"/>
  <c r="AS16" i="19"/>
  <c r="AR16" i="19"/>
  <c r="AS15" i="19"/>
  <c r="AS14" i="19"/>
  <c r="AR14" i="19"/>
  <c r="CQ15" i="25"/>
  <c r="CQ12" i="25"/>
  <c r="CK12" i="25"/>
  <c r="CH12" i="25"/>
  <c r="CE12" i="25"/>
  <c r="CC16" i="19"/>
  <c r="CC15" i="19"/>
  <c r="CC14" i="19"/>
  <c r="AX16" i="19"/>
  <c r="AX15" i="19"/>
  <c r="AX14" i="19"/>
  <c r="AZ29" i="18" l="1"/>
  <c r="AY40" i="18"/>
  <c r="FH7" i="25"/>
  <c r="FK7" i="25"/>
  <c r="FK15" i="25"/>
  <c r="EJ7" i="25"/>
  <c r="EJ15" i="25"/>
  <c r="CI15" i="19"/>
  <c r="CK15" i="19"/>
  <c r="BP12" i="25"/>
  <c r="AR54" i="12"/>
  <c r="CI16" i="19"/>
  <c r="BS12" i="25"/>
  <c r="AS38" i="12"/>
  <c r="AS42" i="18"/>
  <c r="CI14" i="19"/>
  <c r="CK16" i="19"/>
  <c r="CB7" i="25"/>
  <c r="CJ14" i="19"/>
  <c r="AO12" i="25"/>
  <c r="AC38" i="12"/>
  <c r="AD37" i="12"/>
  <c r="AD38" i="12" s="1"/>
  <c r="CK14" i="19"/>
  <c r="AR12" i="25"/>
  <c r="AX7" i="25"/>
  <c r="AZ44" i="18"/>
  <c r="AS40" i="12"/>
  <c r="AS54" i="12" s="1"/>
  <c r="AR59" i="12"/>
  <c r="AS59" i="12" s="1"/>
  <c r="AK22" i="18"/>
  <c r="AK40" i="12"/>
  <c r="AK59" i="12" s="1"/>
  <c r="AU45" i="18"/>
  <c r="AV34" i="18"/>
  <c r="AN38" i="13"/>
  <c r="BW60" i="13"/>
  <c r="AW46" i="18"/>
  <c r="AX46" i="18" s="1"/>
  <c r="AY35" i="18"/>
  <c r="AX35" i="18"/>
  <c r="AV20" i="18"/>
  <c r="AU41" i="12"/>
  <c r="S59" i="12"/>
  <c r="T59" i="12" s="1"/>
  <c r="T40" i="12"/>
  <c r="CB28" i="13"/>
  <c r="CB30" i="13" s="1"/>
  <c r="CA30" i="13"/>
  <c r="AP49" i="18"/>
  <c r="AP51" i="18" s="1"/>
  <c r="AP55" i="18" s="1"/>
  <c r="AP61" i="2" s="1"/>
  <c r="AS47" i="18"/>
  <c r="AI30" i="13"/>
  <c r="AI82" i="13"/>
  <c r="BN38" i="18"/>
  <c r="BO38" i="18" s="1"/>
  <c r="BP38" i="18" s="1"/>
  <c r="BQ38" i="18" s="1"/>
  <c r="BM38" i="18"/>
  <c r="X18" i="18"/>
  <c r="Y52" i="12"/>
  <c r="CL70" i="13"/>
  <c r="CK36" i="12"/>
  <c r="CR22" i="12"/>
  <c r="CS22" i="12" s="1"/>
  <c r="CT22" i="12" s="1"/>
  <c r="CU22" i="12" s="1"/>
  <c r="CV22" i="12" s="1"/>
  <c r="CU32" i="12"/>
  <c r="CV32" i="12" s="1"/>
  <c r="CI173" i="2"/>
  <c r="CI52" i="2" s="1"/>
  <c r="CK74" i="33"/>
  <c r="CK76" i="33" s="1"/>
  <c r="CJ92" i="33"/>
  <c r="CO92" i="33"/>
  <c r="CM12" i="12"/>
  <c r="CN12" i="12" s="1"/>
  <c r="CO12" i="12" s="1"/>
  <c r="CP12" i="12" s="1"/>
  <c r="CQ12" i="12" s="1"/>
  <c r="CR12" i="12" s="1"/>
  <c r="CS12" i="12" s="1"/>
  <c r="CT12" i="12" s="1"/>
  <c r="CU12" i="12" s="1"/>
  <c r="CV12" i="12" s="1"/>
  <c r="AC18" i="21"/>
  <c r="Y18" i="21"/>
  <c r="X18" i="21" s="1"/>
  <c r="BV60" i="31"/>
  <c r="BW55" i="31"/>
  <c r="BW56" i="31" s="1"/>
  <c r="BS57" i="31"/>
  <c r="BW57" i="31" s="1"/>
  <c r="BS60" i="31"/>
  <c r="CB55" i="31"/>
  <c r="CB56" i="31" s="1"/>
  <c r="BX57" i="31"/>
  <c r="CB57" i="31" s="1"/>
  <c r="BX60" i="31"/>
  <c r="CD52" i="2"/>
  <c r="CF78" i="33"/>
  <c r="CF77" i="33"/>
  <c r="BR76" i="30"/>
  <c r="BR77" i="30" s="1"/>
  <c r="CC79" i="34"/>
  <c r="BX79" i="34"/>
  <c r="CD80" i="34"/>
  <c r="CF80" i="34"/>
  <c r="BR177" i="2"/>
  <c r="BR178" i="2" s="1"/>
  <c r="CG74" i="33"/>
  <c r="CC76" i="33"/>
  <c r="CB74" i="33"/>
  <c r="BX76" i="33"/>
  <c r="BX78" i="33" s="1"/>
  <c r="CD78" i="33"/>
  <c r="CD77" i="33"/>
  <c r="CJ77" i="33"/>
  <c r="CJ78" i="33"/>
  <c r="CO77" i="33"/>
  <c r="BM177" i="30"/>
  <c r="BM185" i="30" s="1"/>
  <c r="BM186" i="30" s="1"/>
  <c r="BU60" i="31"/>
  <c r="BW76" i="30"/>
  <c r="BW77" i="30" s="1"/>
  <c r="BR96" i="32"/>
  <c r="BR97" i="32" s="1"/>
  <c r="CI76" i="33"/>
  <c r="BV78" i="30"/>
  <c r="BV79" i="30" s="1"/>
  <c r="BR55" i="31"/>
  <c r="BR56" i="31" s="1"/>
  <c r="BN57" i="31"/>
  <c r="BR57" i="31" s="1"/>
  <c r="BW96" i="32"/>
  <c r="BW97" i="32" s="1"/>
  <c r="BM178" i="34"/>
  <c r="BM186" i="34" s="1"/>
  <c r="BM187" i="34" s="1"/>
  <c r="BM188" i="34"/>
  <c r="BX27" i="34"/>
  <c r="BW177" i="2"/>
  <c r="BW178" i="2" s="1"/>
  <c r="CE52" i="2"/>
  <c r="CJ52" i="2"/>
  <c r="CK52" i="2"/>
  <c r="CG177" i="2"/>
  <c r="CG178" i="2" s="1"/>
  <c r="CG76" i="30"/>
  <c r="CG78" i="30" s="1"/>
  <c r="CF78" i="30"/>
  <c r="CF79" i="30" s="1"/>
  <c r="CL177" i="2"/>
  <c r="CL178" i="2" s="1"/>
  <c r="CG55" i="31"/>
  <c r="CG56" i="31" s="1"/>
  <c r="CG57" i="31"/>
  <c r="CG34" i="12"/>
  <c r="BT179" i="2"/>
  <c r="N35" i="1"/>
  <c r="BW52" i="2"/>
  <c r="N7" i="1"/>
  <c r="N42" i="1" s="1"/>
  <c r="BO145" i="2"/>
  <c r="CJ179" i="2"/>
  <c r="BM188" i="30"/>
  <c r="BM189" i="30"/>
  <c r="BX179" i="2"/>
  <c r="T58" i="2"/>
  <c r="BD70" i="30"/>
  <c r="BP70" i="30"/>
  <c r="BO70" i="30"/>
  <c r="BA70" i="30"/>
  <c r="BN70" i="30"/>
  <c r="BJ70" i="30"/>
  <c r="BG70" i="30"/>
  <c r="BH69" i="30"/>
  <c r="BL70" i="30"/>
  <c r="BK70" i="30"/>
  <c r="BH67" i="30"/>
  <c r="BQ70" i="30"/>
  <c r="CB179" i="2"/>
  <c r="CC179" i="2"/>
  <c r="BN78" i="30"/>
  <c r="CB96" i="32"/>
  <c r="CB97" i="32" s="1"/>
  <c r="BX98" i="32"/>
  <c r="BU79" i="30"/>
  <c r="BS98" i="32"/>
  <c r="BU80" i="30"/>
  <c r="BZ79" i="30"/>
  <c r="BU100" i="32"/>
  <c r="BU99" i="32"/>
  <c r="BZ99" i="32"/>
  <c r="CD79" i="30"/>
  <c r="CD80" i="30"/>
  <c r="CA80" i="30"/>
  <c r="BT99" i="32"/>
  <c r="BN98" i="32"/>
  <c r="CF99" i="32"/>
  <c r="CF100" i="32"/>
  <c r="CD99" i="32"/>
  <c r="CD100" i="32"/>
  <c r="BY100" i="32"/>
  <c r="BY99" i="32"/>
  <c r="CA100" i="32"/>
  <c r="CA99" i="32"/>
  <c r="CE80" i="30"/>
  <c r="CE79" i="30"/>
  <c r="BV99" i="32"/>
  <c r="BV100" i="32"/>
  <c r="BY79" i="30"/>
  <c r="BT79" i="30"/>
  <c r="BT80" i="30"/>
  <c r="BX78" i="30"/>
  <c r="BW173" i="2"/>
  <c r="BS78" i="30"/>
  <c r="CE99" i="32"/>
  <c r="CE100" i="32"/>
  <c r="BT59" i="31"/>
  <c r="BT58" i="31"/>
  <c r="BY59" i="31"/>
  <c r="BY58" i="31"/>
  <c r="BU59" i="31"/>
  <c r="BU58" i="31"/>
  <c r="BZ58" i="31"/>
  <c r="BC69" i="30"/>
  <c r="CA58" i="31"/>
  <c r="CA59" i="31"/>
  <c r="BF70" i="30"/>
  <c r="CD59" i="31"/>
  <c r="BI70" i="30"/>
  <c r="BM69" i="30"/>
  <c r="BV59" i="31"/>
  <c r="BV58" i="31"/>
  <c r="CE59" i="31"/>
  <c r="CE58" i="31"/>
  <c r="BR58" i="30"/>
  <c r="BW59" i="30" s="1"/>
  <c r="BN59" i="30"/>
  <c r="BK62" i="30"/>
  <c r="BY173" i="2"/>
  <c r="BY52" i="2" s="1"/>
  <c r="CB52" i="2" s="1"/>
  <c r="CB169" i="2"/>
  <c r="BW169" i="2"/>
  <c r="O7" i="1"/>
  <c r="O42" i="1" s="1"/>
  <c r="CL169" i="2"/>
  <c r="L7" i="1"/>
  <c r="L42" i="1" s="1"/>
  <c r="L48" i="1"/>
  <c r="BP59" i="30"/>
  <c r="O48" i="1"/>
  <c r="S42" i="1"/>
  <c r="BY145" i="2"/>
  <c r="CB145" i="2" s="1"/>
  <c r="S35" i="1"/>
  <c r="V35" i="1"/>
  <c r="V7" i="1"/>
  <c r="V42" i="1" s="1"/>
  <c r="BL62" i="30"/>
  <c r="AS52" i="13"/>
  <c r="AI52" i="13"/>
  <c r="CG145" i="2"/>
  <c r="CG118" i="2"/>
  <c r="BN145" i="2"/>
  <c r="CL145" i="2"/>
  <c r="BO59" i="30"/>
  <c r="BJ62" i="30"/>
  <c r="BO62" i="30"/>
  <c r="BI61" i="30"/>
  <c r="BM58" i="30"/>
  <c r="BM61" i="30" s="1"/>
  <c r="BR62" i="30" s="1"/>
  <c r="BQ59" i="30"/>
  <c r="BV59" i="30"/>
  <c r="BX59" i="30"/>
  <c r="AR9" i="19"/>
  <c r="BN12" i="2"/>
  <c r="BU14" i="2"/>
  <c r="BU12" i="2"/>
  <c r="BU22" i="2" s="1"/>
  <c r="CL59" i="13"/>
  <c r="CL60" i="13"/>
  <c r="CG60" i="13"/>
  <c r="CB59" i="13"/>
  <c r="CB60" i="13"/>
  <c r="CG59" i="13"/>
  <c r="CK51" i="12"/>
  <c r="CL51" i="12" s="1"/>
  <c r="CM51" i="12" s="1"/>
  <c r="CN51" i="12" s="1"/>
  <c r="CO51" i="12" s="1"/>
  <c r="CP51" i="12" s="1"/>
  <c r="CQ51" i="12" s="1"/>
  <c r="CR51" i="12" s="1"/>
  <c r="CS51" i="12" s="1"/>
  <c r="CT51" i="12" s="1"/>
  <c r="CU51" i="12" s="1"/>
  <c r="CV51" i="12" s="1"/>
  <c r="CL23" i="12"/>
  <c r="CQ23" i="12" s="1"/>
  <c r="CV23" i="12" s="1"/>
  <c r="CL10" i="12"/>
  <c r="T74" i="2"/>
  <c r="T71" i="2" s="1"/>
  <c r="T72" i="2" s="1"/>
  <c r="AS36" i="2"/>
  <c r="AS54" i="2" s="1"/>
  <c r="AS57" i="2" s="1"/>
  <c r="AS58" i="2" s="1"/>
  <c r="BV14" i="2"/>
  <c r="BS12" i="2"/>
  <c r="BS22" i="2" s="1"/>
  <c r="AD58" i="2"/>
  <c r="EQ18" i="25"/>
  <c r="AN52" i="13"/>
  <c r="AN130" i="2"/>
  <c r="CB118" i="2"/>
  <c r="BP145" i="2"/>
  <c r="BR118" i="2"/>
  <c r="AR19" i="19"/>
  <c r="AI36" i="2"/>
  <c r="AI40" i="2" s="1"/>
  <c r="AU36" i="2"/>
  <c r="AU54" i="2" s="1"/>
  <c r="AU127" i="2" s="1"/>
  <c r="AU132" i="2" s="1"/>
  <c r="AU134" i="2" s="1"/>
  <c r="AO37" i="2"/>
  <c r="AJ54" i="2"/>
  <c r="AJ56" i="2" s="1"/>
  <c r="BL23" i="2"/>
  <c r="AT36" i="2"/>
  <c r="AT54" i="2" s="1"/>
  <c r="BN14" i="2"/>
  <c r="BN22" i="2" s="1"/>
  <c r="AW23" i="2"/>
  <c r="BE29" i="19"/>
  <c r="BE45" i="19" s="1"/>
  <c r="BK23" i="2"/>
  <c r="AY19" i="19"/>
  <c r="AY29" i="19" s="1"/>
  <c r="AY45" i="19" s="1"/>
  <c r="BF36" i="2"/>
  <c r="BF40" i="2" s="1"/>
  <c r="AR23" i="2"/>
  <c r="AY36" i="2"/>
  <c r="BP14" i="2"/>
  <c r="BP22" i="2" s="1"/>
  <c r="AN22" i="2"/>
  <c r="J17" i="1" s="1"/>
  <c r="AP36" i="2"/>
  <c r="AP37" i="2" s="1"/>
  <c r="BV12" i="2"/>
  <c r="BV22" i="2" s="1"/>
  <c r="AP7" i="25"/>
  <c r="BL127" i="2"/>
  <c r="BL132" i="2" s="1"/>
  <c r="BL134" i="2" s="1"/>
  <c r="BL56" i="2"/>
  <c r="CL7" i="25"/>
  <c r="BL40" i="2"/>
  <c r="AP23" i="2"/>
  <c r="BL19" i="19"/>
  <c r="BL29" i="19" s="1"/>
  <c r="BL45" i="19" s="1"/>
  <c r="BX19" i="19"/>
  <c r="BX29" i="19" s="1"/>
  <c r="BX45" i="19" s="1"/>
  <c r="BW7" i="25"/>
  <c r="BZ11" i="2"/>
  <c r="BZ59" i="12"/>
  <c r="BG23" i="2"/>
  <c r="BB19" i="19"/>
  <c r="AM7" i="25"/>
  <c r="AU23" i="2"/>
  <c r="AD127" i="2"/>
  <c r="AD132" i="2" s="1"/>
  <c r="AD134" i="2" s="1"/>
  <c r="AD65" i="2"/>
  <c r="AW57" i="2"/>
  <c r="AW58" i="2" s="1"/>
  <c r="BT7" i="25"/>
  <c r="AW19" i="19"/>
  <c r="AW29" i="19" s="1"/>
  <c r="AW45" i="19" s="1"/>
  <c r="AW127" i="2"/>
  <c r="AW132" i="2" s="1"/>
  <c r="AW134" i="2" s="1"/>
  <c r="BL57" i="2"/>
  <c r="AT19" i="19"/>
  <c r="AT29" i="19" s="1"/>
  <c r="AT45" i="19" s="1"/>
  <c r="BA36" i="2"/>
  <c r="BA40" i="2" s="1"/>
  <c r="Y67" i="13"/>
  <c r="G8" i="21" s="1"/>
  <c r="Y65" i="12"/>
  <c r="T65" i="12"/>
  <c r="T67" i="13"/>
  <c r="T76" i="13" s="1"/>
  <c r="T77" i="13" s="1"/>
  <c r="AZ36" i="2"/>
  <c r="Y66" i="2"/>
  <c r="Y58" i="2"/>
  <c r="AJ7" i="25"/>
  <c r="AZ19" i="19"/>
  <c r="AZ29" i="19" s="1"/>
  <c r="AZ45" i="19" s="1"/>
  <c r="BF23" i="2"/>
  <c r="T51" i="13"/>
  <c r="T62" i="13" s="1"/>
  <c r="T63" i="13" s="1"/>
  <c r="T9" i="13"/>
  <c r="T95" i="2"/>
  <c r="T91" i="2"/>
  <c r="BK40" i="2"/>
  <c r="BK54" i="2"/>
  <c r="AV36" i="2"/>
  <c r="AV37" i="2" s="1"/>
  <c r="DV7" i="25"/>
  <c r="BA23" i="2"/>
  <c r="AV23" i="2"/>
  <c r="BO12" i="2"/>
  <c r="BI24" i="19"/>
  <c r="BI40" i="19" s="1"/>
  <c r="BI29" i="19"/>
  <c r="BI45" i="19" s="1"/>
  <c r="BJ23" i="2"/>
  <c r="AX22" i="2"/>
  <c r="AX23" i="2" s="1"/>
  <c r="BC22" i="2"/>
  <c r="M17" i="1" s="1"/>
  <c r="CI7" i="25"/>
  <c r="BG19" i="19"/>
  <c r="BG36" i="2"/>
  <c r="BL24" i="2"/>
  <c r="AM19" i="19"/>
  <c r="AM29" i="19" s="1"/>
  <c r="AM45" i="19" s="1"/>
  <c r="AM36" i="2"/>
  <c r="BJ24" i="19"/>
  <c r="BJ40" i="19" s="1"/>
  <c r="BJ29" i="19"/>
  <c r="BJ45" i="19" s="1"/>
  <c r="BE36" i="2"/>
  <c r="BE40" i="2" s="1"/>
  <c r="CF7" i="25"/>
  <c r="N19" i="1"/>
  <c r="BE23" i="2"/>
  <c r="AQ40" i="2"/>
  <c r="AY23" i="2"/>
  <c r="AZ23" i="2"/>
  <c r="AU29" i="19"/>
  <c r="AU45" i="19" s="1"/>
  <c r="BA19" i="19"/>
  <c r="BK19" i="19"/>
  <c r="BK24" i="19" s="1"/>
  <c r="BK40" i="19" s="1"/>
  <c r="BB36" i="2"/>
  <c r="BB23" i="2"/>
  <c r="BK24" i="2"/>
  <c r="CC11" i="2"/>
  <c r="BI36" i="2"/>
  <c r="BI54" i="2" s="1"/>
  <c r="BR12" i="2"/>
  <c r="BQ7" i="25"/>
  <c r="L19" i="1"/>
  <c r="BJ24" i="2"/>
  <c r="CC7" i="25"/>
  <c r="AS7" i="25"/>
  <c r="AW40" i="2"/>
  <c r="BJ36" i="2"/>
  <c r="BJ40" i="2" s="1"/>
  <c r="AV24" i="19"/>
  <c r="AV40" i="19" s="1"/>
  <c r="AV29" i="19"/>
  <c r="AV45" i="19" s="1"/>
  <c r="BX36" i="2"/>
  <c r="AO40" i="2"/>
  <c r="AO54" i="2"/>
  <c r="BD36" i="2"/>
  <c r="BD40" i="2" s="1"/>
  <c r="BF29" i="19"/>
  <c r="BF45" i="19" s="1"/>
  <c r="M19" i="1"/>
  <c r="BH22" i="2"/>
  <c r="BH36" i="2" s="1"/>
  <c r="AH54" i="2"/>
  <c r="AH56" i="2" s="1"/>
  <c r="BZ12" i="2"/>
  <c r="BW11" i="2"/>
  <c r="AG19" i="19"/>
  <c r="AG36" i="2"/>
  <c r="K17" i="1"/>
  <c r="AS19" i="19"/>
  <c r="BT12" i="2"/>
  <c r="BT22" i="2" s="1"/>
  <c r="BT36" i="2" s="1"/>
  <c r="BY12" i="2"/>
  <c r="AE19" i="19"/>
  <c r="AE36" i="2"/>
  <c r="AJ23" i="2"/>
  <c r="BN7" i="25"/>
  <c r="BI24" i="2"/>
  <c r="BD23" i="2"/>
  <c r="BI23" i="2"/>
  <c r="EN26" i="25"/>
  <c r="AL36" i="2"/>
  <c r="AQ23" i="2"/>
  <c r="AL23" i="2"/>
  <c r="AL19" i="19"/>
  <c r="AL29" i="19" s="1"/>
  <c r="AL45" i="19" s="1"/>
  <c r="BY14" i="2"/>
  <c r="AF19" i="19"/>
  <c r="AF36" i="2"/>
  <c r="AK37" i="2" s="1"/>
  <c r="CA11" i="2"/>
  <c r="EZ23" i="25"/>
  <c r="AD18" i="18"/>
  <c r="AC40" i="12"/>
  <c r="AC22" i="18"/>
  <c r="AL18" i="18"/>
  <c r="AL47" i="18"/>
  <c r="AL49" i="18" s="1"/>
  <c r="AL51" i="18" s="1"/>
  <c r="AL55" i="18" s="1"/>
  <c r="AL61" i="2" s="1"/>
  <c r="AT49" i="18"/>
  <c r="AX44" i="18"/>
  <c r="AJ47" i="18"/>
  <c r="AJ18" i="18"/>
  <c r="BB36" i="18"/>
  <c r="BA47" i="18"/>
  <c r="BA18" i="18"/>
  <c r="BA40" i="12" s="1"/>
  <c r="BA59" i="12" s="1"/>
  <c r="BW59" i="18"/>
  <c r="BR72" i="2"/>
  <c r="BB12" i="18"/>
  <c r="BC14" i="18"/>
  <c r="BB44" i="18"/>
  <c r="BC44" i="18" s="1"/>
  <c r="BD44" i="18"/>
  <c r="V48" i="1"/>
  <c r="AO54" i="12"/>
  <c r="AH40" i="12"/>
  <c r="AI18" i="18"/>
  <c r="AH22" i="18"/>
  <c r="CB15" i="18"/>
  <c r="BY40" i="13"/>
  <c r="BR18" i="18"/>
  <c r="BQ40" i="12"/>
  <c r="T11" i="21"/>
  <c r="CL56" i="13"/>
  <c r="CL30" i="13"/>
  <c r="BV88" i="13"/>
  <c r="BW88" i="13" s="1"/>
  <c r="BW63" i="18"/>
  <c r="AW40" i="12"/>
  <c r="AX18" i="18"/>
  <c r="AQ56" i="2"/>
  <c r="AQ127" i="2"/>
  <c r="AQ132" i="2" s="1"/>
  <c r="AQ134" i="2" s="1"/>
  <c r="AQ57" i="2"/>
  <c r="AQ65" i="2"/>
  <c r="CB37" i="12"/>
  <c r="CG37" i="12" s="1"/>
  <c r="BY38" i="12"/>
  <c r="CB24" i="12"/>
  <c r="CB17" i="13"/>
  <c r="BH40" i="12"/>
  <c r="BG59" i="12"/>
  <c r="BH59" i="12" s="1"/>
  <c r="BG31" i="18"/>
  <c r="BF42" i="18"/>
  <c r="BF33" i="18"/>
  <c r="BE44" i="18"/>
  <c r="AR54" i="2"/>
  <c r="AR40" i="2"/>
  <c r="AW37" i="2"/>
  <c r="AQ22" i="18"/>
  <c r="AQ40" i="12"/>
  <c r="AQ59" i="12" s="1"/>
  <c r="BK40" i="13"/>
  <c r="BM40" i="13" s="1"/>
  <c r="BM38" i="13"/>
  <c r="M35" i="1"/>
  <c r="M48" i="1"/>
  <c r="M7" i="1"/>
  <c r="M42" i="1" s="1"/>
  <c r="AH51" i="18"/>
  <c r="AI49" i="18"/>
  <c r="AV32" i="18"/>
  <c r="AU43" i="18"/>
  <c r="AU49" i="18" s="1"/>
  <c r="AU51" i="18" s="1"/>
  <c r="AU55" i="18" s="1"/>
  <c r="AU61" i="2" s="1"/>
  <c r="CB166" i="2"/>
  <c r="AN22" i="18"/>
  <c r="BD29" i="19"/>
  <c r="BD45" i="19" s="1"/>
  <c r="BD24" i="19"/>
  <c r="BD40" i="19" s="1"/>
  <c r="BY38" i="18"/>
  <c r="BZ38" i="18" s="1"/>
  <c r="CA38" i="18" s="1"/>
  <c r="BR50" i="12"/>
  <c r="BR52" i="12" s="1"/>
  <c r="BQ52" i="12"/>
  <c r="CG16" i="18"/>
  <c r="CH16" i="18" s="1"/>
  <c r="CB10" i="18"/>
  <c r="AD83" i="2"/>
  <c r="AD74" i="2"/>
  <c r="AD71" i="2" s="1"/>
  <c r="AD72" i="2" s="1"/>
  <c r="BW60" i="18"/>
  <c r="S52" i="12"/>
  <c r="T50" i="12"/>
  <c r="AS49" i="18"/>
  <c r="AO51" i="18"/>
  <c r="AO55" i="18" s="1"/>
  <c r="AO61" i="2" s="1"/>
  <c r="P7" i="1"/>
  <c r="P42" i="1" s="1"/>
  <c r="P48" i="1"/>
  <c r="P35" i="1"/>
  <c r="BZ38" i="12"/>
  <c r="AK54" i="2"/>
  <c r="AK40" i="2"/>
  <c r="CC12" i="2"/>
  <c r="BQ14" i="2"/>
  <c r="BQ22" i="2" s="1"/>
  <c r="BW145" i="2"/>
  <c r="AK49" i="18"/>
  <c r="AK51" i="18" s="1"/>
  <c r="AK55" i="18" s="1"/>
  <c r="AK61" i="2" s="1"/>
  <c r="AN42" i="18"/>
  <c r="Q7" i="1"/>
  <c r="Q42" i="1" s="1"/>
  <c r="Q48" i="1"/>
  <c r="Q35" i="1"/>
  <c r="BB52" i="12"/>
  <c r="BC50" i="12"/>
  <c r="BC52" i="12" s="1"/>
  <c r="AZ13" i="18"/>
  <c r="AY12" i="18"/>
  <c r="AZ40" i="18" l="1"/>
  <c r="BA29" i="18"/>
  <c r="AK54" i="12"/>
  <c r="AS51" i="18"/>
  <c r="AS55" i="18" s="1"/>
  <c r="AS61" i="2" s="1"/>
  <c r="AS68" i="13" s="1"/>
  <c r="K9" i="21" s="1"/>
  <c r="AV45" i="18"/>
  <c r="AW34" i="18"/>
  <c r="AU60" i="12"/>
  <c r="AU54" i="12"/>
  <c r="AW20" i="18"/>
  <c r="AV22" i="18"/>
  <c r="AV41" i="12"/>
  <c r="AY46" i="18"/>
  <c r="AZ35" i="18"/>
  <c r="CM10" i="12"/>
  <c r="CN10" i="12" s="1"/>
  <c r="CO10" i="12" s="1"/>
  <c r="CP10" i="12" s="1"/>
  <c r="CQ10" i="12" s="1"/>
  <c r="CR10" i="12" s="1"/>
  <c r="CS10" i="12" s="1"/>
  <c r="CT10" i="12" s="1"/>
  <c r="CU10" i="12" s="1"/>
  <c r="CV10" i="12" s="1"/>
  <c r="X22" i="18"/>
  <c r="X40" i="12"/>
  <c r="Y18" i="18"/>
  <c r="Y22" i="18" s="1"/>
  <c r="BS38" i="18"/>
  <c r="BT38" i="18" s="1"/>
  <c r="BU38" i="18" s="1"/>
  <c r="BV38" i="18" s="1"/>
  <c r="BW38" i="18" s="1"/>
  <c r="BR38" i="18"/>
  <c r="CA79" i="30"/>
  <c r="CL36" i="12"/>
  <c r="CM36" i="12" s="1"/>
  <c r="CN36" i="12" s="1"/>
  <c r="CO36" i="12" s="1"/>
  <c r="CP36" i="12" s="1"/>
  <c r="CQ36" i="12" s="1"/>
  <c r="CR36" i="12" s="1"/>
  <c r="CS36" i="12" s="1"/>
  <c r="CT36" i="12" s="1"/>
  <c r="CU36" i="12" s="1"/>
  <c r="CV36" i="12" s="1"/>
  <c r="BV80" i="30"/>
  <c r="CL74" i="33"/>
  <c r="CL76" i="33" s="1"/>
  <c r="CQ92" i="33" s="1"/>
  <c r="CH92" i="33"/>
  <c r="CH77" i="33"/>
  <c r="CK92" i="33"/>
  <c r="CP77" i="33"/>
  <c r="CP92" i="33"/>
  <c r="CK78" i="33"/>
  <c r="CK77" i="33"/>
  <c r="CI92" i="33"/>
  <c r="CN92" i="33"/>
  <c r="CL37" i="12"/>
  <c r="CM37" i="12" s="1"/>
  <c r="CN37" i="12" s="1"/>
  <c r="CO37" i="12" s="1"/>
  <c r="CP37" i="12" s="1"/>
  <c r="CK14" i="12"/>
  <c r="CL14" i="12" s="1"/>
  <c r="AD18" i="21"/>
  <c r="CC92" i="33"/>
  <c r="BX87" i="34"/>
  <c r="BX85" i="34"/>
  <c r="BX51" i="2"/>
  <c r="EK18" i="25"/>
  <c r="BX10" i="2"/>
  <c r="BX22" i="34"/>
  <c r="BX81" i="34"/>
  <c r="CI77" i="33"/>
  <c r="CI78" i="33"/>
  <c r="CN77" i="33"/>
  <c r="CB78" i="34"/>
  <c r="CB79" i="34"/>
  <c r="BL124" i="30"/>
  <c r="BL125" i="34"/>
  <c r="CB75" i="33"/>
  <c r="CB76" i="33"/>
  <c r="CC78" i="33"/>
  <c r="CC77" i="33"/>
  <c r="BL205" i="30"/>
  <c r="BL201" i="30" s="1"/>
  <c r="BL206" i="34"/>
  <c r="BX27" i="2"/>
  <c r="BX32" i="34"/>
  <c r="BX41" i="34"/>
  <c r="BX11" i="34"/>
  <c r="BX66" i="34"/>
  <c r="BX54" i="34"/>
  <c r="BX62" i="34"/>
  <c r="BX76" i="34"/>
  <c r="BM189" i="34"/>
  <c r="BM190" i="34"/>
  <c r="CG75" i="33"/>
  <c r="CG76" i="33"/>
  <c r="CC80" i="34"/>
  <c r="CG78" i="34"/>
  <c r="CG79" i="34"/>
  <c r="ET26" i="25"/>
  <c r="CG77" i="30"/>
  <c r="CL52" i="2"/>
  <c r="CF80" i="30"/>
  <c r="CF59" i="31"/>
  <c r="CF58" i="31"/>
  <c r="CL21" i="12"/>
  <c r="CM21" i="12" s="1"/>
  <c r="CN21" i="12" s="1"/>
  <c r="CO21" i="12" s="1"/>
  <c r="CP21" i="12" s="1"/>
  <c r="BW179" i="2"/>
  <c r="BR179" i="2"/>
  <c r="CL179" i="2"/>
  <c r="BR98" i="32"/>
  <c r="BW98" i="32"/>
  <c r="BR78" i="30"/>
  <c r="BR80" i="30" s="1"/>
  <c r="BW78" i="30"/>
  <c r="BM68" i="30"/>
  <c r="BL58" i="2"/>
  <c r="BL136" i="2"/>
  <c r="BM70" i="30"/>
  <c r="CG179" i="2"/>
  <c r="CL173" i="2"/>
  <c r="BS79" i="30"/>
  <c r="BS80" i="30"/>
  <c r="BX100" i="32"/>
  <c r="BX99" i="32"/>
  <c r="CB173" i="2"/>
  <c r="CB78" i="30"/>
  <c r="BS100" i="32"/>
  <c r="BS99" i="32"/>
  <c r="CG96" i="32"/>
  <c r="CG97" i="32" s="1"/>
  <c r="CC98" i="32"/>
  <c r="CB98" i="32"/>
  <c r="BX79" i="30"/>
  <c r="BX80" i="30"/>
  <c r="BS59" i="31"/>
  <c r="BS58" i="31"/>
  <c r="BR70" i="30"/>
  <c r="BX58" i="31"/>
  <c r="BX59" i="31"/>
  <c r="CG169" i="2"/>
  <c r="BR145" i="2"/>
  <c r="BX54" i="2"/>
  <c r="BX57" i="2" s="1"/>
  <c r="BI62" i="30"/>
  <c r="BI17" i="30"/>
  <c r="BN18" i="30" s="1"/>
  <c r="BR59" i="30"/>
  <c r="DM7" i="25"/>
  <c r="BU36" i="2"/>
  <c r="BU19" i="19"/>
  <c r="BU24" i="19" s="1"/>
  <c r="BU40" i="19" s="1"/>
  <c r="EK19" i="25"/>
  <c r="AS56" i="2"/>
  <c r="AS127" i="2"/>
  <c r="AS132" i="2" s="1"/>
  <c r="K24" i="1" s="1"/>
  <c r="AO55" i="2"/>
  <c r="AS40" i="2"/>
  <c r="K37" i="1" s="1"/>
  <c r="AI54" i="2"/>
  <c r="AI57" i="2" s="1"/>
  <c r="AI58" i="2" s="1"/>
  <c r="BS23" i="2"/>
  <c r="CN11" i="2"/>
  <c r="BS36" i="2"/>
  <c r="T73" i="2"/>
  <c r="T80" i="2"/>
  <c r="BX23" i="2"/>
  <c r="DG7" i="25"/>
  <c r="BS19" i="19"/>
  <c r="BS24" i="19" s="1"/>
  <c r="BS40" i="19" s="1"/>
  <c r="AJ57" i="2"/>
  <c r="AJ58" i="2" s="1"/>
  <c r="AU56" i="2"/>
  <c r="CE11" i="2"/>
  <c r="CA12" i="2"/>
  <c r="CA14" i="2"/>
  <c r="CF12" i="2"/>
  <c r="AJ127" i="2"/>
  <c r="AJ132" i="2" s="1"/>
  <c r="AJ134" i="2" s="1"/>
  <c r="AJ136" i="2" s="1"/>
  <c r="ET18" i="25"/>
  <c r="CH12" i="2"/>
  <c r="CF11" i="2"/>
  <c r="CH11" i="2"/>
  <c r="AW24" i="19"/>
  <c r="AW40" i="19" s="1"/>
  <c r="AU40" i="2"/>
  <c r="AU57" i="2"/>
  <c r="AU58" i="2" s="1"/>
  <c r="AU65" i="2"/>
  <c r="AZ37" i="2"/>
  <c r="AY37" i="2"/>
  <c r="AT40" i="2"/>
  <c r="AT37" i="2"/>
  <c r="CH14" i="2"/>
  <c r="BJ54" i="2"/>
  <c r="BJ127" i="2" s="1"/>
  <c r="BJ132" i="2" s="1"/>
  <c r="AP54" i="2"/>
  <c r="AP127" i="2" s="1"/>
  <c r="AP132" i="2" s="1"/>
  <c r="AP134" i="2" s="1"/>
  <c r="AU37" i="2"/>
  <c r="AY24" i="19"/>
  <c r="AY40" i="19" s="1"/>
  <c r="AY54" i="2"/>
  <c r="AY57" i="2" s="1"/>
  <c r="AN36" i="2"/>
  <c r="AN54" i="2" s="1"/>
  <c r="BF54" i="2"/>
  <c r="BF57" i="2" s="1"/>
  <c r="AN23" i="2"/>
  <c r="BK37" i="2"/>
  <c r="AY40" i="2"/>
  <c r="EQ19" i="25"/>
  <c r="BV36" i="2"/>
  <c r="BV19" i="19"/>
  <c r="BV29" i="19" s="1"/>
  <c r="BV45" i="19" s="1"/>
  <c r="DP7" i="25"/>
  <c r="BL138" i="2"/>
  <c r="BL140" i="2" s="1"/>
  <c r="AP40" i="2"/>
  <c r="AN19" i="19"/>
  <c r="AS12" i="25"/>
  <c r="BL20" i="19"/>
  <c r="BL25" i="19" s="1"/>
  <c r="BL41" i="19" s="1"/>
  <c r="AT24" i="19"/>
  <c r="AT40" i="19" s="1"/>
  <c r="AZ40" i="2"/>
  <c r="BH23" i="2"/>
  <c r="AS23" i="2"/>
  <c r="AW20" i="19"/>
  <c r="AW30" i="19" s="1"/>
  <c r="AW46" i="19" s="1"/>
  <c r="BL24" i="19"/>
  <c r="BL40" i="19" s="1"/>
  <c r="AW136" i="2"/>
  <c r="BA37" i="2"/>
  <c r="BF37" i="2"/>
  <c r="K44" i="1"/>
  <c r="CE12" i="2"/>
  <c r="CE14" i="2"/>
  <c r="AD67" i="13"/>
  <c r="AD65" i="12"/>
  <c r="AD20" i="19"/>
  <c r="N17" i="1"/>
  <c r="N44" i="1" s="1"/>
  <c r="AZ24" i="19"/>
  <c r="AZ40" i="19" s="1"/>
  <c r="AV40" i="2"/>
  <c r="BA54" i="2"/>
  <c r="BA56" i="2" s="1"/>
  <c r="BD37" i="2"/>
  <c r="BZ7" i="25"/>
  <c r="Y76" i="13"/>
  <c r="G15" i="21" s="1"/>
  <c r="BB29" i="19"/>
  <c r="BB45" i="19" s="1"/>
  <c r="BB24" i="19"/>
  <c r="BB40" i="19" s="1"/>
  <c r="BE37" i="2"/>
  <c r="AZ54" i="2"/>
  <c r="AZ55" i="2" s="1"/>
  <c r="BX24" i="19"/>
  <c r="BX40" i="19" s="1"/>
  <c r="BX40" i="2"/>
  <c r="BE54" i="2"/>
  <c r="AV54" i="2"/>
  <c r="AV55" i="2" s="1"/>
  <c r="T20" i="13"/>
  <c r="T22" i="13" s="1"/>
  <c r="Y74" i="2"/>
  <c r="Y71" i="2" s="1"/>
  <c r="Y72" i="2" s="1"/>
  <c r="Y83" i="2"/>
  <c r="BB40" i="2"/>
  <c r="BB37" i="2"/>
  <c r="BB54" i="2"/>
  <c r="BD54" i="2"/>
  <c r="AM40" i="2"/>
  <c r="AM54" i="2"/>
  <c r="BI37" i="2"/>
  <c r="BK29" i="19"/>
  <c r="BK45" i="19" s="1"/>
  <c r="AM37" i="2"/>
  <c r="BA24" i="19"/>
  <c r="BA40" i="19" s="1"/>
  <c r="BA29" i="19"/>
  <c r="BA45" i="19" s="1"/>
  <c r="AX9" i="19"/>
  <c r="BI40" i="2"/>
  <c r="BJ37" i="2"/>
  <c r="AH57" i="2"/>
  <c r="AH58" i="2" s="1"/>
  <c r="BK7" i="25"/>
  <c r="BC23" i="2"/>
  <c r="AR37" i="2"/>
  <c r="AH127" i="2"/>
  <c r="AH132" i="2" s="1"/>
  <c r="AH134" i="2" s="1"/>
  <c r="AH136" i="2" s="1"/>
  <c r="BC36" i="2"/>
  <c r="BC54" i="2" s="1"/>
  <c r="L17" i="1"/>
  <c r="L44" i="1" s="1"/>
  <c r="BO14" i="2"/>
  <c r="BO22" i="2" s="1"/>
  <c r="BT23" i="2" s="1"/>
  <c r="AV7" i="25"/>
  <c r="BZ14" i="2"/>
  <c r="BG54" i="2"/>
  <c r="BG40" i="2"/>
  <c r="BG37" i="2"/>
  <c r="BL37" i="2"/>
  <c r="BK127" i="2"/>
  <c r="BK132" i="2" s="1"/>
  <c r="BK56" i="2"/>
  <c r="BK57" i="2"/>
  <c r="AX19" i="19"/>
  <c r="AX29" i="19" s="1"/>
  <c r="AX36" i="2"/>
  <c r="AX37" i="2" s="1"/>
  <c r="BG29" i="19"/>
  <c r="BG45" i="19" s="1"/>
  <c r="BG24" i="19"/>
  <c r="BG40" i="19" s="1"/>
  <c r="CK11" i="2"/>
  <c r="AO56" i="2"/>
  <c r="AO57" i="2"/>
  <c r="AO58" i="2" s="1"/>
  <c r="AO127" i="2"/>
  <c r="AO132" i="2" s="1"/>
  <c r="AO134" i="2" s="1"/>
  <c r="BN23" i="2"/>
  <c r="BN19" i="19"/>
  <c r="BN24" i="2"/>
  <c r="CR7" i="25"/>
  <c r="BN36" i="2"/>
  <c r="AL40" i="2"/>
  <c r="AL37" i="2"/>
  <c r="AL54" i="2"/>
  <c r="AQ37" i="2"/>
  <c r="BT19" i="19"/>
  <c r="DJ7" i="25"/>
  <c r="BT14" i="2"/>
  <c r="BS14" i="2"/>
  <c r="BW12" i="2"/>
  <c r="AE40" i="2"/>
  <c r="AE54" i="2"/>
  <c r="AJ37" i="2"/>
  <c r="BW22" i="2"/>
  <c r="Q17" i="1" s="1"/>
  <c r="AG40" i="2"/>
  <c r="AG54" i="2"/>
  <c r="AF40" i="2"/>
  <c r="AF54" i="2"/>
  <c r="AK55" i="2" s="1"/>
  <c r="CB11" i="2"/>
  <c r="CD11" i="2"/>
  <c r="EN18" i="25"/>
  <c r="AR29" i="19"/>
  <c r="AR45" i="19" s="1"/>
  <c r="AZ12" i="18"/>
  <c r="CB38" i="18"/>
  <c r="CD38" i="18"/>
  <c r="CE38" i="18" s="1"/>
  <c r="CF38" i="18" s="1"/>
  <c r="BW54" i="13"/>
  <c r="BP9" i="19"/>
  <c r="BP19" i="19"/>
  <c r="BP24" i="2"/>
  <c r="BP36" i="2"/>
  <c r="CX7" i="25"/>
  <c r="BP23" i="2"/>
  <c r="AQ136" i="2"/>
  <c r="AQ20" i="19"/>
  <c r="AQ30" i="19" s="1"/>
  <c r="AQ46" i="19" s="1"/>
  <c r="AN47" i="18"/>
  <c r="AJ49" i="18"/>
  <c r="AD40" i="12"/>
  <c r="AC59" i="12"/>
  <c r="AD59" i="12" s="1"/>
  <c r="AC54" i="12"/>
  <c r="AD54" i="12" s="1"/>
  <c r="AQ54" i="12"/>
  <c r="AD22" i="18"/>
  <c r="BD42" i="18"/>
  <c r="BC12" i="18"/>
  <c r="BB42" i="18"/>
  <c r="BB18" i="18"/>
  <c r="AT51" i="18"/>
  <c r="AT55" i="18" s="1"/>
  <c r="AT61" i="2" s="1"/>
  <c r="AT65" i="2" s="1"/>
  <c r="BI127" i="2"/>
  <c r="BI132" i="2" s="1"/>
  <c r="BI57" i="2"/>
  <c r="BI56" i="2"/>
  <c r="BR40" i="12"/>
  <c r="BQ59" i="12"/>
  <c r="BR59" i="12" s="1"/>
  <c r="AI22" i="18"/>
  <c r="AK127" i="2"/>
  <c r="AK132" i="2" s="1"/>
  <c r="AK134" i="2" s="1"/>
  <c r="AK57" i="2"/>
  <c r="AK65" i="2"/>
  <c r="AK56" i="2"/>
  <c r="T52" i="12"/>
  <c r="S54" i="12"/>
  <c r="T54" i="12" s="1"/>
  <c r="BH40" i="2"/>
  <c r="BH54" i="2"/>
  <c r="BW73" i="13"/>
  <c r="BW59" i="13"/>
  <c r="CI16" i="18"/>
  <c r="AS52" i="18"/>
  <c r="AH55" i="18"/>
  <c r="AH61" i="2" s="1"/>
  <c r="AH65" i="2" s="1"/>
  <c r="AI51" i="18"/>
  <c r="AI55" i="18" s="1"/>
  <c r="AI61" i="2" s="1"/>
  <c r="AI68" i="13" s="1"/>
  <c r="I9" i="21" s="1"/>
  <c r="BG33" i="18"/>
  <c r="BF44" i="18"/>
  <c r="AU20" i="19"/>
  <c r="AM12" i="25"/>
  <c r="AU136" i="2"/>
  <c r="AT57" i="2"/>
  <c r="AT56" i="2"/>
  <c r="AT55" i="2"/>
  <c r="AT127" i="2"/>
  <c r="AT132" i="2" s="1"/>
  <c r="AT134" i="2" s="1"/>
  <c r="CA38" i="12"/>
  <c r="CB31" i="12"/>
  <c r="AI40" i="12"/>
  <c r="AH59" i="12"/>
  <c r="AI59" i="12" s="1"/>
  <c r="AH54" i="12"/>
  <c r="AI54" i="12" s="1"/>
  <c r="AY18" i="18"/>
  <c r="AY42" i="18"/>
  <c r="AD73" i="2"/>
  <c r="AD80" i="2"/>
  <c r="BH31" i="18"/>
  <c r="BG42" i="18"/>
  <c r="BI31" i="18"/>
  <c r="AX40" i="12"/>
  <c r="AW59" i="12"/>
  <c r="AX59" i="12" s="1"/>
  <c r="BC36" i="18"/>
  <c r="BB47" i="18"/>
  <c r="BD36" i="18"/>
  <c r="CB19" i="13"/>
  <c r="CB35" i="12"/>
  <c r="CI11" i="2"/>
  <c r="AV43" i="18"/>
  <c r="AV49" i="18" s="1"/>
  <c r="AV51" i="18" s="1"/>
  <c r="AV55" i="18" s="1"/>
  <c r="AV61" i="2" s="1"/>
  <c r="AW32" i="18"/>
  <c r="BQ19" i="19"/>
  <c r="DA7" i="25"/>
  <c r="BQ36" i="2"/>
  <c r="BQ23" i="2"/>
  <c r="BQ24" i="2"/>
  <c r="BV23" i="2"/>
  <c r="AL40" i="12"/>
  <c r="AL22" i="18"/>
  <c r="CC14" i="2"/>
  <c r="AO65" i="2"/>
  <c r="AD95" i="2"/>
  <c r="AD51" i="13"/>
  <c r="AD62" i="13" s="1"/>
  <c r="AD63" i="13" s="1"/>
  <c r="AD9" i="13"/>
  <c r="AD91" i="2"/>
  <c r="BZ40" i="13"/>
  <c r="CA38" i="13" s="1"/>
  <c r="BW68" i="2"/>
  <c r="BW69" i="13" s="1"/>
  <c r="Q10" i="21" s="1"/>
  <c r="AR65" i="2"/>
  <c r="AR56" i="2"/>
  <c r="AR127" i="2"/>
  <c r="AR132" i="2" s="1"/>
  <c r="AR134" i="2" s="1"/>
  <c r="AR57" i="2"/>
  <c r="AW55" i="2"/>
  <c r="BU23" i="2"/>
  <c r="AQ66" i="2"/>
  <c r="AQ58" i="2"/>
  <c r="CB49" i="12"/>
  <c r="AJ22" i="18"/>
  <c r="AJ40" i="12"/>
  <c r="BB29" i="18" l="1"/>
  <c r="BA40" i="18"/>
  <c r="AW45" i="18"/>
  <c r="AX45" i="18" s="1"/>
  <c r="AX34" i="18"/>
  <c r="AY34" i="18"/>
  <c r="AV60" i="12"/>
  <c r="AV54" i="12"/>
  <c r="CA40" i="13"/>
  <c r="CB40" i="13" s="1"/>
  <c r="CB38" i="13"/>
  <c r="Y40" i="12"/>
  <c r="X59" i="12"/>
  <c r="Y59" i="12" s="1"/>
  <c r="X54" i="12"/>
  <c r="Y54" i="12" s="1"/>
  <c r="AW41" i="12"/>
  <c r="AX20" i="18"/>
  <c r="AY20" i="18" s="1"/>
  <c r="AW22" i="18"/>
  <c r="AX22" i="18" s="1"/>
  <c r="AZ46" i="18"/>
  <c r="BA35" i="18"/>
  <c r="CQ21" i="12"/>
  <c r="CR21" i="12" s="1"/>
  <c r="CS21" i="12" s="1"/>
  <c r="CT21" i="12" s="1"/>
  <c r="CU21" i="12" s="1"/>
  <c r="CL92" i="33"/>
  <c r="CL75" i="33"/>
  <c r="CG92" i="33"/>
  <c r="CM14" i="12"/>
  <c r="CN14" i="12" s="1"/>
  <c r="CO14" i="12" s="1"/>
  <c r="CP14" i="12" s="1"/>
  <c r="CQ14" i="12" s="1"/>
  <c r="CR14" i="12" s="1"/>
  <c r="CS14" i="12" s="1"/>
  <c r="CT14" i="12" s="1"/>
  <c r="CU14" i="12" s="1"/>
  <c r="CV14" i="12" s="1"/>
  <c r="CB78" i="33"/>
  <c r="CB92" i="33"/>
  <c r="BL187" i="30"/>
  <c r="BL189" i="30" s="1"/>
  <c r="BX67" i="34"/>
  <c r="CL77" i="33"/>
  <c r="CL78" i="33"/>
  <c r="CQ77" i="33"/>
  <c r="BX47" i="34"/>
  <c r="BX68" i="34"/>
  <c r="CG80" i="34"/>
  <c r="BL188" i="34"/>
  <c r="BL190" i="34" s="1"/>
  <c r="BL202" i="34"/>
  <c r="CG78" i="33"/>
  <c r="CG77" i="33"/>
  <c r="BF124" i="30"/>
  <c r="BF125" i="34"/>
  <c r="BK124" i="30"/>
  <c r="BK125" i="34"/>
  <c r="AY124" i="30"/>
  <c r="AY125" i="34"/>
  <c r="BX34" i="34"/>
  <c r="BI124" i="30"/>
  <c r="BI125" i="34"/>
  <c r="BX63" i="34"/>
  <c r="BW59" i="31"/>
  <c r="BR59" i="31"/>
  <c r="CF52" i="2"/>
  <c r="CG52" i="2" s="1"/>
  <c r="BW80" i="30"/>
  <c r="BW99" i="32"/>
  <c r="BW58" i="31"/>
  <c r="BW100" i="32"/>
  <c r="BW79" i="30"/>
  <c r="BX56" i="2"/>
  <c r="CB99" i="32"/>
  <c r="CB100" i="32"/>
  <c r="CB80" i="30"/>
  <c r="CB79" i="30"/>
  <c r="CC100" i="32"/>
  <c r="CC99" i="32"/>
  <c r="CC80" i="30"/>
  <c r="CC79" i="30"/>
  <c r="CG98" i="32"/>
  <c r="CC59" i="31"/>
  <c r="CC58" i="31"/>
  <c r="CB59" i="31"/>
  <c r="CB58" i="31"/>
  <c r="CG173" i="2"/>
  <c r="BU40" i="2"/>
  <c r="BV54" i="2"/>
  <c r="BV56" i="2" s="1"/>
  <c r="BX37" i="2"/>
  <c r="AS134" i="2"/>
  <c r="K27" i="1" s="1"/>
  <c r="EK26" i="25"/>
  <c r="BU54" i="2"/>
  <c r="BU57" i="2" s="1"/>
  <c r="BU29" i="19"/>
  <c r="BU45" i="19" s="1"/>
  <c r="BS40" i="2"/>
  <c r="BS29" i="19"/>
  <c r="BS45" i="19" s="1"/>
  <c r="BS54" i="2"/>
  <c r="BX55" i="2" s="1"/>
  <c r="AI56" i="2"/>
  <c r="AI127" i="2"/>
  <c r="AI132" i="2" s="1"/>
  <c r="AI134" i="2" s="1"/>
  <c r="AI65" i="12" s="1"/>
  <c r="CP11" i="2"/>
  <c r="CJ11" i="2"/>
  <c r="CM12" i="2"/>
  <c r="CM11" i="2"/>
  <c r="T89" i="2"/>
  <c r="T82" i="2"/>
  <c r="T93" i="2"/>
  <c r="T69" i="12"/>
  <c r="AJ20" i="19"/>
  <c r="AJ30" i="19" s="1"/>
  <c r="AJ46" i="19" s="1"/>
  <c r="AO135" i="2"/>
  <c r="AH20" i="19"/>
  <c r="Y77" i="13"/>
  <c r="CB14" i="2"/>
  <c r="ET19" i="25"/>
  <c r="CF14" i="2"/>
  <c r="CB12" i="2"/>
  <c r="AP56" i="2"/>
  <c r="AP57" i="2"/>
  <c r="AP58" i="2" s="1"/>
  <c r="AP65" i="2"/>
  <c r="AS65" i="2" s="1"/>
  <c r="AU55" i="2"/>
  <c r="AU66" i="2"/>
  <c r="AU83" i="2" s="1"/>
  <c r="AP55" i="2"/>
  <c r="AY55" i="2"/>
  <c r="BJ55" i="2"/>
  <c r="BF56" i="2"/>
  <c r="BD55" i="2"/>
  <c r="BK55" i="2"/>
  <c r="BF127" i="2"/>
  <c r="BF132" i="2" s="1"/>
  <c r="BV24" i="19"/>
  <c r="BV40" i="19" s="1"/>
  <c r="BJ57" i="2"/>
  <c r="AY127" i="2"/>
  <c r="AY132" i="2" s="1"/>
  <c r="BJ56" i="2"/>
  <c r="AY56" i="2"/>
  <c r="AS37" i="2"/>
  <c r="BE56" i="2"/>
  <c r="AN40" i="2"/>
  <c r="J37" i="1" s="1"/>
  <c r="AN37" i="2"/>
  <c r="AW25" i="19"/>
  <c r="AW41" i="19" s="1"/>
  <c r="BV40" i="2"/>
  <c r="AX40" i="2"/>
  <c r="BL30" i="19"/>
  <c r="BL46" i="19" s="1"/>
  <c r="M44" i="1"/>
  <c r="BO19" i="19"/>
  <c r="BO24" i="19" s="1"/>
  <c r="BO40" i="19" s="1"/>
  <c r="AX54" i="2"/>
  <c r="AX127" i="2" s="1"/>
  <c r="AX132" i="2" s="1"/>
  <c r="L24" i="1" s="1"/>
  <c r="BR14" i="2"/>
  <c r="BA57" i="2"/>
  <c r="EW26" i="25"/>
  <c r="CG33" i="12"/>
  <c r="CG18" i="13"/>
  <c r="CG18" i="12"/>
  <c r="BA55" i="2"/>
  <c r="BA127" i="2"/>
  <c r="BA132" i="2" s="1"/>
  <c r="AV127" i="2"/>
  <c r="AV132" i="2" s="1"/>
  <c r="AV134" i="2" s="1"/>
  <c r="AV135" i="2" s="1"/>
  <c r="BI55" i="2"/>
  <c r="BF55" i="2"/>
  <c r="BD127" i="2"/>
  <c r="BD132" i="2" s="1"/>
  <c r="AZ127" i="2"/>
  <c r="AZ132" i="2" s="1"/>
  <c r="AZ134" i="2" s="1"/>
  <c r="AZ56" i="2"/>
  <c r="H8" i="21"/>
  <c r="AD76" i="13"/>
  <c r="T81" i="13"/>
  <c r="T92" i="13" s="1"/>
  <c r="T93" i="13" s="1"/>
  <c r="T45" i="13"/>
  <c r="T48" i="13" s="1"/>
  <c r="Y91" i="2"/>
  <c r="Y9" i="13"/>
  <c r="Y51" i="13"/>
  <c r="Y62" i="13" s="1"/>
  <c r="Y63" i="13" s="1"/>
  <c r="Y95" i="2"/>
  <c r="Y73" i="2"/>
  <c r="Y80" i="2"/>
  <c r="D32" i="2"/>
  <c r="BE57" i="2"/>
  <c r="BE55" i="2"/>
  <c r="BE127" i="2"/>
  <c r="BE132" i="2" s="1"/>
  <c r="AV56" i="2"/>
  <c r="CU7" i="25"/>
  <c r="AZ57" i="2"/>
  <c r="AV57" i="2"/>
  <c r="BH37" i="2"/>
  <c r="BO23" i="2"/>
  <c r="BO36" i="2"/>
  <c r="BD57" i="2"/>
  <c r="BK58" i="2"/>
  <c r="BO24" i="2"/>
  <c r="AM57" i="2"/>
  <c r="AM65" i="2"/>
  <c r="AM55" i="2"/>
  <c r="AM127" i="2"/>
  <c r="AM132" i="2" s="1"/>
  <c r="AM134" i="2" s="1"/>
  <c r="AR135" i="2" s="1"/>
  <c r="AM56" i="2"/>
  <c r="BK134" i="2"/>
  <c r="BC37" i="2"/>
  <c r="BC40" i="2"/>
  <c r="M37" i="1" s="1"/>
  <c r="BB127" i="2"/>
  <c r="BB132" i="2" s="1"/>
  <c r="BB55" i="2"/>
  <c r="BB56" i="2"/>
  <c r="BB57" i="2"/>
  <c r="AR55" i="2"/>
  <c r="AO66" i="2"/>
  <c r="AO83" i="2" s="1"/>
  <c r="BR22" i="2"/>
  <c r="BR36" i="2" s="1"/>
  <c r="BD56" i="2"/>
  <c r="BG57" i="2"/>
  <c r="BG55" i="2"/>
  <c r="BL55" i="2"/>
  <c r="BG56" i="2"/>
  <c r="BG127" i="2"/>
  <c r="BG132" i="2" s="1"/>
  <c r="BN37" i="2"/>
  <c r="BN54" i="2"/>
  <c r="BN40" i="2"/>
  <c r="D44" i="2"/>
  <c r="BS37" i="2"/>
  <c r="D26" i="2"/>
  <c r="D45" i="2"/>
  <c r="BN24" i="19"/>
  <c r="BN40" i="19" s="1"/>
  <c r="BN29" i="19"/>
  <c r="BN45" i="19" s="1"/>
  <c r="D43" i="2"/>
  <c r="DS7" i="25"/>
  <c r="AO136" i="2"/>
  <c r="AO20" i="19"/>
  <c r="AO30" i="19" s="1"/>
  <c r="AO46" i="19" s="1"/>
  <c r="BW36" i="2"/>
  <c r="BW14" i="2"/>
  <c r="BC57" i="2"/>
  <c r="BC56" i="2"/>
  <c r="BC127" i="2"/>
  <c r="BC132" i="2" s="1"/>
  <c r="M24" i="1" s="1"/>
  <c r="EQ24" i="25"/>
  <c r="AE127" i="2"/>
  <c r="AE132" i="2" s="1"/>
  <c r="AE134" i="2" s="1"/>
  <c r="AE57" i="2"/>
  <c r="AE56" i="2"/>
  <c r="AE65" i="2"/>
  <c r="AJ55" i="2"/>
  <c r="AL55" i="2"/>
  <c r="AL56" i="2"/>
  <c r="AL57" i="2"/>
  <c r="AL127" i="2"/>
  <c r="AL132" i="2" s="1"/>
  <c r="AL134" i="2" s="1"/>
  <c r="AQ55" i="2"/>
  <c r="BT24" i="19"/>
  <c r="BT40" i="19" s="1"/>
  <c r="BT29" i="19"/>
  <c r="BT45" i="19" s="1"/>
  <c r="BJ134" i="2"/>
  <c r="BT40" i="2"/>
  <c r="BT54" i="2"/>
  <c r="AG57" i="2"/>
  <c r="AG65" i="2"/>
  <c r="AG127" i="2"/>
  <c r="AG132" i="2" s="1"/>
  <c r="AG134" i="2" s="1"/>
  <c r="AG56" i="2"/>
  <c r="EN19" i="25"/>
  <c r="CD12" i="2"/>
  <c r="AY58" i="2"/>
  <c r="AL65" i="2"/>
  <c r="AF57" i="2"/>
  <c r="AF127" i="2"/>
  <c r="AF132" i="2" s="1"/>
  <c r="AF134" i="2" s="1"/>
  <c r="AF56" i="2"/>
  <c r="AF65" i="2"/>
  <c r="CG11" i="2"/>
  <c r="EW18" i="25"/>
  <c r="AJ59" i="12"/>
  <c r="AJ54" i="12"/>
  <c r="BH55" i="2"/>
  <c r="BH127" i="2"/>
  <c r="BH132" i="2" s="1"/>
  <c r="N24" i="1" s="1"/>
  <c r="BH57" i="2"/>
  <c r="BH56" i="2"/>
  <c r="AD20" i="13"/>
  <c r="AD22" i="13" s="1"/>
  <c r="AL59" i="12"/>
  <c r="AL54" i="12"/>
  <c r="AD82" i="2"/>
  <c r="AD93" i="2"/>
  <c r="AD21" i="19" s="1"/>
  <c r="AD69" i="12"/>
  <c r="AD89" i="2"/>
  <c r="AY40" i="12"/>
  <c r="AY22" i="18"/>
  <c r="AR80" i="2"/>
  <c r="AR73" i="2"/>
  <c r="AT136" i="2"/>
  <c r="AJ12" i="25"/>
  <c r="AT135" i="2"/>
  <c r="AT20" i="19"/>
  <c r="CG14" i="18"/>
  <c r="CH14" i="18" s="1"/>
  <c r="AY32" i="18"/>
  <c r="AX32" i="18"/>
  <c r="AW43" i="18"/>
  <c r="AW49" i="18" s="1"/>
  <c r="AW51" i="18" s="1"/>
  <c r="AW55" i="18" s="1"/>
  <c r="AW61" i="2" s="1"/>
  <c r="BP54" i="2"/>
  <c r="BP40" i="2"/>
  <c r="BP37" i="2"/>
  <c r="BB40" i="12"/>
  <c r="BC18" i="18"/>
  <c r="AP136" i="2"/>
  <c r="AP20" i="19"/>
  <c r="AP30" i="19" s="1"/>
  <c r="AP46" i="19" s="1"/>
  <c r="AP135" i="2"/>
  <c r="BJ31" i="18"/>
  <c r="BI42" i="18"/>
  <c r="AK20" i="19"/>
  <c r="AK30" i="19" s="1"/>
  <c r="AK46" i="19" s="1"/>
  <c r="AK136" i="2"/>
  <c r="AH66" i="2"/>
  <c r="AQ74" i="2"/>
  <c r="AQ71" i="2" s="1"/>
  <c r="AQ72" i="2" s="1"/>
  <c r="AQ83" i="2"/>
  <c r="AR66" i="2"/>
  <c r="AR58" i="2"/>
  <c r="BQ54" i="2"/>
  <c r="BQ40" i="2"/>
  <c r="BQ37" i="2"/>
  <c r="BV37" i="2"/>
  <c r="BE36" i="18"/>
  <c r="BD47" i="18"/>
  <c r="AT66" i="2"/>
  <c r="AT58" i="2"/>
  <c r="AU25" i="19"/>
  <c r="AU41" i="19" s="1"/>
  <c r="AU30" i="19"/>
  <c r="AU46" i="19" s="1"/>
  <c r="AN52" i="18"/>
  <c r="BP29" i="19"/>
  <c r="BP45" i="19" s="1"/>
  <c r="BP24" i="19"/>
  <c r="BP40" i="19" s="1"/>
  <c r="BI58" i="2"/>
  <c r="CB37" i="13"/>
  <c r="BI33" i="18"/>
  <c r="BH33" i="18"/>
  <c r="BG44" i="18"/>
  <c r="BH44" i="18" s="1"/>
  <c r="BI134" i="2"/>
  <c r="AI52" i="18"/>
  <c r="AR20" i="19"/>
  <c r="AR30" i="19" s="1"/>
  <c r="AR46" i="19" s="1"/>
  <c r="AR136" i="2"/>
  <c r="AR10" i="19"/>
  <c r="AW135" i="2"/>
  <c r="CB38" i="12"/>
  <c r="BC47" i="18"/>
  <c r="AU135" i="2"/>
  <c r="BH42" i="18"/>
  <c r="CL38" i="18"/>
  <c r="CG38" i="18"/>
  <c r="AZ18" i="18"/>
  <c r="AZ42" i="18"/>
  <c r="BA42" i="18"/>
  <c r="AV65" i="2"/>
  <c r="BF58" i="2"/>
  <c r="BX127" i="2"/>
  <c r="BX116" i="2"/>
  <c r="BX58" i="2"/>
  <c r="N37" i="1"/>
  <c r="AK58" i="2"/>
  <c r="AK66" i="2"/>
  <c r="AN55" i="2"/>
  <c r="AN127" i="2"/>
  <c r="AN132" i="2" s="1"/>
  <c r="J24" i="1" s="1"/>
  <c r="AN56" i="2"/>
  <c r="AN57" i="2"/>
  <c r="AS55" i="2"/>
  <c r="BQ29" i="19"/>
  <c r="BQ45" i="19" s="1"/>
  <c r="BQ24" i="19"/>
  <c r="BQ40" i="19" s="1"/>
  <c r="BU37" i="2"/>
  <c r="AN49" i="18"/>
  <c r="AJ51" i="18"/>
  <c r="BB40" i="18" l="1"/>
  <c r="BC40" i="18" s="1"/>
  <c r="BD29" i="18"/>
  <c r="BC29" i="18"/>
  <c r="AZ34" i="18"/>
  <c r="AY45" i="18"/>
  <c r="BB35" i="18"/>
  <c r="BA46" i="18"/>
  <c r="AX49" i="18"/>
  <c r="AX43" i="18"/>
  <c r="AX52" i="18" s="1"/>
  <c r="AY41" i="12"/>
  <c r="AY60" i="12" s="1"/>
  <c r="AZ20" i="18"/>
  <c r="AZ22" i="18" s="1"/>
  <c r="BC42" i="18"/>
  <c r="AX41" i="12"/>
  <c r="AX54" i="12" s="1"/>
  <c r="AW60" i="12"/>
  <c r="AX60" i="12" s="1"/>
  <c r="AW54" i="12"/>
  <c r="CV21" i="12"/>
  <c r="CL19" i="12"/>
  <c r="CM19" i="12" s="1"/>
  <c r="CN19" i="12" s="1"/>
  <c r="CO19" i="12" s="1"/>
  <c r="CP19" i="12" s="1"/>
  <c r="BJ124" i="30"/>
  <c r="BJ125" i="34"/>
  <c r="AZ124" i="30"/>
  <c r="AZ125" i="34"/>
  <c r="BG124" i="30"/>
  <c r="BG125" i="34"/>
  <c r="BA124" i="30"/>
  <c r="BA125" i="34"/>
  <c r="BI205" i="30"/>
  <c r="BI187" i="30" s="1"/>
  <c r="BI189" i="30" s="1"/>
  <c r="BI206" i="34"/>
  <c r="BH124" i="30"/>
  <c r="BH125" i="34"/>
  <c r="BK205" i="30"/>
  <c r="BK201" i="30" s="1"/>
  <c r="BK206" i="34"/>
  <c r="BE124" i="30"/>
  <c r="BE125" i="34"/>
  <c r="BH191" i="30"/>
  <c r="BH192" i="34"/>
  <c r="BJ205" i="30"/>
  <c r="BJ187" i="30" s="1"/>
  <c r="BJ189" i="30" s="1"/>
  <c r="BJ206" i="34"/>
  <c r="BC124" i="30"/>
  <c r="BC125" i="34"/>
  <c r="AV124" i="30"/>
  <c r="AV125" i="34"/>
  <c r="BB124" i="30"/>
  <c r="BB125" i="34"/>
  <c r="BD124" i="30"/>
  <c r="BD125" i="34"/>
  <c r="BX56" i="34"/>
  <c r="BX69" i="34"/>
  <c r="BX70" i="34"/>
  <c r="CL34" i="12"/>
  <c r="CM34" i="12" s="1"/>
  <c r="CN34" i="12" s="1"/>
  <c r="CO34" i="12" s="1"/>
  <c r="BD58" i="2"/>
  <c r="BJ58" i="2"/>
  <c r="AV58" i="2"/>
  <c r="CG79" i="30"/>
  <c r="CG80" i="30"/>
  <c r="CG99" i="32"/>
  <c r="CG100" i="32"/>
  <c r="EK25" i="25"/>
  <c r="CG59" i="31"/>
  <c r="CG58" i="31"/>
  <c r="BV57" i="2"/>
  <c r="BW40" i="2"/>
  <c r="Q37" i="1" s="1"/>
  <c r="AS67" i="13"/>
  <c r="K8" i="21" s="1"/>
  <c r="AS20" i="19"/>
  <c r="AS136" i="2"/>
  <c r="K39" i="1" s="1"/>
  <c r="BO54" i="2"/>
  <c r="BO55" i="2" s="1"/>
  <c r="AS65" i="12"/>
  <c r="BU56" i="2"/>
  <c r="BU55" i="2"/>
  <c r="BS55" i="2"/>
  <c r="BS56" i="2"/>
  <c r="BW54" i="2"/>
  <c r="BW56" i="2" s="1"/>
  <c r="BS57" i="2"/>
  <c r="AI20" i="19"/>
  <c r="AI136" i="2"/>
  <c r="AI67" i="13"/>
  <c r="AI76" i="13" s="1"/>
  <c r="CK12" i="2"/>
  <c r="CD14" i="2"/>
  <c r="CG14" i="2" s="1"/>
  <c r="CK14" i="2"/>
  <c r="CQ11" i="2"/>
  <c r="CO11" i="2"/>
  <c r="CO14" i="2"/>
  <c r="CO12" i="2"/>
  <c r="CL11" i="2"/>
  <c r="CN12" i="2"/>
  <c r="CN14" i="2"/>
  <c r="CM14" i="2"/>
  <c r="AY134" i="2"/>
  <c r="AY135" i="2" s="1"/>
  <c r="AP66" i="2"/>
  <c r="AP74" i="2" s="1"/>
  <c r="AP71" i="2" s="1"/>
  <c r="AP72" i="2" s="1"/>
  <c r="AU74" i="2"/>
  <c r="AU71" i="2" s="1"/>
  <c r="AU72" i="2" s="1"/>
  <c r="AU80" i="2" s="1"/>
  <c r="BC55" i="2"/>
  <c r="L37" i="1"/>
  <c r="AX57" i="2"/>
  <c r="AX58" i="2" s="1"/>
  <c r="AX55" i="2"/>
  <c r="BF134" i="2"/>
  <c r="BF136" i="2" s="1"/>
  <c r="BO29" i="19"/>
  <c r="BO45" i="19" s="1"/>
  <c r="AX56" i="2"/>
  <c r="AO74" i="2"/>
  <c r="AO71" i="2" s="1"/>
  <c r="AO72" i="2" s="1"/>
  <c r="AP12" i="25"/>
  <c r="BE134" i="2"/>
  <c r="BE20" i="19" s="1"/>
  <c r="BA58" i="2"/>
  <c r="AV20" i="19"/>
  <c r="AV30" i="19" s="1"/>
  <c r="AV46" i="19" s="1"/>
  <c r="CJ12" i="2"/>
  <c r="AV136" i="2"/>
  <c r="BE58" i="2"/>
  <c r="CG20" i="12"/>
  <c r="AD77" i="13"/>
  <c r="H15" i="21"/>
  <c r="H16" i="21" s="1"/>
  <c r="AZ58" i="2"/>
  <c r="DD7" i="25"/>
  <c r="BD134" i="2"/>
  <c r="CF12" i="25" s="1"/>
  <c r="BA134" i="2"/>
  <c r="BO37" i="2"/>
  <c r="Y20" i="13"/>
  <c r="Y22" i="13" s="1"/>
  <c r="AV66" i="2"/>
  <c r="AV74" i="2" s="1"/>
  <c r="Y93" i="2"/>
  <c r="Y89" i="2"/>
  <c r="Y69" i="12"/>
  <c r="Y82" i="2"/>
  <c r="BT37" i="2"/>
  <c r="Y46" i="13"/>
  <c r="S48" i="13"/>
  <c r="S9" i="12"/>
  <c r="BG58" i="2"/>
  <c r="AM20" i="19"/>
  <c r="AM30" i="19" s="1"/>
  <c r="AM46" i="19" s="1"/>
  <c r="AM135" i="2"/>
  <c r="AM136" i="2"/>
  <c r="BO40" i="2"/>
  <c r="BW23" i="2"/>
  <c r="C26" i="2"/>
  <c r="AM80" i="2"/>
  <c r="AR81" i="2" s="1"/>
  <c r="AM73" i="2"/>
  <c r="BK136" i="2"/>
  <c r="BK138" i="2"/>
  <c r="BK140" i="2" s="1"/>
  <c r="BK20" i="19"/>
  <c r="AM58" i="2"/>
  <c r="AM66" i="2"/>
  <c r="C47" i="2"/>
  <c r="BG134" i="2"/>
  <c r="P17" i="1"/>
  <c r="BB58" i="2"/>
  <c r="BB134" i="2"/>
  <c r="BN56" i="2"/>
  <c r="BN57" i="2"/>
  <c r="BN55" i="2"/>
  <c r="AF136" i="2"/>
  <c r="AF20" i="19"/>
  <c r="AF66" i="2"/>
  <c r="AF58" i="2"/>
  <c r="BT56" i="2"/>
  <c r="BT57" i="2"/>
  <c r="BC134" i="2"/>
  <c r="AE66" i="2"/>
  <c r="AE58" i="2"/>
  <c r="BJ20" i="19"/>
  <c r="BJ138" i="2"/>
  <c r="BJ140" i="2" s="1"/>
  <c r="BJ136" i="2"/>
  <c r="AK135" i="2"/>
  <c r="AE20" i="19"/>
  <c r="AE136" i="2"/>
  <c r="AJ135" i="2"/>
  <c r="BC58" i="2"/>
  <c r="AG20" i="19"/>
  <c r="AG136" i="2"/>
  <c r="AL136" i="2"/>
  <c r="AL20" i="19"/>
  <c r="AL30" i="19" s="1"/>
  <c r="AL46" i="19" s="1"/>
  <c r="AL135" i="2"/>
  <c r="AQ135" i="2"/>
  <c r="AG58" i="2"/>
  <c r="AG66" i="2"/>
  <c r="AI65" i="2"/>
  <c r="EW19" i="25"/>
  <c r="CG12" i="2"/>
  <c r="AZ20" i="19"/>
  <c r="AZ136" i="2"/>
  <c r="AZ135" i="2"/>
  <c r="BB12" i="25"/>
  <c r="CI12" i="2"/>
  <c r="AL58" i="2"/>
  <c r="AL66" i="2"/>
  <c r="AD81" i="13"/>
  <c r="AD92" i="13" s="1"/>
  <c r="AD45" i="13"/>
  <c r="BR40" i="2"/>
  <c r="AZ32" i="18"/>
  <c r="AY43" i="18"/>
  <c r="AT25" i="19"/>
  <c r="AT41" i="19" s="1"/>
  <c r="AT30" i="19"/>
  <c r="AT46" i="19" s="1"/>
  <c r="BH58" i="2"/>
  <c r="AN58" i="2"/>
  <c r="AK74" i="2"/>
  <c r="AK71" i="2" s="1"/>
  <c r="AK72" i="2" s="1"/>
  <c r="AK83" i="2"/>
  <c r="AZ40" i="12"/>
  <c r="AT83" i="2"/>
  <c r="AT74" i="2"/>
  <c r="AT71" i="2" s="1"/>
  <c r="BQ55" i="2"/>
  <c r="BQ57" i="2"/>
  <c r="BQ56" i="2"/>
  <c r="BV55" i="2"/>
  <c r="AQ73" i="2"/>
  <c r="AQ80" i="2"/>
  <c r="AW65" i="2"/>
  <c r="AX65" i="2" s="1"/>
  <c r="AW66" i="2"/>
  <c r="BW37" i="2"/>
  <c r="BI136" i="2"/>
  <c r="BI138" i="2"/>
  <c r="BI20" i="19"/>
  <c r="AH74" i="2"/>
  <c r="AH71" i="2" s="1"/>
  <c r="AH72" i="2" s="1"/>
  <c r="AH83" i="2"/>
  <c r="BB59" i="12"/>
  <c r="BC59" i="12" s="1"/>
  <c r="BC40" i="12"/>
  <c r="CI14" i="18"/>
  <c r="AR82" i="2"/>
  <c r="AR93" i="2"/>
  <c r="AR89" i="2"/>
  <c r="AY54" i="12"/>
  <c r="AY59" i="12"/>
  <c r="AV80" i="2"/>
  <c r="AV98" i="2"/>
  <c r="AV73" i="2"/>
  <c r="CG13" i="18"/>
  <c r="CH13" i="18" s="1"/>
  <c r="BE47" i="18"/>
  <c r="BF36" i="18"/>
  <c r="AO9" i="13"/>
  <c r="AO95" i="2"/>
  <c r="AO91" i="2"/>
  <c r="AX134" i="2"/>
  <c r="BH134" i="2"/>
  <c r="BX123" i="2"/>
  <c r="CC40" i="13"/>
  <c r="AJ55" i="18"/>
  <c r="AJ61" i="2" s="1"/>
  <c r="AN51" i="18"/>
  <c r="AN55" i="18" s="1"/>
  <c r="AN61" i="2" s="1"/>
  <c r="AN68" i="13" s="1"/>
  <c r="J9" i="21" s="1"/>
  <c r="CK16" i="18"/>
  <c r="AN134" i="2"/>
  <c r="AU9" i="13"/>
  <c r="AU95" i="2"/>
  <c r="AU91" i="2"/>
  <c r="AR74" i="2"/>
  <c r="AR83" i="2"/>
  <c r="BK31" i="18"/>
  <c r="BJ42" i="18"/>
  <c r="BU127" i="2"/>
  <c r="BU132" i="2" s="1"/>
  <c r="BU116" i="2"/>
  <c r="BU123" i="2" s="1"/>
  <c r="BU58" i="2"/>
  <c r="BP56" i="2"/>
  <c r="BP57" i="2"/>
  <c r="BP55" i="2"/>
  <c r="BX132" i="2"/>
  <c r="BI44" i="18"/>
  <c r="BJ33" i="18"/>
  <c r="AQ9" i="13"/>
  <c r="AQ95" i="2"/>
  <c r="AQ91" i="2"/>
  <c r="BD40" i="18" l="1"/>
  <c r="BE29" i="18"/>
  <c r="AX51" i="18"/>
  <c r="AX55" i="18" s="1"/>
  <c r="AX61" i="2" s="1"/>
  <c r="AX68" i="13" s="1"/>
  <c r="L9" i="21" s="1"/>
  <c r="BA34" i="18"/>
  <c r="AZ45" i="18"/>
  <c r="AZ41" i="12"/>
  <c r="AZ60" i="12" s="1"/>
  <c r="BA20" i="18"/>
  <c r="BB46" i="18"/>
  <c r="BC46" i="18" s="1"/>
  <c r="BD35" i="18"/>
  <c r="BC35" i="18"/>
  <c r="BK187" i="30"/>
  <c r="BK189" i="30" s="1"/>
  <c r="BI201" i="30"/>
  <c r="BJ201" i="30"/>
  <c r="BX59" i="34"/>
  <c r="BX71" i="34"/>
  <c r="BX57" i="34"/>
  <c r="BH205" i="30"/>
  <c r="BH206" i="34"/>
  <c r="BK188" i="34"/>
  <c r="BK190" i="34" s="1"/>
  <c r="BK202" i="34"/>
  <c r="BJ202" i="34"/>
  <c r="BJ188" i="34"/>
  <c r="BJ190" i="34" s="1"/>
  <c r="BI188" i="34"/>
  <c r="BI190" i="34" s="1"/>
  <c r="BI202" i="34"/>
  <c r="BV58" i="2"/>
  <c r="BV116" i="2"/>
  <c r="BV123" i="2" s="1"/>
  <c r="AS76" i="13"/>
  <c r="AS77" i="13" s="1"/>
  <c r="BV127" i="2"/>
  <c r="BV132" i="2" s="1"/>
  <c r="BO57" i="2"/>
  <c r="BT55" i="2"/>
  <c r="BR54" i="2"/>
  <c r="BW55" i="2" s="1"/>
  <c r="BO56" i="2"/>
  <c r="EK24" i="25"/>
  <c r="BS127" i="2"/>
  <c r="BS132" i="2" s="1"/>
  <c r="BS58" i="2"/>
  <c r="BS116" i="2"/>
  <c r="BS123" i="2" s="1"/>
  <c r="BW57" i="2"/>
  <c r="I8" i="21"/>
  <c r="Q44" i="1"/>
  <c r="CP12" i="2"/>
  <c r="CQ12" i="2"/>
  <c r="AU73" i="2"/>
  <c r="AY20" i="19"/>
  <c r="AY25" i="19" s="1"/>
  <c r="AY41" i="19" s="1"/>
  <c r="AY136" i="2"/>
  <c r="AY12" i="25"/>
  <c r="AS66" i="2"/>
  <c r="AS74" i="2" s="1"/>
  <c r="EN24" i="25"/>
  <c r="AP83" i="2"/>
  <c r="AP95" i="2" s="1"/>
  <c r="EW24" i="25"/>
  <c r="BT12" i="25"/>
  <c r="BK135" i="2"/>
  <c r="AV83" i="2"/>
  <c r="AV95" i="2" s="1"/>
  <c r="BF20" i="19"/>
  <c r="BF25" i="19" s="1"/>
  <c r="BF41" i="19" s="1"/>
  <c r="AX66" i="2"/>
  <c r="AX83" i="2" s="1"/>
  <c r="AX91" i="2" s="1"/>
  <c r="BE135" i="2"/>
  <c r="BQ12" i="25"/>
  <c r="BE136" i="2"/>
  <c r="BJ135" i="2"/>
  <c r="BI135" i="2"/>
  <c r="CI12" i="25"/>
  <c r="BD135" i="2"/>
  <c r="CC12" i="25"/>
  <c r="AV25" i="19"/>
  <c r="AV41" i="19" s="1"/>
  <c r="CJ14" i="2"/>
  <c r="BE12" i="25"/>
  <c r="BA20" i="19"/>
  <c r="BA135" i="2"/>
  <c r="BA136" i="2"/>
  <c r="BD136" i="2"/>
  <c r="BN12" i="25"/>
  <c r="CL12" i="25"/>
  <c r="L29" i="1"/>
  <c r="BD20" i="19"/>
  <c r="BD30" i="19" s="1"/>
  <c r="BD46" i="19" s="1"/>
  <c r="BF135" i="2"/>
  <c r="T9" i="12"/>
  <c r="S15" i="12"/>
  <c r="S23" i="18"/>
  <c r="S57" i="12"/>
  <c r="Y45" i="13"/>
  <c r="Y48" i="13" s="1"/>
  <c r="Y81" i="13"/>
  <c r="Y92" i="13" s="1"/>
  <c r="Y93" i="13" s="1"/>
  <c r="BB135" i="2"/>
  <c r="BB136" i="2"/>
  <c r="BH12" i="25"/>
  <c r="BB20" i="19"/>
  <c r="BW12" i="25"/>
  <c r="BL135" i="2"/>
  <c r="BG135" i="2"/>
  <c r="BG20" i="19"/>
  <c r="BG136" i="2"/>
  <c r="N29" i="1"/>
  <c r="AM93" i="2"/>
  <c r="AM21" i="19" s="1"/>
  <c r="AM31" i="19" s="1"/>
  <c r="AM47" i="19" s="1"/>
  <c r="AM89" i="2"/>
  <c r="AR90" i="2" s="1"/>
  <c r="AM82" i="2"/>
  <c r="BK25" i="19"/>
  <c r="BK41" i="19" s="1"/>
  <c r="BK30" i="19"/>
  <c r="BK46" i="19" s="1"/>
  <c r="M29" i="1"/>
  <c r="AM74" i="2"/>
  <c r="AM83" i="2"/>
  <c r="AS71" i="2"/>
  <c r="BN58" i="2"/>
  <c r="BN116" i="2"/>
  <c r="BN123" i="2" s="1"/>
  <c r="BN127" i="2"/>
  <c r="BN132" i="2" s="1"/>
  <c r="BN134" i="2" s="1"/>
  <c r="AZ25" i="19"/>
  <c r="AZ41" i="19" s="1"/>
  <c r="AZ30" i="19"/>
  <c r="AZ46" i="19" s="1"/>
  <c r="AF83" i="2"/>
  <c r="AF74" i="2"/>
  <c r="AF71" i="2" s="1"/>
  <c r="AF72" i="2" s="1"/>
  <c r="AF73" i="2" s="1"/>
  <c r="AL74" i="2"/>
  <c r="AL71" i="2" s="1"/>
  <c r="AL72" i="2" s="1"/>
  <c r="AL83" i="2"/>
  <c r="EN25" i="25"/>
  <c r="BJ30" i="19"/>
  <c r="BJ46" i="19" s="1"/>
  <c r="BJ25" i="19"/>
  <c r="BJ41" i="19" s="1"/>
  <c r="BC136" i="2"/>
  <c r="M39" i="1" s="1"/>
  <c r="BK12" i="25"/>
  <c r="BC67" i="13"/>
  <c r="M8" i="21" s="1"/>
  <c r="M27" i="1"/>
  <c r="AG83" i="2"/>
  <c r="AG74" i="2"/>
  <c r="AG71" i="2" s="1"/>
  <c r="AG72" i="2" s="1"/>
  <c r="CI14" i="2"/>
  <c r="BJ17" i="30"/>
  <c r="BO18" i="30" s="1"/>
  <c r="CL12" i="2"/>
  <c r="AE83" i="2"/>
  <c r="AE74" i="2"/>
  <c r="AE71" i="2" s="1"/>
  <c r="AE72" i="2" s="1"/>
  <c r="AI66" i="2"/>
  <c r="AI74" i="2" s="1"/>
  <c r="BT127" i="2"/>
  <c r="BT132" i="2" s="1"/>
  <c r="BT58" i="2"/>
  <c r="BT116" i="2"/>
  <c r="BT123" i="2" s="1"/>
  <c r="AI77" i="13"/>
  <c r="I15" i="21"/>
  <c r="I16" i="21" s="1"/>
  <c r="AH91" i="2"/>
  <c r="AH9" i="13"/>
  <c r="AH95" i="2"/>
  <c r="BE25" i="19"/>
  <c r="BE41" i="19" s="1"/>
  <c r="BE30" i="19"/>
  <c r="BE46" i="19" s="1"/>
  <c r="AU82" i="2"/>
  <c r="AU93" i="2"/>
  <c r="AU89" i="2"/>
  <c r="AX71" i="2"/>
  <c r="AT72" i="2"/>
  <c r="AP73" i="2"/>
  <c r="AP80" i="2"/>
  <c r="AU81" i="2" s="1"/>
  <c r="CG24" i="12"/>
  <c r="AK95" i="2"/>
  <c r="AK9" i="13"/>
  <c r="AK91" i="2"/>
  <c r="BG36" i="18"/>
  <c r="BF47" i="18"/>
  <c r="AV81" i="2"/>
  <c r="AV82" i="2"/>
  <c r="AV93" i="2"/>
  <c r="AV89" i="2"/>
  <c r="AR21" i="19"/>
  <c r="AR31" i="19" s="1"/>
  <c r="AR47" i="19" s="1"/>
  <c r="AR11" i="19"/>
  <c r="AQ20" i="13"/>
  <c r="AQ22" i="13" s="1"/>
  <c r="AQ45" i="13" s="1"/>
  <c r="BM138" i="2"/>
  <c r="BM140" i="2" s="1"/>
  <c r="BI140" i="2"/>
  <c r="AQ82" i="2"/>
  <c r="AQ89" i="2"/>
  <c r="AQ93" i="2"/>
  <c r="AZ54" i="12"/>
  <c r="AZ59" i="12"/>
  <c r="AN66" i="2"/>
  <c r="P37" i="1"/>
  <c r="BK33" i="18"/>
  <c r="BJ44" i="18"/>
  <c r="CE40" i="13"/>
  <c r="BU134" i="2"/>
  <c r="AU20" i="13"/>
  <c r="AU22" i="13" s="1"/>
  <c r="BA32" i="18"/>
  <c r="AZ43" i="18"/>
  <c r="AO73" i="2"/>
  <c r="AS72" i="2"/>
  <c r="AS73" i="2" s="1"/>
  <c r="AO80" i="2"/>
  <c r="CG38" i="13"/>
  <c r="BH67" i="13"/>
  <c r="BZ12" i="25"/>
  <c r="BH135" i="2"/>
  <c r="N38" i="1" s="1"/>
  <c r="N27" i="1"/>
  <c r="BH136" i="2"/>
  <c r="N39" i="1" s="1"/>
  <c r="AW74" i="2"/>
  <c r="AW83" i="2"/>
  <c r="AT95" i="2"/>
  <c r="AT91" i="2"/>
  <c r="AT9" i="13"/>
  <c r="AK73" i="2"/>
  <c r="AK80" i="2"/>
  <c r="CG15" i="18"/>
  <c r="CH15" i="18" s="1"/>
  <c r="CH12" i="18" s="1"/>
  <c r="CH18" i="18" s="1"/>
  <c r="CH40" i="12" s="1"/>
  <c r="AH73" i="2"/>
  <c r="AH80" i="2"/>
  <c r="BP116" i="2"/>
  <c r="BP123" i="2" s="1"/>
  <c r="BP58" i="2"/>
  <c r="BP127" i="2"/>
  <c r="BP132" i="2" s="1"/>
  <c r="BL31" i="18"/>
  <c r="BK42" i="18"/>
  <c r="AN65" i="12"/>
  <c r="AN67" i="13"/>
  <c r="AN20" i="19"/>
  <c r="AN136" i="2"/>
  <c r="J39" i="1" s="1"/>
  <c r="AN135" i="2"/>
  <c r="J38" i="1" s="1"/>
  <c r="J27" i="1"/>
  <c r="K45" i="1" s="1"/>
  <c r="AS135" i="2"/>
  <c r="K38" i="1" s="1"/>
  <c r="BI30" i="19"/>
  <c r="BI46" i="19" s="1"/>
  <c r="BI25" i="19"/>
  <c r="BI41" i="19" s="1"/>
  <c r="AW73" i="2"/>
  <c r="AW80" i="2"/>
  <c r="BQ58" i="2"/>
  <c r="BQ127" i="2"/>
  <c r="BQ132" i="2" s="1"/>
  <c r="BQ116" i="2"/>
  <c r="BQ123" i="2" s="1"/>
  <c r="CG10" i="18"/>
  <c r="AD93" i="13"/>
  <c r="BX134" i="2"/>
  <c r="AR95" i="2"/>
  <c r="AR91" i="2"/>
  <c r="AR9" i="13"/>
  <c r="CL16" i="18"/>
  <c r="CM16" i="18" s="1"/>
  <c r="AJ65" i="2"/>
  <c r="AJ66" i="2"/>
  <c r="AV12" i="25"/>
  <c r="AX10" i="19"/>
  <c r="AX67" i="13"/>
  <c r="AX135" i="2"/>
  <c r="L38" i="1" s="1"/>
  <c r="L27" i="1"/>
  <c r="AX136" i="2"/>
  <c r="L39" i="1" s="1"/>
  <c r="AX20" i="19"/>
  <c r="AX30" i="19" s="1"/>
  <c r="BC135" i="2"/>
  <c r="M38" i="1" s="1"/>
  <c r="AO20" i="13"/>
  <c r="AO22" i="13" s="1"/>
  <c r="AO45" i="13" s="1"/>
  <c r="CI13" i="18"/>
  <c r="AV100" i="2"/>
  <c r="AV101" i="2"/>
  <c r="AV104" i="2" s="1"/>
  <c r="AV105" i="2" s="1"/>
  <c r="BF29" i="18" l="1"/>
  <c r="BE40" i="18"/>
  <c r="AX65" i="12"/>
  <c r="BA45" i="18"/>
  <c r="BB34" i="18"/>
  <c r="BE35" i="18"/>
  <c r="BD46" i="18"/>
  <c r="BB20" i="18"/>
  <c r="BA22" i="18"/>
  <c r="BA41" i="12"/>
  <c r="BM201" i="30"/>
  <c r="CQ19" i="12"/>
  <c r="CR19" i="12" s="1"/>
  <c r="CS19" i="12" s="1"/>
  <c r="CT19" i="12" s="1"/>
  <c r="CU19" i="12" s="1"/>
  <c r="BM202" i="34"/>
  <c r="BN205" i="30"/>
  <c r="BN201" i="30" s="1"/>
  <c r="BN202" i="30" s="1"/>
  <c r="BN206" i="34"/>
  <c r="BX60" i="34"/>
  <c r="ET24" i="25"/>
  <c r="ET25" i="25"/>
  <c r="CP34" i="12"/>
  <c r="CQ34" i="12" s="1"/>
  <c r="CR34" i="12" s="1"/>
  <c r="CS34" i="12" s="1"/>
  <c r="CT34" i="12" s="1"/>
  <c r="CU34" i="12" s="1"/>
  <c r="CV34" i="12" s="1"/>
  <c r="BW58" i="2"/>
  <c r="BO127" i="2"/>
  <c r="BR127" i="2" s="1"/>
  <c r="BR132" i="2" s="1"/>
  <c r="P24" i="1" s="1"/>
  <c r="K15" i="21"/>
  <c r="BR56" i="2"/>
  <c r="BV134" i="2"/>
  <c r="BR57" i="2"/>
  <c r="BO58" i="2"/>
  <c r="BO116" i="2"/>
  <c r="BR116" i="2" s="1"/>
  <c r="BR123" i="2" s="1"/>
  <c r="AY30" i="19"/>
  <c r="AY46" i="19" s="1"/>
  <c r="AS83" i="2"/>
  <c r="AS91" i="2" s="1"/>
  <c r="CN16" i="18"/>
  <c r="CG166" i="2"/>
  <c r="CF40" i="13"/>
  <c r="CG40" i="13" s="1"/>
  <c r="CP14" i="2"/>
  <c r="CQ14" i="2" s="1"/>
  <c r="AR94" i="2"/>
  <c r="AP9" i="13"/>
  <c r="AS9" i="13" s="1"/>
  <c r="AP91" i="2"/>
  <c r="AX51" i="13"/>
  <c r="AX62" i="13" s="1"/>
  <c r="AV91" i="2"/>
  <c r="BF30" i="19"/>
  <c r="BF46" i="19" s="1"/>
  <c r="AV9" i="13"/>
  <c r="AV20" i="13" s="1"/>
  <c r="AV22" i="13" s="1"/>
  <c r="CL14" i="2"/>
  <c r="EQ25" i="25"/>
  <c r="BD25" i="19"/>
  <c r="BD41" i="19" s="1"/>
  <c r="AF80" i="2"/>
  <c r="AF82" i="2" s="1"/>
  <c r="BW127" i="2"/>
  <c r="BW132" i="2" s="1"/>
  <c r="Q24" i="1" s="1"/>
  <c r="BX20" i="19"/>
  <c r="BA25" i="19"/>
  <c r="BA41" i="19" s="1"/>
  <c r="BA30" i="19"/>
  <c r="BA46" i="19" s="1"/>
  <c r="BW116" i="2"/>
  <c r="BW123" i="2" s="1"/>
  <c r="X9" i="12"/>
  <c r="Y23" i="18"/>
  <c r="X48" i="13"/>
  <c r="AD46" i="13"/>
  <c r="AD48" i="13" s="1"/>
  <c r="S61" i="12"/>
  <c r="T61" i="12" s="1"/>
  <c r="T57" i="12"/>
  <c r="CG49" i="12"/>
  <c r="AI72" i="2"/>
  <c r="AI73" i="2" s="1"/>
  <c r="S24" i="18"/>
  <c r="S25" i="18"/>
  <c r="T15" i="12"/>
  <c r="T16" i="12" s="1"/>
  <c r="S16" i="12"/>
  <c r="AI83" i="2"/>
  <c r="AI51" i="13" s="1"/>
  <c r="AI62" i="13" s="1"/>
  <c r="AI63" i="13" s="1"/>
  <c r="BG25" i="19"/>
  <c r="BG41" i="19" s="1"/>
  <c r="BG30" i="19"/>
  <c r="BG46" i="19" s="1"/>
  <c r="AM9" i="13"/>
  <c r="AM20" i="13" s="1"/>
  <c r="AM22" i="13" s="1"/>
  <c r="AM45" i="13" s="1"/>
  <c r="AM95" i="2"/>
  <c r="AM91" i="2"/>
  <c r="BB30" i="19"/>
  <c r="BB46" i="19" s="1"/>
  <c r="BB25" i="19"/>
  <c r="BB41" i="19" s="1"/>
  <c r="AV90" i="2"/>
  <c r="AL91" i="2"/>
  <c r="AL9" i="13"/>
  <c r="AL95" i="2"/>
  <c r="AE9" i="13"/>
  <c r="AE95" i="2"/>
  <c r="AE91" i="2"/>
  <c r="BT134" i="2"/>
  <c r="AE73" i="2"/>
  <c r="AE80" i="2"/>
  <c r="AL73" i="2"/>
  <c r="AL80" i="2"/>
  <c r="BK17" i="30"/>
  <c r="BP18" i="30" s="1"/>
  <c r="AF95" i="2"/>
  <c r="AF91" i="2"/>
  <c r="AF9" i="13"/>
  <c r="AF20" i="13" s="1"/>
  <c r="AF22" i="13" s="1"/>
  <c r="AF45" i="13" s="1"/>
  <c r="N45" i="1"/>
  <c r="AG73" i="2"/>
  <c r="AG80" i="2"/>
  <c r="AI71" i="2"/>
  <c r="AG91" i="2"/>
  <c r="AG9" i="13"/>
  <c r="AG20" i="13" s="1"/>
  <c r="AG22" i="13" s="1"/>
  <c r="AG45" i="13" s="1"/>
  <c r="AG95" i="2"/>
  <c r="K33" i="1"/>
  <c r="BU20" i="19"/>
  <c r="DM12" i="25"/>
  <c r="BU136" i="2"/>
  <c r="AH93" i="2"/>
  <c r="AH89" i="2"/>
  <c r="AM90" i="2" s="1"/>
  <c r="AH82" i="2"/>
  <c r="AM81" i="2"/>
  <c r="BN138" i="2"/>
  <c r="BN20" i="19"/>
  <c r="BN135" i="2"/>
  <c r="CR12" i="25"/>
  <c r="BN136" i="2"/>
  <c r="AK20" i="13"/>
  <c r="AK22" i="13" s="1"/>
  <c r="AK45" i="13" s="1"/>
  <c r="CG31" i="12"/>
  <c r="AU45" i="13"/>
  <c r="AU81" i="13"/>
  <c r="AU92" i="13" s="1"/>
  <c r="AU93" i="13" s="1"/>
  <c r="CG19" i="13"/>
  <c r="CG35" i="12"/>
  <c r="BG47" i="18"/>
  <c r="BI36" i="18"/>
  <c r="BH36" i="18"/>
  <c r="AU21" i="19"/>
  <c r="BL33" i="18"/>
  <c r="BK44" i="18"/>
  <c r="AP82" i="2"/>
  <c r="AP81" i="2"/>
  <c r="AP93" i="2"/>
  <c r="AU94" i="2" s="1"/>
  <c r="AP89" i="2"/>
  <c r="AU90" i="2" s="1"/>
  <c r="AH20" i="13"/>
  <c r="AH22" i="13" s="1"/>
  <c r="AH45" i="13" s="1"/>
  <c r="AW93" i="2"/>
  <c r="AW81" i="2"/>
  <c r="AW89" i="2"/>
  <c r="AW90" i="2" s="1"/>
  <c r="AW82" i="2"/>
  <c r="BM31" i="18"/>
  <c r="BN31" i="18"/>
  <c r="BL42" i="18"/>
  <c r="BM42" i="18" s="1"/>
  <c r="AW95" i="2"/>
  <c r="AW9" i="13"/>
  <c r="AW91" i="2"/>
  <c r="AN76" i="13"/>
  <c r="J8" i="21"/>
  <c r="CI15" i="18"/>
  <c r="CI12" i="18" s="1"/>
  <c r="BB32" i="18"/>
  <c r="BA43" i="18"/>
  <c r="AV94" i="2"/>
  <c r="AV21" i="19"/>
  <c r="AX76" i="13"/>
  <c r="L8" i="21"/>
  <c r="AJ83" i="2"/>
  <c r="AJ74" i="2"/>
  <c r="AJ71" i="2" s="1"/>
  <c r="AK89" i="2"/>
  <c r="AK93" i="2"/>
  <c r="AK82" i="2"/>
  <c r="BS134" i="2"/>
  <c r="CK14" i="18"/>
  <c r="L45" i="1"/>
  <c r="M45" i="1"/>
  <c r="AQ21" i="19"/>
  <c r="AQ31" i="19" s="1"/>
  <c r="AQ47" i="19" s="1"/>
  <c r="AX72" i="2"/>
  <c r="AX73" i="2" s="1"/>
  <c r="AT73" i="2"/>
  <c r="AT80" i="2"/>
  <c r="N8" i="21"/>
  <c r="AN83" i="2"/>
  <c r="AN74" i="2"/>
  <c r="AN65" i="2"/>
  <c r="AR20" i="13"/>
  <c r="AR22" i="13" s="1"/>
  <c r="AR45" i="13" s="1"/>
  <c r="BP134" i="2"/>
  <c r="DV12" i="25"/>
  <c r="BX136" i="2"/>
  <c r="BQ134" i="2"/>
  <c r="AT20" i="13"/>
  <c r="AT22" i="13" s="1"/>
  <c r="AO89" i="2"/>
  <c r="AO93" i="2"/>
  <c r="AO82" i="2"/>
  <c r="AS80" i="2"/>
  <c r="CG17" i="13"/>
  <c r="BF40" i="18" l="1"/>
  <c r="BG29" i="18"/>
  <c r="BC34" i="18"/>
  <c r="BD34" i="18"/>
  <c r="BB45" i="18"/>
  <c r="BC45" i="18" s="1"/>
  <c r="BA60" i="12"/>
  <c r="BA54" i="12"/>
  <c r="BB22" i="18"/>
  <c r="BC22" i="18" s="1"/>
  <c r="BB41" i="12"/>
  <c r="BC20" i="18"/>
  <c r="BD20" i="18" s="1"/>
  <c r="BE46" i="18"/>
  <c r="BF35" i="18"/>
  <c r="BN207" i="30"/>
  <c r="CV19" i="12"/>
  <c r="BN206" i="30"/>
  <c r="BN207" i="34"/>
  <c r="BN208" i="34"/>
  <c r="BN202" i="34"/>
  <c r="BN203" i="34" s="1"/>
  <c r="BP205" i="30"/>
  <c r="BP201" i="30" s="1"/>
  <c r="BP202" i="30" s="1"/>
  <c r="BP206" i="34"/>
  <c r="BO132" i="2"/>
  <c r="BO134" i="2" s="1"/>
  <c r="BV136" i="2"/>
  <c r="DP12" i="25"/>
  <c r="BR58" i="2"/>
  <c r="BV20" i="19"/>
  <c r="BV25" i="19" s="1"/>
  <c r="BV41" i="19" s="1"/>
  <c r="BO123" i="2"/>
  <c r="AS95" i="2"/>
  <c r="K32" i="1" s="1"/>
  <c r="K53" i="1" s="1"/>
  <c r="AS51" i="13"/>
  <c r="AS62" i="13" s="1"/>
  <c r="AS63" i="13" s="1"/>
  <c r="CO16" i="18"/>
  <c r="AP20" i="13"/>
  <c r="AP22" i="13" s="1"/>
  <c r="AP45" i="13" s="1"/>
  <c r="AS45" i="13" s="1"/>
  <c r="EW25" i="25"/>
  <c r="AX9" i="13"/>
  <c r="AF89" i="2"/>
  <c r="AK90" i="2" s="1"/>
  <c r="AK81" i="2"/>
  <c r="AF93" i="2"/>
  <c r="AF21" i="19" s="1"/>
  <c r="AI80" i="2"/>
  <c r="AI93" i="2" s="1"/>
  <c r="AI21" i="19" s="1"/>
  <c r="CG38" i="12"/>
  <c r="CL18" i="13"/>
  <c r="CL33" i="12"/>
  <c r="CM33" i="12" s="1"/>
  <c r="CN33" i="12" s="1"/>
  <c r="CO33" i="12" s="1"/>
  <c r="CP33" i="12" s="1"/>
  <c r="AI95" i="2"/>
  <c r="AI91" i="2"/>
  <c r="T64" i="12"/>
  <c r="T66" i="12"/>
  <c r="AE46" i="13"/>
  <c r="AC48" i="13"/>
  <c r="AC9" i="12"/>
  <c r="AI46" i="13"/>
  <c r="AD23" i="18"/>
  <c r="X57" i="12"/>
  <c r="X23" i="18"/>
  <c r="Y24" i="18"/>
  <c r="Y25" i="18"/>
  <c r="S26" i="12"/>
  <c r="T26" i="12" s="1"/>
  <c r="T28" i="12" s="1"/>
  <c r="T68" i="12" s="1"/>
  <c r="Y9" i="12"/>
  <c r="X15" i="12"/>
  <c r="Y15" i="12" s="1"/>
  <c r="BW134" i="2"/>
  <c r="AE82" i="2"/>
  <c r="AE93" i="2"/>
  <c r="AE21" i="19" s="1"/>
  <c r="AE89" i="2"/>
  <c r="AL20" i="13"/>
  <c r="AL22" i="13" s="1"/>
  <c r="AL45" i="13" s="1"/>
  <c r="BX135" i="2"/>
  <c r="BT136" i="2"/>
  <c r="BT20" i="19"/>
  <c r="DJ12" i="25"/>
  <c r="AQ81" i="2"/>
  <c r="AL89" i="2"/>
  <c r="AL81" i="2"/>
  <c r="AL82" i="2"/>
  <c r="AL93" i="2"/>
  <c r="AG82" i="2"/>
  <c r="AG89" i="2"/>
  <c r="AG93" i="2"/>
  <c r="AG21" i="19" s="1"/>
  <c r="AE20" i="13"/>
  <c r="AI20" i="13" s="1"/>
  <c r="AI9" i="13"/>
  <c r="AV45" i="13"/>
  <c r="AV81" i="13"/>
  <c r="AV92" i="13" s="1"/>
  <c r="AV93" i="13" s="1"/>
  <c r="AT45" i="13"/>
  <c r="AT81" i="13"/>
  <c r="AT92" i="13" s="1"/>
  <c r="AT93" i="13" s="1"/>
  <c r="AJ72" i="2"/>
  <c r="AN71" i="2"/>
  <c r="AT89" i="2"/>
  <c r="AT90" i="2" s="1"/>
  <c r="AT93" i="2"/>
  <c r="AT82" i="2"/>
  <c r="AT81" i="2"/>
  <c r="AX80" i="2"/>
  <c r="CG37" i="13"/>
  <c r="AV31" i="19"/>
  <c r="AV47" i="19" s="1"/>
  <c r="AV26" i="19"/>
  <c r="AV42" i="19" s="1"/>
  <c r="BN140" i="2"/>
  <c r="BN139" i="2"/>
  <c r="BQ135" i="2"/>
  <c r="BQ20" i="19"/>
  <c r="BQ136" i="2"/>
  <c r="DA12" i="25"/>
  <c r="BV135" i="2"/>
  <c r="DG12" i="25"/>
  <c r="BS20" i="19"/>
  <c r="BS135" i="2"/>
  <c r="BS136" i="2"/>
  <c r="AU26" i="19"/>
  <c r="AU42" i="19" s="1"/>
  <c r="AU31" i="19"/>
  <c r="AU47" i="19" s="1"/>
  <c r="BP10" i="19"/>
  <c r="CX12" i="25"/>
  <c r="BP135" i="2"/>
  <c r="BP20" i="19"/>
  <c r="BP136" i="2"/>
  <c r="BN42" i="18"/>
  <c r="BO31" i="18"/>
  <c r="BR134" i="2"/>
  <c r="AK21" i="19"/>
  <c r="AK31" i="19" s="1"/>
  <c r="AK47" i="19" s="1"/>
  <c r="AJ95" i="2"/>
  <c r="AJ9" i="13"/>
  <c r="AJ91" i="2"/>
  <c r="AP90" i="2"/>
  <c r="BU135" i="2"/>
  <c r="CL14" i="18"/>
  <c r="CM14" i="18" s="1"/>
  <c r="BU25" i="19"/>
  <c r="BU41" i="19" s="1"/>
  <c r="BU30" i="19"/>
  <c r="BU46" i="19" s="1"/>
  <c r="BC32" i="18"/>
  <c r="BB43" i="18"/>
  <c r="BC43" i="18" s="1"/>
  <c r="BD32" i="18"/>
  <c r="AP21" i="19"/>
  <c r="AP31" i="19" s="1"/>
  <c r="AP47" i="19" s="1"/>
  <c r="AP94" i="2"/>
  <c r="BN33" i="18"/>
  <c r="BM33" i="18"/>
  <c r="BL44" i="18"/>
  <c r="BM44" i="18" s="1"/>
  <c r="AH21" i="19"/>
  <c r="AM94" i="2"/>
  <c r="AN77" i="13"/>
  <c r="J15" i="21"/>
  <c r="BJ36" i="18"/>
  <c r="BI47" i="18"/>
  <c r="AN51" i="13"/>
  <c r="AN62" i="13" s="1"/>
  <c r="AN63" i="13" s="1"/>
  <c r="AN64" i="13" s="1"/>
  <c r="AN91" i="2"/>
  <c r="AN95" i="2"/>
  <c r="J32" i="1" s="1"/>
  <c r="AS82" i="2"/>
  <c r="K40" i="1" s="1"/>
  <c r="AS93" i="2"/>
  <c r="AS89" i="2"/>
  <c r="AS69" i="12"/>
  <c r="BH47" i="18"/>
  <c r="AO21" i="19"/>
  <c r="AO31" i="19" s="1"/>
  <c r="AO47" i="19" s="1"/>
  <c r="BX25" i="19"/>
  <c r="BX41" i="19" s="1"/>
  <c r="BX30" i="19"/>
  <c r="BX46" i="19" s="1"/>
  <c r="AS8" i="13"/>
  <c r="CK13" i="18"/>
  <c r="L15" i="21"/>
  <c r="L16" i="21" s="1"/>
  <c r="AW20" i="13"/>
  <c r="AX20" i="13" s="1"/>
  <c r="AW94" i="2"/>
  <c r="AW21" i="19"/>
  <c r="BN30" i="19"/>
  <c r="BN46" i="19" s="1"/>
  <c r="BN25" i="19"/>
  <c r="BN41" i="19" s="1"/>
  <c r="K54" i="1"/>
  <c r="BG40" i="18" l="1"/>
  <c r="BH29" i="18"/>
  <c r="BI29" i="18"/>
  <c r="BH40" i="18"/>
  <c r="BC52" i="18"/>
  <c r="BE34" i="18"/>
  <c r="BD45" i="18"/>
  <c r="BF46" i="18"/>
  <c r="BG35" i="18"/>
  <c r="BD41" i="12"/>
  <c r="BE20" i="18"/>
  <c r="BD22" i="18"/>
  <c r="BB60" i="12"/>
  <c r="BC60" i="12" s="1"/>
  <c r="BC41" i="12"/>
  <c r="BC54" i="12" s="1"/>
  <c r="BB54" i="12"/>
  <c r="BP208" i="34"/>
  <c r="BP207" i="34"/>
  <c r="BP202" i="34"/>
  <c r="BP203" i="34" s="1"/>
  <c r="BP207" i="30"/>
  <c r="BO205" i="30"/>
  <c r="BO201" i="30" s="1"/>
  <c r="BO202" i="30" s="1"/>
  <c r="BO206" i="34"/>
  <c r="BP206" i="30"/>
  <c r="BV30" i="19"/>
  <c r="BV46" i="19" s="1"/>
  <c r="CN14" i="18"/>
  <c r="CP16" i="18"/>
  <c r="CM18" i="13"/>
  <c r="AX22" i="13"/>
  <c r="AX81" i="13" s="1"/>
  <c r="AX92" i="13" s="1"/>
  <c r="AS20" i="13"/>
  <c r="AS22" i="13" s="1"/>
  <c r="AS81" i="13" s="1"/>
  <c r="AS92" i="13" s="1"/>
  <c r="AS93" i="13" s="1"/>
  <c r="AK94" i="2"/>
  <c r="AI82" i="2"/>
  <c r="AI89" i="2"/>
  <c r="AI69" i="12"/>
  <c r="CI38" i="12"/>
  <c r="CL18" i="12"/>
  <c r="CK20" i="12"/>
  <c r="S28" i="12"/>
  <c r="AC15" i="12"/>
  <c r="AD15" i="12" s="1"/>
  <c r="AD9" i="12"/>
  <c r="AC23" i="18"/>
  <c r="AC57" i="12"/>
  <c r="BW136" i="2"/>
  <c r="Q39" i="1" s="1"/>
  <c r="X24" i="18"/>
  <c r="X25" i="18"/>
  <c r="Q27" i="1"/>
  <c r="Y16" i="12"/>
  <c r="Y57" i="12"/>
  <c r="X61" i="12"/>
  <c r="Y61" i="12" s="1"/>
  <c r="X16" i="12"/>
  <c r="DS12" i="25"/>
  <c r="AD25" i="18"/>
  <c r="AD24" i="18"/>
  <c r="BW67" i="13"/>
  <c r="Q8" i="21" s="1"/>
  <c r="AI22" i="13"/>
  <c r="AI81" i="13" s="1"/>
  <c r="AI92" i="13" s="1"/>
  <c r="AI93" i="13" s="1"/>
  <c r="AE22" i="13"/>
  <c r="AE45" i="13" s="1"/>
  <c r="BL17" i="30"/>
  <c r="BQ18" i="30" s="1"/>
  <c r="AQ94" i="2"/>
  <c r="AL94" i="2"/>
  <c r="AL21" i="19"/>
  <c r="AL31" i="19" s="1"/>
  <c r="AL47" i="19" s="1"/>
  <c r="AL90" i="2"/>
  <c r="AQ90" i="2"/>
  <c r="BT25" i="19"/>
  <c r="BT41" i="19" s="1"/>
  <c r="BT30" i="19"/>
  <c r="BT46" i="19" s="1"/>
  <c r="BO136" i="2"/>
  <c r="BO135" i="2"/>
  <c r="BO20" i="19"/>
  <c r="CU12" i="25"/>
  <c r="BT135" i="2"/>
  <c r="O29" i="1"/>
  <c r="DD12" i="25"/>
  <c r="BR67" i="13"/>
  <c r="P27" i="1"/>
  <c r="BR138" i="2"/>
  <c r="BR136" i="2"/>
  <c r="P39" i="1" s="1"/>
  <c r="BS25" i="19"/>
  <c r="BS41" i="19" s="1"/>
  <c r="BS30" i="19"/>
  <c r="BS46" i="19" s="1"/>
  <c r="BQ25" i="19"/>
  <c r="BQ41" i="19" s="1"/>
  <c r="BQ30" i="19"/>
  <c r="BQ46" i="19" s="1"/>
  <c r="AT48" i="13"/>
  <c r="AW22" i="13"/>
  <c r="CI40" i="13"/>
  <c r="CH38" i="13" s="1"/>
  <c r="CH40" i="13" s="1"/>
  <c r="CJ166" i="2"/>
  <c r="J33" i="1"/>
  <c r="K46" i="1" s="1"/>
  <c r="AN78" i="13"/>
  <c r="AS78" i="13"/>
  <c r="BP30" i="19"/>
  <c r="BP46" i="19" s="1"/>
  <c r="BP25" i="19"/>
  <c r="BP41" i="19" s="1"/>
  <c r="AJ20" i="13"/>
  <c r="AN20" i="13" s="1"/>
  <c r="AN9" i="13"/>
  <c r="BW135" i="2"/>
  <c r="Q38" i="1" s="1"/>
  <c r="AJ73" i="2"/>
  <c r="AN72" i="2"/>
  <c r="AN73" i="2" s="1"/>
  <c r="AJ80" i="2"/>
  <c r="CK10" i="18"/>
  <c r="CK31" i="12" s="1"/>
  <c r="CK38" i="12" s="1"/>
  <c r="BE32" i="18"/>
  <c r="BD43" i="18"/>
  <c r="AS64" i="13"/>
  <c r="AS21" i="19"/>
  <c r="J16" i="21"/>
  <c r="K16" i="21"/>
  <c r="BO33" i="18"/>
  <c r="BN44" i="18"/>
  <c r="AX86" i="2"/>
  <c r="AX69" i="12"/>
  <c r="AX89" i="2"/>
  <c r="AX90" i="2" s="1"/>
  <c r="AX81" i="2"/>
  <c r="AX82" i="2"/>
  <c r="L40" i="1" s="1"/>
  <c r="AW31" i="19"/>
  <c r="AW47" i="19" s="1"/>
  <c r="AW26" i="19"/>
  <c r="AW42" i="19" s="1"/>
  <c r="CL13" i="18"/>
  <c r="CM13" i="18" s="1"/>
  <c r="BK36" i="18"/>
  <c r="BJ47" i="18"/>
  <c r="BP31" i="18"/>
  <c r="BO42" i="18"/>
  <c r="CK15" i="18"/>
  <c r="AT21" i="19"/>
  <c r="AT94" i="2"/>
  <c r="BI40" i="18" l="1"/>
  <c r="BJ29" i="18"/>
  <c r="BE45" i="18"/>
  <c r="BF34" i="18"/>
  <c r="BF20" i="18"/>
  <c r="BE22" i="18"/>
  <c r="BE41" i="12"/>
  <c r="BD60" i="12"/>
  <c r="BD54" i="12"/>
  <c r="CJ37" i="13"/>
  <c r="CJ40" i="13" s="1"/>
  <c r="BH35" i="18"/>
  <c r="BI35" i="18"/>
  <c r="BG46" i="18"/>
  <c r="BH46" i="18" s="1"/>
  <c r="BO207" i="30"/>
  <c r="BO206" i="30"/>
  <c r="BO207" i="34"/>
  <c r="BO202" i="34"/>
  <c r="BO203" i="34" s="1"/>
  <c r="BO208" i="34"/>
  <c r="CN13" i="18"/>
  <c r="CQ16" i="18"/>
  <c r="CR16" i="18" s="1"/>
  <c r="CO14" i="18"/>
  <c r="CN18" i="13"/>
  <c r="CL20" i="12"/>
  <c r="CM18" i="12"/>
  <c r="CM20" i="12" s="1"/>
  <c r="X26" i="12"/>
  <c r="Y26" i="12" s="1"/>
  <c r="Y28" i="12" s="1"/>
  <c r="AC61" i="12"/>
  <c r="AD61" i="12" s="1"/>
  <c r="AD57" i="12"/>
  <c r="AC24" i="18"/>
  <c r="AC25" i="18"/>
  <c r="Y70" i="12"/>
  <c r="AD16" i="12"/>
  <c r="Y64" i="12"/>
  <c r="Y66" i="12"/>
  <c r="AC16" i="12"/>
  <c r="AN22" i="13"/>
  <c r="AN81" i="13" s="1"/>
  <c r="AN92" i="13" s="1"/>
  <c r="AN93" i="13" s="1"/>
  <c r="AJ22" i="13"/>
  <c r="AJ45" i="13" s="1"/>
  <c r="AN45" i="13" s="1"/>
  <c r="AE48" i="13"/>
  <c r="AF46" i="13" s="1"/>
  <c r="AF48" i="13" s="1"/>
  <c r="AG46" i="13" s="1"/>
  <c r="AG48" i="13" s="1"/>
  <c r="AH46" i="13" s="1"/>
  <c r="AH48" i="13" s="1"/>
  <c r="AI45" i="13"/>
  <c r="L10" i="1"/>
  <c r="L11" i="1" s="1"/>
  <c r="AX95" i="2"/>
  <c r="L32" i="1" s="1"/>
  <c r="L53" i="1" s="1"/>
  <c r="AX63" i="13"/>
  <c r="AX64" i="13" s="1"/>
  <c r="AX77" i="13"/>
  <c r="CK24" i="12"/>
  <c r="CL38" i="13"/>
  <c r="AT26" i="19"/>
  <c r="AT42" i="19" s="1"/>
  <c r="AT31" i="19"/>
  <c r="AT47" i="19" s="1"/>
  <c r="AW45" i="13"/>
  <c r="AW81" i="13"/>
  <c r="AW92" i="13" s="1"/>
  <c r="AW93" i="13" s="1"/>
  <c r="AX93" i="2"/>
  <c r="AJ89" i="2"/>
  <c r="AJ82" i="2"/>
  <c r="AJ93" i="2"/>
  <c r="AJ81" i="2"/>
  <c r="AN80" i="2"/>
  <c r="AO81" i="2"/>
  <c r="CK166" i="2"/>
  <c r="CK37" i="13" s="1"/>
  <c r="AX93" i="13"/>
  <c r="AX94" i="13" s="1"/>
  <c r="AT23" i="18"/>
  <c r="AT9" i="12"/>
  <c r="AT57" i="12"/>
  <c r="AU46" i="13"/>
  <c r="AU48" i="13" s="1"/>
  <c r="P8" i="21"/>
  <c r="BQ31" i="18"/>
  <c r="BP42" i="18"/>
  <c r="BL36" i="18"/>
  <c r="BK47" i="18"/>
  <c r="BF32" i="18"/>
  <c r="BE43" i="18"/>
  <c r="BR139" i="2"/>
  <c r="BR140" i="2"/>
  <c r="CL15" i="18"/>
  <c r="CM15" i="18" s="1"/>
  <c r="BO25" i="19"/>
  <c r="BO41" i="19" s="1"/>
  <c r="BO30" i="19"/>
  <c r="BO46" i="19" s="1"/>
  <c r="BP33" i="18"/>
  <c r="BO44" i="18"/>
  <c r="Q45" i="1"/>
  <c r="CL10" i="18"/>
  <c r="CM10" i="18" s="1"/>
  <c r="BK29" i="18" l="1"/>
  <c r="BJ40" i="18"/>
  <c r="BF45" i="18"/>
  <c r="BG34" i="18"/>
  <c r="CS16" i="18"/>
  <c r="BE60" i="12"/>
  <c r="BE54" i="12"/>
  <c r="CL24" i="12"/>
  <c r="CM24" i="12" s="1"/>
  <c r="CK17" i="13"/>
  <c r="BI46" i="18"/>
  <c r="BJ35" i="18"/>
  <c r="BF22" i="18"/>
  <c r="BF41" i="12"/>
  <c r="BG20" i="18"/>
  <c r="CO13" i="18"/>
  <c r="CN15" i="18"/>
  <c r="CP14" i="18"/>
  <c r="X28" i="12"/>
  <c r="CO18" i="13"/>
  <c r="CN10" i="18"/>
  <c r="CM31" i="12"/>
  <c r="CN18" i="12"/>
  <c r="CM166" i="2"/>
  <c r="CK40" i="13"/>
  <c r="Y68" i="12"/>
  <c r="AC26" i="12"/>
  <c r="AD26" i="12" s="1"/>
  <c r="AD28" i="12" s="1"/>
  <c r="AD68" i="12" s="1"/>
  <c r="AD66" i="12"/>
  <c r="AD64" i="12"/>
  <c r="AD70" i="12"/>
  <c r="AN94" i="13"/>
  <c r="AS94" i="13"/>
  <c r="AH57" i="12"/>
  <c r="AI48" i="13"/>
  <c r="AH23" i="18"/>
  <c r="AH9" i="12"/>
  <c r="AJ46" i="13"/>
  <c r="AJ48" i="13" s="1"/>
  <c r="AK46" i="13" s="1"/>
  <c r="AK48" i="13" s="1"/>
  <c r="BM14" i="2"/>
  <c r="BM22" i="2" s="1"/>
  <c r="BF43" i="18"/>
  <c r="BG32" i="18"/>
  <c r="AV46" i="13"/>
  <c r="AV48" i="13" s="1"/>
  <c r="AU9" i="12"/>
  <c r="AU23" i="18"/>
  <c r="AU57" i="12"/>
  <c r="AJ90" i="2"/>
  <c r="AO90" i="2"/>
  <c r="CL166" i="2"/>
  <c r="AX45" i="13"/>
  <c r="AJ21" i="19"/>
  <c r="AJ31" i="19" s="1"/>
  <c r="AJ47" i="19" s="1"/>
  <c r="AJ94" i="2"/>
  <c r="AO94" i="2"/>
  <c r="AX11" i="19"/>
  <c r="AX94" i="2"/>
  <c r="AX21" i="19"/>
  <c r="AX31" i="19" s="1"/>
  <c r="AT61" i="12"/>
  <c r="CL31" i="12"/>
  <c r="BM36" i="18"/>
  <c r="BL47" i="18"/>
  <c r="BM47" i="18" s="1"/>
  <c r="BN36" i="18"/>
  <c r="AT24" i="18"/>
  <c r="AT25" i="18"/>
  <c r="CL35" i="12"/>
  <c r="CM35" i="12" s="1"/>
  <c r="CL19" i="13"/>
  <c r="L33" i="1"/>
  <c r="AX78" i="13"/>
  <c r="AT15" i="12"/>
  <c r="AT16" i="12" s="1"/>
  <c r="BP44" i="18"/>
  <c r="BQ33" i="18"/>
  <c r="BS31" i="18"/>
  <c r="BQ42" i="18"/>
  <c r="BR42" i="18" s="1"/>
  <c r="BR31" i="18"/>
  <c r="AN89" i="2"/>
  <c r="AN69" i="12"/>
  <c r="AN93" i="2"/>
  <c r="AN82" i="2"/>
  <c r="J40" i="1" s="1"/>
  <c r="AN81" i="2"/>
  <c r="AS81" i="2"/>
  <c r="CK49" i="12"/>
  <c r="CL49" i="12" s="1"/>
  <c r="CM49" i="12" s="1"/>
  <c r="CN49" i="12" s="1"/>
  <c r="CO49" i="12" s="1"/>
  <c r="CP49" i="12" s="1"/>
  <c r="CQ49" i="12" s="1"/>
  <c r="CR49" i="12" s="1"/>
  <c r="CS49" i="12" s="1"/>
  <c r="CT49" i="12" s="1"/>
  <c r="CU49" i="12" s="1"/>
  <c r="CV49" i="12" s="1"/>
  <c r="BL29" i="18" l="1"/>
  <c r="BK40" i="18"/>
  <c r="BG45" i="18"/>
  <c r="BH34" i="18"/>
  <c r="BI34" i="18"/>
  <c r="BH45" i="18"/>
  <c r="BK35" i="18"/>
  <c r="BJ46" i="18"/>
  <c r="BH20" i="18"/>
  <c r="BI20" i="18" s="1"/>
  <c r="BG41" i="12"/>
  <c r="BG22" i="18"/>
  <c r="BH22" i="18" s="1"/>
  <c r="BF60" i="12"/>
  <c r="BF54" i="12"/>
  <c r="CT16" i="18"/>
  <c r="CL17" i="13"/>
  <c r="CL37" i="13"/>
  <c r="CO15" i="18"/>
  <c r="CQ14" i="18"/>
  <c r="CR14" i="18" s="1"/>
  <c r="CP13" i="18"/>
  <c r="CM38" i="12"/>
  <c r="CN35" i="12"/>
  <c r="CM19" i="13"/>
  <c r="CP18" i="13"/>
  <c r="CQ18" i="13" s="1"/>
  <c r="CQ33" i="12"/>
  <c r="CR33" i="12" s="1"/>
  <c r="CN31" i="12"/>
  <c r="CO10" i="18"/>
  <c r="CN24" i="12"/>
  <c r="CN17" i="13" s="1"/>
  <c r="CM17" i="13"/>
  <c r="CO18" i="12"/>
  <c r="CN20" i="12"/>
  <c r="CN166" i="2"/>
  <c r="CM37" i="13"/>
  <c r="CL38" i="12"/>
  <c r="AJ57" i="12"/>
  <c r="AJ61" i="12" s="1"/>
  <c r="AC28" i="12"/>
  <c r="AJ9" i="12"/>
  <c r="AJ15" i="12" s="1"/>
  <c r="AJ16" i="12" s="1"/>
  <c r="AH15" i="12"/>
  <c r="AI15" i="12" s="1"/>
  <c r="AI9" i="12"/>
  <c r="AJ23" i="18"/>
  <c r="AJ25" i="18" s="1"/>
  <c r="AN46" i="13"/>
  <c r="AI23" i="18"/>
  <c r="AH25" i="18"/>
  <c r="AH24" i="18"/>
  <c r="AH61" i="12"/>
  <c r="AI61" i="12" s="1"/>
  <c r="AI57" i="12"/>
  <c r="BR24" i="2"/>
  <c r="BR23" i="2"/>
  <c r="BM23" i="2"/>
  <c r="CO7" i="25"/>
  <c r="BM24" i="2"/>
  <c r="BM36" i="2"/>
  <c r="O17" i="1"/>
  <c r="AT26" i="12"/>
  <c r="AT28" i="12" s="1"/>
  <c r="BT31" i="18"/>
  <c r="BS42" i="18"/>
  <c r="L46" i="1"/>
  <c r="L54" i="1"/>
  <c r="AN21" i="19"/>
  <c r="AN94" i="2"/>
  <c r="AS94" i="2"/>
  <c r="BR33" i="18"/>
  <c r="BS33" i="18"/>
  <c r="BQ44" i="18"/>
  <c r="AU61" i="12"/>
  <c r="BH32" i="18"/>
  <c r="BG43" i="18"/>
  <c r="BH43" i="18" s="1"/>
  <c r="BH52" i="18" s="1"/>
  <c r="BI32" i="18"/>
  <c r="AV23" i="18"/>
  <c r="AW46" i="13"/>
  <c r="AW48" i="13" s="1"/>
  <c r="AV9" i="12"/>
  <c r="AV57" i="12"/>
  <c r="BR44" i="18"/>
  <c r="BO36" i="18"/>
  <c r="BN47" i="18"/>
  <c r="AL46" i="13"/>
  <c r="AL48" i="13" s="1"/>
  <c r="AK23" i="18"/>
  <c r="AK57" i="12"/>
  <c r="AK61" i="12" s="1"/>
  <c r="AK9" i="12"/>
  <c r="AU25" i="18"/>
  <c r="AU24" i="18"/>
  <c r="AU15" i="12"/>
  <c r="AU16" i="12" s="1"/>
  <c r="AN90" i="2"/>
  <c r="AS90" i="2"/>
  <c r="BL40" i="18" l="1"/>
  <c r="BM40" i="18" s="1"/>
  <c r="BM29" i="18"/>
  <c r="BN29" i="18"/>
  <c r="BI45" i="18"/>
  <c r="BJ34" i="18"/>
  <c r="CS14" i="18"/>
  <c r="BG60" i="12"/>
  <c r="BH60" i="12" s="1"/>
  <c r="BG54" i="12"/>
  <c r="BH41" i="12"/>
  <c r="BH54" i="12" s="1"/>
  <c r="BI22" i="18"/>
  <c r="BJ20" i="18"/>
  <c r="BI41" i="12"/>
  <c r="CU16" i="18"/>
  <c r="BL35" i="18"/>
  <c r="BK46" i="18"/>
  <c r="CS33" i="12"/>
  <c r="CR18" i="13"/>
  <c r="AV61" i="12"/>
  <c r="CQ13" i="18"/>
  <c r="CR13" i="18" s="1"/>
  <c r="CP15" i="18"/>
  <c r="CO35" i="12"/>
  <c r="CN19" i="13"/>
  <c r="CO31" i="12"/>
  <c r="CP10" i="18"/>
  <c r="CO24" i="12"/>
  <c r="CO17" i="13" s="1"/>
  <c r="CP18" i="12"/>
  <c r="CO20" i="12"/>
  <c r="CM40" i="13"/>
  <c r="CO166" i="2"/>
  <c r="CN37" i="13"/>
  <c r="CN40" i="13" s="1"/>
  <c r="AJ24" i="18"/>
  <c r="AI16" i="12"/>
  <c r="AI70" i="12" s="1"/>
  <c r="AH16" i="12"/>
  <c r="AH26" i="12" s="1"/>
  <c r="AI26" i="12" s="1"/>
  <c r="AI25" i="18"/>
  <c r="AI24" i="18"/>
  <c r="AI64" i="12"/>
  <c r="AI66" i="12"/>
  <c r="O44" i="1"/>
  <c r="P44" i="1"/>
  <c r="BM40" i="2"/>
  <c r="BM54" i="2"/>
  <c r="BM37" i="2"/>
  <c r="BR37" i="2"/>
  <c r="AU26" i="12"/>
  <c r="AU28" i="12" s="1"/>
  <c r="BI43" i="18"/>
  <c r="BJ32" i="18"/>
  <c r="BU31" i="18"/>
  <c r="BT42" i="18"/>
  <c r="AV15" i="12"/>
  <c r="AV16" i="12" s="1"/>
  <c r="AK15" i="12"/>
  <c r="AK16" i="12" s="1"/>
  <c r="AV24" i="18"/>
  <c r="AV25" i="18"/>
  <c r="BO47" i="18"/>
  <c r="BP36" i="18"/>
  <c r="AK25" i="18"/>
  <c r="AK24" i="18"/>
  <c r="AJ26" i="12"/>
  <c r="AJ28" i="12" s="1"/>
  <c r="AL9" i="12"/>
  <c r="AL57" i="12"/>
  <c r="AL61" i="12" s="1"/>
  <c r="AL23" i="18"/>
  <c r="AM46" i="13"/>
  <c r="AM48" i="13" s="1"/>
  <c r="AX48" i="13"/>
  <c r="AY46" i="13"/>
  <c r="AW9" i="12"/>
  <c r="AW23" i="18"/>
  <c r="AW57" i="12"/>
  <c r="BT33" i="18"/>
  <c r="BS44" i="18"/>
  <c r="BN40" i="18" l="1"/>
  <c r="BO29" i="18"/>
  <c r="BJ45" i="18"/>
  <c r="BK34" i="18"/>
  <c r="CS13" i="18"/>
  <c r="BI60" i="12"/>
  <c r="BI54" i="12"/>
  <c r="BK20" i="18"/>
  <c r="BJ41" i="12"/>
  <c r="BJ22" i="18"/>
  <c r="BN35" i="18"/>
  <c r="BL46" i="18"/>
  <c r="BM46" i="18" s="1"/>
  <c r="BM35" i="18"/>
  <c r="CT14" i="18"/>
  <c r="CV16" i="18"/>
  <c r="CT33" i="12"/>
  <c r="CS18" i="13"/>
  <c r="CQ15" i="18"/>
  <c r="CR15" i="18" s="1"/>
  <c r="CP35" i="12"/>
  <c r="CO19" i="13"/>
  <c r="CQ10" i="18"/>
  <c r="CR10" i="18" s="1"/>
  <c r="CP31" i="12"/>
  <c r="CP24" i="12"/>
  <c r="CQ24" i="12" s="1"/>
  <c r="CQ18" i="12"/>
  <c r="CP20" i="12"/>
  <c r="CP166" i="2"/>
  <c r="CO37" i="13"/>
  <c r="CO40" i="13" s="1"/>
  <c r="AI28" i="12"/>
  <c r="AI68" i="12" s="1"/>
  <c r="AH28" i="12"/>
  <c r="BM55" i="2"/>
  <c r="BM127" i="2"/>
  <c r="BM132" i="2" s="1"/>
  <c r="O24" i="1" s="1"/>
  <c r="BR55" i="2"/>
  <c r="BM56" i="2"/>
  <c r="BM57" i="2"/>
  <c r="BM58" i="2" s="1"/>
  <c r="O37" i="1"/>
  <c r="BT44" i="18"/>
  <c r="BU33" i="18"/>
  <c r="AL25" i="18"/>
  <c r="AL24" i="18"/>
  <c r="AK26" i="12"/>
  <c r="AK28" i="12" s="1"/>
  <c r="BU42" i="18"/>
  <c r="BV31" i="18"/>
  <c r="BC46" i="13"/>
  <c r="AX23" i="18"/>
  <c r="BK32" i="18"/>
  <c r="BJ43" i="18"/>
  <c r="AV26" i="12"/>
  <c r="AV28" i="12" s="1"/>
  <c r="AX57" i="12"/>
  <c r="AL15" i="12"/>
  <c r="AL16" i="12" s="1"/>
  <c r="AW24" i="18"/>
  <c r="AW25" i="18"/>
  <c r="BP47" i="18"/>
  <c r="BQ36" i="18"/>
  <c r="AX9" i="12"/>
  <c r="AW15" i="12"/>
  <c r="AX15" i="12" s="1"/>
  <c r="AM23" i="18"/>
  <c r="AM57" i="12"/>
  <c r="AN48" i="13"/>
  <c r="AO46" i="13"/>
  <c r="AO48" i="13" s="1"/>
  <c r="AM9" i="12"/>
  <c r="BP29" i="18" l="1"/>
  <c r="BO40" i="18"/>
  <c r="CP17" i="13"/>
  <c r="BL34" i="18"/>
  <c r="BK45" i="18"/>
  <c r="BJ54" i="12"/>
  <c r="BJ60" i="12"/>
  <c r="BK22" i="18"/>
  <c r="BL20" i="18"/>
  <c r="BK41" i="12"/>
  <c r="CR31" i="12"/>
  <c r="CS10" i="18"/>
  <c r="CU14" i="18"/>
  <c r="CS15" i="18"/>
  <c r="CT13" i="18"/>
  <c r="BN46" i="18"/>
  <c r="BO35" i="18"/>
  <c r="CU33" i="12"/>
  <c r="CT18" i="13"/>
  <c r="CR24" i="12"/>
  <c r="CQ17" i="13"/>
  <c r="CP37" i="13"/>
  <c r="CP40" i="13" s="1"/>
  <c r="CQ40" i="13" s="1"/>
  <c r="CR166" i="2"/>
  <c r="CQ20" i="12"/>
  <c r="CR18" i="12"/>
  <c r="BM191" i="30"/>
  <c r="BM192" i="34"/>
  <c r="CQ166" i="2"/>
  <c r="CQ35" i="12"/>
  <c r="CR35" i="12" s="1"/>
  <c r="CP19" i="13"/>
  <c r="CQ19" i="13" s="1"/>
  <c r="CQ31" i="12"/>
  <c r="BM134" i="2"/>
  <c r="AX16" i="12"/>
  <c r="AL26" i="12"/>
  <c r="AL28" i="12" s="1"/>
  <c r="AW16" i="12"/>
  <c r="BR36" i="18"/>
  <c r="BQ47" i="18"/>
  <c r="BR47" i="18" s="1"/>
  <c r="BS36" i="18"/>
  <c r="BL32" i="18"/>
  <c r="BK43" i="18"/>
  <c r="AN57" i="12"/>
  <c r="AM61" i="12"/>
  <c r="AN61" i="12" s="1"/>
  <c r="BV33" i="18"/>
  <c r="BU44" i="18"/>
  <c r="BX31" i="18"/>
  <c r="BV42" i="18"/>
  <c r="BW42" i="18" s="1"/>
  <c r="BW31" i="18"/>
  <c r="AO9" i="12"/>
  <c r="AO57" i="12"/>
  <c r="AO61" i="12" s="1"/>
  <c r="AO23" i="18"/>
  <c r="AP46" i="13"/>
  <c r="AP48" i="13" s="1"/>
  <c r="AN23" i="18"/>
  <c r="AS46" i="13"/>
  <c r="AM24" i="18"/>
  <c r="AM25" i="18"/>
  <c r="AM15" i="12"/>
  <c r="AN15" i="12" s="1"/>
  <c r="AN9" i="12"/>
  <c r="AW61" i="12"/>
  <c r="AX61" i="12" s="1"/>
  <c r="AY54" i="18"/>
  <c r="AX25" i="18"/>
  <c r="AX24" i="18"/>
  <c r="BQ29" i="18" l="1"/>
  <c r="BP40" i="18"/>
  <c r="BN34" i="18"/>
  <c r="BM34" i="18"/>
  <c r="BL45" i="18"/>
  <c r="BM45" i="18" s="1"/>
  <c r="CU13" i="18"/>
  <c r="BK60" i="12"/>
  <c r="BK54" i="12"/>
  <c r="CT15" i="18"/>
  <c r="BL41" i="12"/>
  <c r="BL22" i="18"/>
  <c r="BM22" i="18" s="1"/>
  <c r="BM20" i="18"/>
  <c r="BN20" i="18" s="1"/>
  <c r="BO46" i="18"/>
  <c r="BP35" i="18"/>
  <c r="CS31" i="12"/>
  <c r="CT10" i="18"/>
  <c r="CV14" i="18"/>
  <c r="CR19" i="13"/>
  <c r="CS35" i="12"/>
  <c r="CV33" i="12"/>
  <c r="CU18" i="13"/>
  <c r="CV18" i="13" s="1"/>
  <c r="CS24" i="12"/>
  <c r="CS17" i="13"/>
  <c r="CR17" i="13"/>
  <c r="CQ37" i="13"/>
  <c r="CR37" i="13"/>
  <c r="CS166" i="2"/>
  <c r="CR20" i="12"/>
  <c r="CS18" i="12"/>
  <c r="BM205" i="30"/>
  <c r="BM206" i="30" s="1"/>
  <c r="BM206" i="34"/>
  <c r="AN16" i="12"/>
  <c r="AN70" i="12" s="1"/>
  <c r="BM67" i="13"/>
  <c r="O8" i="21" s="1"/>
  <c r="BM135" i="2"/>
  <c r="O38" i="1" s="1"/>
  <c r="O27" i="1"/>
  <c r="BR135" i="2"/>
  <c r="P38" i="1" s="1"/>
  <c r="CO12" i="25"/>
  <c r="BM136" i="2"/>
  <c r="O39" i="1" s="1"/>
  <c r="AM16" i="12"/>
  <c r="AN25" i="18"/>
  <c r="AN24" i="18"/>
  <c r="BX42" i="18"/>
  <c r="BY31" i="18"/>
  <c r="AW26" i="12"/>
  <c r="AX26" i="12" s="1"/>
  <c r="AX28" i="12" s="1"/>
  <c r="AO25" i="18"/>
  <c r="AO24" i="18"/>
  <c r="AX64" i="12"/>
  <c r="AX66" i="12"/>
  <c r="L12" i="1"/>
  <c r="L13" i="1" s="1"/>
  <c r="BS47" i="18"/>
  <c r="BT36" i="18"/>
  <c r="AO15" i="12"/>
  <c r="AO16" i="12" s="1"/>
  <c r="AQ46" i="13"/>
  <c r="AQ48" i="13" s="1"/>
  <c r="AP9" i="12"/>
  <c r="AP57" i="12"/>
  <c r="AP61" i="12" s="1"/>
  <c r="AP23" i="18"/>
  <c r="BV44" i="18"/>
  <c r="BW44" i="18" s="1"/>
  <c r="BW33" i="18"/>
  <c r="BX33" i="18"/>
  <c r="AN64" i="12"/>
  <c r="AN66" i="12"/>
  <c r="J12" i="1"/>
  <c r="J13" i="1" s="1"/>
  <c r="AY49" i="18"/>
  <c r="BL43" i="18"/>
  <c r="BM43" i="18" s="1"/>
  <c r="BM32" i="18"/>
  <c r="BN32" i="18"/>
  <c r="BQ40" i="18" l="1"/>
  <c r="BR40" i="18" s="1"/>
  <c r="BR29" i="18"/>
  <c r="BS29" i="18"/>
  <c r="BO34" i="18"/>
  <c r="BN45" i="18"/>
  <c r="BL54" i="12"/>
  <c r="BM41" i="12"/>
  <c r="BM54" i="12" s="1"/>
  <c r="BL60" i="12"/>
  <c r="BM60" i="12" s="1"/>
  <c r="CT31" i="12"/>
  <c r="CU10" i="18"/>
  <c r="CU15" i="18"/>
  <c r="BP46" i="18"/>
  <c r="BQ35" i="18"/>
  <c r="CV13" i="18"/>
  <c r="BO20" i="18"/>
  <c r="BN22" i="18"/>
  <c r="BN41" i="12"/>
  <c r="CT35" i="12"/>
  <c r="CS19" i="13"/>
  <c r="CT24" i="12"/>
  <c r="CT17" i="13" s="1"/>
  <c r="CT166" i="2"/>
  <c r="CS37" i="13"/>
  <c r="CS40" i="13" s="1"/>
  <c r="CR40" i="13"/>
  <c r="CS20" i="12"/>
  <c r="CT18" i="12"/>
  <c r="BM207" i="30"/>
  <c r="BM207" i="34"/>
  <c r="BM208" i="34"/>
  <c r="AW28" i="12"/>
  <c r="O45" i="1"/>
  <c r="P45" i="1"/>
  <c r="AM26" i="12"/>
  <c r="AN26" i="12" s="1"/>
  <c r="AN28" i="12" s="1"/>
  <c r="AN68" i="12" s="1"/>
  <c r="BM52" i="18"/>
  <c r="AO26" i="12"/>
  <c r="AO28" i="12" s="1"/>
  <c r="BN43" i="18"/>
  <c r="BO32" i="18"/>
  <c r="AY51" i="18"/>
  <c r="AY55" i="18" s="1"/>
  <c r="AY61" i="2" s="1"/>
  <c r="L50" i="1"/>
  <c r="L51" i="1"/>
  <c r="BY42" i="18"/>
  <c r="BZ31" i="18"/>
  <c r="CA31" i="18" s="1"/>
  <c r="AP24" i="18"/>
  <c r="AP25" i="18"/>
  <c r="AP15" i="12"/>
  <c r="AP16" i="12" s="1"/>
  <c r="BY33" i="18"/>
  <c r="BX44" i="18"/>
  <c r="BT47" i="18"/>
  <c r="BU36" i="18"/>
  <c r="AQ23" i="18"/>
  <c r="AQ9" i="12"/>
  <c r="AQ57" i="12"/>
  <c r="AQ61" i="12" s="1"/>
  <c r="AR46" i="13"/>
  <c r="AR48" i="13" s="1"/>
  <c r="BT29" i="18" l="1"/>
  <c r="BS40" i="18"/>
  <c r="BP34" i="18"/>
  <c r="BO45" i="18"/>
  <c r="BN60" i="12"/>
  <c r="BN54" i="12"/>
  <c r="CV15" i="18"/>
  <c r="CV10" i="18"/>
  <c r="CU31" i="12"/>
  <c r="CV31" i="12" s="1"/>
  <c r="BO41" i="12"/>
  <c r="BO22" i="18"/>
  <c r="BP20" i="18"/>
  <c r="BQ46" i="18"/>
  <c r="BR46" i="18" s="1"/>
  <c r="BR35" i="18"/>
  <c r="BS35" i="18"/>
  <c r="CU35" i="12"/>
  <c r="CT19" i="13"/>
  <c r="CU24" i="12"/>
  <c r="CV24" i="12" s="1"/>
  <c r="CU166" i="2"/>
  <c r="CU37" i="13" s="1"/>
  <c r="CU40" i="13" s="1"/>
  <c r="CT37" i="13"/>
  <c r="CT20" i="12"/>
  <c r="CU18" i="12"/>
  <c r="AM28" i="12"/>
  <c r="AQ15" i="12"/>
  <c r="AQ16" i="12" s="1"/>
  <c r="BO43" i="18"/>
  <c r="BP32" i="18"/>
  <c r="AQ24" i="18"/>
  <c r="AQ25" i="18"/>
  <c r="BZ33" i="18"/>
  <c r="BY44" i="18"/>
  <c r="BZ42" i="18"/>
  <c r="AP26" i="12"/>
  <c r="AP28" i="12" s="1"/>
  <c r="AS48" i="13"/>
  <c r="AR23" i="18"/>
  <c r="AR9" i="12"/>
  <c r="AR57" i="12"/>
  <c r="BV36" i="18"/>
  <c r="BU47" i="18"/>
  <c r="AY65" i="2"/>
  <c r="AY66" i="2"/>
  <c r="BT40" i="18" l="1"/>
  <c r="BU29" i="18"/>
  <c r="BQ34" i="18"/>
  <c r="BP45" i="18"/>
  <c r="BO60" i="12"/>
  <c r="BO54" i="12"/>
  <c r="BS46" i="18"/>
  <c r="BT35" i="18"/>
  <c r="BP41" i="12"/>
  <c r="BP22" i="18"/>
  <c r="BQ20" i="18"/>
  <c r="CV166" i="2"/>
  <c r="CV35" i="12"/>
  <c r="CU19" i="13"/>
  <c r="CV19" i="13" s="1"/>
  <c r="CU17" i="13"/>
  <c r="CT40" i="13"/>
  <c r="CV40" i="13" s="1"/>
  <c r="CV37" i="13"/>
  <c r="CU20" i="12"/>
  <c r="CV18" i="12"/>
  <c r="CV20" i="12" s="1"/>
  <c r="AQ26" i="12"/>
  <c r="AQ28" i="12" s="1"/>
  <c r="AY73" i="2"/>
  <c r="AY80" i="2"/>
  <c r="AS9" i="12"/>
  <c r="AR15" i="12"/>
  <c r="AS15" i="12" s="1"/>
  <c r="CB31" i="18"/>
  <c r="CC31" i="18"/>
  <c r="AR25" i="18"/>
  <c r="AR24" i="18"/>
  <c r="CA33" i="18"/>
  <c r="BZ44" i="18"/>
  <c r="AY83" i="2"/>
  <c r="AY74" i="2"/>
  <c r="AX46" i="13"/>
  <c r="AS23" i="18"/>
  <c r="AR61" i="12"/>
  <c r="AS61" i="12" s="1"/>
  <c r="AS57" i="12"/>
  <c r="BV47" i="18"/>
  <c r="BW36" i="18"/>
  <c r="BX36" i="18"/>
  <c r="BP43" i="18"/>
  <c r="BQ32" i="18"/>
  <c r="BU40" i="18" l="1"/>
  <c r="BV29" i="18"/>
  <c r="BS34" i="18"/>
  <c r="BQ45" i="18"/>
  <c r="BR45" i="18" s="1"/>
  <c r="BR34" i="18"/>
  <c r="BQ22" i="18"/>
  <c r="BR22" i="18" s="1"/>
  <c r="BR20" i="18"/>
  <c r="BS20" i="18" s="1"/>
  <c r="BQ41" i="12"/>
  <c r="BP54" i="12"/>
  <c r="BP60" i="12"/>
  <c r="BU35" i="18"/>
  <c r="BT46" i="18"/>
  <c r="CV17" i="13"/>
  <c r="CC31" i="32"/>
  <c r="AS16" i="12"/>
  <c r="AS70" i="12" s="1"/>
  <c r="CC33" i="18"/>
  <c r="CB33" i="18"/>
  <c r="CA44" i="18"/>
  <c r="CB44" i="18" s="1"/>
  <c r="BS32" i="18"/>
  <c r="BQ43" i="18"/>
  <c r="BR32" i="18"/>
  <c r="AR16" i="12"/>
  <c r="AY95" i="2"/>
  <c r="AY9" i="13"/>
  <c r="AY91" i="2"/>
  <c r="K12" i="1"/>
  <c r="K13" i="1" s="1"/>
  <c r="AS66" i="12"/>
  <c r="AS64" i="12"/>
  <c r="CD31" i="18"/>
  <c r="BX47" i="18"/>
  <c r="BY36" i="18"/>
  <c r="AY93" i="2"/>
  <c r="AY81" i="2"/>
  <c r="AY82" i="2"/>
  <c r="AY89" i="2"/>
  <c r="AY90" i="2" s="1"/>
  <c r="BW47" i="18"/>
  <c r="AS24" i="18"/>
  <c r="AS25" i="18"/>
  <c r="BW29" i="18" l="1"/>
  <c r="BX29" i="18"/>
  <c r="BV40" i="18"/>
  <c r="BW40" i="18" s="1"/>
  <c r="BS45" i="18"/>
  <c r="BT34" i="18"/>
  <c r="BU46" i="18"/>
  <c r="BV35" i="18"/>
  <c r="BQ54" i="12"/>
  <c r="BQ60" i="12"/>
  <c r="BR60" i="12" s="1"/>
  <c r="BR41" i="12"/>
  <c r="BR54" i="12" s="1"/>
  <c r="BS22" i="18"/>
  <c r="BT20" i="18"/>
  <c r="BS41" i="12"/>
  <c r="AX70" i="12"/>
  <c r="CD33" i="18"/>
  <c r="CC44" i="18"/>
  <c r="BR43" i="18"/>
  <c r="BR52" i="18" s="1"/>
  <c r="AY20" i="13"/>
  <c r="AY22" i="13" s="1"/>
  <c r="BY47" i="18"/>
  <c r="BZ36" i="18"/>
  <c r="K50" i="1"/>
  <c r="K51" i="1"/>
  <c r="BT32" i="18"/>
  <c r="BS43" i="18"/>
  <c r="AR26" i="12"/>
  <c r="AS26" i="12" s="1"/>
  <c r="AS28" i="12" s="1"/>
  <c r="AY21" i="19"/>
  <c r="AY94" i="2"/>
  <c r="CE31" i="18"/>
  <c r="BX40" i="18" l="1"/>
  <c r="BY29" i="18"/>
  <c r="BT45" i="18"/>
  <c r="BU34" i="18"/>
  <c r="BT41" i="12"/>
  <c r="BT22" i="18"/>
  <c r="BU20" i="18"/>
  <c r="BS60" i="12"/>
  <c r="BS54" i="12"/>
  <c r="BV46" i="18"/>
  <c r="BW46" i="18" s="1"/>
  <c r="BW35" i="18"/>
  <c r="BX35" i="18"/>
  <c r="AR28" i="12"/>
  <c r="BZ47" i="18"/>
  <c r="CA36" i="18"/>
  <c r="CF31" i="18"/>
  <c r="AY26" i="19"/>
  <c r="AY42" i="19" s="1"/>
  <c r="AY31" i="19"/>
  <c r="AY47" i="19" s="1"/>
  <c r="AX68" i="12"/>
  <c r="AS68" i="12"/>
  <c r="AY45" i="13"/>
  <c r="AY81" i="13"/>
  <c r="AY92" i="13" s="1"/>
  <c r="AY93" i="13" s="1"/>
  <c r="BU32" i="18"/>
  <c r="BT43" i="18"/>
  <c r="CE33" i="18"/>
  <c r="CD44" i="18"/>
  <c r="BZ29" i="18" l="1"/>
  <c r="BY40" i="18"/>
  <c r="BV34" i="18"/>
  <c r="BU45" i="18"/>
  <c r="BY35" i="18"/>
  <c r="BX46" i="18"/>
  <c r="BV20" i="18"/>
  <c r="BU41" i="12"/>
  <c r="BU22" i="18"/>
  <c r="BT54" i="12"/>
  <c r="BT60" i="12"/>
  <c r="BV32" i="18"/>
  <c r="BU43" i="18"/>
  <c r="CH31" i="18"/>
  <c r="CG31" i="18"/>
  <c r="AY48" i="13"/>
  <c r="CC36" i="18"/>
  <c r="CB36" i="18"/>
  <c r="CF33" i="18"/>
  <c r="CE44" i="18"/>
  <c r="BZ40" i="18" l="1"/>
  <c r="CA29" i="18"/>
  <c r="BX34" i="18"/>
  <c r="BW34" i="18"/>
  <c r="BV45" i="18"/>
  <c r="BW45" i="18" s="1"/>
  <c r="BU54" i="12"/>
  <c r="BU60" i="12"/>
  <c r="BV41" i="12"/>
  <c r="BV22" i="18"/>
  <c r="BW22" i="18" s="1"/>
  <c r="BW20" i="18"/>
  <c r="BX20" i="18" s="1"/>
  <c r="BY46" i="18"/>
  <c r="BZ35" i="18"/>
  <c r="AZ46" i="13"/>
  <c r="AY23" i="18"/>
  <c r="AY57" i="12"/>
  <c r="AY61" i="12" s="1"/>
  <c r="AY9" i="12"/>
  <c r="CI31" i="18"/>
  <c r="CD36" i="18"/>
  <c r="BX32" i="18"/>
  <c r="BW32" i="18"/>
  <c r="BV43" i="18"/>
  <c r="BW43" i="18"/>
  <c r="BW52" i="18" s="1"/>
  <c r="CH33" i="18"/>
  <c r="CG33" i="18"/>
  <c r="CF44" i="18"/>
  <c r="CG44" i="18" s="1"/>
  <c r="CB29" i="18" l="1"/>
  <c r="CC29" i="18"/>
  <c r="CA40" i="18"/>
  <c r="CB40" i="18" s="1"/>
  <c r="BX45" i="18"/>
  <c r="BY34" i="18"/>
  <c r="CA35" i="18"/>
  <c r="BZ46" i="18"/>
  <c r="BX41" i="12"/>
  <c r="BX22" i="18"/>
  <c r="BY20" i="18"/>
  <c r="BV54" i="12"/>
  <c r="BW41" i="12"/>
  <c r="BW54" i="12" s="1"/>
  <c r="BV60" i="12"/>
  <c r="BW60" i="12" s="1"/>
  <c r="AZ54" i="18"/>
  <c r="AY24" i="18"/>
  <c r="AY25" i="18"/>
  <c r="BY32" i="18"/>
  <c r="BX43" i="18"/>
  <c r="AY15" i="12"/>
  <c r="AY16" i="12" s="1"/>
  <c r="CE36" i="18"/>
  <c r="CJ31" i="18"/>
  <c r="CI33" i="18"/>
  <c r="CH44" i="18"/>
  <c r="CD29" i="18" l="1"/>
  <c r="CC40" i="18"/>
  <c r="BZ34" i="18"/>
  <c r="BY45" i="18"/>
  <c r="BY22" i="18"/>
  <c r="BY41" i="12"/>
  <c r="BZ20" i="18"/>
  <c r="CB35" i="18"/>
  <c r="CA46" i="18"/>
  <c r="CB46" i="18" s="1"/>
  <c r="CC35" i="18"/>
  <c r="BX54" i="12"/>
  <c r="BX60" i="12"/>
  <c r="AZ49" i="18"/>
  <c r="CJ33" i="18"/>
  <c r="CI44" i="18"/>
  <c r="CK31" i="18"/>
  <c r="CM31" i="18" s="1"/>
  <c r="CN31" i="18" s="1"/>
  <c r="CO31" i="18" s="1"/>
  <c r="CP31" i="18" s="1"/>
  <c r="AY26" i="12"/>
  <c r="AY28" i="12" s="1"/>
  <c r="BZ32" i="18"/>
  <c r="BY43" i="18"/>
  <c r="CF36" i="18"/>
  <c r="CE29" i="18" l="1"/>
  <c r="CD40" i="18"/>
  <c r="BZ45" i="18"/>
  <c r="CA34" i="18"/>
  <c r="CQ31" i="18"/>
  <c r="CR31" i="18"/>
  <c r="CS31" i="18" s="1"/>
  <c r="CT31" i="18" s="1"/>
  <c r="CU31" i="18" s="1"/>
  <c r="CV31" i="18" s="1"/>
  <c r="CC46" i="18"/>
  <c r="CD35" i="18"/>
  <c r="BZ41" i="12"/>
  <c r="BZ60" i="12" s="1"/>
  <c r="CA20" i="18"/>
  <c r="BZ22" i="18"/>
  <c r="BY60" i="12"/>
  <c r="BY54" i="12"/>
  <c r="CG36" i="18"/>
  <c r="CH36" i="18"/>
  <c r="CL31" i="18"/>
  <c r="AZ51" i="18"/>
  <c r="AZ55" i="18" s="1"/>
  <c r="AZ61" i="2" s="1"/>
  <c r="CK33" i="18"/>
  <c r="CM33" i="18" s="1"/>
  <c r="CJ44" i="18"/>
  <c r="CA32" i="18"/>
  <c r="BZ43" i="18"/>
  <c r="CF29" i="18" l="1"/>
  <c r="CE40" i="18"/>
  <c r="CB34" i="18"/>
  <c r="CC34" i="18"/>
  <c r="CA45" i="18"/>
  <c r="CB45" i="18" s="1"/>
  <c r="CN33" i="18"/>
  <c r="CM44" i="18"/>
  <c r="CE35" i="18"/>
  <c r="CD46" i="18"/>
  <c r="CB20" i="18"/>
  <c r="CC20" i="18" s="1"/>
  <c r="CA41" i="12"/>
  <c r="CB32" i="18"/>
  <c r="CC32" i="18"/>
  <c r="CA43" i="18"/>
  <c r="AZ65" i="2"/>
  <c r="AZ66" i="2"/>
  <c r="CI36" i="18"/>
  <c r="CL33" i="18"/>
  <c r="CK44" i="18"/>
  <c r="CL44" i="18" s="1"/>
  <c r="CH29" i="18" l="1"/>
  <c r="CG29" i="18"/>
  <c r="CF40" i="18"/>
  <c r="CG40" i="18" s="1"/>
  <c r="CD34" i="18"/>
  <c r="CC45" i="18"/>
  <c r="CB41" i="12"/>
  <c r="CA60" i="12"/>
  <c r="CB60" i="12" s="1"/>
  <c r="CC41" i="12"/>
  <c r="CC22" i="18"/>
  <c r="CD20" i="18"/>
  <c r="CF35" i="18"/>
  <c r="CE46" i="18"/>
  <c r="CO33" i="18"/>
  <c r="CN44" i="18"/>
  <c r="CB43" i="18"/>
  <c r="CJ36" i="18"/>
  <c r="CD32" i="18"/>
  <c r="CC43" i="18"/>
  <c r="AZ83" i="2"/>
  <c r="AZ74" i="2"/>
  <c r="AZ80" i="2"/>
  <c r="AZ73" i="2"/>
  <c r="CI29" i="18" l="1"/>
  <c r="CH40" i="18"/>
  <c r="CD45" i="18"/>
  <c r="CE34" i="18"/>
  <c r="CD41" i="12"/>
  <c r="CD60" i="12" s="1"/>
  <c r="CE20" i="18"/>
  <c r="CG35" i="18"/>
  <c r="CF46" i="18"/>
  <c r="CG46" i="18" s="1"/>
  <c r="CH35" i="18"/>
  <c r="CC54" i="12"/>
  <c r="CC60" i="12"/>
  <c r="CP33" i="18"/>
  <c r="CO44" i="18"/>
  <c r="AZ81" i="2"/>
  <c r="AZ89" i="2"/>
  <c r="AZ90" i="2" s="1"/>
  <c r="AZ93" i="2"/>
  <c r="AZ82" i="2"/>
  <c r="CK36" i="18"/>
  <c r="CM36" i="18" s="1"/>
  <c r="CN36" i="18" s="1"/>
  <c r="CO36" i="18" s="1"/>
  <c r="CP36" i="18" s="1"/>
  <c r="AZ91" i="2"/>
  <c r="AZ95" i="2"/>
  <c r="AZ9" i="13"/>
  <c r="CE32" i="18"/>
  <c r="CD43" i="18"/>
  <c r="CJ29" i="18" l="1"/>
  <c r="CI40" i="18"/>
  <c r="CF34" i="18"/>
  <c r="CE45" i="18"/>
  <c r="CI35" i="18"/>
  <c r="CH46" i="18"/>
  <c r="CE41" i="12"/>
  <c r="CF20" i="18"/>
  <c r="CQ36" i="18"/>
  <c r="CR36" i="18"/>
  <c r="CS36" i="18" s="1"/>
  <c r="CT36" i="18" s="1"/>
  <c r="CU36" i="18" s="1"/>
  <c r="CV36" i="18" s="1"/>
  <c r="CQ33" i="18"/>
  <c r="CR33" i="18"/>
  <c r="CP44" i="18"/>
  <c r="CQ44" i="18" s="1"/>
  <c r="AZ94" i="2"/>
  <c r="AZ21" i="19"/>
  <c r="CL36" i="18"/>
  <c r="CF32" i="18"/>
  <c r="CE43" i="18"/>
  <c r="AZ20" i="13"/>
  <c r="CK29" i="18" l="1"/>
  <c r="CJ40" i="18"/>
  <c r="CG34" i="18"/>
  <c r="CH34" i="18"/>
  <c r="CF45" i="18"/>
  <c r="CG45" i="18" s="1"/>
  <c r="CF41" i="12"/>
  <c r="CF22" i="18"/>
  <c r="CG20" i="18"/>
  <c r="CH20" i="18" s="1"/>
  <c r="CE54" i="12"/>
  <c r="CE60" i="12"/>
  <c r="CS33" i="18"/>
  <c r="CR44" i="18"/>
  <c r="CI46" i="18"/>
  <c r="CJ35" i="18"/>
  <c r="AZ22" i="13"/>
  <c r="AZ31" i="19"/>
  <c r="AZ47" i="19" s="1"/>
  <c r="AZ26" i="19"/>
  <c r="AZ42" i="19" s="1"/>
  <c r="CG32" i="18"/>
  <c r="CH32" i="18"/>
  <c r="CF43" i="18"/>
  <c r="CM29" i="18" l="1"/>
  <c r="CK40" i="18"/>
  <c r="CL40" i="18" s="1"/>
  <c r="CL29" i="18"/>
  <c r="CI34" i="18"/>
  <c r="CH45" i="18"/>
  <c r="CT33" i="18"/>
  <c r="CS44" i="18"/>
  <c r="CK35" i="18"/>
  <c r="CJ46" i="18"/>
  <c r="CH41" i="12"/>
  <c r="CH60" i="12" s="1"/>
  <c r="CH22" i="18"/>
  <c r="CI20" i="18"/>
  <c r="CF54" i="12"/>
  <c r="CF60" i="12"/>
  <c r="CG60" i="12" s="1"/>
  <c r="CG41" i="12"/>
  <c r="CG43" i="18"/>
  <c r="CI32" i="18"/>
  <c r="CH43" i="18"/>
  <c r="AZ81" i="13"/>
  <c r="AZ92" i="13" s="1"/>
  <c r="AZ93" i="13" s="1"/>
  <c r="AZ45" i="13"/>
  <c r="CN29" i="18" l="1"/>
  <c r="CM40" i="18"/>
  <c r="CI45" i="18"/>
  <c r="CJ34" i="18"/>
  <c r="CI41" i="12"/>
  <c r="CI60" i="12" s="1"/>
  <c r="CJ20" i="18"/>
  <c r="CM35" i="18"/>
  <c r="CL35" i="18"/>
  <c r="CK46" i="18"/>
  <c r="CL46" i="18" s="1"/>
  <c r="CU33" i="18"/>
  <c r="CT44" i="18"/>
  <c r="CJ32" i="18"/>
  <c r="CI43" i="18"/>
  <c r="AZ48" i="13"/>
  <c r="CO29" i="18" l="1"/>
  <c r="CN40" i="18"/>
  <c r="CK34" i="18"/>
  <c r="CJ45" i="18"/>
  <c r="CV33" i="18"/>
  <c r="CU44" i="18"/>
  <c r="CV44" i="18" s="1"/>
  <c r="CJ41" i="12"/>
  <c r="CJ60" i="12" s="1"/>
  <c r="CK20" i="18"/>
  <c r="CN35" i="18"/>
  <c r="CM46" i="18"/>
  <c r="CK32" i="18"/>
  <c r="CM32" i="18" s="1"/>
  <c r="CJ43" i="18"/>
  <c r="AZ23" i="18"/>
  <c r="AZ57" i="12"/>
  <c r="AZ61" i="12" s="1"/>
  <c r="BA46" i="13"/>
  <c r="AZ9" i="12"/>
  <c r="CO40" i="18" l="1"/>
  <c r="CP29" i="18"/>
  <c r="CM34" i="18"/>
  <c r="CL34" i="18"/>
  <c r="CK45" i="18"/>
  <c r="CL45" i="18" s="1"/>
  <c r="CK41" i="12"/>
  <c r="CL20" i="18"/>
  <c r="CM20" i="18" s="1"/>
  <c r="CN32" i="18"/>
  <c r="CM43" i="18"/>
  <c r="CO35" i="18"/>
  <c r="CN46" i="18"/>
  <c r="AZ15" i="12"/>
  <c r="AZ16" i="12" s="1"/>
  <c r="CL32" i="18"/>
  <c r="CK43" i="18"/>
  <c r="BA54" i="18"/>
  <c r="AZ24" i="18"/>
  <c r="AZ25" i="18"/>
  <c r="CP40" i="18" l="1"/>
  <c r="CQ40" i="18" s="1"/>
  <c r="CQ29" i="18"/>
  <c r="CR29" i="18"/>
  <c r="CN34" i="18"/>
  <c r="CM45" i="18"/>
  <c r="CO32" i="18"/>
  <c r="CN43" i="18"/>
  <c r="CN20" i="18"/>
  <c r="CM41" i="12"/>
  <c r="CM60" i="12" s="1"/>
  <c r="CP35" i="18"/>
  <c r="CO46" i="18"/>
  <c r="CL41" i="12"/>
  <c r="CK60" i="12"/>
  <c r="CL60" i="12" s="1"/>
  <c r="AZ26" i="12"/>
  <c r="AZ28" i="12" s="1"/>
  <c r="CL43" i="18"/>
  <c r="BA49" i="18"/>
  <c r="CS29" i="18" l="1"/>
  <c r="CR40" i="18"/>
  <c r="CN45" i="18"/>
  <c r="CO34" i="18"/>
  <c r="CO20" i="18"/>
  <c r="CN41" i="12"/>
  <c r="CN60" i="12" s="1"/>
  <c r="CQ35" i="18"/>
  <c r="CR35" i="18"/>
  <c r="CP46" i="18"/>
  <c r="CQ46" i="18" s="1"/>
  <c r="CP32" i="18"/>
  <c r="CO43" i="18"/>
  <c r="BA51" i="18"/>
  <c r="BA55" i="18" s="1"/>
  <c r="BA61" i="2" s="1"/>
  <c r="CT29" i="18" l="1"/>
  <c r="CS40" i="18"/>
  <c r="CP34" i="18"/>
  <c r="CO45" i="18"/>
  <c r="CP20" i="18"/>
  <c r="CO41" i="12"/>
  <c r="CO60" i="12" s="1"/>
  <c r="CQ32" i="18"/>
  <c r="CR32" i="18"/>
  <c r="CP43" i="18"/>
  <c r="CQ43" i="18" s="1"/>
  <c r="CS35" i="18"/>
  <c r="CR46" i="18"/>
  <c r="BA65" i="2"/>
  <c r="BA66" i="2"/>
  <c r="CU29" i="18" l="1"/>
  <c r="CT40" i="18"/>
  <c r="CQ34" i="18"/>
  <c r="CP45" i="18"/>
  <c r="CQ45" i="18" s="1"/>
  <c r="CR34" i="18"/>
  <c r="CT35" i="18"/>
  <c r="CS46" i="18"/>
  <c r="CS32" i="18"/>
  <c r="CR43" i="18"/>
  <c r="CQ20" i="18"/>
  <c r="CR20" i="18" s="1"/>
  <c r="CP41" i="12"/>
  <c r="BA74" i="2"/>
  <c r="BA83" i="2"/>
  <c r="BA73" i="2"/>
  <c r="BA80" i="2"/>
  <c r="BA98" i="2"/>
  <c r="CU40" i="18" l="1"/>
  <c r="CV40" i="18" s="1"/>
  <c r="CV29" i="18"/>
  <c r="CS34" i="18"/>
  <c r="CR45" i="18"/>
  <c r="CQ41" i="12"/>
  <c r="CP60" i="12"/>
  <c r="CQ60" i="12" s="1"/>
  <c r="CT32" i="18"/>
  <c r="CS43" i="18"/>
  <c r="CS20" i="18"/>
  <c r="CR41" i="12"/>
  <c r="CR60" i="12" s="1"/>
  <c r="CU35" i="18"/>
  <c r="CT46" i="18"/>
  <c r="BA89" i="2"/>
  <c r="BA90" i="2" s="1"/>
  <c r="BA82" i="2"/>
  <c r="BA93" i="2"/>
  <c r="BA81" i="2"/>
  <c r="BA91" i="2"/>
  <c r="BA9" i="13"/>
  <c r="BA95" i="2"/>
  <c r="BA100" i="2"/>
  <c r="BA101" i="2"/>
  <c r="BA104" i="2" s="1"/>
  <c r="BA105" i="2" s="1"/>
  <c r="BA106" i="2" s="1"/>
  <c r="CT34" i="18" l="1"/>
  <c r="CS45" i="18"/>
  <c r="CT20" i="18"/>
  <c r="CS41" i="12"/>
  <c r="CS60" i="12" s="1"/>
  <c r="CV35" i="18"/>
  <c r="CU46" i="18"/>
  <c r="CV46" i="18" s="1"/>
  <c r="CU32" i="18"/>
  <c r="CT43" i="18"/>
  <c r="BA20" i="13"/>
  <c r="BA21" i="19"/>
  <c r="BA94" i="2"/>
  <c r="CT45" i="18" l="1"/>
  <c r="CU34" i="18"/>
  <c r="CV32" i="18"/>
  <c r="CU43" i="18"/>
  <c r="CV43" i="18" s="1"/>
  <c r="CU20" i="18"/>
  <c r="CT41" i="12"/>
  <c r="CT60" i="12" s="1"/>
  <c r="BA26" i="19"/>
  <c r="BA42" i="19" s="1"/>
  <c r="BA31" i="19"/>
  <c r="BA47" i="19" s="1"/>
  <c r="BA22" i="13"/>
  <c r="CU45" i="18" l="1"/>
  <c r="CV45" i="18" s="1"/>
  <c r="CV34" i="18"/>
  <c r="CV20" i="18"/>
  <c r="CU41" i="12"/>
  <c r="BA81" i="13"/>
  <c r="BA92" i="13" s="1"/>
  <c r="BA93" i="13" s="1"/>
  <c r="BA45" i="13"/>
  <c r="CU60" i="12" l="1"/>
  <c r="CV60" i="12" s="1"/>
  <c r="CV41" i="12"/>
  <c r="BA48" i="13"/>
  <c r="BB46" i="13" l="1"/>
  <c r="BA57" i="12"/>
  <c r="BA61" i="12" s="1"/>
  <c r="BA9" i="12"/>
  <c r="BA23" i="18"/>
  <c r="BA15" i="12" l="1"/>
  <c r="BA16" i="12" s="1"/>
  <c r="BB54" i="18"/>
  <c r="BA25" i="18"/>
  <c r="BA24" i="18"/>
  <c r="BA26" i="12" l="1"/>
  <c r="BA28" i="12" s="1"/>
  <c r="BB49" i="18"/>
  <c r="BC54" i="18"/>
  <c r="BB51" i="18" l="1"/>
  <c r="BB55" i="18" s="1"/>
  <c r="BB61" i="2" s="1"/>
  <c r="BC49" i="18"/>
  <c r="BC51" i="18" s="1"/>
  <c r="BC55" i="18" s="1"/>
  <c r="BC61" i="2" s="1"/>
  <c r="BC68" i="13" l="1"/>
  <c r="BC65" i="12"/>
  <c r="BB65" i="2"/>
  <c r="BB66" i="2"/>
  <c r="BB74" i="2" l="1"/>
  <c r="BB83" i="2"/>
  <c r="BC66" i="2"/>
  <c r="BB98" i="2"/>
  <c r="BB73" i="2"/>
  <c r="BB100" i="2" s="1"/>
  <c r="BB80" i="2"/>
  <c r="BC65" i="2"/>
  <c r="BC73" i="2" s="1"/>
  <c r="M9" i="21"/>
  <c r="BC76" i="13"/>
  <c r="BB99" i="2" l="1"/>
  <c r="BB101" i="2" s="1"/>
  <c r="BB104" i="2" s="1"/>
  <c r="BB105" i="2" s="1"/>
  <c r="BB81" i="2"/>
  <c r="BB82" i="2"/>
  <c r="BB93" i="2"/>
  <c r="BB89" i="2"/>
  <c r="BB90" i="2" s="1"/>
  <c r="BC80" i="2"/>
  <c r="BB9" i="13"/>
  <c r="BB91" i="2"/>
  <c r="BB95" i="2"/>
  <c r="BC74" i="2"/>
  <c r="BC83" i="2"/>
  <c r="M15" i="21"/>
  <c r="M16" i="21" s="1"/>
  <c r="BB20" i="13" l="1"/>
  <c r="BC20" i="13" s="1"/>
  <c r="BC9" i="13"/>
  <c r="BC81" i="2"/>
  <c r="BC86" i="2"/>
  <c r="BC89" i="2"/>
  <c r="BC90" i="2" s="1"/>
  <c r="BC69" i="12"/>
  <c r="BC82" i="2"/>
  <c r="M40" i="1" s="1"/>
  <c r="BC91" i="2"/>
  <c r="BC51" i="13"/>
  <c r="BC62" i="13" s="1"/>
  <c r="BB21" i="19"/>
  <c r="BB94" i="2"/>
  <c r="BB22" i="13" l="1"/>
  <c r="BB81" i="13" s="1"/>
  <c r="BB92" i="13" s="1"/>
  <c r="BB93" i="13" s="1"/>
  <c r="BC63" i="13"/>
  <c r="BC64" i="13" s="1"/>
  <c r="BC22" i="13"/>
  <c r="BC81" i="13" s="1"/>
  <c r="BC92" i="13" s="1"/>
  <c r="BC93" i="13" s="1"/>
  <c r="BC94" i="13" s="1"/>
  <c r="M10" i="1"/>
  <c r="M11" i="1" s="1"/>
  <c r="BC77" i="13"/>
  <c r="BC95" i="2"/>
  <c r="M32" i="1" s="1"/>
  <c r="M53" i="1" s="1"/>
  <c r="BB26" i="19"/>
  <c r="BB42" i="19" s="1"/>
  <c r="BB31" i="19"/>
  <c r="BB47" i="19" s="1"/>
  <c r="BC93" i="2"/>
  <c r="BB45" i="13" l="1"/>
  <c r="BB48" i="13" s="1"/>
  <c r="BC21" i="19"/>
  <c r="BC94" i="2"/>
  <c r="BC78" i="13"/>
  <c r="M33" i="1"/>
  <c r="BC45" i="13" l="1"/>
  <c r="M54" i="1"/>
  <c r="M46" i="1"/>
  <c r="BB23" i="18"/>
  <c r="BC48" i="13"/>
  <c r="BB57" i="12"/>
  <c r="BD46" i="13"/>
  <c r="BB9" i="12"/>
  <c r="BB61" i="12" l="1"/>
  <c r="BC61" i="12" s="1"/>
  <c r="BC57" i="12"/>
  <c r="BC9" i="12"/>
  <c r="BB15" i="12"/>
  <c r="BC15" i="12" s="1"/>
  <c r="BH46" i="13"/>
  <c r="BC23" i="18"/>
  <c r="BD54" i="18"/>
  <c r="BB25" i="18"/>
  <c r="BB24" i="18"/>
  <c r="BB16" i="12" l="1"/>
  <c r="BB26" i="12" s="1"/>
  <c r="BC26" i="12" s="1"/>
  <c r="BD49" i="18"/>
  <c r="BC25" i="18"/>
  <c r="BC24" i="18"/>
  <c r="BC16" i="12"/>
  <c r="BC64" i="12"/>
  <c r="M12" i="1"/>
  <c r="M13" i="1" s="1"/>
  <c r="BC66" i="12"/>
  <c r="M50" i="1" l="1"/>
  <c r="M51" i="1"/>
  <c r="BC28" i="12"/>
  <c r="BC68" i="12" s="1"/>
  <c r="BC70" i="12"/>
  <c r="BB28" i="12"/>
  <c r="BD51" i="18"/>
  <c r="BD55" i="18" s="1"/>
  <c r="BD61" i="2" s="1"/>
  <c r="BD65" i="2" l="1"/>
  <c r="BD66" i="2"/>
  <c r="BD153" i="2" l="1"/>
  <c r="BD83" i="2"/>
  <c r="BD74" i="2"/>
  <c r="BD73" i="2"/>
  <c r="BD100" i="2" s="1"/>
  <c r="BD98" i="2"/>
  <c r="BD80" i="2"/>
  <c r="BD99" i="2" l="1"/>
  <c r="BD101" i="2" s="1"/>
  <c r="BD9" i="13"/>
  <c r="BD91" i="2"/>
  <c r="BD95" i="2"/>
  <c r="BD81" i="2"/>
  <c r="BD93" i="2"/>
  <c r="BD89" i="2"/>
  <c r="BD90" i="2" s="1"/>
  <c r="BD82" i="2"/>
  <c r="BD161" i="2"/>
  <c r="BD94" i="2" l="1"/>
  <c r="BD21" i="19"/>
  <c r="BD162" i="2"/>
  <c r="BD163" i="2"/>
  <c r="BD20" i="13"/>
  <c r="BD22" i="13" s="1"/>
  <c r="BD104" i="2"/>
  <c r="BD105" i="2" s="1"/>
  <c r="BD45" i="13" l="1"/>
  <c r="BD81" i="13"/>
  <c r="BD92" i="13" s="1"/>
  <c r="BD93" i="13" s="1"/>
  <c r="BD26" i="19"/>
  <c r="BD42" i="19" s="1"/>
  <c r="BD31" i="19"/>
  <c r="BD47" i="19" s="1"/>
  <c r="BD48" i="13" l="1"/>
  <c r="BE46" i="13" l="1"/>
  <c r="BD57" i="12"/>
  <c r="BD61" i="12" s="1"/>
  <c r="BD9" i="12"/>
  <c r="BD23" i="18"/>
  <c r="BD15" i="12" l="1"/>
  <c r="BD16" i="12" s="1"/>
  <c r="BE54" i="18"/>
  <c r="BD24" i="18"/>
  <c r="BD25" i="18"/>
  <c r="BD26" i="12" l="1"/>
  <c r="BD28" i="12" s="1"/>
  <c r="BE49" i="18"/>
  <c r="BE51" i="18" l="1"/>
  <c r="BE55" i="18" s="1"/>
  <c r="BE61" i="2" s="1"/>
  <c r="BE65" i="2" l="1"/>
  <c r="BE66" i="2"/>
  <c r="BE74" i="2" l="1"/>
  <c r="BE153" i="2"/>
  <c r="BE83" i="2"/>
  <c r="BE98" i="2"/>
  <c r="BE80" i="2"/>
  <c r="BE73" i="2"/>
  <c r="BE100" i="2" s="1"/>
  <c r="BE99" i="2" l="1"/>
  <c r="BE101" i="2" s="1"/>
  <c r="BE9" i="13"/>
  <c r="BE91" i="2"/>
  <c r="BE95" i="2"/>
  <c r="BE93" i="2"/>
  <c r="BE89" i="2"/>
  <c r="BE90" i="2" s="1"/>
  <c r="BE81" i="2"/>
  <c r="BE82" i="2"/>
  <c r="BE161" i="2"/>
  <c r="BE162" i="2" l="1"/>
  <c r="BE163" i="2"/>
  <c r="BE20" i="13"/>
  <c r="BE21" i="19"/>
  <c r="BE94" i="2"/>
  <c r="BE104" i="2"/>
  <c r="BE105" i="2" s="1"/>
  <c r="BE26" i="19" l="1"/>
  <c r="BE42" i="19" s="1"/>
  <c r="BE31" i="19"/>
  <c r="BE47" i="19" s="1"/>
  <c r="BE22" i="13"/>
  <c r="BE45" i="13" l="1"/>
  <c r="BE81" i="13"/>
  <c r="BE92" i="13" s="1"/>
  <c r="BE93" i="13" s="1"/>
  <c r="BE48" i="13" l="1"/>
  <c r="BE57" i="12" l="1"/>
  <c r="BE61" i="12" s="1"/>
  <c r="BF46" i="13"/>
  <c r="BE23" i="18"/>
  <c r="BE9" i="12"/>
  <c r="BE15" i="12" l="1"/>
  <c r="BE16" i="12" s="1"/>
  <c r="BF54" i="18"/>
  <c r="BE25" i="18"/>
  <c r="BE24" i="18"/>
  <c r="BE26" i="12" l="1"/>
  <c r="BE28" i="12" s="1"/>
  <c r="BF49" i="18"/>
  <c r="BF51" i="18" l="1"/>
  <c r="BF55" i="18" s="1"/>
  <c r="BF61" i="2" s="1"/>
  <c r="BF65" i="2" l="1"/>
  <c r="BF66" i="2"/>
  <c r="BF153" i="2" l="1"/>
  <c r="BF74" i="2"/>
  <c r="BF83" i="2"/>
  <c r="BF80" i="2"/>
  <c r="BF98" i="2"/>
  <c r="BF73" i="2"/>
  <c r="BF100" i="2" s="1"/>
  <c r="BF99" i="2" l="1"/>
  <c r="BF101" i="2" s="1"/>
  <c r="BF93" i="2"/>
  <c r="BF89" i="2"/>
  <c r="BF90" i="2" s="1"/>
  <c r="BF81" i="2"/>
  <c r="BF82" i="2"/>
  <c r="BF91" i="2"/>
  <c r="BF95" i="2"/>
  <c r="BF9" i="13"/>
  <c r="BF161" i="2"/>
  <c r="BF163" i="2" l="1"/>
  <c r="BF162" i="2"/>
  <c r="BF104" i="2"/>
  <c r="BF105" i="2" s="1"/>
  <c r="BF20" i="13"/>
  <c r="BF22" i="13" s="1"/>
  <c r="BF21" i="19"/>
  <c r="BF94" i="2"/>
  <c r="BF26" i="19" l="1"/>
  <c r="BF42" i="19" s="1"/>
  <c r="BF31" i="19"/>
  <c r="BF47" i="19" s="1"/>
  <c r="BF81" i="13"/>
  <c r="BF92" i="13" s="1"/>
  <c r="BF93" i="13" s="1"/>
  <c r="BF45" i="13"/>
  <c r="BF48" i="13" l="1"/>
  <c r="BF9" i="12" l="1"/>
  <c r="BF57" i="12"/>
  <c r="BF61" i="12" s="1"/>
  <c r="BF23" i="18"/>
  <c r="BG46" i="13"/>
  <c r="BG54" i="18" l="1"/>
  <c r="BF25" i="18"/>
  <c r="BF24" i="18"/>
  <c r="BF15" i="12"/>
  <c r="BF16" i="12" s="1"/>
  <c r="BF26" i="12" l="1"/>
  <c r="BF28" i="12" s="1"/>
  <c r="BG49" i="18"/>
  <c r="BH54" i="18"/>
  <c r="BG51" i="18" l="1"/>
  <c r="BG55" i="18" s="1"/>
  <c r="BG61" i="2" s="1"/>
  <c r="BH49" i="18"/>
  <c r="BH51" i="18" s="1"/>
  <c r="BH55" i="18" s="1"/>
  <c r="BH61" i="2" s="1"/>
  <c r="BH68" i="13" l="1"/>
  <c r="BH65" i="12"/>
  <c r="BG65" i="2"/>
  <c r="BG66" i="2"/>
  <c r="BG98" i="2" l="1"/>
  <c r="BG73" i="2"/>
  <c r="BG100" i="2" s="1"/>
  <c r="BG80" i="2"/>
  <c r="BH65" i="2"/>
  <c r="BH73" i="2" s="1"/>
  <c r="BG83" i="2"/>
  <c r="BG153" i="2"/>
  <c r="BG74" i="2"/>
  <c r="BH66" i="2"/>
  <c r="N9" i="21"/>
  <c r="BH76" i="13"/>
  <c r="BG99" i="2" l="1"/>
  <c r="BH99" i="2" s="1"/>
  <c r="BH83" i="2"/>
  <c r="BH74" i="2"/>
  <c r="BG161" i="2"/>
  <c r="BH153" i="2"/>
  <c r="BH161" i="2" s="1"/>
  <c r="BG95" i="2"/>
  <c r="BG9" i="13"/>
  <c r="BG91" i="2"/>
  <c r="BG81" i="2"/>
  <c r="BG93" i="2"/>
  <c r="BG89" i="2"/>
  <c r="BG90" i="2" s="1"/>
  <c r="BG82" i="2"/>
  <c r="BH80" i="2"/>
  <c r="N15" i="21"/>
  <c r="N16" i="21" s="1"/>
  <c r="BH98" i="2"/>
  <c r="BH100" i="2" l="1"/>
  <c r="BG101" i="2"/>
  <c r="BH101" i="2" s="1"/>
  <c r="BH104" i="2" s="1"/>
  <c r="BG20" i="13"/>
  <c r="BH20" i="13" s="1"/>
  <c r="BH9" i="13"/>
  <c r="BH162" i="2"/>
  <c r="BG162" i="2"/>
  <c r="BG163" i="2"/>
  <c r="BG94" i="2"/>
  <c r="BG21" i="19"/>
  <c r="BH87" i="2"/>
  <c r="BH163" i="2" s="1"/>
  <c r="N30" i="1" s="1"/>
  <c r="N52" i="1" s="1"/>
  <c r="BH82" i="2"/>
  <c r="N40" i="1" s="1"/>
  <c r="BH69" i="12"/>
  <c r="BH89" i="2"/>
  <c r="BH90" i="2" s="1"/>
  <c r="BH81" i="2"/>
  <c r="BH86" i="2"/>
  <c r="BH93" i="2" s="1"/>
  <c r="BH94" i="2" s="1"/>
  <c r="BH91" i="2"/>
  <c r="BH51" i="13"/>
  <c r="BH62" i="13" s="1"/>
  <c r="BG104" i="2" l="1"/>
  <c r="BG105" i="2" s="1"/>
  <c r="BH22" i="13"/>
  <c r="BH81" i="13" s="1"/>
  <c r="BH92" i="13" s="1"/>
  <c r="BH93" i="13" s="1"/>
  <c r="BH94" i="13" s="1"/>
  <c r="BH63" i="13"/>
  <c r="BH64" i="13" s="1"/>
  <c r="BH95" i="2"/>
  <c r="N32" i="1" s="1"/>
  <c r="N53" i="1" s="1"/>
  <c r="N10" i="1"/>
  <c r="N11" i="1" s="1"/>
  <c r="BH77" i="13"/>
  <c r="BH105" i="2"/>
  <c r="BG31" i="19"/>
  <c r="BG47" i="19" s="1"/>
  <c r="BG26" i="19"/>
  <c r="BG42" i="19" s="1"/>
  <c r="BG22" i="13"/>
  <c r="BG45" i="13" l="1"/>
  <c r="BG81" i="13"/>
  <c r="BG92" i="13" s="1"/>
  <c r="BG93" i="13" s="1"/>
  <c r="BH78" i="13"/>
  <c r="N33" i="1"/>
  <c r="N54" i="1" l="1"/>
  <c r="N46" i="1"/>
  <c r="BG48" i="13"/>
  <c r="BH45" i="13"/>
  <c r="BG9" i="12" l="1"/>
  <c r="BH48" i="13"/>
  <c r="BI46" i="13"/>
  <c r="BG23" i="18"/>
  <c r="BG57" i="12"/>
  <c r="BG61" i="12" l="1"/>
  <c r="BH61" i="12" s="1"/>
  <c r="BH57" i="12"/>
  <c r="BM46" i="13"/>
  <c r="BH23" i="18"/>
  <c r="BI54" i="18"/>
  <c r="BG24" i="18"/>
  <c r="BG25" i="18"/>
  <c r="BH9" i="12"/>
  <c r="BG15" i="12"/>
  <c r="BH15" i="12" s="1"/>
  <c r="BG16" i="12" l="1"/>
  <c r="BG26" i="12" s="1"/>
  <c r="BH26" i="12" s="1"/>
  <c r="BH25" i="18"/>
  <c r="BH24" i="18"/>
  <c r="BI49" i="18"/>
  <c r="BI51" i="18" s="1"/>
  <c r="BI55" i="18" s="1"/>
  <c r="BI61" i="2" s="1"/>
  <c r="BH16" i="12"/>
  <c r="BH66" i="12"/>
  <c r="BH64" i="12"/>
  <c r="N12" i="1"/>
  <c r="N13" i="1" s="1"/>
  <c r="BI65" i="2" l="1"/>
  <c r="BI66" i="2"/>
  <c r="N51" i="1"/>
  <c r="N50" i="1"/>
  <c r="BH28" i="12"/>
  <c r="BH68" i="12" s="1"/>
  <c r="BH70" i="12"/>
  <c r="BG28" i="12"/>
  <c r="BI74" i="2" l="1"/>
  <c r="BI71" i="2" s="1"/>
  <c r="BI72" i="2" s="1"/>
  <c r="BI73" i="2" s="1"/>
  <c r="BI100" i="2" s="1"/>
  <c r="BI153" i="2"/>
  <c r="BI161" i="2" s="1"/>
  <c r="BI83" i="2"/>
  <c r="BI98" i="2"/>
  <c r="BI80" i="2" l="1"/>
  <c r="BI89" i="2" s="1"/>
  <c r="BI90" i="2" s="1"/>
  <c r="BI9" i="13"/>
  <c r="BI91" i="2"/>
  <c r="BI95" i="2"/>
  <c r="BI162" i="2"/>
  <c r="BI163" i="2"/>
  <c r="BI164" i="2" s="1"/>
  <c r="BI99" i="2"/>
  <c r="BI81" i="2" l="1"/>
  <c r="BI93" i="2"/>
  <c r="BI21" i="19" s="1"/>
  <c r="BI82" i="2"/>
  <c r="BI20" i="13"/>
  <c r="BI101" i="2"/>
  <c r="BI94" i="2" l="1"/>
  <c r="BI26" i="19"/>
  <c r="BI42" i="19" s="1"/>
  <c r="BI31" i="19"/>
  <c r="BI47" i="19" s="1"/>
  <c r="BI104" i="2"/>
  <c r="BI105" i="2" s="1"/>
  <c r="BI22" i="13"/>
  <c r="BI45" i="13" l="1"/>
  <c r="BI81" i="13"/>
  <c r="BI92" i="13" s="1"/>
  <c r="BI93" i="13" s="1"/>
  <c r="BI48" i="13" l="1"/>
  <c r="BJ46" i="13" l="1"/>
  <c r="BI57" i="12"/>
  <c r="BI61" i="12" s="1"/>
  <c r="BI9" i="12"/>
  <c r="BI23" i="18"/>
  <c r="BI15" i="12" l="1"/>
  <c r="BI16" i="12" s="1"/>
  <c r="BJ54" i="18"/>
  <c r="BI24" i="18"/>
  <c r="BI25" i="18"/>
  <c r="BI26" i="12" l="1"/>
  <c r="BI28" i="12" s="1"/>
  <c r="BJ49" i="18"/>
  <c r="BJ51" i="18" s="1"/>
  <c r="BJ55" i="18" s="1"/>
  <c r="BJ61" i="2" s="1"/>
  <c r="BJ66" i="2" l="1"/>
  <c r="BJ65" i="2"/>
  <c r="BJ73" i="2" l="1"/>
  <c r="BJ100" i="2" s="1"/>
  <c r="BJ98" i="2"/>
  <c r="BJ80" i="2"/>
  <c r="BJ153" i="2"/>
  <c r="BJ161" i="2" s="1"/>
  <c r="BJ83" i="2"/>
  <c r="BJ74" i="2"/>
  <c r="BJ162" i="2" l="1"/>
  <c r="BJ163" i="2"/>
  <c r="BJ164" i="2" s="1"/>
  <c r="BJ95" i="2"/>
  <c r="BJ91" i="2"/>
  <c r="BJ9" i="13"/>
  <c r="BJ81" i="2"/>
  <c r="BJ93" i="2"/>
  <c r="BJ89" i="2"/>
  <c r="BJ90" i="2" s="1"/>
  <c r="BJ82" i="2"/>
  <c r="BJ99" i="2"/>
  <c r="BJ20" i="13" l="1"/>
  <c r="BJ101" i="2"/>
  <c r="BJ21" i="19"/>
  <c r="BJ94" i="2"/>
  <c r="BJ26" i="19" l="1"/>
  <c r="BJ42" i="19" s="1"/>
  <c r="BJ31" i="19"/>
  <c r="BJ47" i="19" s="1"/>
  <c r="BJ104" i="2"/>
  <c r="BJ105" i="2" s="1"/>
  <c r="BJ22" i="13"/>
  <c r="BJ45" i="13" l="1"/>
  <c r="BJ81" i="13"/>
  <c r="BJ92" i="13" s="1"/>
  <c r="BJ93" i="13" s="1"/>
  <c r="BJ48" i="13" l="1"/>
  <c r="BK46" i="13" l="1"/>
  <c r="BJ23" i="18"/>
  <c r="BJ9" i="12"/>
  <c r="BJ57" i="12"/>
  <c r="BJ61" i="12" s="1"/>
  <c r="BJ15" i="12" l="1"/>
  <c r="BJ16" i="12" s="1"/>
  <c r="BK54" i="18"/>
  <c r="BJ24" i="18"/>
  <c r="BJ25" i="18"/>
  <c r="BJ26" i="12" l="1"/>
  <c r="BJ28" i="12" s="1"/>
  <c r="BK49" i="18"/>
  <c r="BK51" i="18" s="1"/>
  <c r="BK55" i="18" s="1"/>
  <c r="BK61" i="2" s="1"/>
  <c r="BK65" i="2" l="1"/>
  <c r="BK66" i="2"/>
  <c r="BK83" i="2" l="1"/>
  <c r="BK153" i="2"/>
  <c r="BK161" i="2" s="1"/>
  <c r="BK74" i="2"/>
  <c r="BK98" i="2"/>
  <c r="BK80" i="2"/>
  <c r="BK73" i="2"/>
  <c r="BK100" i="2" s="1"/>
  <c r="BK99" i="2" l="1"/>
  <c r="BK101" i="2" s="1"/>
  <c r="BK163" i="2"/>
  <c r="BK164" i="2" s="1"/>
  <c r="BK162" i="2"/>
  <c r="BK89" i="2"/>
  <c r="BK90" i="2" s="1"/>
  <c r="BK93" i="2"/>
  <c r="BK82" i="2"/>
  <c r="BK81" i="2"/>
  <c r="BK9" i="13"/>
  <c r="BK95" i="2"/>
  <c r="BK91" i="2"/>
  <c r="BK94" i="2" l="1"/>
  <c r="BK21" i="19"/>
  <c r="BK20" i="13"/>
  <c r="BK22" i="13" s="1"/>
  <c r="BK104" i="2"/>
  <c r="BK105" i="2" s="1"/>
  <c r="BK81" i="13" l="1"/>
  <c r="BK92" i="13" s="1"/>
  <c r="BK93" i="13" s="1"/>
  <c r="BK45" i="13"/>
  <c r="BK26" i="19"/>
  <c r="BK42" i="19" s="1"/>
  <c r="BK31" i="19"/>
  <c r="BK47" i="19" s="1"/>
  <c r="BK48" i="13" l="1"/>
  <c r="BK23" i="18" l="1"/>
  <c r="BK9" i="12"/>
  <c r="BK57" i="12"/>
  <c r="BK61" i="12" s="1"/>
  <c r="BL46" i="13"/>
  <c r="BK15" i="12" l="1"/>
  <c r="BK16" i="12" s="1"/>
  <c r="BL54" i="18"/>
  <c r="BK24" i="18"/>
  <c r="BK25" i="18"/>
  <c r="BL49" i="18" l="1"/>
  <c r="BL51" i="18" s="1"/>
  <c r="BL55" i="18" s="1"/>
  <c r="BL61" i="2" s="1"/>
  <c r="BM54" i="18"/>
  <c r="BK26" i="12"/>
  <c r="BK28" i="12" s="1"/>
  <c r="BL65" i="2" l="1"/>
  <c r="BL66" i="2"/>
  <c r="BM49" i="18"/>
  <c r="BM51" i="18" s="1"/>
  <c r="BM55" i="18" s="1"/>
  <c r="BM61" i="2" s="1"/>
  <c r="BM68" i="13" l="1"/>
  <c r="BM65" i="2"/>
  <c r="BM73" i="2" s="1"/>
  <c r="BM66" i="2"/>
  <c r="BM65" i="12"/>
  <c r="BL74" i="2"/>
  <c r="BL83" i="2"/>
  <c r="BL153" i="2"/>
  <c r="BL161" i="2" s="1"/>
  <c r="BL98" i="2"/>
  <c r="BL80" i="2"/>
  <c r="BL73" i="2"/>
  <c r="BL100" i="2" s="1"/>
  <c r="BM98" i="2" l="1"/>
  <c r="BL9" i="13"/>
  <c r="BL95" i="2"/>
  <c r="BL91" i="2"/>
  <c r="BM153" i="2"/>
  <c r="BM161" i="2" s="1"/>
  <c r="BM74" i="2"/>
  <c r="BM83" i="2"/>
  <c r="BL163" i="2"/>
  <c r="BL162" i="2"/>
  <c r="BL99" i="2"/>
  <c r="BM99" i="2" s="1"/>
  <c r="BL93" i="2"/>
  <c r="BL81" i="2"/>
  <c r="BL82" i="2"/>
  <c r="BL89" i="2"/>
  <c r="BL90" i="2" s="1"/>
  <c r="BM80" i="2"/>
  <c r="O9" i="21"/>
  <c r="BM76" i="13"/>
  <c r="BM100" i="2" l="1"/>
  <c r="BM51" i="13"/>
  <c r="BM62" i="13" s="1"/>
  <c r="BM91" i="2"/>
  <c r="BL21" i="19"/>
  <c r="BL94" i="2"/>
  <c r="O15" i="21"/>
  <c r="O16" i="21" s="1"/>
  <c r="BM89" i="2"/>
  <c r="BM90" i="2" s="1"/>
  <c r="BM81" i="2"/>
  <c r="BM82" i="2"/>
  <c r="O40" i="1" s="1"/>
  <c r="BM69" i="12"/>
  <c r="BM86" i="2"/>
  <c r="O10" i="1" s="1"/>
  <c r="O11" i="1" s="1"/>
  <c r="BM162" i="2"/>
  <c r="BM163" i="2"/>
  <c r="BL20" i="13"/>
  <c r="BM20" i="13" s="1"/>
  <c r="BM9" i="13"/>
  <c r="BL164" i="2"/>
  <c r="CL15" i="25"/>
  <c r="BL101" i="2"/>
  <c r="BM22" i="13" l="1"/>
  <c r="BM81" i="13" s="1"/>
  <c r="BM92" i="13" s="1"/>
  <c r="BM93" i="13" s="1"/>
  <c r="BM94" i="13" s="1"/>
  <c r="BL22" i="13"/>
  <c r="BL81" i="13" s="1"/>
  <c r="BL92" i="13" s="1"/>
  <c r="BL93" i="13" s="1"/>
  <c r="O30" i="1"/>
  <c r="BM164" i="2"/>
  <c r="CO15" i="25"/>
  <c r="BM93" i="2"/>
  <c r="BM94" i="2" s="1"/>
  <c r="BM63" i="13"/>
  <c r="BM64" i="13" s="1"/>
  <c r="BL104" i="2"/>
  <c r="BL105" i="2" s="1"/>
  <c r="BM101" i="2"/>
  <c r="BM104" i="2" s="1"/>
  <c r="BM105" i="2" s="1"/>
  <c r="BM77" i="13"/>
  <c r="BL31" i="19"/>
  <c r="BL47" i="19" s="1"/>
  <c r="BL26" i="19"/>
  <c r="BL42" i="19" s="1"/>
  <c r="BM95" i="2"/>
  <c r="O32" i="1" s="1"/>
  <c r="BL45" i="13" l="1"/>
  <c r="BM45" i="13" s="1"/>
  <c r="O53" i="1"/>
  <c r="BM78" i="13"/>
  <c r="O33" i="1"/>
  <c r="O52" i="1"/>
  <c r="BL48" i="13" l="1"/>
  <c r="BL9" i="12" s="1"/>
  <c r="O46" i="1"/>
  <c r="O54" i="1"/>
  <c r="BL57" i="12" l="1"/>
  <c r="BL61" i="12" s="1"/>
  <c r="BM61" i="12" s="1"/>
  <c r="BN46" i="13"/>
  <c r="BM48" i="13"/>
  <c r="BR46" i="13" s="1"/>
  <c r="BL23" i="18"/>
  <c r="BN54" i="18" s="1"/>
  <c r="BL15" i="12"/>
  <c r="BM15" i="12" s="1"/>
  <c r="BM9" i="12"/>
  <c r="BL25" i="18" l="1"/>
  <c r="BL24" i="18"/>
  <c r="BM23" i="18"/>
  <c r="BM25" i="18" s="1"/>
  <c r="BL16" i="12"/>
  <c r="BL26" i="12" s="1"/>
  <c r="BM26" i="12" s="1"/>
  <c r="BM57" i="12"/>
  <c r="BM16" i="12"/>
  <c r="BM70" i="12" s="1"/>
  <c r="BN49" i="18"/>
  <c r="O12" i="1"/>
  <c r="O13" i="1" s="1"/>
  <c r="BM64" i="12"/>
  <c r="BM66" i="12"/>
  <c r="BM24" i="18" l="1"/>
  <c r="BM28" i="12"/>
  <c r="BM68" i="12" s="1"/>
  <c r="BL28" i="12"/>
  <c r="O51" i="1"/>
  <c r="O50" i="1"/>
  <c r="BN51" i="18"/>
  <c r="BN55" i="18" s="1"/>
  <c r="BN61" i="2" s="1"/>
  <c r="BN65" i="2" l="1"/>
  <c r="BN66" i="2"/>
  <c r="BN143" i="2" l="1"/>
  <c r="BN83" i="2"/>
  <c r="BN74" i="2"/>
  <c r="BN80" i="2"/>
  <c r="BN98" i="2"/>
  <c r="BN73" i="2"/>
  <c r="BN100" i="2" s="1"/>
  <c r="BN99" i="2" l="1"/>
  <c r="BN101" i="2" s="1"/>
  <c r="BN81" i="2"/>
  <c r="BN89" i="2"/>
  <c r="BN90" i="2" s="1"/>
  <c r="BN82" i="2"/>
  <c r="BN93" i="2"/>
  <c r="BN91" i="2"/>
  <c r="BN9" i="13"/>
  <c r="BN95" i="2"/>
  <c r="BN161" i="2"/>
  <c r="BN94" i="2" l="1"/>
  <c r="BN21" i="19"/>
  <c r="BN162" i="2"/>
  <c r="BN163" i="2"/>
  <c r="BN20" i="13"/>
  <c r="BN104" i="2"/>
  <c r="BN105" i="2" s="1"/>
  <c r="BN22" i="13" l="1"/>
  <c r="BN164" i="2"/>
  <c r="CR15" i="25"/>
  <c r="BN31" i="19"/>
  <c r="BN47" i="19" s="1"/>
  <c r="BN26" i="19"/>
  <c r="BN42" i="19" s="1"/>
  <c r="BN45" i="13" l="1"/>
  <c r="BN81" i="13"/>
  <c r="BN92" i="13" s="1"/>
  <c r="BN93" i="13" s="1"/>
  <c r="BN48" i="13" l="1"/>
  <c r="BN23" i="18" l="1"/>
  <c r="BO46" i="13"/>
  <c r="BN57" i="12"/>
  <c r="BN61" i="12" s="1"/>
  <c r="BN9" i="12"/>
  <c r="BN15" i="12" l="1"/>
  <c r="BN16" i="12" s="1"/>
  <c r="BO54" i="18"/>
  <c r="BN25" i="18"/>
  <c r="BN24" i="18"/>
  <c r="BN26" i="12" l="1"/>
  <c r="BN28" i="12" s="1"/>
  <c r="BO49" i="18"/>
  <c r="BO51" i="18" l="1"/>
  <c r="BO55" i="18" s="1"/>
  <c r="BO61" i="2" s="1"/>
  <c r="BO65" i="2" l="1"/>
  <c r="BO66" i="2"/>
  <c r="BO83" i="2" l="1"/>
  <c r="BO74" i="2"/>
  <c r="BO143" i="2"/>
  <c r="BO98" i="2"/>
  <c r="BO73" i="2"/>
  <c r="BO100" i="2" s="1"/>
  <c r="BO80" i="2"/>
  <c r="BO99" i="2" l="1"/>
  <c r="BO101" i="2" s="1"/>
  <c r="BO82" i="2"/>
  <c r="BO81" i="2"/>
  <c r="BO93" i="2"/>
  <c r="BO89" i="2"/>
  <c r="BO90" i="2" s="1"/>
  <c r="BO161" i="2"/>
  <c r="BO95" i="2"/>
  <c r="BO9" i="13"/>
  <c r="BO91" i="2"/>
  <c r="BO94" i="2" l="1"/>
  <c r="BO21" i="19"/>
  <c r="BO104" i="2"/>
  <c r="BO105" i="2" s="1"/>
  <c r="BO20" i="13"/>
  <c r="BO22" i="13" s="1"/>
  <c r="BO162" i="2"/>
  <c r="BO163" i="2"/>
  <c r="BO81" i="13" l="1"/>
  <c r="BO92" i="13" s="1"/>
  <c r="BO93" i="13" s="1"/>
  <c r="BO45" i="13"/>
  <c r="BO31" i="19"/>
  <c r="BO47" i="19" s="1"/>
  <c r="BO26" i="19"/>
  <c r="BO42" i="19" s="1"/>
  <c r="CU15" i="25"/>
  <c r="BO164" i="2"/>
  <c r="BO48" i="13" l="1"/>
  <c r="BP46" i="13" l="1"/>
  <c r="BO9" i="12"/>
  <c r="BO23" i="18"/>
  <c r="BO57" i="12"/>
  <c r="BO61" i="12" s="1"/>
  <c r="BP54" i="18" l="1"/>
  <c r="BO24" i="18"/>
  <c r="BO25" i="18"/>
  <c r="BO15" i="12"/>
  <c r="BO16" i="12" s="1"/>
  <c r="BO26" i="12" l="1"/>
  <c r="BO28" i="12" s="1"/>
  <c r="BP49" i="18"/>
  <c r="BP51" i="18" l="1"/>
  <c r="BP55" i="18" s="1"/>
  <c r="BP61" i="2" s="1"/>
  <c r="BP65" i="2" l="1"/>
  <c r="BP66" i="2"/>
  <c r="BP74" i="2" l="1"/>
  <c r="BP83" i="2"/>
  <c r="BP143" i="2"/>
  <c r="BP98" i="2"/>
  <c r="BP73" i="2"/>
  <c r="BP100" i="2" s="1"/>
  <c r="BP80" i="2"/>
  <c r="BP99" i="2" l="1"/>
  <c r="BP82" i="2"/>
  <c r="BP93" i="2"/>
  <c r="BP89" i="2"/>
  <c r="BP90" i="2" s="1"/>
  <c r="BP81" i="2"/>
  <c r="BP101" i="2"/>
  <c r="BP161" i="2"/>
  <c r="BP95" i="2"/>
  <c r="BP91" i="2"/>
  <c r="BP9" i="13"/>
  <c r="BP104" i="2" l="1"/>
  <c r="BP105" i="2" s="1"/>
  <c r="BP20" i="13"/>
  <c r="BP22" i="13" s="1"/>
  <c r="BP21" i="19"/>
  <c r="BP94" i="2"/>
  <c r="BP11" i="19"/>
  <c r="BP162" i="2"/>
  <c r="BP163" i="2"/>
  <c r="BP31" i="19" l="1"/>
  <c r="BP47" i="19" s="1"/>
  <c r="BP26" i="19"/>
  <c r="BP42" i="19" s="1"/>
  <c r="BP81" i="13"/>
  <c r="BP92" i="13" s="1"/>
  <c r="BP93" i="13" s="1"/>
  <c r="BP45" i="13"/>
  <c r="CX15" i="25"/>
  <c r="BP164" i="2"/>
  <c r="BP48" i="13" l="1"/>
  <c r="BP57" i="12" l="1"/>
  <c r="BP61" i="12" s="1"/>
  <c r="BP23" i="18"/>
  <c r="BP9" i="12"/>
  <c r="BQ46" i="13"/>
  <c r="BP15" i="12" l="1"/>
  <c r="BP16" i="12" s="1"/>
  <c r="BQ54" i="18"/>
  <c r="BP25" i="18"/>
  <c r="BP24" i="18"/>
  <c r="BQ49" i="18" l="1"/>
  <c r="BR54" i="18"/>
  <c r="BP26" i="12"/>
  <c r="BP28" i="12" s="1"/>
  <c r="BQ51" i="18" l="1"/>
  <c r="BQ55" i="18" s="1"/>
  <c r="BQ61" i="2" s="1"/>
  <c r="BR49" i="18"/>
  <c r="BR51" i="18" s="1"/>
  <c r="BR55" i="18" s="1"/>
  <c r="BR61" i="2" s="1"/>
  <c r="BR68" i="13" l="1"/>
  <c r="BR65" i="12"/>
  <c r="BQ65" i="2"/>
  <c r="BQ66" i="2"/>
  <c r="BQ143" i="2" l="1"/>
  <c r="BQ74" i="2"/>
  <c r="BQ83" i="2"/>
  <c r="BR66" i="2"/>
  <c r="BQ80" i="2"/>
  <c r="BQ98" i="2"/>
  <c r="BQ73" i="2"/>
  <c r="BQ100" i="2" s="1"/>
  <c r="BR65" i="2"/>
  <c r="BR73" i="2" s="1"/>
  <c r="P9" i="21"/>
  <c r="BR76" i="13"/>
  <c r="BQ99" i="2" l="1"/>
  <c r="BR99" i="2" s="1"/>
  <c r="BQ81" i="2"/>
  <c r="BQ89" i="2"/>
  <c r="BQ90" i="2" s="1"/>
  <c r="BQ93" i="2"/>
  <c r="BQ82" i="2"/>
  <c r="BR80" i="2"/>
  <c r="BQ91" i="2"/>
  <c r="BQ9" i="13"/>
  <c r="BQ95" i="2"/>
  <c r="BR98" i="2"/>
  <c r="BR74" i="2"/>
  <c r="BR83" i="2"/>
  <c r="P15" i="21"/>
  <c r="P16" i="21" s="1"/>
  <c r="BQ161" i="2"/>
  <c r="BR143" i="2"/>
  <c r="BR161" i="2" s="1"/>
  <c r="BR100" i="2" l="1"/>
  <c r="BQ101" i="2"/>
  <c r="BR101" i="2" s="1"/>
  <c r="BR104" i="2" s="1"/>
  <c r="BQ20" i="13"/>
  <c r="BR20" i="13" s="1"/>
  <c r="BR9" i="13"/>
  <c r="BR91" i="2"/>
  <c r="BR51" i="13"/>
  <c r="BR62" i="13" s="1"/>
  <c r="BR69" i="12"/>
  <c r="BR81" i="2"/>
  <c r="BR89" i="2"/>
  <c r="BR90" i="2" s="1"/>
  <c r="BR86" i="2"/>
  <c r="BR93" i="2" s="1"/>
  <c r="BR94" i="2" s="1"/>
  <c r="BR82" i="2"/>
  <c r="P40" i="1" s="1"/>
  <c r="BQ94" i="2"/>
  <c r="BQ21" i="19"/>
  <c r="BR163" i="2"/>
  <c r="BR162" i="2"/>
  <c r="BQ163" i="2"/>
  <c r="BQ162" i="2"/>
  <c r="BQ104" i="2" l="1"/>
  <c r="BQ105" i="2" s="1"/>
  <c r="BR105" i="2"/>
  <c r="BR63" i="13"/>
  <c r="BR64" i="13" s="1"/>
  <c r="BR22" i="13"/>
  <c r="BR81" i="13" s="1"/>
  <c r="BR92" i="13" s="1"/>
  <c r="BR93" i="13" s="1"/>
  <c r="BQ22" i="13"/>
  <c r="BQ81" i="13" s="1"/>
  <c r="BQ92" i="13" s="1"/>
  <c r="BQ93" i="13" s="1"/>
  <c r="P10" i="1"/>
  <c r="P11" i="1" s="1"/>
  <c r="BR77" i="13"/>
  <c r="BR164" i="2"/>
  <c r="DD15" i="25"/>
  <c r="P30" i="1"/>
  <c r="BQ164" i="2"/>
  <c r="DA15" i="25"/>
  <c r="BR95" i="2"/>
  <c r="BQ31" i="19"/>
  <c r="BQ47" i="19" s="1"/>
  <c r="BQ26" i="19"/>
  <c r="BQ42" i="19" s="1"/>
  <c r="P52" i="1" l="1"/>
  <c r="BQ45" i="13"/>
  <c r="BQ48" i="13" s="1"/>
  <c r="BR94" i="13"/>
  <c r="P32" i="1"/>
  <c r="P33" i="1"/>
  <c r="BR78" i="13"/>
  <c r="P53" i="1" l="1"/>
  <c r="BR45" i="13"/>
  <c r="P54" i="1"/>
  <c r="P46" i="1"/>
  <c r="BQ23" i="18"/>
  <c r="BR48" i="13"/>
  <c r="BQ57" i="12"/>
  <c r="BQ9" i="12"/>
  <c r="BS46" i="13"/>
  <c r="BR57" i="12" l="1"/>
  <c r="BQ61" i="12"/>
  <c r="BR61" i="12" s="1"/>
  <c r="BR9" i="12"/>
  <c r="BQ15" i="12"/>
  <c r="BR15" i="12" s="1"/>
  <c r="BR23" i="18"/>
  <c r="BW46" i="13"/>
  <c r="BS54" i="18"/>
  <c r="BQ24" i="18"/>
  <c r="BQ25" i="18"/>
  <c r="BR16" i="12" l="1"/>
  <c r="P12" i="1"/>
  <c r="P13" i="1" s="1"/>
  <c r="BR64" i="12"/>
  <c r="BR66" i="12"/>
  <c r="BR25" i="18"/>
  <c r="BR24" i="18"/>
  <c r="BQ16" i="12"/>
  <c r="BS49" i="18"/>
  <c r="BQ26" i="12" l="1"/>
  <c r="BR26" i="12" s="1"/>
  <c r="BR28" i="12" s="1"/>
  <c r="P51" i="1"/>
  <c r="P50" i="1"/>
  <c r="BS51" i="18"/>
  <c r="BS55" i="18" s="1"/>
  <c r="BS61" i="2" s="1"/>
  <c r="BS65" i="2" l="1"/>
  <c r="BS66" i="2"/>
  <c r="BR68" i="12"/>
  <c r="BQ28" i="12"/>
  <c r="BS98" i="2" l="1"/>
  <c r="BS73" i="2"/>
  <c r="BS100" i="2" s="1"/>
  <c r="BS80" i="2"/>
  <c r="BS93" i="2" s="1"/>
  <c r="BS94" i="2" s="1"/>
  <c r="BS143" i="2"/>
  <c r="BS83" i="2"/>
  <c r="BS95" i="2" s="1"/>
  <c r="BS74" i="2"/>
  <c r="BS161" i="2" l="1"/>
  <c r="BS91" i="2"/>
  <c r="BS9" i="13"/>
  <c r="BS81" i="2"/>
  <c r="BS89" i="2"/>
  <c r="BS90" i="2" s="1"/>
  <c r="BS82" i="2"/>
  <c r="BS99" i="2"/>
  <c r="BS162" i="2" l="1"/>
  <c r="BS163" i="2"/>
  <c r="BS20" i="13"/>
  <c r="BS101" i="2"/>
  <c r="BS104" i="2" l="1"/>
  <c r="BS105" i="2" s="1"/>
  <c r="BS22" i="13"/>
  <c r="BS164" i="2"/>
  <c r="DG15" i="25"/>
  <c r="BS21" i="19"/>
  <c r="BS31" i="19" l="1"/>
  <c r="BS47" i="19" s="1"/>
  <c r="BS26" i="19"/>
  <c r="BS42" i="19" s="1"/>
  <c r="BS81" i="13"/>
  <c r="BS45" i="13"/>
  <c r="BS92" i="13" l="1"/>
  <c r="BS93" i="13" s="1"/>
  <c r="BS48" i="13"/>
  <c r="BT46" i="13" l="1"/>
  <c r="BS9" i="12"/>
  <c r="BS57" i="12"/>
  <c r="BS61" i="12" s="1"/>
  <c r="BS23" i="18"/>
  <c r="BT54" i="18" l="1"/>
  <c r="BS24" i="18"/>
  <c r="BS25" i="18"/>
  <c r="BS15" i="12"/>
  <c r="BS16" i="12" s="1"/>
  <c r="BS26" i="12" l="1"/>
  <c r="BS28" i="12" s="1"/>
  <c r="BT49" i="18"/>
  <c r="BT51" i="18" l="1"/>
  <c r="BT55" i="18" s="1"/>
  <c r="BT61" i="2" s="1"/>
  <c r="BT65" i="2" l="1"/>
  <c r="BT66" i="2"/>
  <c r="BT73" i="2" l="1"/>
  <c r="BT100" i="2" s="1"/>
  <c r="BT98" i="2"/>
  <c r="BT80" i="2"/>
  <c r="BT93" i="2" s="1"/>
  <c r="BT94" i="2" s="1"/>
  <c r="BT74" i="2"/>
  <c r="BT143" i="2"/>
  <c r="BT83" i="2"/>
  <c r="BT95" i="2" s="1"/>
  <c r="BT99" i="2" l="1"/>
  <c r="BT101" i="2" s="1"/>
  <c r="BT161" i="2"/>
  <c r="BT9" i="13"/>
  <c r="BT91" i="2"/>
  <c r="BT81" i="2"/>
  <c r="BT82" i="2"/>
  <c r="BT89" i="2"/>
  <c r="BT90" i="2" s="1"/>
  <c r="BT104" i="2" l="1"/>
  <c r="BT105" i="2" s="1"/>
  <c r="BT20" i="13"/>
  <c r="BT162" i="2"/>
  <c r="BT163" i="2"/>
  <c r="DJ15" i="25" l="1"/>
  <c r="BT164" i="2"/>
  <c r="BT21" i="19"/>
  <c r="BT22" i="13"/>
  <c r="BT26" i="19" l="1"/>
  <c r="BT42" i="19" s="1"/>
  <c r="BT31" i="19"/>
  <c r="BT47" i="19" s="1"/>
  <c r="BT81" i="13"/>
  <c r="BT45" i="13"/>
  <c r="BT92" i="13" l="1"/>
  <c r="BT93" i="13" s="1"/>
  <c r="BT48" i="13"/>
  <c r="BT9" i="12" l="1"/>
  <c r="BT57" i="12"/>
  <c r="BT61" i="12" s="1"/>
  <c r="BU46" i="13"/>
  <c r="BT23" i="18"/>
  <c r="BT15" i="12" l="1"/>
  <c r="BT16" i="12" s="1"/>
  <c r="BU54" i="18"/>
  <c r="BT24" i="18"/>
  <c r="BT25" i="18"/>
  <c r="BT26" i="12" l="1"/>
  <c r="BT28" i="12" s="1"/>
  <c r="BU49" i="18"/>
  <c r="BU51" i="18" l="1"/>
  <c r="BU55" i="18" s="1"/>
  <c r="BU61" i="2" s="1"/>
  <c r="BU65" i="2" l="1"/>
  <c r="BU66" i="2"/>
  <c r="BU98" i="2" l="1"/>
  <c r="BU73" i="2"/>
  <c r="BU100" i="2" s="1"/>
  <c r="BU80" i="2"/>
  <c r="BU93" i="2" s="1"/>
  <c r="BU94" i="2" s="1"/>
  <c r="BU143" i="2"/>
  <c r="BU83" i="2"/>
  <c r="BU95" i="2" s="1"/>
  <c r="BU74" i="2"/>
  <c r="BU81" i="2" l="1"/>
  <c r="BU82" i="2"/>
  <c r="BU89" i="2"/>
  <c r="BU90" i="2" s="1"/>
  <c r="BU9" i="13"/>
  <c r="BU91" i="2"/>
  <c r="BU161" i="2"/>
  <c r="BU99" i="2"/>
  <c r="BU101" i="2" s="1"/>
  <c r="BU20" i="13" l="1"/>
  <c r="BU104" i="2"/>
  <c r="BU105" i="2" s="1"/>
  <c r="BU163" i="2"/>
  <c r="BU162" i="2"/>
  <c r="BU164" i="2" l="1"/>
  <c r="DM15" i="25"/>
  <c r="BU21" i="19"/>
  <c r="BU22" i="13"/>
  <c r="BU26" i="19" l="1"/>
  <c r="BU42" i="19" s="1"/>
  <c r="BU31" i="19"/>
  <c r="BU47" i="19" s="1"/>
  <c r="BU45" i="13"/>
  <c r="BU81" i="13"/>
  <c r="BU92" i="13" l="1"/>
  <c r="BU93" i="13" s="1"/>
  <c r="BU48" i="13"/>
  <c r="BU9" i="12" l="1"/>
  <c r="BU57" i="12"/>
  <c r="BU61" i="12" s="1"/>
  <c r="BV46" i="13"/>
  <c r="BU23" i="18"/>
  <c r="BU15" i="12" l="1"/>
  <c r="BU16" i="12" s="1"/>
  <c r="BV54" i="18"/>
  <c r="BU24" i="18"/>
  <c r="BU25" i="18"/>
  <c r="BU26" i="12" l="1"/>
  <c r="BU28" i="12" s="1"/>
  <c r="BV49" i="18"/>
  <c r="BW54" i="18"/>
  <c r="BV51" i="18" l="1"/>
  <c r="BV55" i="18" s="1"/>
  <c r="BV61" i="2" s="1"/>
  <c r="BW61" i="2" s="1"/>
  <c r="BW49" i="18"/>
  <c r="BW51" i="18" s="1"/>
  <c r="BW55" i="18" s="1"/>
  <c r="BW68" i="13" l="1"/>
  <c r="BW65" i="12"/>
  <c r="BV65" i="2"/>
  <c r="BV66" i="2"/>
  <c r="BV74" i="2" l="1"/>
  <c r="BV83" i="2"/>
  <c r="BV95" i="2" s="1"/>
  <c r="BV143" i="2"/>
  <c r="BW66" i="2"/>
  <c r="Q9" i="21"/>
  <c r="BW76" i="13"/>
  <c r="BV80" i="2"/>
  <c r="BV93" i="2" s="1"/>
  <c r="BV94" i="2" s="1"/>
  <c r="BV98" i="2"/>
  <c r="BV73" i="2"/>
  <c r="BV100" i="2" s="1"/>
  <c r="BW65" i="2"/>
  <c r="BW73" i="2" s="1"/>
  <c r="BV99" i="2" l="1"/>
  <c r="BW99" i="2" s="1"/>
  <c r="BW98" i="2"/>
  <c r="Q15" i="21"/>
  <c r="Q16" i="21" s="1"/>
  <c r="BW83" i="2"/>
  <c r="BW74" i="2"/>
  <c r="BV161" i="2"/>
  <c r="BW143" i="2"/>
  <c r="BW161" i="2" s="1"/>
  <c r="BV81" i="2"/>
  <c r="BV82" i="2"/>
  <c r="BV89" i="2"/>
  <c r="BV90" i="2" s="1"/>
  <c r="BW80" i="2"/>
  <c r="BV9" i="13"/>
  <c r="BV91" i="2"/>
  <c r="BV101" i="2" l="1"/>
  <c r="BW101" i="2" s="1"/>
  <c r="BW104" i="2" s="1"/>
  <c r="BW100" i="2"/>
  <c r="BW162" i="2"/>
  <c r="BV163" i="2"/>
  <c r="BV162" i="2"/>
  <c r="BW89" i="2"/>
  <c r="BW90" i="2" s="1"/>
  <c r="BW81" i="2"/>
  <c r="BW69" i="12"/>
  <c r="BW87" i="2"/>
  <c r="BW163" i="2" s="1"/>
  <c r="BW86" i="2"/>
  <c r="BW95" i="2" s="1"/>
  <c r="BW82" i="2"/>
  <c r="Q40" i="1" s="1"/>
  <c r="BW51" i="13"/>
  <c r="BW62" i="13" s="1"/>
  <c r="BW91" i="2"/>
  <c r="BV20" i="13"/>
  <c r="BW20" i="13" s="1"/>
  <c r="BW9" i="13"/>
  <c r="BW93" i="2" l="1"/>
  <c r="BW94" i="2" s="1"/>
  <c r="BW63" i="13"/>
  <c r="BW64" i="13" s="1"/>
  <c r="BW105" i="2"/>
  <c r="BV104" i="2"/>
  <c r="BV105" i="2" s="1"/>
  <c r="BW22" i="13"/>
  <c r="Q32" i="1"/>
  <c r="Q53" i="1" s="1"/>
  <c r="BW164" i="2"/>
  <c r="DS15" i="25"/>
  <c r="Q30" i="1"/>
  <c r="DP15" i="25"/>
  <c r="BV164" i="2"/>
  <c r="BV21" i="19"/>
  <c r="BV22" i="13"/>
  <c r="Q10" i="1"/>
  <c r="Q11" i="1" s="1"/>
  <c r="BW77" i="13"/>
  <c r="Q52" i="1" l="1"/>
  <c r="BW78" i="13"/>
  <c r="Q33" i="1"/>
  <c r="BV45" i="13"/>
  <c r="BV81" i="13"/>
  <c r="BV26" i="19"/>
  <c r="BV42" i="19" s="1"/>
  <c r="BV31" i="19"/>
  <c r="BV47" i="19" s="1"/>
  <c r="BV92" i="13" l="1"/>
  <c r="BV93" i="13" s="1"/>
  <c r="BW81" i="13"/>
  <c r="BW92" i="13" s="1"/>
  <c r="BW93" i="13" s="1"/>
  <c r="BV48" i="13"/>
  <c r="BW45" i="13"/>
  <c r="Q54" i="1"/>
  <c r="Q46" i="1"/>
  <c r="BW94" i="13" l="1"/>
  <c r="BV57" i="12"/>
  <c r="BX46" i="13"/>
  <c r="BV9" i="12"/>
  <c r="BW48" i="13"/>
  <c r="BV23" i="18"/>
  <c r="BX54" i="18" s="1"/>
  <c r="BX49" i="18" l="1"/>
  <c r="BX51" i="18" s="1"/>
  <c r="BX55" i="18" s="1"/>
  <c r="CB46" i="13"/>
  <c r="BW23" i="18"/>
  <c r="BV61" i="12"/>
  <c r="BW61" i="12" s="1"/>
  <c r="BW57" i="12"/>
  <c r="BV25" i="18"/>
  <c r="BV24" i="18"/>
  <c r="BV15" i="12"/>
  <c r="BW15" i="12" s="1"/>
  <c r="BW9" i="12"/>
  <c r="BW64" i="12" l="1"/>
  <c r="Q12" i="1"/>
  <c r="Q13" i="1" s="1"/>
  <c r="BW66" i="12"/>
  <c r="BW25" i="18"/>
  <c r="BW24" i="18"/>
  <c r="BW16" i="12"/>
  <c r="BV16" i="12"/>
  <c r="BX61" i="2" l="1"/>
  <c r="BV26" i="12"/>
  <c r="BW26" i="12" s="1"/>
  <c r="BW28" i="12" s="1"/>
  <c r="Q50" i="1"/>
  <c r="Q51" i="1"/>
  <c r="BW68" i="12" l="1"/>
  <c r="BV28" i="12"/>
  <c r="BX65" i="2"/>
  <c r="BX66" i="2"/>
  <c r="BX143" i="2" l="1"/>
  <c r="BX83" i="2"/>
  <c r="BX74" i="2"/>
  <c r="BX98" i="2"/>
  <c r="BX80" i="2"/>
  <c r="BX93" i="2" s="1"/>
  <c r="BX73" i="2"/>
  <c r="BX100" i="2" s="1"/>
  <c r="BX9" i="13" l="1"/>
  <c r="BX20" i="13" s="1"/>
  <c r="BX95" i="2"/>
  <c r="BX161" i="2"/>
  <c r="BX82" i="2"/>
  <c r="BX81" i="2"/>
  <c r="BX94" i="2"/>
  <c r="BX89" i="2"/>
  <c r="BX90" i="2" s="1"/>
  <c r="BX91" i="2"/>
  <c r="BX99" i="2"/>
  <c r="BX22" i="13" l="1"/>
  <c r="BX101" i="2"/>
  <c r="BX162" i="2"/>
  <c r="BX163" i="2"/>
  <c r="BX21" i="19" l="1"/>
  <c r="DV15" i="25"/>
  <c r="BX164" i="2"/>
  <c r="BX81" i="13"/>
  <c r="BX104" i="2"/>
  <c r="BX105" i="2" s="1"/>
  <c r="BX92" i="13" l="1"/>
  <c r="BX93" i="13" s="1"/>
  <c r="BX31" i="19"/>
  <c r="BX47" i="19" s="1"/>
  <c r="BX26" i="19"/>
  <c r="BX42" i="19" s="1"/>
  <c r="BX45" i="13"/>
  <c r="BX48" i="13" l="1"/>
  <c r="BY46" i="13" l="1"/>
  <c r="BX9" i="12"/>
  <c r="BX15" i="12" s="1"/>
  <c r="BX23" i="18"/>
  <c r="BX57" i="12"/>
  <c r="BX61" i="12" s="1"/>
  <c r="BY54" i="18" l="1"/>
  <c r="BY49" i="18" s="1"/>
  <c r="BX25" i="18"/>
  <c r="BX24" i="18"/>
  <c r="BY51" i="18" l="1"/>
  <c r="BY55" i="18" s="1"/>
  <c r="BY61" i="2" s="1"/>
  <c r="BX16" i="12"/>
  <c r="BX26" i="12" s="1"/>
  <c r="BX28" i="12" l="1"/>
  <c r="BY15" i="2" l="1"/>
  <c r="BZ15" i="2" l="1"/>
  <c r="BZ22" i="2" s="1"/>
  <c r="BY22" i="2"/>
  <c r="BY27" i="34" l="1"/>
  <c r="BZ27" i="34"/>
  <c r="BZ19" i="19"/>
  <c r="BZ29" i="19" s="1"/>
  <c r="BZ45" i="19" s="1"/>
  <c r="BZ36" i="2"/>
  <c r="BY58" i="30"/>
  <c r="BY55" i="30"/>
  <c r="BY19" i="19"/>
  <c r="EB7" i="25"/>
  <c r="BZ23" i="2"/>
  <c r="DY7" i="25"/>
  <c r="BY23" i="2"/>
  <c r="BZ51" i="2" l="1"/>
  <c r="BZ87" i="34"/>
  <c r="BZ85" i="34"/>
  <c r="BZ10" i="2"/>
  <c r="BZ22" i="34"/>
  <c r="BY10" i="2"/>
  <c r="BY22" i="34"/>
  <c r="BZ27" i="2"/>
  <c r="BZ32" i="34"/>
  <c r="BZ41" i="34"/>
  <c r="BZ11" i="34"/>
  <c r="BZ62" i="34"/>
  <c r="BZ63" i="34" s="1"/>
  <c r="BZ54" i="34"/>
  <c r="BZ66" i="34"/>
  <c r="BZ76" i="34"/>
  <c r="BZ81" i="34"/>
  <c r="BY11" i="34"/>
  <c r="BY66" i="34"/>
  <c r="BY62" i="34"/>
  <c r="BY54" i="34"/>
  <c r="BY76" i="34"/>
  <c r="BY81" i="34"/>
  <c r="BZ24" i="19"/>
  <c r="BZ40" i="19" s="1"/>
  <c r="BZ58" i="30"/>
  <c r="BZ59" i="30" s="1"/>
  <c r="BZ55" i="30"/>
  <c r="BZ56" i="30" s="1"/>
  <c r="BY56" i="30"/>
  <c r="BY59" i="30"/>
  <c r="BY29" i="19"/>
  <c r="BY45" i="19" s="1"/>
  <c r="BY24" i="19"/>
  <c r="BY40" i="19" s="1"/>
  <c r="BY63" i="34" l="1"/>
  <c r="BZ47" i="34"/>
  <c r="BZ68" i="34"/>
  <c r="BZ70" i="34" s="1"/>
  <c r="BZ67" i="34"/>
  <c r="BY67" i="34"/>
  <c r="BY47" i="34"/>
  <c r="BY68" i="34"/>
  <c r="BY70" i="34" s="1"/>
  <c r="BZ34" i="34"/>
  <c r="CB55" i="30"/>
  <c r="CB56" i="30" s="1"/>
  <c r="BZ56" i="34" l="1"/>
  <c r="BZ57" i="34" s="1"/>
  <c r="BZ69" i="34"/>
  <c r="BY71" i="34"/>
  <c r="BY59" i="34"/>
  <c r="BZ59" i="34"/>
  <c r="BZ60" i="34" s="1"/>
  <c r="BZ71" i="34"/>
  <c r="BY56" i="34"/>
  <c r="BY69" i="34"/>
  <c r="BY57" i="34" l="1"/>
  <c r="BY60" i="34"/>
  <c r="BZ49" i="2"/>
  <c r="BY36" i="2"/>
  <c r="BZ37" i="2"/>
  <c r="BZ40" i="2"/>
  <c r="BY51" i="2" l="1"/>
  <c r="BY87" i="34"/>
  <c r="BY85" i="34"/>
  <c r="BY27" i="2"/>
  <c r="BY32" i="34"/>
  <c r="BY41" i="34"/>
  <c r="BZ54" i="2"/>
  <c r="BY37" i="2"/>
  <c r="BY40" i="2"/>
  <c r="BY54" i="2"/>
  <c r="BY34" i="34" l="1"/>
  <c r="BY55" i="2"/>
  <c r="BY56" i="2"/>
  <c r="BY65" i="2"/>
  <c r="BY57" i="2"/>
  <c r="BZ56" i="2"/>
  <c r="BZ55" i="2"/>
  <c r="BZ57" i="2"/>
  <c r="BY116" i="2" l="1"/>
  <c r="BZ116" i="2"/>
  <c r="BZ123" i="2" s="1"/>
  <c r="BZ127" i="2"/>
  <c r="BZ132" i="2" s="1"/>
  <c r="BY58" i="2"/>
  <c r="BY127" i="2"/>
  <c r="BY66" i="2"/>
  <c r="BZ58" i="2"/>
  <c r="BY98" i="2"/>
  <c r="BY123" i="2" l="1"/>
  <c r="BZ134" i="2"/>
  <c r="BY143" i="2"/>
  <c r="BY132" i="2"/>
  <c r="BZ20" i="19" l="1"/>
  <c r="BZ135" i="2"/>
  <c r="BZ136" i="2"/>
  <c r="EB12" i="25"/>
  <c r="BY161" i="2"/>
  <c r="BY134" i="2"/>
  <c r="BZ30" i="19" l="1"/>
  <c r="BZ46" i="19" s="1"/>
  <c r="BZ25" i="19"/>
  <c r="BZ41" i="19" s="1"/>
  <c r="BY20" i="19"/>
  <c r="BY135" i="2"/>
  <c r="DY12" i="25"/>
  <c r="BY136" i="2"/>
  <c r="BY74" i="2"/>
  <c r="BY72" i="2"/>
  <c r="BY83" i="2"/>
  <c r="BY95" i="2" s="1"/>
  <c r="BY162" i="2"/>
  <c r="BY163" i="2"/>
  <c r="BY30" i="19" l="1"/>
  <c r="BY46" i="19" s="1"/>
  <c r="BY25" i="19"/>
  <c r="BY41" i="19" s="1"/>
  <c r="BY21" i="19"/>
  <c r="BY164" i="2"/>
  <c r="DY15" i="25"/>
  <c r="BY73" i="2"/>
  <c r="BY100" i="2" s="1"/>
  <c r="BY99" i="2" s="1"/>
  <c r="BY80" i="2"/>
  <c r="BY93" i="2" s="1"/>
  <c r="BY91" i="2"/>
  <c r="BY9" i="13"/>
  <c r="BY20" i="13" s="1"/>
  <c r="BY26" i="19" l="1"/>
  <c r="BY42" i="19" s="1"/>
  <c r="BY31" i="19"/>
  <c r="BY47" i="19" s="1"/>
  <c r="BY22" i="13"/>
  <c r="BY81" i="2"/>
  <c r="BY82" i="2"/>
  <c r="BY94" i="2"/>
  <c r="BY89" i="2"/>
  <c r="BY90" i="2" s="1"/>
  <c r="BY101" i="2"/>
  <c r="BY104" i="2" l="1"/>
  <c r="BY105" i="2" s="1"/>
  <c r="BY81" i="13"/>
  <c r="BY45" i="13"/>
  <c r="BY92" i="13" l="1"/>
  <c r="BY93" i="13" s="1"/>
  <c r="BY48" i="13"/>
  <c r="BZ46" i="13" l="1"/>
  <c r="BY23" i="18"/>
  <c r="BY9" i="12"/>
  <c r="BY15" i="12" s="1"/>
  <c r="BY57" i="12"/>
  <c r="BY61" i="12" s="1"/>
  <c r="BY25" i="18" l="1"/>
  <c r="BY24" i="18"/>
  <c r="BZ54" i="18"/>
  <c r="BZ49" i="18" s="1"/>
  <c r="BZ51" i="18" l="1"/>
  <c r="BZ55" i="18" s="1"/>
  <c r="BZ61" i="2" s="1"/>
  <c r="BY16" i="12"/>
  <c r="BY26" i="12" s="1"/>
  <c r="BZ65" i="2" l="1"/>
  <c r="BZ66" i="2"/>
  <c r="BZ143" i="2" l="1"/>
  <c r="BY28" i="12"/>
  <c r="BZ98" i="2"/>
  <c r="BZ161" i="2" l="1"/>
  <c r="BZ74" i="2" l="1"/>
  <c r="BZ83" i="2"/>
  <c r="BZ163" i="2"/>
  <c r="BZ162" i="2"/>
  <c r="BZ95" i="2" l="1"/>
  <c r="EB14" i="25" s="1"/>
  <c r="BZ21" i="19"/>
  <c r="BZ91" i="2"/>
  <c r="BZ9" i="13"/>
  <c r="BZ20" i="13" s="1"/>
  <c r="EB15" i="25"/>
  <c r="BZ164" i="2"/>
  <c r="BZ73" i="2"/>
  <c r="BZ100" i="2" s="1"/>
  <c r="BZ99" i="2" s="1"/>
  <c r="BZ80" i="2"/>
  <c r="BZ93" i="2" s="1"/>
  <c r="BZ31" i="19" l="1"/>
  <c r="BZ47" i="19" s="1"/>
  <c r="BZ26" i="19"/>
  <c r="BZ42" i="19" s="1"/>
  <c r="BZ101" i="2"/>
  <c r="BZ22" i="13"/>
  <c r="BZ54" i="12"/>
  <c r="BZ81" i="2"/>
  <c r="BZ94" i="2"/>
  <c r="BZ89" i="2"/>
  <c r="BZ90" i="2" s="1"/>
  <c r="BZ82" i="2"/>
  <c r="BZ81" i="13" l="1"/>
  <c r="BZ45" i="13"/>
  <c r="BZ104" i="2"/>
  <c r="BZ105" i="2" s="1"/>
  <c r="BZ92" i="13" l="1"/>
  <c r="BZ93" i="13" s="1"/>
  <c r="BZ48" i="13"/>
  <c r="BZ9" i="12" s="1"/>
  <c r="BZ15" i="12" s="1"/>
  <c r="BZ23" i="18" l="1"/>
  <c r="CA46" i="13"/>
  <c r="BZ57" i="12"/>
  <c r="BZ61" i="12" s="1"/>
  <c r="BZ16" i="12" l="1"/>
  <c r="BZ26" i="12" s="1"/>
  <c r="BZ25" i="18"/>
  <c r="BZ24" i="18"/>
  <c r="CA54" i="18"/>
  <c r="BZ28" i="12" l="1"/>
  <c r="CB54" i="18"/>
  <c r="CL13" i="12" l="1"/>
  <c r="CM13" i="12" s="1"/>
  <c r="CN13" i="12" l="1"/>
  <c r="CO13" i="12" l="1"/>
  <c r="CP13" i="12" l="1"/>
  <c r="CQ13" i="12" s="1"/>
  <c r="CR13" i="12" l="1"/>
  <c r="CA15" i="2"/>
  <c r="CS13" i="12" l="1"/>
  <c r="CA58" i="30"/>
  <c r="CB15" i="2"/>
  <c r="CA22" i="2"/>
  <c r="CT13" i="12" l="1"/>
  <c r="CA27" i="34"/>
  <c r="CB27" i="34" s="1"/>
  <c r="CA59" i="30"/>
  <c r="CB58" i="30"/>
  <c r="CB59" i="30" s="1"/>
  <c r="CA19" i="19"/>
  <c r="CA29" i="19" s="1"/>
  <c r="CA45" i="19" s="1"/>
  <c r="CB45" i="2"/>
  <c r="EE7" i="25"/>
  <c r="CA23" i="2"/>
  <c r="CB22" i="2"/>
  <c r="CU13" i="12" l="1"/>
  <c r="CV13" i="12" s="1"/>
  <c r="CA10" i="2"/>
  <c r="CB10" i="2" s="1"/>
  <c r="CA22" i="34"/>
  <c r="CB22" i="34" s="1"/>
  <c r="CA11" i="34"/>
  <c r="CA62" i="34"/>
  <c r="CA54" i="34"/>
  <c r="CA66" i="34"/>
  <c r="CA76" i="34"/>
  <c r="CA81" i="34"/>
  <c r="CA24" i="19"/>
  <c r="CA40" i="19" s="1"/>
  <c r="A45" i="2"/>
  <c r="A26" i="2"/>
  <c r="EH7" i="25"/>
  <c r="CB23" i="2"/>
  <c r="R17" i="1"/>
  <c r="R44" i="1" s="1"/>
  <c r="CB43" i="2"/>
  <c r="A43" i="2" s="1"/>
  <c r="CB54" i="34" l="1"/>
  <c r="CB76" i="34"/>
  <c r="CB81" i="34"/>
  <c r="CA67" i="34"/>
  <c r="CB66" i="34"/>
  <c r="CB67" i="34" s="1"/>
  <c r="CA63" i="34"/>
  <c r="CB62" i="34"/>
  <c r="CB63" i="34" s="1"/>
  <c r="CA68" i="34"/>
  <c r="CA70" i="34" s="1"/>
  <c r="CA47" i="34"/>
  <c r="CB11" i="34"/>
  <c r="CB47" i="34" s="1"/>
  <c r="CA71" i="34" l="1"/>
  <c r="CA59" i="34"/>
  <c r="CB70" i="34"/>
  <c r="CB71" i="34" s="1"/>
  <c r="CA69" i="34"/>
  <c r="CA56" i="34"/>
  <c r="CB68" i="34"/>
  <c r="CB69" i="34" s="1"/>
  <c r="CB44" i="2"/>
  <c r="A44" i="2" s="1"/>
  <c r="CA49" i="2"/>
  <c r="CB49" i="2" s="1"/>
  <c r="CB32" i="2"/>
  <c r="CA36" i="2"/>
  <c r="CA51" i="2" l="1"/>
  <c r="CB51" i="2" s="1"/>
  <c r="CA87" i="34"/>
  <c r="CA85" i="34"/>
  <c r="CA57" i="34"/>
  <c r="CB56" i="34"/>
  <c r="CB57" i="34" s="1"/>
  <c r="CA32" i="34"/>
  <c r="CA27" i="2"/>
  <c r="CB27" i="2" s="1"/>
  <c r="CA41" i="34"/>
  <c r="CA60" i="34"/>
  <c r="CB59" i="34"/>
  <c r="CA37" i="2"/>
  <c r="CA40" i="2"/>
  <c r="CA54" i="2"/>
  <c r="A32" i="2"/>
  <c r="CB36" i="2"/>
  <c r="CB41" i="34" l="1"/>
  <c r="CB87" i="34"/>
  <c r="CB85" i="34"/>
  <c r="CB60" i="34"/>
  <c r="CA34" i="34"/>
  <c r="CB32" i="34"/>
  <c r="CB34" i="34" s="1"/>
  <c r="CA55" i="2"/>
  <c r="CA56" i="2"/>
  <c r="CB54" i="2"/>
  <c r="CA57" i="2"/>
  <c r="CB37" i="2"/>
  <c r="CB40" i="2"/>
  <c r="CA116" i="2" l="1"/>
  <c r="CA58" i="2"/>
  <c r="CB57" i="2"/>
  <c r="CA127" i="2"/>
  <c r="CB55" i="2"/>
  <c r="CB56" i="2"/>
  <c r="R37" i="1"/>
  <c r="CA132" i="2" l="1"/>
  <c r="CA134" i="2" s="1"/>
  <c r="CB127" i="2"/>
  <c r="CB132" i="2" s="1"/>
  <c r="R24" i="1" s="1"/>
  <c r="CA123" i="2"/>
  <c r="CB116" i="2"/>
  <c r="CB123" i="2" s="1"/>
  <c r="CB58" i="2"/>
  <c r="CA20" i="19" l="1"/>
  <c r="CA30" i="19" s="1"/>
  <c r="CA46" i="19" s="1"/>
  <c r="CA72" i="2"/>
  <c r="CB134" i="2"/>
  <c r="CB150" i="2"/>
  <c r="EE12" i="25"/>
  <c r="CA135" i="2"/>
  <c r="CA136" i="2"/>
  <c r="CA25" i="19" l="1"/>
  <c r="CA41" i="19" s="1"/>
  <c r="CB135" i="2"/>
  <c r="R38" i="1" s="1"/>
  <c r="CB136" i="2"/>
  <c r="R39" i="1" s="1"/>
  <c r="R27" i="1"/>
  <c r="R45" i="1" s="1"/>
  <c r="EH12" i="25"/>
  <c r="CB67" i="13"/>
  <c r="CB72" i="2" l="1"/>
  <c r="R8" i="21"/>
  <c r="CB47" i="12" l="1"/>
  <c r="CB50" i="12" l="1"/>
  <c r="CB52" i="12" s="1"/>
  <c r="CD15" i="2" l="1"/>
  <c r="EN17" i="25"/>
  <c r="CC15" i="2"/>
  <c r="CC10" i="2" l="1"/>
  <c r="EK17" i="25"/>
  <c r="EN7" i="25"/>
  <c r="EN20" i="25" s="1"/>
  <c r="CD54" i="2" l="1"/>
  <c r="CD57" i="2" s="1"/>
  <c r="CC27" i="34"/>
  <c r="CC28" i="34" s="1"/>
  <c r="CC22" i="34"/>
  <c r="CC23" i="34" s="1"/>
  <c r="CC83" i="34"/>
  <c r="CD19" i="19"/>
  <c r="CD24" i="19" s="1"/>
  <c r="CD40" i="19" s="1"/>
  <c r="CC18" i="34"/>
  <c r="EK7" i="25"/>
  <c r="CC11" i="34"/>
  <c r="CH12" i="34" s="1"/>
  <c r="CC76" i="34"/>
  <c r="CC54" i="34"/>
  <c r="CC62" i="34"/>
  <c r="CC66" i="34"/>
  <c r="CC81" i="34"/>
  <c r="EL7" i="25"/>
  <c r="CC19" i="19"/>
  <c r="CC29" i="19" s="1"/>
  <c r="CC45" i="19" s="1"/>
  <c r="CD55" i="30"/>
  <c r="CD56" i="30" s="1"/>
  <c r="CC58" i="30"/>
  <c r="CC55" i="30"/>
  <c r="CD125" i="34" l="1"/>
  <c r="CD116" i="2"/>
  <c r="CD32" i="34"/>
  <c r="CD29" i="19"/>
  <c r="CD45" i="19" s="1"/>
  <c r="CD27" i="34"/>
  <c r="CD28" i="34" s="1"/>
  <c r="CD83" i="34"/>
  <c r="CD54" i="34"/>
  <c r="CD81" i="34"/>
  <c r="CD18" i="34"/>
  <c r="CD76" i="34"/>
  <c r="CD62" i="34"/>
  <c r="CD63" i="34" s="1"/>
  <c r="CD66" i="34"/>
  <c r="CD67" i="34" s="1"/>
  <c r="CD10" i="2"/>
  <c r="CD22" i="34"/>
  <c r="CD23" i="34" s="1"/>
  <c r="CD11" i="34"/>
  <c r="EK20" i="25"/>
  <c r="CC67" i="34"/>
  <c r="CC63" i="34"/>
  <c r="CC68" i="34"/>
  <c r="CC70" i="34" s="1"/>
  <c r="CC12" i="34"/>
  <c r="CC47" i="34"/>
  <c r="CC24" i="19"/>
  <c r="CC40" i="19" s="1"/>
  <c r="CC56" i="30"/>
  <c r="CC59" i="30"/>
  <c r="CD58" i="30"/>
  <c r="CD59" i="30" s="1"/>
  <c r="CD51" i="2" l="1"/>
  <c r="CD40" i="34"/>
  <c r="CD85" i="34"/>
  <c r="CD87" i="34"/>
  <c r="CD41" i="34"/>
  <c r="CC87" i="34"/>
  <c r="CC85" i="34"/>
  <c r="CC51" i="2"/>
  <c r="CD68" i="34"/>
  <c r="CD12" i="34"/>
  <c r="CD47" i="34"/>
  <c r="CI47" i="34" s="1"/>
  <c r="CI11" i="34"/>
  <c r="CD33" i="34"/>
  <c r="CD34" i="34"/>
  <c r="CI34" i="34" s="1"/>
  <c r="CC59" i="34"/>
  <c r="CC60" i="34" s="1"/>
  <c r="CC71" i="34"/>
  <c r="CC32" i="34"/>
  <c r="CH33" i="34" s="1"/>
  <c r="CC41" i="34"/>
  <c r="CC40" i="34"/>
  <c r="CC56" i="34"/>
  <c r="CC69" i="34"/>
  <c r="CH68" i="34"/>
  <c r="CD49" i="2"/>
  <c r="EN23" i="25"/>
  <c r="CD40" i="2"/>
  <c r="EN21" i="25" s="1"/>
  <c r="CD37" i="2"/>
  <c r="CI45" i="34" l="1"/>
  <c r="CI68" i="34"/>
  <c r="CD56" i="34"/>
  <c r="CD57" i="34" s="1"/>
  <c r="CD69" i="34"/>
  <c r="CD70" i="34"/>
  <c r="CN10" i="2"/>
  <c r="CH69" i="34"/>
  <c r="CH56" i="34"/>
  <c r="CC57" i="34"/>
  <c r="CC33" i="34"/>
  <c r="CC34" i="34"/>
  <c r="CI32" i="34"/>
  <c r="CC37" i="2"/>
  <c r="CC40" i="2"/>
  <c r="FR7" i="25" l="1"/>
  <c r="CS24" i="2"/>
  <c r="CS23" i="2"/>
  <c r="CD71" i="34"/>
  <c r="CD59" i="34"/>
  <c r="CD60" i="34" s="1"/>
  <c r="CI66" i="34"/>
  <c r="CI10" i="2"/>
  <c r="CI22" i="34"/>
  <c r="CI23" i="34" s="1"/>
  <c r="CI27" i="34"/>
  <c r="CI18" i="34"/>
  <c r="CI62" i="34"/>
  <c r="CI63" i="34" s="1"/>
  <c r="CI56" i="34"/>
  <c r="CI57" i="34" s="1"/>
  <c r="CI69" i="34"/>
  <c r="CI46" i="34"/>
  <c r="CM10" i="2"/>
  <c r="CI33" i="34"/>
  <c r="CH57" i="34"/>
  <c r="CH74" i="34"/>
  <c r="CH79" i="34" s="1"/>
  <c r="CH53" i="34"/>
  <c r="EK23" i="25"/>
  <c r="CC57" i="2"/>
  <c r="CC127" i="2" s="1"/>
  <c r="CD55" i="2"/>
  <c r="CD56" i="2"/>
  <c r="CI28" i="34" l="1"/>
  <c r="FO7" i="25"/>
  <c r="CI23" i="2"/>
  <c r="CR23" i="2"/>
  <c r="CR24" i="2"/>
  <c r="CI67" i="34"/>
  <c r="CI70" i="34"/>
  <c r="CI74" i="34"/>
  <c r="CI79" i="34" s="1"/>
  <c r="CI53" i="34"/>
  <c r="CI54" i="34"/>
  <c r="CN51" i="2"/>
  <c r="CN87" i="34"/>
  <c r="CN85" i="34"/>
  <c r="CI51" i="2"/>
  <c r="CI85" i="34"/>
  <c r="CI87" i="34"/>
  <c r="CC124" i="30"/>
  <c r="CC125" i="34"/>
  <c r="CI40" i="34"/>
  <c r="CI41" i="34"/>
  <c r="CN27" i="2"/>
  <c r="CH75" i="34"/>
  <c r="CD124" i="30"/>
  <c r="CD123" i="2"/>
  <c r="EK21" i="25"/>
  <c r="CC55" i="2"/>
  <c r="CC56" i="2"/>
  <c r="CD58" i="2"/>
  <c r="CD127" i="2"/>
  <c r="CD132" i="2" s="1"/>
  <c r="CD134" i="2" s="1"/>
  <c r="CD124" i="2" l="1"/>
  <c r="CI75" i="34"/>
  <c r="CI76" i="34"/>
  <c r="CI71" i="34"/>
  <c r="CI59" i="34"/>
  <c r="CI60" i="34" s="1"/>
  <c r="EZ22" i="25"/>
  <c r="CM51" i="2"/>
  <c r="CM85" i="34"/>
  <c r="CM87" i="34"/>
  <c r="CH87" i="34"/>
  <c r="CH80" i="34"/>
  <c r="CM27" i="2"/>
  <c r="CH40" i="34"/>
  <c r="CD20" i="19"/>
  <c r="CD25" i="19" s="1"/>
  <c r="CD41" i="19" s="1"/>
  <c r="CC116" i="2"/>
  <c r="CC132" i="2"/>
  <c r="CC134" i="2" s="1"/>
  <c r="CC58" i="2"/>
  <c r="CD135" i="2"/>
  <c r="EN12" i="25"/>
  <c r="EN27" i="25" s="1"/>
  <c r="CD136" i="2"/>
  <c r="CC123" i="2" l="1"/>
  <c r="CC124" i="2" s="1"/>
  <c r="CI81" i="34"/>
  <c r="CI80" i="34"/>
  <c r="CI83" i="34"/>
  <c r="CD30" i="19"/>
  <c r="CD46" i="19" s="1"/>
  <c r="EK12" i="25" l="1"/>
  <c r="CC135" i="2"/>
  <c r="EL12" i="25"/>
  <c r="CC136" i="2"/>
  <c r="CC20" i="19"/>
  <c r="CC25" i="19" s="1"/>
  <c r="CC41" i="19" s="1"/>
  <c r="CC30" i="19" l="1"/>
  <c r="CC46" i="19" s="1"/>
  <c r="EK27" i="25"/>
  <c r="CG72" i="2"/>
  <c r="CB17" i="18" l="1"/>
  <c r="CA42" i="18"/>
  <c r="CB42" i="18" s="1"/>
  <c r="CA47" i="18"/>
  <c r="CA49" i="18" l="1"/>
  <c r="CB49" i="18" s="1"/>
  <c r="CF42" i="18"/>
  <c r="CD42" i="18"/>
  <c r="CC42" i="18"/>
  <c r="CA54" i="12"/>
  <c r="CA59" i="12"/>
  <c r="CB59" i="12" s="1"/>
  <c r="CB47" i="18"/>
  <c r="CB18" i="18"/>
  <c r="CA22" i="18"/>
  <c r="CB22" i="18" s="1"/>
  <c r="CB40" i="12"/>
  <c r="CC47" i="18"/>
  <c r="CB58" i="18"/>
  <c r="CA51" i="18" l="1"/>
  <c r="CA55" i="18" s="1"/>
  <c r="CA61" i="2" s="1"/>
  <c r="CG12" i="18"/>
  <c r="CE42" i="18"/>
  <c r="CG42" i="18" s="1"/>
  <c r="CB52" i="18"/>
  <c r="CB51" i="18"/>
  <c r="CB55" i="18" s="1"/>
  <c r="CB54" i="12"/>
  <c r="CD47" i="18"/>
  <c r="CA65" i="2" l="1"/>
  <c r="CA98" i="2" s="1"/>
  <c r="CB98" i="2" s="1"/>
  <c r="CB61" i="2"/>
  <c r="CB65" i="12" s="1"/>
  <c r="CA66" i="2"/>
  <c r="CB66" i="2" s="1"/>
  <c r="CH42" i="18"/>
  <c r="CD22" i="18"/>
  <c r="CB69" i="13"/>
  <c r="CB59" i="18"/>
  <c r="CB54" i="13"/>
  <c r="CE47" i="18"/>
  <c r="CI42" i="18"/>
  <c r="CA73" i="2" l="1"/>
  <c r="CA100" i="2" s="1"/>
  <c r="CA99" i="2" s="1"/>
  <c r="CB99" i="2" s="1"/>
  <c r="CB100" i="2" s="1"/>
  <c r="CB68" i="13"/>
  <c r="R9" i="21" s="1"/>
  <c r="CB65" i="2"/>
  <c r="CB73" i="2" s="1"/>
  <c r="CA80" i="2"/>
  <c r="CB80" i="2" s="1"/>
  <c r="CA74" i="2"/>
  <c r="CA143" i="2"/>
  <c r="CB143" i="2" s="1"/>
  <c r="CB161" i="2" s="1"/>
  <c r="CB162" i="2" s="1"/>
  <c r="CA83" i="2"/>
  <c r="CB74" i="2"/>
  <c r="CB83" i="2"/>
  <c r="CE22" i="18"/>
  <c r="R10" i="21"/>
  <c r="CF47" i="18"/>
  <c r="CD59" i="12"/>
  <c r="CA93" i="2" l="1"/>
  <c r="CA94" i="2" s="1"/>
  <c r="CA81" i="2"/>
  <c r="CA82" i="2"/>
  <c r="CA89" i="2"/>
  <c r="CA90" i="2" s="1"/>
  <c r="CB76" i="13"/>
  <c r="R15" i="21" s="1"/>
  <c r="R16" i="21" s="1"/>
  <c r="CA101" i="2"/>
  <c r="CA104" i="2" s="1"/>
  <c r="CA105" i="2" s="1"/>
  <c r="CA95" i="2"/>
  <c r="EE14" i="25" s="1"/>
  <c r="CB82" i="2"/>
  <c r="R40" i="1" s="1"/>
  <c r="CA161" i="2"/>
  <c r="CA163" i="2" s="1"/>
  <c r="CB91" i="2"/>
  <c r="CA91" i="2"/>
  <c r="CB51" i="13"/>
  <c r="CB62" i="13" s="1"/>
  <c r="CA9" i="13"/>
  <c r="CB9" i="13" s="1"/>
  <c r="CB81" i="2"/>
  <c r="CB87" i="2"/>
  <c r="CB163" i="2" s="1"/>
  <c r="CB86" i="2"/>
  <c r="CB93" i="2" s="1"/>
  <c r="CB94" i="2" s="1"/>
  <c r="CB69" i="12"/>
  <c r="CB89" i="2"/>
  <c r="CB90" i="2" s="1"/>
  <c r="CG47" i="18"/>
  <c r="CG18" i="18"/>
  <c r="CH47" i="18"/>
  <c r="CE59" i="12"/>
  <c r="CB101" i="2" l="1"/>
  <c r="CB104" i="2" s="1"/>
  <c r="CB95" i="2"/>
  <c r="EH14" i="25" s="1"/>
  <c r="EE15" i="25"/>
  <c r="CA21" i="19"/>
  <c r="CA26" i="19" s="1"/>
  <c r="CA42" i="19" s="1"/>
  <c r="CA162" i="2"/>
  <c r="CA164" i="2"/>
  <c r="CA20" i="13"/>
  <c r="CB20" i="13" s="1"/>
  <c r="CB22" i="13" s="1"/>
  <c r="CB63" i="13"/>
  <c r="CB64" i="13" s="1"/>
  <c r="CB105" i="2"/>
  <c r="CB77" i="13"/>
  <c r="CB78" i="13" s="1"/>
  <c r="R10" i="1"/>
  <c r="R11" i="1" s="1"/>
  <c r="CB164" i="2"/>
  <c r="EH15" i="25"/>
  <c r="R30" i="1"/>
  <c r="R52" i="1" s="1"/>
  <c r="CI47" i="18"/>
  <c r="CI51" i="18" s="1"/>
  <c r="CI18" i="18"/>
  <c r="CI40" i="12" s="1"/>
  <c r="CG22" i="18"/>
  <c r="CG40" i="12"/>
  <c r="CF59" i="12"/>
  <c r="CG59" i="12" s="1"/>
  <c r="CA31" i="19" l="1"/>
  <c r="CA47" i="19" s="1"/>
  <c r="R33" i="1"/>
  <c r="R46" i="1" s="1"/>
  <c r="CA22" i="13"/>
  <c r="R32" i="1"/>
  <c r="R53" i="1" s="1"/>
  <c r="CH59" i="12"/>
  <c r="CI22" i="18"/>
  <c r="CG52" i="18"/>
  <c r="CJ47" i="18"/>
  <c r="CK17" i="18"/>
  <c r="R54" i="1" l="1"/>
  <c r="CA81" i="13"/>
  <c r="CA45" i="13"/>
  <c r="CK47" i="18"/>
  <c r="CL17" i="18"/>
  <c r="CM17" i="18" s="1"/>
  <c r="CI59" i="12"/>
  <c r="CB45" i="13" l="1"/>
  <c r="CA48" i="13"/>
  <c r="CA92" i="13"/>
  <c r="CA93" i="13" s="1"/>
  <c r="CB81" i="13"/>
  <c r="CB92" i="13" s="1"/>
  <c r="CB93" i="13" s="1"/>
  <c r="CM47" i="18"/>
  <c r="CN17" i="18"/>
  <c r="CL47" i="18"/>
  <c r="CA9" i="12" l="1"/>
  <c r="CA57" i="12"/>
  <c r="CA23" i="18"/>
  <c r="CB94" i="13"/>
  <c r="CO17" i="18"/>
  <c r="CN47" i="18"/>
  <c r="CC54" i="18" l="1"/>
  <c r="CC49" i="18" s="1"/>
  <c r="CC51" i="18" s="1"/>
  <c r="CC55" i="18" s="1"/>
  <c r="CA25" i="18"/>
  <c r="CA24" i="18"/>
  <c r="CA61" i="12"/>
  <c r="CB61" i="12" s="1"/>
  <c r="CB57" i="12"/>
  <c r="CB23" i="18"/>
  <c r="CG46" i="13"/>
  <c r="CA15" i="12"/>
  <c r="CB15" i="12" s="1"/>
  <c r="CB9" i="12"/>
  <c r="CP17" i="18"/>
  <c r="CO47" i="18"/>
  <c r="CA16" i="12" l="1"/>
  <c r="CA26" i="12" s="1"/>
  <c r="CB26" i="12" s="1"/>
  <c r="CB16" i="12"/>
  <c r="CB64" i="12"/>
  <c r="CB66" i="12"/>
  <c r="R12" i="1"/>
  <c r="R13" i="1" s="1"/>
  <c r="CB25" i="18"/>
  <c r="CB24" i="18"/>
  <c r="CQ17" i="18"/>
  <c r="CR17" i="18" s="1"/>
  <c r="CP47" i="18"/>
  <c r="CQ47" i="18" s="1"/>
  <c r="CS17" i="18" l="1"/>
  <c r="CR47" i="18"/>
  <c r="CC66" i="2"/>
  <c r="CB28" i="12"/>
  <c r="CA28" i="12"/>
  <c r="R50" i="1"/>
  <c r="R51" i="1"/>
  <c r="CT17" i="18" l="1"/>
  <c r="CS47" i="18"/>
  <c r="CC143" i="2"/>
  <c r="CC161" i="2" s="1"/>
  <c r="CC83" i="2"/>
  <c r="CC98" i="2"/>
  <c r="CB68" i="12"/>
  <c r="CC73" i="2"/>
  <c r="CC100" i="2" s="1"/>
  <c r="CC74" i="2"/>
  <c r="CU17" i="18" l="1"/>
  <c r="CT47" i="18"/>
  <c r="CC163" i="2"/>
  <c r="EL15" i="25" s="1"/>
  <c r="CC162" i="2"/>
  <c r="CC9" i="13"/>
  <c r="CC95" i="2"/>
  <c r="EL14" i="25" s="1"/>
  <c r="CC99" i="2"/>
  <c r="CC101" i="2" s="1"/>
  <c r="CC104" i="2" s="1"/>
  <c r="CC105" i="2" s="1"/>
  <c r="CC93" i="2"/>
  <c r="CC94" i="2" s="1"/>
  <c r="CC91" i="2"/>
  <c r="CC81" i="2"/>
  <c r="CC89" i="2"/>
  <c r="CC90" i="2" s="1"/>
  <c r="CC82" i="2"/>
  <c r="CC21" i="19"/>
  <c r="CC26" i="19" s="1"/>
  <c r="CC42" i="19" s="1"/>
  <c r="EK15" i="25"/>
  <c r="CC164" i="2"/>
  <c r="CV17" i="18" l="1"/>
  <c r="CU47" i="18"/>
  <c r="CC31" i="19"/>
  <c r="CC47" i="19" s="1"/>
  <c r="EK14" i="25"/>
  <c r="EK28" i="25" s="1"/>
  <c r="EK29" i="25"/>
  <c r="CV47" i="18" l="1"/>
  <c r="CD65" i="2"/>
  <c r="CD80" i="2" s="1"/>
  <c r="CD93" i="2" s="1"/>
  <c r="CD66" i="2"/>
  <c r="CD54" i="12"/>
  <c r="CD74" i="2" l="1"/>
  <c r="CD143" i="2"/>
  <c r="CD161" i="2" s="1"/>
  <c r="CD83" i="2"/>
  <c r="CD9" i="13" s="1"/>
  <c r="CD20" i="13" s="1"/>
  <c r="CD73" i="2"/>
  <c r="CD100" i="2" s="1"/>
  <c r="CD98" i="2"/>
  <c r="CD22" i="13" l="1"/>
  <c r="CD95" i="2"/>
  <c r="EN14" i="25" s="1"/>
  <c r="EN28" i="25" s="1"/>
  <c r="CD99" i="2"/>
  <c r="CD101" i="2" s="1"/>
  <c r="CD104" i="2" s="1"/>
  <c r="CD105" i="2" s="1"/>
  <c r="CD81" i="2"/>
  <c r="CD82" i="2"/>
  <c r="CD89" i="2"/>
  <c r="CD90" i="2" s="1"/>
  <c r="CD94" i="2"/>
  <c r="CD91" i="2"/>
  <c r="CD163" i="2"/>
  <c r="CD162" i="2"/>
  <c r="CC20" i="13" l="1"/>
  <c r="CC22" i="13" s="1"/>
  <c r="CC81" i="13" s="1"/>
  <c r="CC92" i="13" s="1"/>
  <c r="CC93" i="13" s="1"/>
  <c r="CD21" i="19"/>
  <c r="CD164" i="2"/>
  <c r="EN15" i="25"/>
  <c r="EN29" i="25" s="1"/>
  <c r="CC45" i="13" l="1"/>
  <c r="CC48" i="13" s="1"/>
  <c r="CC9" i="12" s="1"/>
  <c r="CD45" i="13"/>
  <c r="CD31" i="19"/>
  <c r="CD47" i="19" s="1"/>
  <c r="CD26" i="19"/>
  <c r="CD42" i="19" s="1"/>
  <c r="CC57" i="12" l="1"/>
  <c r="CC61" i="12" s="1"/>
  <c r="CD46" i="13"/>
  <c r="CD48" i="13" s="1"/>
  <c r="CC23" i="18"/>
  <c r="CD54" i="18" s="1"/>
  <c r="CD49" i="18" s="1"/>
  <c r="CD51" i="18" s="1"/>
  <c r="CD55" i="18" s="1"/>
  <c r="CD81" i="13"/>
  <c r="CC24" i="18" l="1"/>
  <c r="CC25" i="18"/>
  <c r="CD9" i="12"/>
  <c r="CE46" i="13"/>
  <c r="CD57" i="12"/>
  <c r="CD61" i="12" s="1"/>
  <c r="CD23" i="18"/>
  <c r="CD25" i="18" s="1"/>
  <c r="CD92" i="13"/>
  <c r="CD93" i="13" s="1"/>
  <c r="CE54" i="18" l="1"/>
  <c r="CE49" i="18" s="1"/>
  <c r="CE51" i="18" s="1"/>
  <c r="CE55" i="18" s="1"/>
  <c r="CD24" i="18"/>
  <c r="CF15" i="2" l="1"/>
  <c r="ET17" i="25"/>
  <c r="CE15" i="2"/>
  <c r="EQ17" i="25"/>
  <c r="CF11" i="34" l="1"/>
  <c r="EW17" i="25"/>
  <c r="CH15" i="2"/>
  <c r="CE55" i="30"/>
  <c r="CF55" i="30"/>
  <c r="CF56" i="30" s="1"/>
  <c r="CG15" i="2"/>
  <c r="CE27" i="34" l="1"/>
  <c r="CE28" i="34" s="1"/>
  <c r="CE83" i="34"/>
  <c r="CE10" i="2"/>
  <c r="CE22" i="34"/>
  <c r="CE23" i="34" s="1"/>
  <c r="CE11" i="34"/>
  <c r="CE54" i="34"/>
  <c r="CE18" i="34"/>
  <c r="CE66" i="34"/>
  <c r="CE62" i="34"/>
  <c r="CE76" i="34"/>
  <c r="CE81" i="34"/>
  <c r="CE19" i="19"/>
  <c r="CE29" i="19" s="1"/>
  <c r="CE45" i="19" s="1"/>
  <c r="CE56" i="30"/>
  <c r="CG55" i="30"/>
  <c r="CG56" i="30" s="1"/>
  <c r="EQ7" i="25"/>
  <c r="EQ20" i="25" s="1"/>
  <c r="CE58" i="30"/>
  <c r="CI15" i="2"/>
  <c r="CF58" i="30"/>
  <c r="CF59" i="30" s="1"/>
  <c r="CE87" i="34" l="1"/>
  <c r="CE85" i="34"/>
  <c r="CE51" i="2"/>
  <c r="CE63" i="34"/>
  <c r="CE47" i="34"/>
  <c r="CE68" i="34"/>
  <c r="CE70" i="34" s="1"/>
  <c r="CE12" i="34"/>
  <c r="CE32" i="34"/>
  <c r="CE41" i="34"/>
  <c r="CE40" i="34"/>
  <c r="CE67" i="34"/>
  <c r="CE24" i="19"/>
  <c r="CE40" i="19" s="1"/>
  <c r="CE37" i="2"/>
  <c r="CE40" i="2"/>
  <c r="CE59" i="30"/>
  <c r="CG58" i="30"/>
  <c r="CG59" i="30" s="1"/>
  <c r="CJ15" i="2"/>
  <c r="CI26" i="2"/>
  <c r="CI24" i="2"/>
  <c r="CI9" i="19"/>
  <c r="FC9" i="25" l="1"/>
  <c r="CE56" i="34"/>
  <c r="CE69" i="34"/>
  <c r="CE59" i="34"/>
  <c r="CE71" i="34"/>
  <c r="CE33" i="34"/>
  <c r="CE34" i="34"/>
  <c r="CK15" i="2"/>
  <c r="CL17" i="34" l="1"/>
  <c r="CJ10" i="2"/>
  <c r="CL52" i="34"/>
  <c r="CE60" i="34"/>
  <c r="CE57" i="34"/>
  <c r="CL15" i="2"/>
  <c r="CM15" i="2"/>
  <c r="EQ23" i="25"/>
  <c r="ET23" i="25"/>
  <c r="CO10" i="2" l="1"/>
  <c r="CL39" i="34"/>
  <c r="CN15" i="2"/>
  <c r="CF49" i="2"/>
  <c r="CJ9" i="19" l="1"/>
  <c r="FU7" i="25"/>
  <c r="CT24" i="2"/>
  <c r="CT23" i="2"/>
  <c r="CJ51" i="2"/>
  <c r="CJ87" i="34"/>
  <c r="CJ85" i="34"/>
  <c r="CO87" i="34"/>
  <c r="CO85" i="34"/>
  <c r="CJ23" i="2"/>
  <c r="CJ24" i="2"/>
  <c r="CO51" i="2"/>
  <c r="CJ26" i="2"/>
  <c r="FF7" i="25"/>
  <c r="FF9" i="25" s="1"/>
  <c r="CO27" i="2"/>
  <c r="CL79" i="34"/>
  <c r="CJ27" i="2"/>
  <c r="EW23" i="25"/>
  <c r="EQ21" i="25"/>
  <c r="CE54" i="2"/>
  <c r="CG49" i="2"/>
  <c r="CN23" i="2"/>
  <c r="CN26" i="2"/>
  <c r="CN24" i="2"/>
  <c r="CN9" i="19"/>
  <c r="CM26" i="2"/>
  <c r="CM9" i="19"/>
  <c r="CO15" i="2"/>
  <c r="CJ83" i="34" l="1"/>
  <c r="CE56" i="2"/>
  <c r="CE57" i="2"/>
  <c r="CE125" i="34" s="1"/>
  <c r="CE65" i="2"/>
  <c r="CE80" i="2" s="1"/>
  <c r="CE55" i="2"/>
  <c r="CP15" i="2"/>
  <c r="CO24" i="2"/>
  <c r="CO23" i="2"/>
  <c r="CO26" i="2"/>
  <c r="CO9" i="19"/>
  <c r="CE93" i="2" l="1"/>
  <c r="CE127" i="2"/>
  <c r="CE132" i="2" s="1"/>
  <c r="CE134" i="2" s="1"/>
  <c r="CE116" i="2"/>
  <c r="CE124" i="30"/>
  <c r="CE73" i="2"/>
  <c r="CE100" i="2" s="1"/>
  <c r="CE98" i="2"/>
  <c r="CE58" i="2"/>
  <c r="CE66" i="2"/>
  <c r="CQ15" i="2"/>
  <c r="CE123" i="2" l="1"/>
  <c r="CE20" i="19"/>
  <c r="CE25" i="19" s="1"/>
  <c r="CE41" i="19" s="1"/>
  <c r="CE143" i="2"/>
  <c r="EQ12" i="25"/>
  <c r="CE99" i="2"/>
  <c r="CE101" i="2" s="1"/>
  <c r="CI49" i="2"/>
  <c r="CI37" i="2"/>
  <c r="CI54" i="2"/>
  <c r="CJ49" i="2"/>
  <c r="CE83" i="2"/>
  <c r="CE9" i="13" s="1"/>
  <c r="CE20" i="13" s="1"/>
  <c r="CE74" i="2"/>
  <c r="CE81" i="2"/>
  <c r="CE82" i="2"/>
  <c r="CE89" i="2"/>
  <c r="CE90" i="2" s="1"/>
  <c r="CE94" i="2"/>
  <c r="CE124" i="2" l="1"/>
  <c r="CE30" i="19"/>
  <c r="CE46" i="19" s="1"/>
  <c r="CJ54" i="2"/>
  <c r="CM49" i="2"/>
  <c r="CE104" i="2"/>
  <c r="CE105" i="2" s="1"/>
  <c r="EQ27" i="25"/>
  <c r="CE135" i="2"/>
  <c r="CE136" i="2"/>
  <c r="CN36" i="2"/>
  <c r="CN109" i="2" s="1"/>
  <c r="CM36" i="2"/>
  <c r="EQ14" i="25"/>
  <c r="EQ28" i="25" s="1"/>
  <c r="CE91" i="2"/>
  <c r="CI57" i="2"/>
  <c r="CI116" i="2" s="1"/>
  <c r="CI56" i="2"/>
  <c r="CI55" i="2"/>
  <c r="CM109" i="2" l="1"/>
  <c r="CM112" i="2" s="1"/>
  <c r="CM40" i="2"/>
  <c r="CN112" i="2"/>
  <c r="CR37" i="2"/>
  <c r="CS37" i="2"/>
  <c r="CI124" i="30"/>
  <c r="CI125" i="34"/>
  <c r="CN49" i="2"/>
  <c r="CM54" i="2"/>
  <c r="CR55" i="2" s="1"/>
  <c r="CJ55" i="2"/>
  <c r="CJ57" i="2"/>
  <c r="CJ116" i="2" s="1"/>
  <c r="CJ123" i="2" s="1"/>
  <c r="CJ56" i="2"/>
  <c r="CI58" i="2"/>
  <c r="CI127" i="2"/>
  <c r="CN37" i="2"/>
  <c r="CN40" i="2"/>
  <c r="CE22" i="13"/>
  <c r="CE81" i="13" s="1"/>
  <c r="CE92" i="13" s="1"/>
  <c r="CO49" i="2"/>
  <c r="CE161" i="2"/>
  <c r="CJ124" i="2" l="1"/>
  <c r="CN113" i="2"/>
  <c r="FR8" i="25"/>
  <c r="FR9" i="25" s="1"/>
  <c r="CM113" i="2"/>
  <c r="FO8" i="25"/>
  <c r="FO9" i="25" s="1"/>
  <c r="FF10" i="25"/>
  <c r="FF11" i="25" s="1"/>
  <c r="CJ124" i="30"/>
  <c r="CJ125" i="34"/>
  <c r="CN54" i="2"/>
  <c r="CI123" i="2"/>
  <c r="CE163" i="2"/>
  <c r="CE162" i="2"/>
  <c r="CM56" i="2"/>
  <c r="CM57" i="2"/>
  <c r="CJ58" i="2"/>
  <c r="CJ127" i="2"/>
  <c r="CJ132" i="2" s="1"/>
  <c r="CE45" i="13"/>
  <c r="CO36" i="2"/>
  <c r="CI132" i="2"/>
  <c r="CI124" i="2" l="1"/>
  <c r="FC10" i="25"/>
  <c r="FC11" i="25" s="1"/>
  <c r="CO109" i="2"/>
  <c r="CO112" i="2" s="1"/>
  <c r="CM116" i="2"/>
  <c r="CI134" i="2"/>
  <c r="FC12" i="25" s="1"/>
  <c r="FC13" i="25" s="1"/>
  <c r="CJ134" i="2"/>
  <c r="CT37" i="2"/>
  <c r="CM127" i="2"/>
  <c r="CM132" i="2" s="1"/>
  <c r="CM134" i="2" s="1"/>
  <c r="CN56" i="2"/>
  <c r="CS55" i="2"/>
  <c r="CM124" i="30"/>
  <c r="CM125" i="34"/>
  <c r="CE21" i="19"/>
  <c r="EQ15" i="25"/>
  <c r="EQ29" i="25" s="1"/>
  <c r="CN55" i="2"/>
  <c r="CN57" i="2"/>
  <c r="CE48" i="13"/>
  <c r="CE9" i="12" s="1"/>
  <c r="CO54" i="2"/>
  <c r="CT55" i="2" s="1"/>
  <c r="CO40" i="2"/>
  <c r="CO37" i="2"/>
  <c r="CM58" i="2"/>
  <c r="CE164" i="2"/>
  <c r="CI10" i="19"/>
  <c r="CE93" i="13"/>
  <c r="CM123" i="2" l="1"/>
  <c r="CM124" i="2" s="1"/>
  <c r="CO113" i="2"/>
  <c r="FU8" i="25"/>
  <c r="FU9" i="25" s="1"/>
  <c r="CI136" i="2"/>
  <c r="CJ136" i="2"/>
  <c r="CM136" i="2"/>
  <c r="CJ135" i="2"/>
  <c r="CI135" i="2"/>
  <c r="CN116" i="2"/>
  <c r="CJ10" i="19"/>
  <c r="FF12" i="25"/>
  <c r="FF13" i="25" s="1"/>
  <c r="CN124" i="30"/>
  <c r="CN125" i="34"/>
  <c r="CE26" i="19"/>
  <c r="CE42" i="19" s="1"/>
  <c r="CE31" i="19"/>
  <c r="CE47" i="19" s="1"/>
  <c r="CN58" i="2"/>
  <c r="CN127" i="2"/>
  <c r="CN132" i="2" s="1"/>
  <c r="CF46" i="13"/>
  <c r="CE57" i="12"/>
  <c r="CE61" i="12" s="1"/>
  <c r="CE23" i="18"/>
  <c r="CF54" i="18" s="1"/>
  <c r="CF49" i="18" s="1"/>
  <c r="CO56" i="2"/>
  <c r="CO55" i="2"/>
  <c r="CO57" i="2"/>
  <c r="CO116" i="2" s="1"/>
  <c r="CN123" i="2" l="1"/>
  <c r="FR10" i="25" s="1"/>
  <c r="FR11" i="25" s="1"/>
  <c r="FO10" i="25"/>
  <c r="FO11" i="25" s="1"/>
  <c r="CN124" i="2"/>
  <c r="CN134" i="2"/>
  <c r="CR135" i="2"/>
  <c r="FO12" i="25"/>
  <c r="FO13" i="25" s="1"/>
  <c r="CF51" i="18"/>
  <c r="CF55" i="18" s="1"/>
  <c r="CG61" i="2" s="1"/>
  <c r="CO124" i="30"/>
  <c r="CO125" i="34"/>
  <c r="CG49" i="18"/>
  <c r="CG51" i="18" s="1"/>
  <c r="CM10" i="19"/>
  <c r="CO58" i="2"/>
  <c r="CO127" i="2"/>
  <c r="CE25" i="18"/>
  <c r="CE24" i="18"/>
  <c r="CO123" i="2" l="1"/>
  <c r="FU10" i="25" s="1"/>
  <c r="FU11" i="25" s="1"/>
  <c r="CN135" i="2"/>
  <c r="FR12" i="25"/>
  <c r="FR13" i="25" s="1"/>
  <c r="CN136" i="2"/>
  <c r="CN10" i="19"/>
  <c r="CS135" i="2"/>
  <c r="CO132" i="2"/>
  <c r="CG54" i="18"/>
  <c r="CG55" i="18" s="1"/>
  <c r="CG68" i="13" s="1"/>
  <c r="CO124" i="2" l="1"/>
  <c r="CO134" i="2"/>
  <c r="CG58" i="18"/>
  <c r="CO10" i="19" l="1"/>
  <c r="CO136" i="2"/>
  <c r="CO135" i="2"/>
  <c r="FU12" i="25"/>
  <c r="FU13" i="25" s="1"/>
  <c r="CT135" i="2"/>
  <c r="S9" i="21"/>
  <c r="CG54" i="13" l="1"/>
  <c r="CG59" i="18"/>
  <c r="CG150" i="2"/>
  <c r="CG69" i="13"/>
  <c r="CG47" i="12" l="1"/>
  <c r="S10" i="21"/>
  <c r="CG50" i="12" l="1"/>
  <c r="CG52" i="12" l="1"/>
  <c r="CG54" i="12" s="1"/>
  <c r="CJ59" i="18" l="1"/>
  <c r="CL59" i="18" l="1"/>
  <c r="CL69" i="13"/>
  <c r="CK72" i="2" l="1"/>
  <c r="CL70" i="2"/>
  <c r="T10" i="21"/>
  <c r="CL72" i="2" l="1"/>
  <c r="CL54" i="13"/>
  <c r="CF27" i="34" l="1"/>
  <c r="CF28" i="34" s="1"/>
  <c r="CF83" i="34"/>
  <c r="CF18" i="34"/>
  <c r="CF22" i="34"/>
  <c r="CF81" i="34"/>
  <c r="CF10" i="2"/>
  <c r="CG10" i="2" s="1"/>
  <c r="CF66" i="34"/>
  <c r="CF54" i="34"/>
  <c r="CF76" i="34"/>
  <c r="CF62" i="34"/>
  <c r="CG27" i="34" l="1"/>
  <c r="CG28" i="34" s="1"/>
  <c r="CG81" i="34"/>
  <c r="CG83" i="34"/>
  <c r="CG22" i="34"/>
  <c r="CG23" i="34" s="1"/>
  <c r="CF23" i="34"/>
  <c r="CF12" i="34"/>
  <c r="CG76" i="34"/>
  <c r="CF47" i="34"/>
  <c r="CF68" i="34"/>
  <c r="CF69" i="34" s="1"/>
  <c r="CG11" i="34"/>
  <c r="CG12" i="34" s="1"/>
  <c r="CG66" i="34"/>
  <c r="CG67" i="34" s="1"/>
  <c r="CF67" i="34"/>
  <c r="CG18" i="34"/>
  <c r="CG54" i="34"/>
  <c r="CF63" i="34"/>
  <c r="CG62" i="34"/>
  <c r="CG63" i="34" s="1"/>
  <c r="CF70" i="34" l="1"/>
  <c r="CF71" i="34" s="1"/>
  <c r="CG68" i="34"/>
  <c r="CG69" i="34" s="1"/>
  <c r="CF56" i="34"/>
  <c r="CG56" i="34" s="1"/>
  <c r="CG57" i="34" s="1"/>
  <c r="CG47" i="34"/>
  <c r="CF57" i="34" l="1"/>
  <c r="CK10" i="2"/>
  <c r="CF59" i="34"/>
  <c r="CF60" i="34" s="1"/>
  <c r="CG70" i="34"/>
  <c r="CG71" i="34" s="1"/>
  <c r="CL43" i="2" l="1"/>
  <c r="FI7" i="25"/>
  <c r="CK9" i="19"/>
  <c r="CK26" i="2"/>
  <c r="CP10" i="2"/>
  <c r="CG59" i="34"/>
  <c r="CG60" i="34" s="1"/>
  <c r="FX7" i="25" l="1"/>
  <c r="CU23" i="2"/>
  <c r="CU24" i="2"/>
  <c r="CQ10" i="2"/>
  <c r="W17" i="1" l="1"/>
  <c r="GA7" i="25"/>
  <c r="CV23" i="2"/>
  <c r="CV24" i="2"/>
  <c r="H11" i="26"/>
  <c r="CK83" i="34"/>
  <c r="CP26" i="2"/>
  <c r="CQ26" i="2" s="1"/>
  <c r="CP24" i="2"/>
  <c r="CP23" i="2"/>
  <c r="CP9" i="19"/>
  <c r="Q58" i="1" l="1"/>
  <c r="Q60" i="1" s="1"/>
  <c r="X44" i="1"/>
  <c r="AT59" i="1"/>
  <c r="CQ9" i="19"/>
  <c r="CK23" i="2"/>
  <c r="CK24" i="2"/>
  <c r="B43" i="2"/>
  <c r="B44" i="2"/>
  <c r="B45" i="2"/>
  <c r="ET7" i="25"/>
  <c r="ET20" i="25" s="1"/>
  <c r="EW7" i="25"/>
  <c r="EW20" i="25" s="1"/>
  <c r="S17" i="1"/>
  <c r="CF19" i="19"/>
  <c r="S44" i="1" l="1"/>
  <c r="S18" i="1"/>
  <c r="Z18" i="1" s="1"/>
  <c r="Z17" i="1"/>
  <c r="S21" i="1"/>
  <c r="S22" i="1" s="1"/>
  <c r="CF24" i="19"/>
  <c r="CF40" i="19" s="1"/>
  <c r="CF29" i="19"/>
  <c r="CF45" i="19" s="1"/>
  <c r="CK85" i="34" l="1"/>
  <c r="CL85" i="34"/>
  <c r="CP85" i="34"/>
  <c r="CQ85" i="34"/>
  <c r="CK87" i="34"/>
  <c r="CL87" i="34"/>
  <c r="CP87" i="34"/>
  <c r="CQ87" i="34"/>
  <c r="CK27" i="2"/>
  <c r="CP27" i="2"/>
  <c r="CK51" i="2"/>
  <c r="CL51" i="2" s="1"/>
  <c r="CP51" i="2"/>
  <c r="CQ51" i="2" s="1"/>
  <c r="CK49" i="2" l="1"/>
  <c r="CQ27" i="2"/>
  <c r="CQ32" i="2"/>
  <c r="CP36" i="2"/>
  <c r="CP109" i="2" l="1"/>
  <c r="CP112" i="2" s="1"/>
  <c r="FX8" i="25" s="1"/>
  <c r="FX9" i="25" s="1"/>
  <c r="CQ36" i="2"/>
  <c r="CU37" i="2"/>
  <c r="CK36" i="2"/>
  <c r="CK40" i="2" s="1"/>
  <c r="CP49" i="2"/>
  <c r="CP54" i="2"/>
  <c r="CU55" i="2" s="1"/>
  <c r="CP40" i="2"/>
  <c r="CQ49" i="2" l="1"/>
  <c r="CQ40" i="2"/>
  <c r="W37" i="1" s="1"/>
  <c r="CQ109" i="2"/>
  <c r="CV37" i="2"/>
  <c r="CQ112" i="2"/>
  <c r="W20" i="1" s="1"/>
  <c r="W21" i="1" s="1"/>
  <c r="CP113" i="2"/>
  <c r="CK109" i="2"/>
  <c r="CK112" i="2" s="1"/>
  <c r="U20" i="1" s="1"/>
  <c r="U21" i="1" s="1"/>
  <c r="U37" i="1" s="1"/>
  <c r="CK37" i="2"/>
  <c r="CP37" i="2"/>
  <c r="CK54" i="2"/>
  <c r="CP55" i="2" s="1"/>
  <c r="CQ54" i="2"/>
  <c r="CV55" i="2" s="1"/>
  <c r="CP56" i="2"/>
  <c r="CP57" i="2"/>
  <c r="S58" i="1" l="1"/>
  <c r="S60" i="1" s="1"/>
  <c r="FI8" i="25"/>
  <c r="FI9" i="25" s="1"/>
  <c r="CK113" i="2"/>
  <c r="CQ113" i="2"/>
  <c r="GA8" i="25"/>
  <c r="GA9" i="25" s="1"/>
  <c r="CL112" i="2"/>
  <c r="V20" i="1" s="1"/>
  <c r="CL109" i="2"/>
  <c r="CP116" i="2"/>
  <c r="CK57" i="2"/>
  <c r="CK56" i="2"/>
  <c r="CQ57" i="2"/>
  <c r="CQ56" i="2"/>
  <c r="CP125" i="34"/>
  <c r="CP58" i="2"/>
  <c r="CP124" i="30"/>
  <c r="CP127" i="2"/>
  <c r="CL113" i="2" l="1"/>
  <c r="CP123" i="2"/>
  <c r="FX10" i="25" s="1"/>
  <c r="FX11" i="25" s="1"/>
  <c r="FL8" i="25"/>
  <c r="CQ58" i="2"/>
  <c r="CK125" i="34"/>
  <c r="CK58" i="2"/>
  <c r="CK116" i="2"/>
  <c r="CK123" i="2" s="1"/>
  <c r="U24" i="1" s="1"/>
  <c r="U38" i="1" s="1"/>
  <c r="CK124" i="30"/>
  <c r="CK127" i="2"/>
  <c r="CP132" i="2"/>
  <c r="CQ127" i="2"/>
  <c r="CQ132" i="2" s="1"/>
  <c r="CQ134" i="2" s="1"/>
  <c r="CQ136" i="2" s="1"/>
  <c r="CQ116" i="2"/>
  <c r="CP124" i="2" l="1"/>
  <c r="CQ123" i="2"/>
  <c r="W24" i="1" s="1"/>
  <c r="W38" i="1" s="1"/>
  <c r="CK124" i="2"/>
  <c r="FI10" i="25"/>
  <c r="FI11" i="25" s="1"/>
  <c r="W39" i="1"/>
  <c r="CP134" i="2"/>
  <c r="CK132" i="2"/>
  <c r="CK134" i="2" s="1"/>
  <c r="U27" i="1" s="1"/>
  <c r="U39" i="1" s="1"/>
  <c r="GA10" i="25" l="1"/>
  <c r="GA11" i="25" s="1"/>
  <c r="CQ124" i="2"/>
  <c r="CK136" i="2"/>
  <c r="CU135" i="2"/>
  <c r="GA12" i="25"/>
  <c r="GA13" i="25" s="1"/>
  <c r="CQ67" i="13"/>
  <c r="CP135" i="2"/>
  <c r="CP10" i="19"/>
  <c r="CQ10" i="19"/>
  <c r="CP136" i="2"/>
  <c r="W27" i="1"/>
  <c r="CV135" i="2"/>
  <c r="FX12" i="25"/>
  <c r="FX13" i="25" s="1"/>
  <c r="CK10" i="19"/>
  <c r="FI12" i="25"/>
  <c r="FI13" i="25" s="1"/>
  <c r="U8" i="21" l="1"/>
  <c r="X45" i="1"/>
  <c r="CL33" i="13"/>
  <c r="CL40" i="13"/>
  <c r="CL88" i="13"/>
  <c r="CJ63" i="18"/>
  <c r="CL63" i="18" s="1"/>
  <c r="CJ42" i="18" l="1"/>
  <c r="CJ51" i="18" s="1"/>
  <c r="CK12" i="18"/>
  <c r="CK42" i="18" s="1"/>
  <c r="CJ22" i="18"/>
  <c r="CJ54" i="18" l="1"/>
  <c r="CJ55" i="18" s="1"/>
  <c r="CJ61" i="2" s="1"/>
  <c r="CK18" i="18"/>
  <c r="CK40" i="12" s="1"/>
  <c r="CL12" i="18"/>
  <c r="CM12" i="18" s="1"/>
  <c r="CN12" i="18" s="1"/>
  <c r="CK51" i="18"/>
  <c r="CL42" i="18"/>
  <c r="CJ59" i="12"/>
  <c r="CL18" i="18" l="1"/>
  <c r="CM18" i="18"/>
  <c r="CM22" i="18" s="1"/>
  <c r="CK22" i="18"/>
  <c r="CL22" i="18" s="1"/>
  <c r="CL52" i="18" s="1"/>
  <c r="U25" i="21" s="1"/>
  <c r="CM42" i="18"/>
  <c r="CM51" i="18" s="1"/>
  <c r="CO12" i="18"/>
  <c r="CN42" i="18"/>
  <c r="CN51" i="18" s="1"/>
  <c r="CN18" i="18"/>
  <c r="CK59" i="12"/>
  <c r="CL59" i="12" s="1"/>
  <c r="CL40" i="12"/>
  <c r="CM40" i="12" l="1"/>
  <c r="CM59" i="12" s="1"/>
  <c r="CN40" i="12"/>
  <c r="CN22" i="18"/>
  <c r="CO18" i="18"/>
  <c r="CP12" i="18"/>
  <c r="CO42" i="18"/>
  <c r="CO51" i="18" s="1"/>
  <c r="CO22" i="18" l="1"/>
  <c r="CO40" i="12"/>
  <c r="CN59" i="12"/>
  <c r="CP18" i="18"/>
  <c r="CP42" i="18"/>
  <c r="CQ12" i="18"/>
  <c r="CR12" i="18" s="1"/>
  <c r="CR18" i="18" l="1"/>
  <c r="CS12" i="18"/>
  <c r="CR42" i="18"/>
  <c r="CR51" i="18" s="1"/>
  <c r="CP51" i="18"/>
  <c r="CQ42" i="18"/>
  <c r="CP22" i="18"/>
  <c r="CP40" i="12"/>
  <c r="CQ18" i="18"/>
  <c r="CO59" i="12"/>
  <c r="CS42" i="18" l="1"/>
  <c r="CS51" i="18" s="1"/>
  <c r="CT12" i="18"/>
  <c r="CS18" i="18"/>
  <c r="CR40" i="12"/>
  <c r="CR59" i="12" s="1"/>
  <c r="CR22" i="18"/>
  <c r="CQ40" i="12"/>
  <c r="CP59" i="12"/>
  <c r="CQ59" i="12" s="1"/>
  <c r="U18" i="21" s="1"/>
  <c r="U20" i="21" s="1"/>
  <c r="U27" i="21" s="1"/>
  <c r="W23" i="21" s="1"/>
  <c r="CQ22" i="18"/>
  <c r="CQ51" i="18"/>
  <c r="CS40" i="12" l="1"/>
  <c r="CS59" i="12" s="1"/>
  <c r="CS22" i="18"/>
  <c r="W59" i="1"/>
  <c r="W22" i="21"/>
  <c r="W21" i="21" s="1"/>
  <c r="W20" i="21" s="1"/>
  <c r="W19" i="21" s="1"/>
  <c r="W24" i="21"/>
  <c r="W25" i="21" s="1"/>
  <c r="W26" i="21" s="1"/>
  <c r="W27" i="21" s="1"/>
  <c r="CU12" i="18"/>
  <c r="CT42" i="18"/>
  <c r="CT51" i="18" s="1"/>
  <c r="CT18" i="18"/>
  <c r="CT40" i="12" l="1"/>
  <c r="CT59" i="12" s="1"/>
  <c r="CT22" i="18"/>
  <c r="CV12" i="18"/>
  <c r="CU42" i="18"/>
  <c r="CU18" i="18"/>
  <c r="CG36" i="2"/>
  <c r="CF54" i="2"/>
  <c r="CV42" i="18" l="1"/>
  <c r="CV51" i="18" s="1"/>
  <c r="CU51" i="18"/>
  <c r="CU40" i="12"/>
  <c r="CV18" i="18"/>
  <c r="CU22" i="18"/>
  <c r="CV22" i="18" s="1"/>
  <c r="CF56" i="2"/>
  <c r="CK55" i="2"/>
  <c r="CF57" i="2"/>
  <c r="CG54" i="2"/>
  <c r="CF65" i="2"/>
  <c r="CF80" i="2" s="1"/>
  <c r="CF55" i="2"/>
  <c r="CF37" i="2"/>
  <c r="CF40" i="2"/>
  <c r="CG40" i="2"/>
  <c r="S37" i="1" s="1"/>
  <c r="B32" i="2"/>
  <c r="CU59" i="12" l="1"/>
  <c r="CV59" i="12" s="1"/>
  <c r="CV40" i="12"/>
  <c r="ET21" i="25"/>
  <c r="CF93" i="2"/>
  <c r="CG80" i="2"/>
  <c r="CG82" i="2" s="1"/>
  <c r="CF41" i="34"/>
  <c r="CG27" i="2"/>
  <c r="CG41" i="34"/>
  <c r="CF85" i="34"/>
  <c r="CF51" i="2"/>
  <c r="CG51" i="2" s="1"/>
  <c r="CF40" i="34"/>
  <c r="CF32" i="34"/>
  <c r="CF34" i="34" s="1"/>
  <c r="CF87" i="34"/>
  <c r="CF58" i="2"/>
  <c r="CF125" i="34"/>
  <c r="CF124" i="30"/>
  <c r="CG57" i="2"/>
  <c r="CF66" i="2"/>
  <c r="CF83" i="2" s="1"/>
  <c r="CF116" i="2"/>
  <c r="CG116" i="2" s="1"/>
  <c r="CF127" i="2"/>
  <c r="EW21" i="25"/>
  <c r="CG65" i="2"/>
  <c r="CG73" i="2" s="1"/>
  <c r="CF73" i="2"/>
  <c r="CF100" i="2" s="1"/>
  <c r="CF98" i="2"/>
  <c r="CG56" i="2"/>
  <c r="CF95" i="2" l="1"/>
  <c r="CF9" i="13"/>
  <c r="CF20" i="13" s="1"/>
  <c r="CG93" i="2"/>
  <c r="CF33" i="34"/>
  <c r="CG58" i="2"/>
  <c r="CG32" i="34"/>
  <c r="CG33" i="34" s="1"/>
  <c r="CG87" i="34"/>
  <c r="CG85" i="34"/>
  <c r="CG40" i="34"/>
  <c r="CF99" i="2"/>
  <c r="CG99" i="2" s="1"/>
  <c r="CF123" i="2"/>
  <c r="CG123" i="2"/>
  <c r="S24" i="1" s="1"/>
  <c r="CG98" i="2"/>
  <c r="CF74" i="2"/>
  <c r="CG66" i="2"/>
  <c r="CF143" i="2"/>
  <c r="CG127" i="2"/>
  <c r="CG132" i="2" s="1"/>
  <c r="CF132" i="2"/>
  <c r="CF81" i="2"/>
  <c r="CF82" i="2"/>
  <c r="CF89" i="2"/>
  <c r="CF90" i="2" s="1"/>
  <c r="CF94" i="2"/>
  <c r="S25" i="1" l="1"/>
  <c r="S38" i="1"/>
  <c r="CG124" i="2"/>
  <c r="CF124" i="2"/>
  <c r="CG83" i="2"/>
  <c r="CG95" i="2" s="1"/>
  <c r="CF134" i="2"/>
  <c r="CG34" i="34"/>
  <c r="CF101" i="2"/>
  <c r="CG101" i="2" s="1"/>
  <c r="CG104" i="2" s="1"/>
  <c r="CG105" i="2" s="1"/>
  <c r="CG100" i="2"/>
  <c r="CF91" i="2"/>
  <c r="ET14" i="25"/>
  <c r="ET28" i="25" s="1"/>
  <c r="CF161" i="2"/>
  <c r="CG143" i="2"/>
  <c r="CG161" i="2" s="1"/>
  <c r="CG134" i="2"/>
  <c r="CG74" i="2"/>
  <c r="CG69" i="12"/>
  <c r="S40" i="1"/>
  <c r="CG89" i="2"/>
  <c r="CG90" i="2" s="1"/>
  <c r="CF135" i="2" l="1"/>
  <c r="CF20" i="19"/>
  <c r="CF30" i="19" s="1"/>
  <c r="CF46" i="19" s="1"/>
  <c r="ET12" i="25"/>
  <c r="ET27" i="25" s="1"/>
  <c r="CK135" i="2"/>
  <c r="CF136" i="2"/>
  <c r="CF104" i="2"/>
  <c r="CF105" i="2" s="1"/>
  <c r="CG162" i="2"/>
  <c r="CG163" i="2"/>
  <c r="CG65" i="12"/>
  <c r="CG136" i="2"/>
  <c r="S39" i="1" s="1"/>
  <c r="CG67" i="13"/>
  <c r="S27" i="1"/>
  <c r="S28" i="1" s="1"/>
  <c r="EW12" i="25"/>
  <c r="EW27" i="25" s="1"/>
  <c r="CG91" i="2"/>
  <c r="CG51" i="13"/>
  <c r="CG62" i="13" s="1"/>
  <c r="CG63" i="13" s="1"/>
  <c r="CG64" i="13" s="1"/>
  <c r="CF162" i="2"/>
  <c r="CF163" i="2"/>
  <c r="CG20" i="13"/>
  <c r="CG9" i="13"/>
  <c r="CF25" i="19" l="1"/>
  <c r="CF41" i="19" s="1"/>
  <c r="CG22" i="13"/>
  <c r="EW14" i="25"/>
  <c r="EW28" i="25" s="1"/>
  <c r="S32" i="1"/>
  <c r="S53" i="1" s="1"/>
  <c r="CF164" i="2"/>
  <c r="CF21" i="19"/>
  <c r="ET15" i="25"/>
  <c r="ET29" i="25" s="1"/>
  <c r="S45" i="1"/>
  <c r="EW15" i="25"/>
  <c r="EW29" i="25" s="1"/>
  <c r="S30" i="1"/>
  <c r="CF22" i="13"/>
  <c r="S8" i="21"/>
  <c r="CG76" i="13"/>
  <c r="S31" i="1" l="1"/>
  <c r="CG77" i="13"/>
  <c r="S15" i="21"/>
  <c r="S16" i="21" s="1"/>
  <c r="CF26" i="19"/>
  <c r="CF42" i="19" s="1"/>
  <c r="CF31" i="19"/>
  <c r="CF47" i="19" s="1"/>
  <c r="CF81" i="13"/>
  <c r="CF45" i="13"/>
  <c r="CG45" i="13" l="1"/>
  <c r="CF48" i="13"/>
  <c r="CF9" i="12" s="1"/>
  <c r="CF92" i="13"/>
  <c r="CF93" i="13" s="1"/>
  <c r="CG81" i="13"/>
  <c r="CG92" i="13" s="1"/>
  <c r="CG93" i="13" s="1"/>
  <c r="S33" i="1"/>
  <c r="CG78" i="13"/>
  <c r="CF15" i="12" l="1"/>
  <c r="CE15" i="12" s="1"/>
  <c r="CG94" i="13"/>
  <c r="S46" i="1"/>
  <c r="CF57" i="12"/>
  <c r="CF23" i="18"/>
  <c r="CF16" i="12" l="1"/>
  <c r="CF26" i="12" s="1"/>
  <c r="CE26" i="12" s="1"/>
  <c r="CD26" i="12" s="1"/>
  <c r="CD15" i="12"/>
  <c r="CE16" i="12"/>
  <c r="CG9" i="12"/>
  <c r="CG15" i="12"/>
  <c r="CL46" i="13"/>
  <c r="CG23" i="18"/>
  <c r="CF61" i="12"/>
  <c r="CG61" i="12" s="1"/>
  <c r="CG57" i="12"/>
  <c r="CF25" i="18"/>
  <c r="CH54" i="18"/>
  <c r="CH49" i="18" s="1"/>
  <c r="CF24" i="18"/>
  <c r="CF28" i="12" l="1"/>
  <c r="CC15" i="12"/>
  <c r="CC16" i="12" s="1"/>
  <c r="CD16" i="12"/>
  <c r="CE28" i="12"/>
  <c r="CL49" i="18"/>
  <c r="CL51" i="18" s="1"/>
  <c r="CH51" i="18"/>
  <c r="CH55" i="18" s="1"/>
  <c r="CG66" i="12"/>
  <c r="CG64" i="12"/>
  <c r="CG24" i="18"/>
  <c r="CG25" i="18"/>
  <c r="CG16" i="12"/>
  <c r="CC26" i="12" l="1"/>
  <c r="CC28" i="12" s="1"/>
  <c r="CD28" i="12"/>
  <c r="CG26" i="12"/>
  <c r="CG28" i="12" s="1"/>
  <c r="CG68" i="12" l="1"/>
  <c r="CQ59" i="18" l="1"/>
  <c r="CQ69" i="13"/>
  <c r="U10" i="21" l="1"/>
  <c r="CV59" i="18" l="1"/>
  <c r="CV69" i="13"/>
  <c r="V10" i="21" s="1"/>
  <c r="EZ18" i="25" l="1"/>
  <c r="CH83" i="34"/>
  <c r="CH18" i="34"/>
  <c r="CH81" i="34"/>
  <c r="CH41" i="34"/>
  <c r="CH54" i="34"/>
  <c r="CH76" i="34"/>
  <c r="CH85" i="34"/>
  <c r="CH27" i="34"/>
  <c r="CH62" i="34"/>
  <c r="CH63" i="34" s="1"/>
  <c r="CH22" i="34"/>
  <c r="CH23" i="34" s="1"/>
  <c r="CH66" i="34"/>
  <c r="CH67" i="34" s="1"/>
  <c r="CL27" i="2"/>
  <c r="CH10" i="2"/>
  <c r="CL10" i="2" s="1"/>
  <c r="CH28" i="34" l="1"/>
  <c r="CL27" i="34"/>
  <c r="CH19" i="19"/>
  <c r="CH70" i="34"/>
  <c r="CH59" i="34" s="1"/>
  <c r="CH60" i="34" s="1"/>
  <c r="EZ7" i="25" l="1"/>
  <c r="EZ19" i="25" s="1"/>
  <c r="CM24" i="2"/>
  <c r="CH23" i="2"/>
  <c r="CQ23" i="2"/>
  <c r="CM23" i="2"/>
  <c r="CL44" i="2"/>
  <c r="CH24" i="2"/>
  <c r="CH26" i="2"/>
  <c r="CL26" i="2" s="1"/>
  <c r="CH71" i="34"/>
  <c r="CH24" i="19"/>
  <c r="CH40" i="19" s="1"/>
  <c r="CH29" i="19"/>
  <c r="CH45" i="19" s="1"/>
  <c r="CL9" i="19" l="1"/>
  <c r="CQ24" i="2"/>
  <c r="FL7" i="25"/>
  <c r="FL9" i="25" s="1"/>
  <c r="CL24" i="2"/>
  <c r="M11" i="26"/>
  <c r="CH54" i="2"/>
  <c r="CH65" i="2" s="1"/>
  <c r="CL49" i="2"/>
  <c r="V17" i="1"/>
  <c r="V21" i="1" s="1"/>
  <c r="CL36" i="2"/>
  <c r="CL23" i="2"/>
  <c r="CM37" i="2"/>
  <c r="CH37" i="2"/>
  <c r="S67" i="1"/>
  <c r="H12" i="26"/>
  <c r="CL40" i="2" l="1"/>
  <c r="CL54" i="2"/>
  <c r="V44" i="1"/>
  <c r="CL57" i="2"/>
  <c r="CL58" i="2" s="1"/>
  <c r="EZ20" i="25"/>
  <c r="CH73" i="2"/>
  <c r="CH100" i="2" s="1"/>
  <c r="CH80" i="2"/>
  <c r="CH93" i="2" s="1"/>
  <c r="CM55" i="2"/>
  <c r="CH56" i="2"/>
  <c r="CH57" i="2"/>
  <c r="CH116" i="2" s="1"/>
  <c r="CH55" i="2"/>
  <c r="W44" i="1"/>
  <c r="CQ37" i="2"/>
  <c r="CL37" i="2"/>
  <c r="J12" i="26"/>
  <c r="J11" i="26" s="1"/>
  <c r="G12" i="26"/>
  <c r="G11" i="26" s="1"/>
  <c r="I12" i="26"/>
  <c r="I11" i="26" s="1"/>
  <c r="F12" i="26"/>
  <c r="F11" i="26" s="1"/>
  <c r="R67" i="1"/>
  <c r="Q67" i="1" s="1"/>
  <c r="V67" i="1"/>
  <c r="W67" i="1" s="1"/>
  <c r="CH98" i="2"/>
  <c r="CL55" i="2" l="1"/>
  <c r="CL56" i="2"/>
  <c r="CQ55" i="2"/>
  <c r="CH124" i="30"/>
  <c r="CH58" i="2"/>
  <c r="CH125" i="34"/>
  <c r="CH66" i="2"/>
  <c r="CH127" i="2"/>
  <c r="CH132" i="2" s="1"/>
  <c r="CH134" i="2" s="1"/>
  <c r="T27" i="1" s="1"/>
  <c r="V37" i="1"/>
  <c r="CH99" i="2"/>
  <c r="CH101" i="2" s="1"/>
  <c r="CH81" i="2"/>
  <c r="CH82" i="2"/>
  <c r="CH89" i="2"/>
  <c r="CH90" i="2" s="1"/>
  <c r="CH94" i="2"/>
  <c r="CL116" i="2"/>
  <c r="CL123" i="2" s="1"/>
  <c r="V24" i="1" s="1"/>
  <c r="V38" i="1" s="1"/>
  <c r="CH123" i="2"/>
  <c r="T24" i="1" s="1"/>
  <c r="T25" i="1" l="1"/>
  <c r="T26" i="1" s="1"/>
  <c r="T38" i="1"/>
  <c r="T39" i="1"/>
  <c r="T28" i="1"/>
  <c r="CH124" i="2"/>
  <c r="CL127" i="2"/>
  <c r="CL132" i="2" s="1"/>
  <c r="CL134" i="2" s="1"/>
  <c r="CL136" i="2" s="1"/>
  <c r="CL124" i="2"/>
  <c r="FL10" i="25"/>
  <c r="FL11" i="25" s="1"/>
  <c r="CH143" i="2"/>
  <c r="CH161" i="2" s="1"/>
  <c r="CH83" i="2"/>
  <c r="CH74" i="2"/>
  <c r="EZ12" i="25"/>
  <c r="EZ24" i="25" s="1"/>
  <c r="CH136" i="2"/>
  <c r="CH135" i="2"/>
  <c r="CM135" i="2"/>
  <c r="CH20" i="19"/>
  <c r="CH104" i="2"/>
  <c r="CH105" i="2" s="1"/>
  <c r="CQ135" i="2" l="1"/>
  <c r="S98" i="1" s="1"/>
  <c r="CH95" i="2"/>
  <c r="EZ14" i="25" s="1"/>
  <c r="EZ25" i="25" s="1"/>
  <c r="CH9" i="13"/>
  <c r="CH91" i="2"/>
  <c r="CH162" i="2"/>
  <c r="CH163" i="2"/>
  <c r="CH54" i="12"/>
  <c r="FL12" i="25"/>
  <c r="FL13" i="25" s="1"/>
  <c r="CL135" i="2"/>
  <c r="CL10" i="19"/>
  <c r="V39" i="1"/>
  <c r="V27" i="1"/>
  <c r="CL67" i="13"/>
  <c r="CH25" i="19"/>
  <c r="CH41" i="19" s="1"/>
  <c r="CH30" i="19"/>
  <c r="CH46" i="19" s="1"/>
  <c r="W45" i="1" l="1"/>
  <c r="V45" i="1"/>
  <c r="V98" i="1"/>
  <c r="W98" i="1" s="1"/>
  <c r="R98" i="1"/>
  <c r="Q98" i="1" s="1"/>
  <c r="T8" i="21"/>
  <c r="EZ15" i="25"/>
  <c r="EZ26" i="25" s="1"/>
  <c r="CH164" i="2"/>
  <c r="CH21" i="19"/>
  <c r="CH26" i="19" l="1"/>
  <c r="CH42" i="19" s="1"/>
  <c r="CH31" i="19"/>
  <c r="CH47" i="19" s="1"/>
  <c r="CI65" i="2" l="1"/>
  <c r="CI80" i="2" s="1"/>
  <c r="CI66" i="2"/>
  <c r="CI83" i="2" s="1"/>
  <c r="CI95" i="2" s="1"/>
  <c r="FC14" i="25" s="1"/>
  <c r="CI74" i="2" l="1"/>
  <c r="CI143" i="2"/>
  <c r="CI161" i="2" s="1"/>
  <c r="CI93" i="2"/>
  <c r="CI73" i="2"/>
  <c r="CI100" i="2" s="1"/>
  <c r="CI98" i="2"/>
  <c r="CI99" i="2" l="1"/>
  <c r="CI101" i="2" s="1"/>
  <c r="CI91" i="2"/>
  <c r="CI9" i="13"/>
  <c r="CI82" i="2"/>
  <c r="CI89" i="2"/>
  <c r="CI90" i="2" s="1"/>
  <c r="CI94" i="2"/>
  <c r="CI81" i="2"/>
  <c r="CI20" i="13" l="1"/>
  <c r="CI22" i="13" s="1"/>
  <c r="CH20" i="13" s="1"/>
  <c r="CI52" i="12"/>
  <c r="CI54" i="12" s="1"/>
  <c r="CI104" i="2"/>
  <c r="CI105" i="2" s="1"/>
  <c r="CI162" i="2"/>
  <c r="CI163" i="2"/>
  <c r="FC15" i="25" l="1"/>
  <c r="T30" i="1"/>
  <c r="T31" i="1" s="1"/>
  <c r="CH22" i="13"/>
  <c r="CL20" i="13"/>
  <c r="CI164" i="2"/>
  <c r="CI11" i="19"/>
  <c r="CI81" i="13"/>
  <c r="CI45" i="13"/>
  <c r="CH81" i="13" l="1"/>
  <c r="CH92" i="13" s="1"/>
  <c r="CH93" i="13" s="1"/>
  <c r="CH45" i="13"/>
  <c r="CH48" i="13" s="1"/>
  <c r="CH9" i="12" s="1"/>
  <c r="CI92" i="13"/>
  <c r="CI93" i="13" s="1"/>
  <c r="CI46" i="13" l="1"/>
  <c r="CI48" i="13" s="1"/>
  <c r="CI9" i="12" s="1"/>
  <c r="CH57" i="12"/>
  <c r="CH61" i="12" s="1"/>
  <c r="CH23" i="18"/>
  <c r="CI57" i="12" l="1"/>
  <c r="CI61" i="12" s="1"/>
  <c r="CI23" i="18"/>
  <c r="CI25" i="18" s="1"/>
  <c r="CJ46" i="13"/>
  <c r="CI15" i="12"/>
  <c r="CI54" i="18"/>
  <c r="CI55" i="18" s="1"/>
  <c r="CI58" i="18" s="1"/>
  <c r="CL58" i="18" s="1"/>
  <c r="CH24" i="18"/>
  <c r="CH25" i="18"/>
  <c r="CI24" i="18" l="1"/>
  <c r="CH15" i="12"/>
  <c r="CH16" i="12" s="1"/>
  <c r="CJ15" i="12"/>
  <c r="CK15" i="12" s="1"/>
  <c r="CL15" i="12" s="1"/>
  <c r="CM15" i="12" s="1"/>
  <c r="CN15" i="12" s="1"/>
  <c r="CO15" i="12" s="1"/>
  <c r="CP15" i="12" s="1"/>
  <c r="CQ15" i="12" s="1"/>
  <c r="CR15" i="12" s="1"/>
  <c r="CS15" i="12" s="1"/>
  <c r="CT15" i="12" s="1"/>
  <c r="CU15" i="12" s="1"/>
  <c r="CV15" i="12" s="1"/>
  <c r="CI16" i="12"/>
  <c r="CI26" i="12" s="1"/>
  <c r="CI28" i="12" s="1"/>
  <c r="CJ65" i="2"/>
  <c r="CJ66" i="2"/>
  <c r="CJ83" i="2" l="1"/>
  <c r="CJ9" i="13" s="1"/>
  <c r="CJ22" i="13" s="1"/>
  <c r="CJ81" i="13" s="1"/>
  <c r="CJ143" i="2"/>
  <c r="CJ26" i="12"/>
  <c r="CK26" i="12" s="1"/>
  <c r="CL26" i="12" s="1"/>
  <c r="CM26" i="12" s="1"/>
  <c r="CN26" i="12" s="1"/>
  <c r="CO26" i="12" s="1"/>
  <c r="CP26" i="12" s="1"/>
  <c r="CQ26" i="12" s="1"/>
  <c r="CR26" i="12" s="1"/>
  <c r="CS26" i="12" s="1"/>
  <c r="CT26" i="12" s="1"/>
  <c r="CU26" i="12" s="1"/>
  <c r="CV26" i="12" s="1"/>
  <c r="CH26" i="12"/>
  <c r="CH28" i="12" s="1"/>
  <c r="CJ74" i="2"/>
  <c r="CJ80" i="2"/>
  <c r="CJ93" i="2" s="1"/>
  <c r="CJ98" i="2"/>
  <c r="CJ73" i="2"/>
  <c r="CJ100" i="2" s="1"/>
  <c r="CJ95" i="2" l="1"/>
  <c r="FF14" i="25" s="1"/>
  <c r="CJ47" i="12"/>
  <c r="CJ50" i="12" s="1"/>
  <c r="CJ52" i="12" s="1"/>
  <c r="CJ54" i="12" s="1"/>
  <c r="CJ150" i="2"/>
  <c r="CJ161" i="2" s="1"/>
  <c r="CJ99" i="2"/>
  <c r="CJ101" i="2" s="1"/>
  <c r="CJ82" i="2"/>
  <c r="CJ94" i="2"/>
  <c r="CJ81" i="2"/>
  <c r="CJ89" i="2"/>
  <c r="CJ90" i="2" s="1"/>
  <c r="CJ91" i="2"/>
  <c r="CJ104" i="2" l="1"/>
  <c r="CJ105" i="2" s="1"/>
  <c r="CJ163" i="2" l="1"/>
  <c r="CJ162" i="2"/>
  <c r="CJ45" i="13"/>
  <c r="CJ48" i="13" s="1"/>
  <c r="CJ164" i="2" l="1"/>
  <c r="CJ9" i="12"/>
  <c r="CJ16" i="12" s="1"/>
  <c r="FF15" i="25"/>
  <c r="CJ11" i="19"/>
  <c r="CJ92" i="13"/>
  <c r="CJ93" i="13" s="1"/>
  <c r="CJ57" i="12"/>
  <c r="CJ61" i="12" s="1"/>
  <c r="CJ28" i="12" l="1"/>
  <c r="CK46" i="13"/>
  <c r="CJ23" i="18"/>
  <c r="CK54" i="18" s="1"/>
  <c r="CK55" i="18" l="1"/>
  <c r="CK61" i="2" s="1"/>
  <c r="CL61" i="2" s="1"/>
  <c r="CL54" i="18"/>
  <c r="CJ25" i="18"/>
  <c r="CJ24" i="18"/>
  <c r="CL55" i="18" l="1"/>
  <c r="CL68" i="13" l="1"/>
  <c r="CL65" i="12"/>
  <c r="CK65" i="2"/>
  <c r="CL65" i="2" s="1"/>
  <c r="CK66" i="2"/>
  <c r="CL66" i="2" l="1"/>
  <c r="CL83" i="2" s="1"/>
  <c r="CL95" i="2" s="1"/>
  <c r="CK83" i="2"/>
  <c r="CK95" i="2" s="1"/>
  <c r="CK80" i="2"/>
  <c r="CK93" i="2" s="1"/>
  <c r="CK73" i="2"/>
  <c r="CK100" i="2" s="1"/>
  <c r="CK98" i="2"/>
  <c r="CL73" i="2"/>
  <c r="CK74" i="2"/>
  <c r="CK143" i="2"/>
  <c r="T9" i="21"/>
  <c r="CL76" i="13"/>
  <c r="CK150" i="2" l="1"/>
  <c r="CK161" i="2" s="1"/>
  <c r="CL74" i="2"/>
  <c r="CL98" i="2"/>
  <c r="CK99" i="2"/>
  <c r="CL99" i="2" s="1"/>
  <c r="FI14" i="25"/>
  <c r="CK91" i="2"/>
  <c r="CK9" i="13"/>
  <c r="CK47" i="12"/>
  <c r="CL143" i="2"/>
  <c r="T15" i="21"/>
  <c r="T16" i="21" s="1"/>
  <c r="CL77" i="13"/>
  <c r="CK94" i="2"/>
  <c r="CK82" i="2"/>
  <c r="CK89" i="2"/>
  <c r="CK90" i="2" s="1"/>
  <c r="CK81" i="2"/>
  <c r="CL80" i="2"/>
  <c r="CL93" i="2" s="1"/>
  <c r="CL100" i="2" l="1"/>
  <c r="CL78" i="13"/>
  <c r="V33" i="1"/>
  <c r="CK101" i="2"/>
  <c r="CL150" i="2"/>
  <c r="CL91" i="2"/>
  <c r="CL51" i="13"/>
  <c r="CK162" i="2"/>
  <c r="CK163" i="2"/>
  <c r="U30" i="1" s="1"/>
  <c r="CK50" i="12"/>
  <c r="CL47" i="12"/>
  <c r="CL81" i="2"/>
  <c r="CL82" i="2"/>
  <c r="V40" i="1" s="1"/>
  <c r="CL94" i="2"/>
  <c r="CL89" i="2"/>
  <c r="CL90" i="2" s="1"/>
  <c r="CK22" i="13"/>
  <c r="CL9" i="13"/>
  <c r="CL22" i="13" s="1"/>
  <c r="CK45" i="13" l="1"/>
  <c r="CK81" i="13"/>
  <c r="CL161" i="2"/>
  <c r="CL163" i="2" s="1"/>
  <c r="CL62" i="13"/>
  <c r="CL63" i="13" s="1"/>
  <c r="CL64" i="13" s="1"/>
  <c r="CL50" i="12"/>
  <c r="CK52" i="12"/>
  <c r="CK54" i="12" s="1"/>
  <c r="CK11" i="19"/>
  <c r="FI15" i="25"/>
  <c r="CK164" i="2"/>
  <c r="CK104" i="2"/>
  <c r="CK105" i="2" s="1"/>
  <c r="CL101" i="2"/>
  <c r="CL104" i="2" s="1"/>
  <c r="CL105" i="2" s="1"/>
  <c r="V54" i="1"/>
  <c r="V46" i="1"/>
  <c r="CL69" i="12"/>
  <c r="V32" i="1"/>
  <c r="V53" i="1" s="1"/>
  <c r="FL14" i="25"/>
  <c r="CL52" i="12" l="1"/>
  <c r="CL54" i="12" s="1"/>
  <c r="CL162" i="2"/>
  <c r="CK48" i="13"/>
  <c r="CL45" i="13"/>
  <c r="CK92" i="13"/>
  <c r="CK93" i="13" s="1"/>
  <c r="CL81" i="13"/>
  <c r="CL92" i="13" s="1"/>
  <c r="CL93" i="13" s="1"/>
  <c r="V30" i="1" l="1"/>
  <c r="CL11" i="19"/>
  <c r="FL15" i="25"/>
  <c r="CL164" i="2"/>
  <c r="CL94" i="13"/>
  <c r="CM46" i="13"/>
  <c r="CK9" i="12"/>
  <c r="CL48" i="13"/>
  <c r="CK57" i="12"/>
  <c r="CK23" i="18"/>
  <c r="CM54" i="18" s="1"/>
  <c r="CM55" i="18" s="1"/>
  <c r="V52" i="1" l="1"/>
  <c r="CL57" i="12"/>
  <c r="CK61" i="12"/>
  <c r="CL61" i="12" s="1"/>
  <c r="CK16" i="12"/>
  <c r="CK28" i="12" s="1"/>
  <c r="CL9" i="12"/>
  <c r="CL16" i="12" s="1"/>
  <c r="CK25" i="18"/>
  <c r="CK24" i="18"/>
  <c r="CQ46" i="13"/>
  <c r="CL23" i="18"/>
  <c r="V12" i="1" l="1"/>
  <c r="V13" i="1" s="1"/>
  <c r="CM61" i="2"/>
  <c r="CL28" i="12"/>
  <c r="CL24" i="18"/>
  <c r="CL25" i="18"/>
  <c r="CL66" i="12"/>
  <c r="CL64" i="12"/>
  <c r="CL68" i="12" l="1"/>
  <c r="CM65" i="2"/>
  <c r="CM66" i="2"/>
  <c r="CM143" i="2" s="1"/>
  <c r="V51" i="1"/>
  <c r="V50" i="1"/>
  <c r="CM70" i="2" l="1"/>
  <c r="CM69" i="2" s="1"/>
  <c r="CM13" i="13" s="1"/>
  <c r="CM42" i="12" s="1"/>
  <c r="CM150" i="2"/>
  <c r="CM98" i="2"/>
  <c r="CM161" i="2" l="1"/>
  <c r="CM74" i="2"/>
  <c r="CM83" i="2"/>
  <c r="CM95" i="2" s="1"/>
  <c r="FO14" i="25" s="1"/>
  <c r="CM72" i="2"/>
  <c r="CM73" i="2" s="1"/>
  <c r="CM47" i="12" l="1"/>
  <c r="CM50" i="12" s="1"/>
  <c r="CM52" i="12" s="1"/>
  <c r="CM54" i="12" s="1"/>
  <c r="CM91" i="2"/>
  <c r="CM9" i="13"/>
  <c r="CM22" i="13" s="1"/>
  <c r="CM162" i="2"/>
  <c r="CM163" i="2"/>
  <c r="CM100" i="2"/>
  <c r="CM99" i="2" s="1"/>
  <c r="CM80" i="2"/>
  <c r="CM93" i="2" s="1"/>
  <c r="CM81" i="13" l="1"/>
  <c r="CM45" i="13"/>
  <c r="CM82" i="2"/>
  <c r="CM81" i="2"/>
  <c r="CM89" i="2"/>
  <c r="CM90" i="2" s="1"/>
  <c r="CM94" i="2"/>
  <c r="CM11" i="19"/>
  <c r="FO15" i="25"/>
  <c r="CM164" i="2"/>
  <c r="CM101" i="2"/>
  <c r="CM104" i="2" l="1"/>
  <c r="CM105" i="2" s="1"/>
  <c r="CM48" i="13"/>
  <c r="CM92" i="13"/>
  <c r="CM93" i="13" s="1"/>
  <c r="CM9" i="12" l="1"/>
  <c r="CM16" i="12" s="1"/>
  <c r="CM28" i="12" s="1"/>
  <c r="CN46" i="13"/>
  <c r="CM57" i="12"/>
  <c r="CM61" i="12" s="1"/>
  <c r="CM23" i="18"/>
  <c r="CN54" i="18" s="1"/>
  <c r="CM25" i="18" l="1"/>
  <c r="CM24" i="18"/>
  <c r="CN55" i="18" l="1"/>
  <c r="CN61" i="2" s="1"/>
  <c r="CN65" i="2" l="1"/>
  <c r="CN66" i="2"/>
  <c r="CN70" i="2" l="1"/>
  <c r="CN83" i="2" s="1"/>
  <c r="CN95" i="2" s="1"/>
  <c r="CN143" i="2"/>
  <c r="CN150" i="2" s="1"/>
  <c r="CN98" i="2"/>
  <c r="FR14" i="25" l="1"/>
  <c r="CN91" i="2"/>
  <c r="CN9" i="13"/>
  <c r="CN47" i="12"/>
  <c r="CN161" i="2"/>
  <c r="CN74" i="2"/>
  <c r="CN69" i="2"/>
  <c r="CN13" i="13" s="1"/>
  <c r="CN72" i="2"/>
  <c r="CN163" i="2" l="1"/>
  <c r="CN162" i="2"/>
  <c r="CN73" i="2"/>
  <c r="CN100" i="2" s="1"/>
  <c r="CN99" i="2" s="1"/>
  <c r="CN80" i="2"/>
  <c r="CN93" i="2" s="1"/>
  <c r="CN50" i="12"/>
  <c r="CN52" i="12" s="1"/>
  <c r="CN42" i="12" l="1"/>
  <c r="CN22" i="13"/>
  <c r="CN38" i="12"/>
  <c r="CN101" i="2"/>
  <c r="CN82" i="2"/>
  <c r="CN81" i="2"/>
  <c r="CN89" i="2"/>
  <c r="CN90" i="2" s="1"/>
  <c r="CN94" i="2"/>
  <c r="FR15" i="25"/>
  <c r="CN164" i="2"/>
  <c r="CN11" i="19"/>
  <c r="CN81" i="13" l="1"/>
  <c r="CN92" i="13" s="1"/>
  <c r="CN93" i="13" s="1"/>
  <c r="CN54" i="12"/>
  <c r="CN45" i="13"/>
  <c r="CN48" i="13" s="1"/>
  <c r="CN104" i="2"/>
  <c r="CN105" i="2" s="1"/>
  <c r="CN57" i="12" l="1"/>
  <c r="CN61" i="12" s="1"/>
  <c r="CO46" i="13"/>
  <c r="CN9" i="12"/>
  <c r="CN16" i="12" s="1"/>
  <c r="CN28" i="12" s="1"/>
  <c r="CN23" i="18"/>
  <c r="CN24" i="18" l="1"/>
  <c r="CN25" i="18"/>
  <c r="CO54" i="18"/>
  <c r="CO55" i="18" l="1"/>
  <c r="CO61" i="2" s="1"/>
  <c r="CO65" i="2" l="1"/>
  <c r="CO66" i="2"/>
  <c r="CO143" i="2" l="1"/>
  <c r="CO150" i="2" s="1"/>
  <c r="CO70" i="2"/>
  <c r="CO98" i="2"/>
  <c r="CO83" i="2" l="1"/>
  <c r="CO95" i="2" s="1"/>
  <c r="FU14" i="25" s="1"/>
  <c r="CO69" i="2"/>
  <c r="CO72" i="2"/>
  <c r="CO74" i="2"/>
  <c r="CO161" i="2"/>
  <c r="CO47" i="12" l="1"/>
  <c r="CO50" i="12" s="1"/>
  <c r="CO52" i="12" s="1"/>
  <c r="CO9" i="13"/>
  <c r="CO91" i="2"/>
  <c r="CO13" i="13"/>
  <c r="CO73" i="2"/>
  <c r="CO100" i="2" s="1"/>
  <c r="CO99" i="2" s="1"/>
  <c r="CO80" i="2"/>
  <c r="CO93" i="2" s="1"/>
  <c r="CO163" i="2"/>
  <c r="CO162" i="2"/>
  <c r="CO22" i="13" l="1"/>
  <c r="CO81" i="13" s="1"/>
  <c r="CO42" i="12"/>
  <c r="CO38" i="12"/>
  <c r="CO164" i="2"/>
  <c r="CO11" i="19"/>
  <c r="FU15" i="25"/>
  <c r="CO81" i="2"/>
  <c r="CO82" i="2"/>
  <c r="CO89" i="2"/>
  <c r="CO90" i="2" s="1"/>
  <c r="CO94" i="2"/>
  <c r="CO101" i="2"/>
  <c r="CO45" i="13" l="1"/>
  <c r="CO48" i="13" s="1"/>
  <c r="CO54" i="12"/>
  <c r="CO92" i="13"/>
  <c r="CO93" i="13" s="1"/>
  <c r="CO104" i="2"/>
  <c r="CO105" i="2" s="1"/>
  <c r="CP46" i="13" l="1"/>
  <c r="CO57" i="12"/>
  <c r="CO61" i="12" s="1"/>
  <c r="CO9" i="12"/>
  <c r="CO16" i="12" s="1"/>
  <c r="CO28" i="12" s="1"/>
  <c r="CO23" i="18"/>
  <c r="CO25" i="18" l="1"/>
  <c r="CO24" i="18"/>
  <c r="CP54" i="18"/>
  <c r="CP55" i="18" l="1"/>
  <c r="CP61" i="2" s="1"/>
  <c r="CQ61" i="2" s="1"/>
  <c r="CQ54" i="18"/>
  <c r="CQ55" i="18" s="1"/>
  <c r="CQ65" i="12" l="1"/>
  <c r="CQ68" i="13"/>
  <c r="CQ76" i="13" s="1"/>
  <c r="CP65" i="2"/>
  <c r="CP66" i="2"/>
  <c r="CQ66" i="2" l="1"/>
  <c r="CP70" i="2"/>
  <c r="CP83" i="2" s="1"/>
  <c r="CP95" i="2" s="1"/>
  <c r="CP143" i="2"/>
  <c r="CP150" i="2" s="1"/>
  <c r="CP98" i="2"/>
  <c r="CQ65" i="2"/>
  <c r="U9" i="21"/>
  <c r="CQ98" i="2" l="1"/>
  <c r="CP91" i="2"/>
  <c r="FX14" i="25"/>
  <c r="CP9" i="13"/>
  <c r="CQ9" i="13" s="1"/>
  <c r="CP47" i="12"/>
  <c r="CP161" i="2"/>
  <c r="CQ143" i="2"/>
  <c r="U15" i="21"/>
  <c r="U16" i="21" s="1"/>
  <c r="CQ77" i="13"/>
  <c r="CP69" i="2"/>
  <c r="CP13" i="13" s="1"/>
  <c r="CQ13" i="13" s="1"/>
  <c r="CP74" i="2"/>
  <c r="CP72" i="2"/>
  <c r="CQ70" i="2"/>
  <c r="CQ83" i="2" s="1"/>
  <c r="CQ95" i="2" s="1"/>
  <c r="CQ22" i="13" l="1"/>
  <c r="CP42" i="12"/>
  <c r="CQ42" i="12" s="1"/>
  <c r="CQ69" i="2"/>
  <c r="CQ54" i="13" s="1"/>
  <c r="CQ91" i="2"/>
  <c r="CQ51" i="13"/>
  <c r="CP73" i="2"/>
  <c r="CP100" i="2" s="1"/>
  <c r="CP99" i="2" s="1"/>
  <c r="CQ72" i="2"/>
  <c r="CQ73" i="2" s="1"/>
  <c r="CP80" i="2"/>
  <c r="CP93" i="2" s="1"/>
  <c r="CQ78" i="13"/>
  <c r="W33" i="1"/>
  <c r="CP50" i="12"/>
  <c r="CQ47" i="12"/>
  <c r="CP22" i="13"/>
  <c r="CP162" i="2"/>
  <c r="CP163" i="2"/>
  <c r="CQ74" i="2"/>
  <c r="CQ150" i="2"/>
  <c r="CQ161" i="2" s="1"/>
  <c r="CQ37" i="12" l="1"/>
  <c r="CR37" i="12" s="1"/>
  <c r="CS37" i="12" s="1"/>
  <c r="CT37" i="12" s="1"/>
  <c r="CU37" i="12" s="1"/>
  <c r="CP38" i="12"/>
  <c r="CQ62" i="13"/>
  <c r="CQ63" i="13" s="1"/>
  <c r="CQ64" i="13" s="1"/>
  <c r="FX15" i="25"/>
  <c r="CP164" i="2"/>
  <c r="CP11" i="19"/>
  <c r="CP82" i="2"/>
  <c r="CP81" i="2"/>
  <c r="CP89" i="2"/>
  <c r="CP90" i="2" s="1"/>
  <c r="CP94" i="2"/>
  <c r="CQ80" i="2"/>
  <c r="CQ93" i="2" s="1"/>
  <c r="CQ162" i="2"/>
  <c r="CQ163" i="2"/>
  <c r="CP81" i="13"/>
  <c r="CP45" i="13"/>
  <c r="GA14" i="25"/>
  <c r="W32" i="1"/>
  <c r="W53" i="1" s="1"/>
  <c r="CQ99" i="2"/>
  <c r="CQ100" i="2" s="1"/>
  <c r="CP101" i="2"/>
  <c r="CQ50" i="12"/>
  <c r="CP52" i="12"/>
  <c r="W46" i="1"/>
  <c r="W54" i="1"/>
  <c r="CQ52" i="12" l="1"/>
  <c r="CP54" i="12"/>
  <c r="CQ38" i="12"/>
  <c r="GA15" i="25"/>
  <c r="CQ164" i="2"/>
  <c r="CQ11" i="19"/>
  <c r="W30" i="1"/>
  <c r="CP48" i="13"/>
  <c r="CQ45" i="13"/>
  <c r="CP92" i="13"/>
  <c r="CP93" i="13" s="1"/>
  <c r="CQ81" i="13"/>
  <c r="CQ92" i="13" s="1"/>
  <c r="CQ93" i="13" s="1"/>
  <c r="CP104" i="2"/>
  <c r="CP105" i="2" s="1"/>
  <c r="CQ101" i="2"/>
  <c r="CQ104" i="2" s="1"/>
  <c r="CQ105" i="2" s="1"/>
  <c r="CQ69" i="12"/>
  <c r="CQ81" i="2"/>
  <c r="CQ82" i="2"/>
  <c r="W40" i="1" s="1"/>
  <c r="CQ89" i="2"/>
  <c r="CQ90" i="2" s="1"/>
  <c r="CQ94" i="2"/>
  <c r="CQ54" i="12" l="1"/>
  <c r="CR46" i="13"/>
  <c r="CP9" i="12"/>
  <c r="CQ48" i="13"/>
  <c r="CP57" i="12"/>
  <c r="CP23" i="18"/>
  <c r="CR54" i="18" s="1"/>
  <c r="W52" i="1"/>
  <c r="CQ94" i="13"/>
  <c r="CQ57" i="12" l="1"/>
  <c r="CP61" i="12"/>
  <c r="CQ61" i="12" s="1"/>
  <c r="W12" i="1" s="1"/>
  <c r="CV46" i="13"/>
  <c r="CQ23" i="18"/>
  <c r="CP24" i="18"/>
  <c r="CP25" i="18"/>
  <c r="CP16" i="12"/>
  <c r="CP28" i="12" s="1"/>
  <c r="CQ9" i="12"/>
  <c r="CQ16" i="12" s="1"/>
  <c r="Q61" i="1" l="1"/>
  <c r="Q62" i="1" s="1"/>
  <c r="Q64" i="1" s="1"/>
  <c r="Q65" i="1" s="1"/>
  <c r="P25" i="21"/>
  <c r="CQ66" i="12"/>
  <c r="CQ64" i="12"/>
  <c r="CR55" i="18"/>
  <c r="CR61" i="2" s="1"/>
  <c r="CQ24" i="18"/>
  <c r="CQ25" i="18"/>
  <c r="CQ28" i="12"/>
  <c r="S61" i="1" l="1"/>
  <c r="Q25" i="21"/>
  <c r="CR65" i="2"/>
  <c r="CR66" i="2"/>
  <c r="H16" i="26"/>
  <c r="W13" i="1"/>
  <c r="CQ68" i="12"/>
  <c r="W50" i="1" l="1"/>
  <c r="W51" i="1"/>
  <c r="J16" i="26"/>
  <c r="F16" i="26"/>
  <c r="G16" i="26"/>
  <c r="I16" i="26"/>
  <c r="S62" i="1"/>
  <c r="S64" i="1" s="1"/>
  <c r="S65" i="1" s="1"/>
  <c r="CR70" i="2"/>
  <c r="CR83" i="2" s="1"/>
  <c r="CR95" i="2" s="1"/>
  <c r="CR143" i="2"/>
  <c r="CR150" i="2" s="1"/>
  <c r="CR98" i="2"/>
  <c r="CR91" i="2" l="1"/>
  <c r="CR9" i="13"/>
  <c r="CR47" i="12"/>
  <c r="CR74" i="2"/>
  <c r="CR69" i="2"/>
  <c r="CR13" i="13" s="1"/>
  <c r="CR72" i="2"/>
  <c r="CR42" i="12" l="1"/>
  <c r="CR50" i="12"/>
  <c r="CR52" i="12" s="1"/>
  <c r="CR73" i="2"/>
  <c r="CR100" i="2" s="1"/>
  <c r="CR99" i="2" s="1"/>
  <c r="CR80" i="2"/>
  <c r="CR93" i="2" s="1"/>
  <c r="CR94" i="2" s="1"/>
  <c r="CR161" i="2"/>
  <c r="CR22" i="13" l="1"/>
  <c r="CR38" i="12"/>
  <c r="CR54" i="12" s="1"/>
  <c r="CR82" i="2"/>
  <c r="CR89" i="2"/>
  <c r="CR90" i="2" s="1"/>
  <c r="CR81" i="2"/>
  <c r="CR101" i="2"/>
  <c r="CR162" i="2"/>
  <c r="CR163" i="2"/>
  <c r="CR81" i="13" l="1"/>
  <c r="CR92" i="13" s="1"/>
  <c r="CR93" i="13" s="1"/>
  <c r="CR45" i="13"/>
  <c r="CR48" i="13" s="1"/>
  <c r="CR104" i="2"/>
  <c r="CR105" i="2" s="1"/>
  <c r="CR11" i="19"/>
  <c r="CR164" i="2"/>
  <c r="CS46" i="13" l="1"/>
  <c r="CR9" i="12"/>
  <c r="CR16" i="12" s="1"/>
  <c r="CR28" i="12" s="1"/>
  <c r="CR1" i="12" s="1"/>
  <c r="CR57" i="12"/>
  <c r="CR61" i="12" s="1"/>
  <c r="CR23" i="18"/>
  <c r="CS54" i="18" s="1"/>
  <c r="CR24" i="18" l="1"/>
  <c r="CR25" i="18"/>
  <c r="CS55" i="18" l="1"/>
  <c r="CS61" i="2" s="1"/>
  <c r="CS65" i="2" l="1"/>
  <c r="CS66" i="2"/>
  <c r="CS70" i="2" l="1"/>
  <c r="CS83" i="2" s="1"/>
  <c r="CS95" i="2" s="1"/>
  <c r="CS143" i="2"/>
  <c r="CS150" i="2" s="1"/>
  <c r="CS98" i="2"/>
  <c r="CS91" i="2" l="1"/>
  <c r="CS9" i="13"/>
  <c r="CS47" i="12"/>
  <c r="CS72" i="2"/>
  <c r="CS69" i="2"/>
  <c r="CS13" i="13" s="1"/>
  <c r="CS74" i="2"/>
  <c r="CS42" i="12" l="1"/>
  <c r="CS50" i="12"/>
  <c r="CS52" i="12" s="1"/>
  <c r="CS73" i="2"/>
  <c r="CS100" i="2" s="1"/>
  <c r="CS99" i="2" s="1"/>
  <c r="CS80" i="2"/>
  <c r="CS93" i="2" s="1"/>
  <c r="CS161" i="2"/>
  <c r="CS22" i="13" l="1"/>
  <c r="CS38" i="12"/>
  <c r="CS54" i="12" s="1"/>
  <c r="CS162" i="2"/>
  <c r="CS163" i="2"/>
  <c r="CS101" i="2"/>
  <c r="CS94" i="2"/>
  <c r="CS89" i="2"/>
  <c r="CS90" i="2" s="1"/>
  <c r="CS82" i="2"/>
  <c r="CS81" i="2"/>
  <c r="CS81" i="13" l="1"/>
  <c r="CS92" i="13" s="1"/>
  <c r="CS93" i="13" s="1"/>
  <c r="CS45" i="13"/>
  <c r="CS48" i="13" s="1"/>
  <c r="CS104" i="2"/>
  <c r="CS105" i="2" s="1"/>
  <c r="CS11" i="19"/>
  <c r="CS164" i="2"/>
  <c r="CT46" i="13" l="1"/>
  <c r="CS9" i="12"/>
  <c r="CS16" i="12" s="1"/>
  <c r="CS28" i="12" s="1"/>
  <c r="CS1" i="12" s="1"/>
  <c r="CS57" i="12"/>
  <c r="CS61" i="12" s="1"/>
  <c r="CS23" i="18"/>
  <c r="CS24" i="18" l="1"/>
  <c r="CS25" i="18"/>
  <c r="CT54" i="18"/>
  <c r="CT55" i="18" l="1"/>
  <c r="CT61" i="2" s="1"/>
  <c r="CT65" i="2" l="1"/>
  <c r="CT66" i="2"/>
  <c r="CT70" i="2" l="1"/>
  <c r="CT83" i="2" s="1"/>
  <c r="CT95" i="2" s="1"/>
  <c r="CT143" i="2"/>
  <c r="CT150" i="2" s="1"/>
  <c r="CT98" i="2"/>
  <c r="CT91" i="2" l="1"/>
  <c r="CT9" i="13"/>
  <c r="CT47" i="12"/>
  <c r="CT69" i="2"/>
  <c r="CT13" i="13" s="1"/>
  <c r="CT74" i="2"/>
  <c r="CT72" i="2"/>
  <c r="CT42" i="12" l="1"/>
  <c r="CT50" i="12"/>
  <c r="CT52" i="12" s="1"/>
  <c r="CT73" i="2"/>
  <c r="CT100" i="2" s="1"/>
  <c r="CT99" i="2" s="1"/>
  <c r="CT80" i="2"/>
  <c r="CT93" i="2" s="1"/>
  <c r="CT161" i="2"/>
  <c r="CT22" i="13" l="1"/>
  <c r="CT38" i="12"/>
  <c r="CT54" i="12" s="1"/>
  <c r="CT101" i="2"/>
  <c r="CT162" i="2"/>
  <c r="CT163" i="2"/>
  <c r="CT89" i="2"/>
  <c r="CT90" i="2" s="1"/>
  <c r="CT94" i="2"/>
  <c r="CT82" i="2"/>
  <c r="CT81" i="2"/>
  <c r="CT81" i="13" l="1"/>
  <c r="CT92" i="13" s="1"/>
  <c r="CT93" i="13" s="1"/>
  <c r="CT45" i="13"/>
  <c r="CT48" i="13" s="1"/>
  <c r="CT164" i="2"/>
  <c r="CT11" i="19"/>
  <c r="CT104" i="2"/>
  <c r="CT105" i="2" s="1"/>
  <c r="CT9" i="12" l="1"/>
  <c r="CT16" i="12" s="1"/>
  <c r="CT28" i="12" s="1"/>
  <c r="CT1" i="12" s="1"/>
  <c r="CU46" i="13"/>
  <c r="CT57" i="12"/>
  <c r="CT61" i="12" s="1"/>
  <c r="CT23" i="18"/>
  <c r="CT25" i="18" l="1"/>
  <c r="CT24" i="18"/>
  <c r="CU54" i="18"/>
  <c r="CU55" i="18" l="1"/>
  <c r="CU61" i="2" s="1"/>
  <c r="CV61" i="2" s="1"/>
  <c r="CV54" i="18"/>
  <c r="CV55" i="18" s="1"/>
  <c r="CV65" i="12" l="1"/>
  <c r="CV68" i="13"/>
  <c r="V9" i="21" s="1"/>
  <c r="CU65" i="2"/>
  <c r="CU66" i="2"/>
  <c r="CV76" i="13" l="1"/>
  <c r="CU70" i="2"/>
  <c r="CU83" i="2" s="1"/>
  <c r="CU95" i="2" s="1"/>
  <c r="CU143" i="2"/>
  <c r="CU150" i="2" s="1"/>
  <c r="CV66" i="2"/>
  <c r="CU98" i="2"/>
  <c r="CV65" i="2"/>
  <c r="V15" i="21" l="1"/>
  <c r="V16" i="21" s="1"/>
  <c r="CV150" i="2"/>
  <c r="CV98" i="2"/>
  <c r="CV77" i="13"/>
  <c r="CU91" i="2"/>
  <c r="CU9" i="13"/>
  <c r="CV9" i="13" s="1"/>
  <c r="CU47" i="12"/>
  <c r="CV143" i="2"/>
  <c r="CU74" i="2"/>
  <c r="CU69" i="2"/>
  <c r="CU13" i="13" s="1"/>
  <c r="CV13" i="13" s="1"/>
  <c r="CU72" i="2"/>
  <c r="CV70" i="2"/>
  <c r="CV83" i="2" s="1"/>
  <c r="CV95" i="2" s="1"/>
  <c r="W15" i="21" l="1"/>
  <c r="CV69" i="2"/>
  <c r="CV54" i="13" s="1"/>
  <c r="CU161" i="2"/>
  <c r="CU162" i="2" s="1"/>
  <c r="CV91" i="2"/>
  <c r="CV51" i="13"/>
  <c r="CU73" i="2"/>
  <c r="CU100" i="2" s="1"/>
  <c r="CU99" i="2" s="1"/>
  <c r="CV72" i="2"/>
  <c r="CV73" i="2" s="1"/>
  <c r="CU80" i="2"/>
  <c r="CU93" i="2" s="1"/>
  <c r="CU94" i="2" s="1"/>
  <c r="CV78" i="13"/>
  <c r="X33" i="1"/>
  <c r="X46" i="1" s="1"/>
  <c r="CV161" i="2"/>
  <c r="CV47" i="12"/>
  <c r="CU50" i="12"/>
  <c r="X15" i="21"/>
  <c r="Y15" i="21" s="1"/>
  <c r="Z15" i="21" s="1"/>
  <c r="AA15" i="21" s="1"/>
  <c r="AB15" i="21" s="1"/>
  <c r="AC15" i="21" s="1"/>
  <c r="AD15" i="21" s="1"/>
  <c r="P19" i="21" s="1"/>
  <c r="P21" i="21" s="1"/>
  <c r="CV74" i="2"/>
  <c r="Z33" i="1" l="1"/>
  <c r="CU22" i="13"/>
  <c r="CU42" i="12"/>
  <c r="CV42" i="12" s="1"/>
  <c r="CV62" i="13"/>
  <c r="CV63" i="13" s="1"/>
  <c r="CV64" i="13" s="1"/>
  <c r="CV22" i="13"/>
  <c r="CU163" i="2"/>
  <c r="AA19" i="21"/>
  <c r="Y26" i="21"/>
  <c r="AB26" i="21"/>
  <c r="AD24" i="21"/>
  <c r="AA25" i="21"/>
  <c r="Y25" i="21"/>
  <c r="Z21" i="21"/>
  <c r="AB21" i="21"/>
  <c r="AC20" i="21"/>
  <c r="Y23" i="21"/>
  <c r="X19" i="21"/>
  <c r="AB24" i="21"/>
  <c r="X21" i="21"/>
  <c r="AA24" i="21"/>
  <c r="Z19" i="21"/>
  <c r="AA23" i="21"/>
  <c r="W64" i="1" s="1"/>
  <c r="Z64" i="1" s="1"/>
  <c r="Y19" i="21"/>
  <c r="AB20" i="21"/>
  <c r="X20" i="21"/>
  <c r="AC25" i="21"/>
  <c r="AD22" i="21"/>
  <c r="X27" i="21"/>
  <c r="P24" i="21"/>
  <c r="Q24" i="21" s="1"/>
  <c r="Y20" i="21"/>
  <c r="AB23" i="21"/>
  <c r="Y22" i="21"/>
  <c r="AA22" i="21"/>
  <c r="AC27" i="21"/>
  <c r="AD21" i="21"/>
  <c r="AB27" i="21"/>
  <c r="AC19" i="21"/>
  <c r="AD20" i="21"/>
  <c r="AD19" i="21"/>
  <c r="AB19" i="21"/>
  <c r="Y21" i="21"/>
  <c r="AD23" i="21"/>
  <c r="AA21" i="21"/>
  <c r="Y27" i="21"/>
  <c r="AC24" i="21"/>
  <c r="Z23" i="21"/>
  <c r="AA27" i="21"/>
  <c r="AB22" i="21"/>
  <c r="AB25" i="21"/>
  <c r="CU52" i="12"/>
  <c r="CV50" i="12"/>
  <c r="CV162" i="2"/>
  <c r="CV163" i="2"/>
  <c r="AA20" i="21"/>
  <c r="CU81" i="2"/>
  <c r="CU89" i="2"/>
  <c r="CU90" i="2" s="1"/>
  <c r="CU82" i="2"/>
  <c r="CV80" i="2"/>
  <c r="CV93" i="2" s="1"/>
  <c r="AD25" i="21"/>
  <c r="GP14" i="25"/>
  <c r="X32" i="1"/>
  <c r="AD26" i="21"/>
  <c r="Z24" i="21"/>
  <c r="Z22" i="21"/>
  <c r="AD27" i="21"/>
  <c r="X25" i="21"/>
  <c r="X26" i="21"/>
  <c r="AC21" i="21"/>
  <c r="AC22" i="21"/>
  <c r="Z20" i="21"/>
  <c r="X22" i="21"/>
  <c r="Y24" i="21"/>
  <c r="AC23" i="21"/>
  <c r="X54" i="1"/>
  <c r="CV99" i="2"/>
  <c r="CV100" i="2" s="1"/>
  <c r="CU101" i="2"/>
  <c r="P26" i="21"/>
  <c r="Q26" i="21" s="1"/>
  <c r="Z34" i="21"/>
  <c r="Z26" i="21"/>
  <c r="AC26" i="21"/>
  <c r="X24" i="21"/>
  <c r="Z25" i="21"/>
  <c r="X23" i="21"/>
  <c r="AA26" i="21"/>
  <c r="Z27" i="21"/>
  <c r="CV52" i="12" l="1"/>
  <c r="Z60" i="1"/>
  <c r="E101" i="1" s="1"/>
  <c r="Z59" i="1"/>
  <c r="E70" i="1" s="1"/>
  <c r="Z65" i="1"/>
  <c r="Z61" i="1"/>
  <c r="CU81" i="13"/>
  <c r="CU92" i="13" s="1"/>
  <c r="CU93" i="13" s="1"/>
  <c r="CU45" i="13"/>
  <c r="CU48" i="13" s="1"/>
  <c r="CU38" i="12"/>
  <c r="CU54" i="12" s="1"/>
  <c r="CV37" i="12"/>
  <c r="CV38" i="12" s="1"/>
  <c r="CU164" i="2"/>
  <c r="CU11" i="19"/>
  <c r="X53" i="1"/>
  <c r="Z32" i="1"/>
  <c r="W65" i="1"/>
  <c r="GP15" i="25"/>
  <c r="X30" i="1"/>
  <c r="CV11" i="19"/>
  <c r="CV164" i="2"/>
  <c r="CU104" i="2"/>
  <c r="CU105" i="2" s="1"/>
  <c r="CV101" i="2"/>
  <c r="CV104" i="2" s="1"/>
  <c r="CV105" i="2" s="1"/>
  <c r="CV69" i="12"/>
  <c r="CV81" i="2"/>
  <c r="CV82" i="2"/>
  <c r="X40" i="1" s="1"/>
  <c r="CV89" i="2"/>
  <c r="CV90" i="2" s="1"/>
  <c r="CV94" i="2"/>
  <c r="H24" i="26"/>
  <c r="H14" i="26"/>
  <c r="P27" i="21"/>
  <c r="Q27" i="21" s="1"/>
  <c r="CV81" i="13" l="1"/>
  <c r="CV92" i="13" s="1"/>
  <c r="CV93" i="13" s="1"/>
  <c r="CV94" i="13" s="1"/>
  <c r="CV45" i="13"/>
  <c r="CV54" i="12"/>
  <c r="X52" i="1"/>
  <c r="W70" i="1"/>
  <c r="S70" i="1"/>
  <c r="V70" i="1"/>
  <c r="Q70" i="1"/>
  <c r="R70" i="1"/>
  <c r="E69" i="1"/>
  <c r="E71" i="1"/>
  <c r="CU23" i="18"/>
  <c r="CV48" i="13"/>
  <c r="CU57" i="12"/>
  <c r="CU9" i="12"/>
  <c r="J14" i="26"/>
  <c r="J15" i="26" s="1"/>
  <c r="J17" i="26" s="1"/>
  <c r="J19" i="26" s="1"/>
  <c r="J20" i="26" s="1"/>
  <c r="H15" i="26"/>
  <c r="H17" i="26" s="1"/>
  <c r="H19" i="26" s="1"/>
  <c r="H20" i="26" s="1"/>
  <c r="F14" i="26"/>
  <c r="F15" i="26" s="1"/>
  <c r="F17" i="26" s="1"/>
  <c r="F19" i="26" s="1"/>
  <c r="F20" i="26" s="1"/>
  <c r="I14" i="26"/>
  <c r="I15" i="26" s="1"/>
  <c r="I17" i="26" s="1"/>
  <c r="I19" i="26" s="1"/>
  <c r="G14" i="26"/>
  <c r="G15" i="26" s="1"/>
  <c r="G17" i="26" s="1"/>
  <c r="G19" i="26" s="1"/>
  <c r="H25" i="26"/>
  <c r="V101" i="1"/>
  <c r="Q101" i="1"/>
  <c r="S101" i="1"/>
  <c r="R101" i="1"/>
  <c r="W101" i="1"/>
  <c r="E100" i="1"/>
  <c r="E102" i="1"/>
  <c r="Q69" i="1" l="1"/>
  <c r="R69" i="1"/>
  <c r="S69" i="1"/>
  <c r="V69" i="1"/>
  <c r="W69" i="1"/>
  <c r="E68" i="1"/>
  <c r="CU16" i="12"/>
  <c r="CU28" i="12" s="1"/>
  <c r="CU1" i="12" s="1"/>
  <c r="CV9" i="12"/>
  <c r="CV16" i="12" s="1"/>
  <c r="H22" i="26"/>
  <c r="H28" i="26" s="1"/>
  <c r="CV57" i="12"/>
  <c r="CU61" i="12"/>
  <c r="CV61" i="12" s="1"/>
  <c r="X12" i="1" s="1"/>
  <c r="CV23" i="18"/>
  <c r="G20" i="26"/>
  <c r="CU25" i="18"/>
  <c r="CU24" i="18"/>
  <c r="Q102" i="1"/>
  <c r="V102" i="1"/>
  <c r="R102" i="1"/>
  <c r="W102" i="1"/>
  <c r="S102" i="1"/>
  <c r="E103" i="1"/>
  <c r="V100" i="1"/>
  <c r="R100" i="1"/>
  <c r="S100" i="1"/>
  <c r="Q100" i="1"/>
  <c r="W100" i="1"/>
  <c r="E99" i="1"/>
  <c r="I20" i="26"/>
  <c r="W71" i="1"/>
  <c r="V71" i="1"/>
  <c r="Q71" i="1"/>
  <c r="R71" i="1"/>
  <c r="S71" i="1"/>
  <c r="E72" i="1"/>
  <c r="R68" i="1" l="1"/>
  <c r="S68" i="1"/>
  <c r="V68" i="1"/>
  <c r="Q68" i="1"/>
  <c r="W68" i="1"/>
  <c r="W72" i="1"/>
  <c r="R72" i="1"/>
  <c r="Q72" i="1"/>
  <c r="V72" i="1"/>
  <c r="S72" i="1"/>
  <c r="W99" i="1"/>
  <c r="V99" i="1"/>
  <c r="S99" i="1"/>
  <c r="Q99" i="1"/>
  <c r="R99" i="1"/>
  <c r="CV24" i="18"/>
  <c r="CV25" i="18"/>
  <c r="CV64" i="12"/>
  <c r="CV66" i="12"/>
  <c r="X13" i="1"/>
  <c r="CV28" i="12"/>
  <c r="S103" i="1"/>
  <c r="Q103" i="1"/>
  <c r="W103" i="1"/>
  <c r="R103" i="1"/>
  <c r="V103" i="1"/>
  <c r="CV68" i="12" l="1"/>
  <c r="X51" i="1"/>
  <c r="X50" i="1"/>
  <c r="CM26" i="33"/>
  <c r="CM43" i="33" s="1"/>
  <c r="CM34" i="33" l="1"/>
  <c r="CM32" i="33" s="1"/>
  <c r="CR27" i="33"/>
  <c r="CQ26" i="33"/>
  <c r="CQ43" i="33" s="1"/>
  <c r="CM27" i="33"/>
  <c r="CR35" i="33" l="1"/>
  <c r="CQ34" i="33"/>
  <c r="CQ32" i="33" s="1"/>
  <c r="CM35" i="33"/>
  <c r="CM28" i="33"/>
  <c r="CQ44" i="33"/>
  <c r="CV44" i="33"/>
  <c r="CM44" i="33"/>
  <c r="CR44" i="33"/>
  <c r="CQ27" i="33"/>
  <c r="CV27" i="33"/>
  <c r="CQ35" i="33" l="1"/>
  <c r="CQ28" i="33"/>
  <c r="CV35"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Lowden, William</author>
  </authors>
  <commentList>
    <comment ref="A1" authorId="0" shapeId="0" xr:uid="{00000000-0006-0000-0000-000001000000}">
      <text>
        <r>
          <rPr>
            <b/>
            <sz val="9"/>
            <color indexed="81"/>
            <rFont val="Tahoma"/>
            <family val="2"/>
          </rPr>
          <t>&lt;?xml version="1.0" encoding="utf-8"?&gt;&lt;Schema xmlns:xsi="http://www.w3.org/2001/XMLSchema-instance" xmlns:xsd="http://www.w3.org/2001/XMLSchema" Version="1"&gt;&lt;FQL&gt;&lt;Q&gt;RAMP^FE_ACTUAL(ACTUAL,EBITDA_ADJ,QUARTERLY,2010+"/"+2+"F",,,,'')@FE_ESTIMATE(EBITDA_ADJ,MEAN,QUARTERLY_ROLL,2010+"/"+2+"F",NOW,,,'')&lt;/Q&gt;&lt;R&gt;0&lt;/R&gt;&lt;C&gt;0&lt;/C&gt;&lt;/FQL&gt;&lt;FQL&gt;&lt;Q&gt;RAMP^FE_ACTUAL(ACTUAL,EBITDA_ADJ,QUARTERLY,2010+"/"+3+"F",,,,'')@FE_ESTIMATE(EBITDA_ADJ,MEAN,QUARTERLY_ROLL,2010+"/"+3+"F",NOW,,,'')&lt;/Q&gt;&lt;R&gt;0&lt;/R&gt;&lt;C&gt;0&lt;/C&gt;&lt;/FQL&gt;&lt;FQL&gt;&lt;Q&gt;RAMP^FE_ACTUAL(ACTUAL,SALES,ANNUAL,2010,,,,'')@FE_ESTIMATE(SALES,MEAN,ANNUAL,2010,NOW,,,'')&lt;/Q&gt;&lt;R&gt;1&lt;/R&gt;&lt;C&gt;1&lt;/C&gt;&lt;D xsi:type="xsd:double"&gt;1159.97&lt;/D&gt;&lt;/FQL&gt;&lt;FQL&gt;&lt;Q&gt;RAMP^FE_ACTUAL(ACTUAL,EBITDA_ADJ,ANNUAL,2010,,,,'')@FE_ESTIMATE(EBITDA_ADJ,MEAN,ANNUAL,2010,NOW,,,'')&lt;/Q&gt;&lt;R&gt;0&lt;/R&gt;&lt;C&gt;0&lt;/C&gt;&lt;/FQL&gt;&lt;FQL&gt;&lt;Q&gt;RAMP^FE_ACTUAL(ACTUAL,EBITDA_ADJ,QUARTERLY,2011+"/"+1+"F",,,,'')@FE_ESTIMATE(EBITDA_ADJ,MEAN,QUARTERLY_ROLL,2011+"/"+1+"F",NOW,,,'')&lt;/Q&gt;&lt;R&gt;0&lt;/R&gt;&lt;C&gt;0&lt;/C&gt;&lt;/FQL&gt;&lt;FQL&gt;&lt;Q&gt;RAMP^FE_ACTUAL(ACTUAL,EBITDA_ADJ,QUARTERLY,2011+"/"+2+"F",,,,'')@FE_ESTIMATE(EBITDA_ADJ,MEAN,QUARTERLY_ROLL,2011+"/"+2+"F",NOW,,,'')&lt;/Q&gt;&lt;R&gt;0&lt;/R&gt;&lt;C&gt;0&lt;/C&gt;&lt;/FQL&gt;&lt;FQL&gt;&lt;Q&gt;RAMP^FE_ACTUAL(ACTUAL,EBITDA_ADJ,QUARTERLY,2011+"/"+3+"F",,,,'')@FE_ESTIMATE(EBITDA_ADJ,MEAN,QUARTERLY_ROLL,2011+"/"+3+"F",NOW,,,'')&lt;/Q&gt;&lt;R&gt;0&lt;/R&gt;&lt;C&gt;0&lt;/C&gt;&lt;/FQL&gt;&lt;FQL&gt;&lt;Q&gt;RAMP^FE_ACTUAL(ACTUAL,SALES,ANNUAL,2011,,,,'')@FE_ESTIMATE(SALES,MEAN,ANNUAL,2011,NOW,,,'')&lt;/Q&gt;&lt;R&gt;1&lt;/R&gt;&lt;C&gt;1&lt;/C&gt;&lt;D xsi:type="xsd:double"&gt;1130.62&lt;/D&gt;&lt;/FQL&gt;&lt;FQL&gt;&lt;Q&gt;RAMP^FE_ACTUAL(ACTUAL,EBITDA_ADJ,ANNUAL,2011,,,,'')@FE_ESTIMATE(EBITDA_ADJ,MEAN,ANNUAL,2011,NOW,,,'')&lt;/Q&gt;&lt;R&gt;0&lt;/R&gt;&lt;C&gt;0&lt;/C&gt;&lt;/FQL&gt;&lt;FQL&gt;&lt;Q&gt;RAMP^FE_ACTUAL(ACTUAL,EBITDA_ADJ,QUARTERLY,2012+"/"+1+"F",,,,'')@FE_ESTIMATE(EBITDA_ADJ,MEAN,QUARTERLY_ROLL,2012+"/"+1+"F",NOW,,,'')&lt;/Q&gt;&lt;R&gt;0&lt;/R&gt;&lt;C&gt;0&lt;/C&gt;&lt;/FQL&gt;&lt;FQL&gt;&lt;Q&gt;RAMP^FE_ACTUAL(ACTUAL,EBITDA_ADJ,QUARTERLY,2012+"/"+2+"F",,,,'')@FE_ESTIMATE(EBITDA_ADJ,MEAN,QUARTERLY_ROLL,2012+"/"+2+"F",NOW,,,'')&lt;/Q&gt;&lt;R&gt;0&lt;/R&gt;&lt;C&gt;0&lt;/C&gt;&lt;/FQL&gt;&lt;FQL&gt;&lt;Q&gt;RAMP^FE_ACTUAL(ACTUAL,EBITDA_ADJ,QUARTERLY,2012+"/"+3+"F",,,,'')@FE_ESTIMATE(EBITDA_ADJ,MEAN,QUARTERLY_ROLL,2012+"/"+3+"F",NOW,,,'')&lt;/Q&gt;&lt;R&gt;1&lt;/R&gt;&lt;C&gt;1&lt;/C&gt;&lt;D xsi:type="xsd:double"&gt;59.2&lt;/D&gt;&lt;/FQL&gt;&lt;FQL&gt;&lt;Q&gt;RAMP^FE_ACTUAL(ACTUAL,SALES,ANNUAL,2012,,,,'')@FE_ESTIMATE(SALES,MEAN,ANNUAL,2012,NOW,,,'')&lt;/Q&gt;&lt;R&gt;1&lt;/R&gt;&lt;C&gt;1&lt;/C&gt;&lt;D xsi:type="xsd:double"&gt;1099.35&lt;/D&gt;&lt;/FQL&gt;&lt;FQL&gt;&lt;Q&gt;RAMP^FE_ACTUAL(ACTUAL,EBITDA_ADJ,ANNUAL,2012,,,,'')@FE_ESTIMATE(EBITDA_ADJ,MEAN,ANNUAL,2012,NOW,,,'')&lt;/Q&gt;&lt;R&gt;1&lt;/R&gt;&lt;C&gt;1&lt;/C&gt;&lt;D xsi:type="xsd:double"&gt;232.9&lt;/D&gt;&lt;/FQL&gt;&lt;FQL&gt;&lt;Q&gt;RAMP^FE_ACTUAL(ACTUAL,EBITDA_ADJ,QUARTERLY,2013+"/"+1+"F",,,,'')@FE_ESTIMATE(EBITDA_ADJ,MEAN,QUARTERLY_ROLL,2013+"/"+1+"F",NOW,,,'')&lt;/Q&gt;&lt;R&gt;1&lt;/R&gt;&lt;C&gt;1&lt;/C&gt;&lt;D xsi:type="xsd:double"&gt;52.4&lt;/D&gt;&lt;/FQL&gt;&lt;FQL&gt;&lt;Q&gt;RAMP^FE_ACTUAL(ACTUAL,EBITDA_ADJ,QUARTERLY,2013+"/"+2+"F",,,,'')@FE_ESTIMATE(EBITDA_ADJ,MEAN,QUARTERLY_ROLL,2013+"/"+2+"F",NOW,,,'')&lt;/Q&gt;&lt;R&gt;1&lt;/R&gt;&lt;C&gt;1&lt;/C&gt;&lt;D xsi:type="xsd:double"&gt;56.334&lt;/D&gt;&lt;/FQL&gt;&lt;FQL&gt;&lt;Q&gt;RAMP^FE_ACTUAL(ACTUAL,EBITDA_ADJ,QUARTERLY,2013+"/"+3+"F",,,,'')@FE_ESTIMATE(EBITDA_ADJ,MEAN,QUARTERLY_ROLL,2013+"/"+3+"F",NOW,,,'')&lt;/Q&gt;&lt;R&gt;1&lt;/R&gt;&lt;C&gt;1&lt;/C&gt;&lt;D xsi:type="xsd:double"&gt;54.942&lt;/D&gt;&lt;/FQL&gt;&lt;FQL&gt;&lt;Q&gt;RAMP^FE_ACTUAL(ACTUAL,EBITDA_ADJ,ANNUAL,2013,,,,'')@FE_ESTIMATE(EBITDA_ADJ,MEAN,ANNUAL,2013,NOW,,,'')&lt;/Q&gt;&lt;R&gt;1&lt;/R&gt;&lt;C&gt;1&lt;/C&gt;&lt;D xsi:type="xsd:double"&gt;230.2&lt;/D&gt;&lt;/FQL&gt;&lt;FQL&gt;&lt;Q&gt;RAMP^FE_ACTUAL(ACTUAL,EPS_NONGAAP,ANNUAL,2013,,,,'')@FE_ESTIMATE(EPS_NONGAAP,MEAN,ANNUAL,2013,NOW,,,'')&lt;/Q&gt;&lt;R&gt;1&lt;/R&gt;&lt;C&gt;1&lt;/C&gt;&lt;D xsi:type="xsd:double"&gt;0.86&lt;/D&gt;&lt;/FQL&gt;&lt;FQL&gt;&lt;Q&gt;RAMP^FE_ACTUAL(ACTUAL,EBITDA_ADJ,QUARTERLY,2014+"/"+1+"F",,,,'')@FE_ESTIMATE(EBITDA_ADJ,MEAN,QUARTERLY_ROLL,2014+"/"+1+"F",NOW,,,'')&lt;/Q&gt;&lt;R&gt;1&lt;/R&gt;&lt;C&gt;1&lt;/C&gt;&lt;D xsi:type="xsd:double"&gt;44.85&lt;/D&gt;&lt;/FQL&gt;&lt;FQL&gt;&lt;Q&gt;RAMP^FE_ACTUAL(ACTUAL,EBITDA_ADJ,QUARTERLY,2014+"/"+2+"F",,,,'')@FE_ESTIMATE(EBITDA_ADJ,MEAN,QUARTERLY_ROLL,2014+"/"+2+"F",NOW,,,'')&lt;/Q&gt;&lt;R&gt;1&lt;/R&gt;&lt;C&gt;1&lt;/C&gt;&lt;D xsi:type="xsd:double"&gt;49.556&lt;/D&gt;&lt;/FQL&gt;&lt;FQL&gt;&lt;Q&gt;RAMP^FE_ACTUAL(ACTUAL,EBITDA_ADJ,QUARTERLY,2014+"/"+3+"F",,,,'')@FE_ESTIMATE(EBITDA_ADJ,MEAN,QUARTERLY_ROLL,2014+"/"+3+"F",NOW,,,'')&lt;/Q&gt;&lt;R&gt;1&lt;/R&gt;&lt;C&gt;1&lt;/C&gt;&lt;D xsi:type="xsd:double"&gt;55.35&lt;/D&gt;&lt;/FQL&gt;&lt;FQL&gt;&lt;Q&gt;RAMP^FE_ACTUAL(ACTUAL,SALES,ANNUAL,2016,,,,'')@FE_ESTIMATE(SALES,MEAN,ANNUAL,2016,NOW,,,'')&lt;/Q&gt;&lt;R&gt;1&lt;/R&gt;&lt;C&gt;1&lt;/C&gt;&lt;D xsi:type="xsd:double"&gt;880.247&lt;/D&gt;&lt;/FQL&gt;&lt;FQL&gt;&lt;Q&gt;RAMP^FE_ACTUAL(ACTUAL,EBITDA,ANNUAL,2016,,,,'')@FE_ESTIMATE(EBITDA,MEAN,ANNUAL,2016,NOW,,,'')&lt;/Q&gt;&lt;R&gt;1&lt;/R&gt;&lt;C&gt;1&lt;/C&gt;&lt;D xsi:type="xsd:double"&gt;164.5&lt;/D&gt;&lt;/FQL&gt;&lt;FQL&gt;&lt;Q&gt;RAMP^FE_ACTUAL(ACTUAL,EPS_NONGAAP,ANNUAL,2016,,,,'')@FE_ESTIMATE(EPS_NONGAAP,MEAN,ANNUAL,2016,NOW,,,'')&lt;/Q&gt;&lt;R&gt;1&lt;/R&gt;&lt;C&gt;1&lt;/C&gt;&lt;D xsi:type="xsd:double"&gt;0.71&lt;/D&gt;&lt;/FQL&gt;&lt;FQL&gt;&lt;Q&gt;RAMP^FE_ACTUAL(ACTUAL,SALES,QUARTERLY,2018+"/"+2+"F",,,,'')@FE_ESTIMATE(SALES,MEAN,QUARTERLY_ROLL,2018+"/"+2+"F",NOW,,,'')&lt;/Q&gt;&lt;R&gt;1&lt;/R&gt;&lt;C&gt;1&lt;/C&gt;&lt;D xsi:type="xsd:double"&gt;65&lt;/D&gt;&lt;/FQL&gt;&lt;FQL&gt;&lt;Q&gt;RAMP^FE_ACTUAL(ACTUAL,SALES,QUARTERLY,2018+"/"+3+"F",,,,'')@FE_ESTIMATE(SALES,MEAN,QUARTERLY_ROLL,2018+"/"+3+"F",NOW,,,'')&lt;/Q&gt;&lt;R&gt;1&lt;/R&gt;&lt;C&gt;1&lt;/C&gt;&lt;D xsi:type="xsd:double"&gt;75.7&lt;/D&gt;&lt;/FQL&gt;&lt;FQL&gt;&lt;Q&gt;RAMP^FE_ACTUAL(ACTUAL,EPS_NONGAAP,QUARTERLY,2018+"/"+3+"F",,,,'')@FE_ESTIMATE(EPS_NONGAAP,MEAN,QUARTERLY_ROLL,2018+"/"+3+"F",NOW,,,'')&lt;/Q&gt;&lt;R&gt;1&lt;/R&gt;&lt;C&gt;1&lt;/C&gt;&lt;D xsi:type="xsd:double"&gt;0.24333334&lt;/D&gt;&lt;/FQL&gt;&lt;FQL&gt;&lt;Q&gt;RAMP^FE_ACTUAL(ACTUAL,SALES,QUARTERLY,2018+"/"+4+"F",,,,'')@FE_ESTIMATE(SALES,MEAN,QUARTERLY_ROLL,2018+"/"+4+"F",NOW,,,'')&lt;/Q&gt;&lt;R&gt;1&lt;/R&gt;&lt;C&gt;1&lt;/C&gt;&lt;D xsi:type="xsd:double"&gt;81.35&lt;/D&gt;&lt;/FQL&gt;&lt;FQL&gt;&lt;Q&gt;RAMP^FE_ACTUAL(ACTUAL,EPS_NONGAAP,QUARTERLY,2018+"/"+4+"F",,,,'')@FE_ESTIMATE(EPS_NONGAAP,MEAN,QUARTERLY_ROLL,2018+"/"+4+"F",NOW,,,'')&lt;/Q&gt;&lt;R&gt;1&lt;/R&gt;&lt;C&gt;1&lt;/C&gt;&lt;D xsi:type="xsd:double"&gt;0.26&lt;/D&gt;&lt;/FQL&gt;&lt;FQL&gt;&lt;Q&gt;RAMP^FE_ACTUAL(ACTUAL,SALES,ANNUAL,2018,,,,'')@FE_ESTIMATE(SALES,MEAN,ANNUAL,2018,NOW,,,'')&lt;/Q&gt;&lt;R&gt;1&lt;/R&gt;&lt;C&gt;1&lt;/C&gt;&lt;D xsi:type="xsd:double"&gt;282.1695&lt;/D&gt;&lt;/FQL&gt;&lt;FQL&gt;&lt;Q&gt;RAMP^FE_ACTUAL(ACTUAL,EPS_NONGAAP,ANNUAL,2018,,,,'')@FE_ESTIMATE(EPS_NONGAAP,MEAN,ANNUAL,2018,NOW,,,'')&lt;/Q&gt;&lt;R&gt;1&lt;/R&gt;&lt;C&gt;1&lt;/C&gt;&lt;D xsi:type="xsd:double"&gt;0.93666667&lt;/D&gt;&lt;/FQL&gt;&lt;FQL&gt;&lt;Q&gt;RAMP^FE_ACTUAL(ACTUAL,SALES,QUARTERLY,2019+"/"+1+"F",,,,'')@FE_ESTIMATE(SALES,MEAN,QUARTERLY_ROLL,2019+"/"+1+"F",NOW,,,'')&lt;/Q&gt;&lt;R&gt;1&lt;/R&gt;&lt;C&gt;1&lt;/C&gt;&lt;D xsi:type="xsd:double"&gt;81.2&lt;/D&gt;&lt;/FQL&gt;&lt;FQL&gt;&lt;Q&gt;RAMP^FE_ACTUAL(ACTUAL,EPS_NONGAAP,QUARTERLY,2019+"/"+1+"F",,,,'')@FE_ESTIMATE(EPS_NONGAAP,MEAN,QUARTERLY_ROLL,2019+"/"+1+"F",NOW,,,'')&lt;/Q&gt;&lt;R&gt;1&lt;/R&gt;&lt;C&gt;1&lt;/C&gt;&lt;D xsi:type="xsd:double"&gt;0.265&lt;/D&gt;&lt;/FQL&gt;&lt;FQL&gt;&lt;Q&gt;RAMP^FE_ACTUAL(ACTUAL,SALES,QUARTERLY,2019+"/"+2+"F",,,,'')@FE_ESTIMATE(SALES,MEAN,QUARTERLY_ROLL,2019+"/"+2+"F",NOW,,,'')&lt;/Q&gt;&lt;R&gt;1&lt;/R&gt;&lt;C&gt;1&lt;/C&gt;&lt;D xsi:type="xsd:double"&gt;82.76667&lt;/D&gt;&lt;/FQL&gt;&lt;FQL&gt;&lt;Q&gt;RAMP^FE_ACTUAL(ACTUAL,EPS_NONGAAP,QUARTERLY,2019+"/"+2+"F",,,,'')@FE_ESTIMATE(EPS_NONGAAP,MEAN,QUARTERLY_ROLL,2019+"/"+2+"F",NOW,,,'')&lt;/Q&gt;&lt;R&gt;1&lt;/R&gt;&lt;C&gt;1&lt;/C&gt;&lt;D xsi:type="xsd:double"&gt;0.295&lt;/D&gt;&lt;/FQL&gt;&lt;FQL&gt;&lt;Q&gt;RAMP^FE_ACTUAL(ACTUAL,SALES,QUARTERLY,2019+"/"+3+"F",,,,'')@FE_ESTIMATE(SALES,MEAN,QUARTERLY_ROLL,2019+"/"+3+"F",NOW,,,'')&lt;/Q&gt;&lt;R&gt;1&lt;/R&gt;&lt;C&gt;1&lt;/C&gt;&lt;D xsi:type="xsd:double"&gt;98.666664&lt;/D&gt;&lt;/FQL&gt;&lt;FQL&gt;&lt;Q&gt;RAMP^FE_ACTUAL(ACTUAL,EPS_NONGAAP,QUARTERLY,2019+"/"+3+"F",,,,'')@FE_ESTIMATE(EPS_NONGAAP,MEAN,QUARTERLY_ROLL,2019+"/"+3+"F",NOW,,,'')&lt;/Q&gt;&lt;R&gt;1&lt;/R&gt;&lt;C&gt;1&lt;/C&gt;&lt;D xsi:type="xsd:double"&gt;0.315&lt;/D&gt;&lt;/FQL&gt;&lt;FQL&gt;&lt;Q&gt;RAMP^FE_ACTUAL(ACTUAL,SALES,QUARTERLY,2019+"/"+4+"F",,,,'')@FE_ESTIMATE(SALES,MEAN,QUARTERLY_ROLL,2019+"/"+4+"F",NOW,,,'')&lt;/Q&gt;&lt;R&gt;1&lt;/R&gt;&lt;C&gt;1&lt;/C&gt;&lt;D xsi:type="xsd:double"&gt;104.1&lt;/D&gt;&lt;/FQL&gt;&lt;FQL&gt;&lt;Q&gt;RAMP^FE_ACTUAL(ACTUAL,EPS_NONGAAP,QUARTERLY,2019+"/"+4+"F",,,,'')@FE_ESTIMATE(EPS_NONGAAP,MEAN,QUARTERLY_ROLL,2019+"/"+4+"F",NOW,,,'')&lt;/Q&gt;&lt;R&gt;1&lt;/R&gt;&lt;C&gt;1&lt;/C&gt;&lt;D xsi:type="xsd:double"&gt;0.31&lt;/D&gt;&lt;/FQL&gt;&lt;FQL&gt;&lt;Q&gt;RAMP^FE_ACTUAL(ACTUAL,SALES,ANNUAL,2019,,,,'')@FE_ESTIMATE(SALES,MEAN,ANNUAL,2019,NOW,,,'')&lt;/Q&gt;&lt;R&gt;1&lt;/R&gt;&lt;C&gt;1&lt;/C&gt;&lt;D xsi:type="xsd:double"&gt;366.7&lt;/D&gt;&lt;/FQL&gt;&lt;FQL&gt;&lt;Q&gt;RAMP^FE_ACTUAL(ACTUAL,EPS_NONGAAP,ANNUAL,2019,,,,'')@FE_ESTIMATE(EPS_NONGAAP,MEAN,ANNUAL,2019,NOW,,,'')&lt;/Q&gt;&lt;R&gt;1&lt;/R&gt;&lt;C&gt;1&lt;/C&gt;&lt;D xsi:type="xsd:double"&gt;1.185&lt;/D&gt;&lt;/FQL&gt;&lt;FQL&gt;&lt;Q&gt;RAMP^FE_ACTUAL(ACTUAL,SALES,QUARTERLY,2009+"/"+4+"F",,,,'')@FE_ESTIMATE(SALES,MEAN,QUARTERLY_ROLL,2009+"/"+4+"F",NOW,,,'')&lt;/Q&gt;&lt;R&gt;1&lt;/R&gt;&lt;C&gt;1&lt;/C&gt;&lt;D xsi:type="xsd:double"&gt;288.342&lt;/D&gt;&lt;/FQL&gt;&lt;FQL&gt;&lt;Q&gt;RAMP^FE_ACTUAL(ACTUAL,SALES,ANNUAL,2009,,,,'')@FE_ESTIMATE(SALES,MEAN,ANNUAL,2009,NOW,,,'')&lt;/Q&gt;&lt;R&gt;1&lt;/R&gt;&lt;C&gt;1&lt;/C&gt;&lt;D xsi:type="xsd:double"&gt;1099.23&lt;/D&gt;&lt;/FQL&gt;&lt;FQL&gt;&lt;Q&gt;RAMP^FE_ACTUAL(ACTUAL,EBITDA,QUARTERLY,2009+"/"+4+"F",,,,'')@FE_ESTIMATE(EBITDA,MEAN,QUARTERLY_ROLL,2009+"/"+4+"F",NOW,,,'')&lt;/Q&gt;&lt;R&gt;1&lt;/R&gt;&lt;C&gt;1&lt;/C&gt;&lt;D xsi:type="xsd:double"&gt;77.3304&lt;/D&gt;&lt;/FQL&gt;&lt;FQL&gt;&lt;Q&gt;RAMP^FE_ACTUAL(ACTUAL,EBITDA,ANNUAL,2009,,,,'')@FE_ESTIMATE(EBITDA,MEAN,ANNUAL,2009,NOW,,,'')&lt;/Q&gt;&lt;R&gt;1&lt;/R&gt;&lt;C&gt;1&lt;/C&gt;&lt;D xsi:type="xsd:double"&gt;265.431&lt;/D&gt;&lt;/FQL&gt;&lt;FQL&gt;&lt;Q&gt;RAMP^FE_ACTUAL(ACTUAL,EPS,QUARTERLY,2009+"/"+4+"F",,,,'')@FE_ESTIMATE(EPS,MEAN,QUARTERLY_ROLL,2009+"/"+4+"F",NOW,,,'')&lt;/Q&gt;&lt;R&gt;1&lt;/R&gt;&lt;C&gt;1&lt;/C&gt;&lt;D xsi:type="xsd:double"&gt;0.21&lt;/D&gt;&lt;/FQL&gt;&lt;FQL&gt;&lt;Q&gt;RAMP^FE_ACTUAL(ACTUAL,EPS,ANNUAL,2009,,,,'')@FE_ESTIMATE(EPS,MEAN,ANNUAL,2009,NOW,,,'')&lt;/Q&gt;&lt;R&gt;1&lt;/R&gt;&lt;C&gt;1&lt;/C&gt;&lt;D xsi:type="xsd:double"&gt;0.56&lt;/D&gt;&lt;/FQL&gt;&lt;FQL&gt;&lt;Q&gt;RAMP^FE_ACTUAL(ACTUAL,EBITDA,ANNUAL,2010,,,,'')@FE_ESTIMATE(EBITDA,MEAN,ANNUAL,2010,NOW,,,'')&lt;/Q&gt;&lt;R&gt;1&lt;/R&gt;&lt;C&gt;1&lt;/C&gt;&lt;D xsi:type="xsd:double"&gt;261.5765&lt;/D&gt;&lt;/FQL&gt;&lt;FQL&gt;&lt;Q&gt;RAMP^FE_ACTUAL(ACTUAL,EPS,ANNUAL,2010,,,,'')@FE_ESTIMATE(EPS,MEAN,ANNUAL,2010,NOW,,,'')&lt;/Q&gt;&lt;R&gt;1&lt;/R&gt;&lt;C&gt;1&lt;/C&gt;&lt;D xsi:type="xsd:double"&gt;-0.29&lt;/D&gt;&lt;/FQL&gt;&lt;FQL&gt;&lt;Q&gt;RAMP^FE_ACTUAL(ACTUAL,SALES,QUARTERLY,2014+"/"+3+"F",,,,'')@FE_ESTIMATE(SALES,MEAN,QUARTERLY_ROLL,2014+"/"+3+"F",NOW,,,'')&lt;/Q&gt;&lt;R&gt;1&lt;/R&gt;&lt;C&gt;1&lt;/C&gt;&lt;D xsi:type="xsd:double"&gt;260.44&lt;/D&gt;&lt;/FQL&gt;&lt;FQL&gt;&lt;Q&gt;RAMP^FE_ACTUAL(ACTUAL,EBITDA,QUARTERLY,2014+"/"+3+"F",,,,'')@FE_ESTIMATE(EBITDA,MEAN,QUARTERLY_ROLL,2014+"/"+3+"F",NOW,,,'')&lt;/Q&gt;&lt;R&gt;1&lt;/R&gt;&lt;C&gt;1&lt;/C&gt;&lt;D xsi:type="xsd:double"&gt;55.35&lt;/D&gt;&lt;/FQL&gt;&lt;FQL&gt;&lt;Q&gt;RAMP^FE_ACTUAL(ACTUAL,EPS,QUARTERLY,2014+"/"+3+"F",,,,'')@FE_ESTIMATE(EPS,MEAN,QUARTERLY_ROLL,2014+"/"+3+"F",NOW,,,'')&lt;/Q&gt;&lt;R&gt;1&lt;/R&gt;&lt;C&gt;1&lt;/C&gt;&lt;D xsi:type="xsd:double"&gt;0.05&lt;/D&gt;&lt;/FQL&gt;&lt;FQL&gt;&lt;Q&gt;RAMP^FE_ACTUAL(ACTUAL,SALES,QUARTERLY,2017+"/"+1+"F",,,,'')@FE_ESTIMATE(SALES,MEAN,QUARTERLY_ROLL,2017+"/"+1+"F",NOW,,,'')&lt;/Q&gt;&lt;R&gt;1&lt;/R&gt;&lt;C&gt;1&lt;/C&gt;&lt;D xsi:type="xsd:double"&gt;212.514&lt;/D&gt;&lt;/FQL&gt;&lt;FQL&gt;&lt;Q&gt;RAMP^FE_ACTUAL(ACTUAL,EBITDA,QUARTERLY,2017+"/"+1+"F",,,,'')@FE_ESTIMATE(EBITDA,MEAN,QUARTERLY_ROLL,2017+"/"+1+"F",NOW,,,'')&lt;/Q&gt;&lt;R&gt;1&lt;/R&gt;&lt;C&gt;1&lt;/C&gt;&lt;D xsi:type="xsd:double"&gt;37.5&lt;/D&gt;&lt;/FQL&gt;&lt;FQL&gt;&lt;Q&gt;RAMP^FE_ACTUAL(ACTUAL,EPS,QUARTERLY,2017+"/"+1+"F",,,,'')@FE_ESTIMATE(EPS,MEAN,QUARTERLY_ROLL,2017+"/"+1+"F",NOW,,,'')&lt;/Q&gt;&lt;R&gt;1&lt;/R&gt;&lt;C&gt;1&lt;/C&gt;&lt;D xsi:type="xsd:double"&gt;0.14&lt;/D&gt;&lt;/FQL&gt;&lt;FQL&gt;&lt;Q&gt;RAMP^FE_ACTUAL(ACTUAL,EBITDA,QUARTERLY,2018+"/"+2+"F",,,,'')@FE_ESTIMATE(EBITDA,MEAN,QUARTERLY_ROLL,2018+"/"+2+"F",NOW,,,'')&lt;/Q&gt;&lt;R&gt;1&lt;/R&gt;&lt;C&gt;1&lt;/C&gt;&lt;D xsi:type="xsd:double"&gt;42.1&lt;/D&gt;&lt;/FQL&gt;&lt;FQL&gt;&lt;Q&gt;RAMP^FE_ACTUAL(ACTUAL,EBITDA,QUARTERLY,2018+"/"+3+"F",,,,'')@FE_ESTIMATE(EBITDA,MEAN,QUARTERLY_ROLL,2018+"/"+3+"F",NOW,,,'')&lt;/Q&gt;&lt;R&gt;1&lt;/R&gt;&lt;C&gt;1&lt;/C&gt;&lt;D xsi:type="xsd:double"&gt;46.567333&lt;/D&gt;&lt;/FQL&gt;&lt;FQL&gt;&lt;Q&gt;RAMP^FE_ACTUAL(ACTUAL,EBITDA,QUARTERLY,2018+"/"+4+"F",,,,'')@FE_ESTIMATE(EBITDA,MEAN,QUARTERLY_ROLL,2018+"/"+4+"F",NOW,,,'')&lt;/Q&gt;&lt;R&gt;1&lt;/R&gt;&lt;C&gt;1&lt;/C&gt;&lt;D xsi:type="xsd:double"&gt;48.923668&lt;/D&gt;&lt;/FQL&gt;&lt;FQL&gt;&lt;Q&gt;RAMP^FE_ACTUAL(ACTUAL,EPS,QUARTERLY,2018+"/"+2+"F",,,,'')@FE_ESTIMATE(EPS,MEAN,QUARTERLY_ROLL,2018+"/"+2+"F",NOW,,,'')&lt;/Q&gt;&lt;R&gt;1&lt;/R&gt;&lt;C&gt;1&lt;/C&gt;&lt;D xsi:type="xsd:double"&gt;-0.14&lt;/D&gt;&lt;/FQL&gt;&lt;FQL&gt;&lt;Q&gt;RAMP^FE_ACTUAL(ACTUAL,EPS,QUARTERLY,2018+"/"+3+"F",,,,'')@FE_ESTIMATE(EPS,MEAN,QUARTERLY_ROLL,2018+"/"+3+"F",NOW,,,'')&lt;/Q&gt;&lt;R&gt;1&lt;/R&gt;&lt;C&gt;1&lt;/C&gt;&lt;D xsi:type="xsd:double"&gt;0.24333334&lt;/D&gt;&lt;/FQL&gt;&lt;FQL&gt;&lt;Q&gt;RAMP^FE_ACTUAL(ACTUAL,EPS,QUARTERLY,2018+"/"+4+"F",,,,'')@FE_ESTIMATE(EPS,MEAN,QUARTERLY_ROLL,2018+"/"+4+"F",NOW,,,'')&lt;/Q&gt;&lt;R&gt;1&lt;/R&gt;&lt;C&gt;1&lt;/C&gt;&lt;D xsi:type="xsd:double"&gt;0.26&lt;/D&gt;&lt;/FQL&gt;&lt;FQL&gt;&lt;Q&gt;RAMP^FE_ACTUAL(ACTUAL,EBITDA,QUARTERLY,2019+"/"+1+"F",,,,'')@FE_ESTIMATE(EBITDA,MEAN,QUARTERLY_ROLL,2019+"/"+1+"F",NOW,,,'')&lt;/Q&gt;&lt;R&gt;1&lt;/R&gt;&lt;C&gt;1&lt;/C&gt;&lt;D xsi:type="xsd:double"&gt;47.7&lt;/D&gt;&lt;/FQL&gt;&lt;FQL&gt;&lt;Q&gt;RAMP^FE_ACTUAL(ACTUAL,EBITDA,QUARTERLY,2019+"/"+2+"F",,,,'')@FE_ESTIMATE(EBITDA,MEAN,QUARTERLY_ROLL,2019+"/"+2+"F",NOW,,,'')&lt;/Q&gt;&lt;R&gt;1&lt;/R&gt;&lt;C&gt;1&lt;/C&gt;&lt;D xsi:type="xsd:double"&gt;50.45&lt;/D&gt;&lt;/FQL&gt;&lt;FQL&gt;&lt;Q&gt;RAMP^FE_ACTUAL(ACTUAL,EBITDA,QUARTERLY,2019+"/"+3+"F",,,,'')@FE_ESTIMATE(EBITDA,MEAN,QUARTERLY_ROLL,2019+"/"+3+"F",NOW,,,'')&lt;/Q&gt;&lt;R&gt;1&lt;/R&gt;&lt;C&gt;1&lt;/C&gt;&lt;D xsi:type="xsd:double"&gt;52.25&lt;/D&gt;&lt;/FQL&gt;&lt;FQL&gt;&lt;Q&gt;RAMP^FE_ACTUAL(ACTUAL,EBITDA,QUARTERLY,2019+"/"+4+"F",,,,'')@FE_ESTIMATE(EBITDA,MEAN,QUARTERLY_ROLL,2019+"/"+4+"F",NOW,,,'')&lt;/Q&gt;&lt;R&gt;1&lt;/R&gt;&lt;C&gt;1&lt;/C&gt;&lt;D xsi:type="xsd:double"&gt;53.65&lt;/D&gt;&lt;/FQL&gt;&lt;FQL&gt;&lt;Q&gt;RAMP^FE_ACTUAL(ACTUAL,EPS,QUARTERLY,2019+"/"+1+"F",,,,'')@FE_ESTIMATE(EPS,MEAN,QUARTERLY_ROLL,2019+"/"+1+"F",NOW,,,'')&lt;/Q&gt;&lt;R&gt;1&lt;/R&gt;&lt;C&gt;1&lt;/C&gt;&lt;D xsi:type="xsd:double"&gt;0.265&lt;/D&gt;&lt;/FQL&gt;&lt;FQL&gt;&lt;Q&gt;RAMP^FE_ACTUAL(ACTUAL,EPS,QUARTERLY,2019+"/"+2+"F",,,,'')@FE_ESTIMATE(EPS,MEAN,QUARTERLY_ROLL,2019+"/"+2+"F",NOW,,,'')&lt;/Q&gt;&lt;R&gt;1&lt;/R&gt;&lt;C&gt;1&lt;/C&gt;&lt;D xsi:type="xsd:double"&gt;0.295&lt;/D&gt;&lt;/FQL&gt;&lt;FQL&gt;&lt;Q&gt;RAMP^FE_ACTUAL(ACTUAL,EPS,QUARTERLY,2019+"/"+3+"F",,,,'')@FE_ESTIMATE(EPS,MEAN,QUARTERLY_ROLL,2019+"/"+3+"F",NOW,,,'')&lt;/Q&gt;&lt;R&gt;1&lt;/R&gt;&lt;C&gt;1&lt;/C&gt;&lt;D xsi:type="xsd:double"&gt;0.315&lt;/D&gt;&lt;/FQL&gt;&lt;FQL&gt;&lt;Q&gt;RAMP^FE_ACTUAL(ACTUAL,EPS,QUARTERLY,2019+"/"+4+"F",,,,'')@FE_ESTIMATE(EPS,MEAN,QUARTERLY_ROLL,2019+"/"+4+"F",NOW,,,'')&lt;/Q&gt;&lt;R&gt;1&lt;/R&gt;&lt;C&gt;1&lt;/C&gt;&lt;D xsi:type="xsd:double"&gt;0.31&lt;/D&gt;&lt;/FQL&gt;&lt;FQL&gt;&lt;Q&gt;ACXM^FE_ACTUAL(ACTUAL,SALES,ANNUAL,2018,,,,'')@FE_ESTIMATE(SALES,MEAN,ANNUAL,2018,NOW,,,'')&lt;/Q&gt;&lt;R&gt;1&lt;/R&gt;&lt;C&gt;1&lt;/C&gt;&lt;D xsi:type="xsd:double"&gt;282.1695&lt;/D&gt;&lt;/FQL&gt;&lt;FQL&gt;&lt;Q&gt;ACXM^FE_ACTUAL(ACTUAL,SALES,ANNUAL,2019,,,,'')@FE_ESTIMATE(SALES,MEAN,ANNUAL,2019,NOW,,,'')&lt;/Q&gt;&lt;R&gt;1&lt;/R&gt;&lt;C&gt;1&lt;/C&gt;&lt;D xsi:type="xsd:double"&gt;366.7&lt;/D&gt;&lt;/FQL&gt;&lt;FQL&gt;&lt;Q&gt;ACXM^FE_ACTUAL(ACTUAL,EBITDA,ANNUAL,2018,,,,'')@FE_ESTIMATE(EBITDA,MEAN,ANNUAL,2018,NOW,,,'')&lt;/Q&gt;&lt;R&gt;1&lt;/R&gt;&lt;C&gt;1&lt;/C&gt;&lt;D xsi:type="xsd:double"&gt;180.28633&lt;/D&gt;&lt;/FQL&gt;&lt;FQL&gt;&lt;Q&gt;ACXM^FE_ACTUAL(ACTUAL,EBITDA,ANNUAL,2019,,,,'')@FE_ESTIMATE(EBITDA,MEAN,ANNUAL,2019,NOW,,,'')&lt;/Q&gt;&lt;R&gt;1&lt;/R&gt;&lt;C&gt;1&lt;/C&gt;&lt;D xsi:type="xsd:double"&gt;204.05&lt;/D&gt;&lt;/FQL&gt;&lt;FQL&gt;&lt;Q&gt;ACXM^FE_ACTUAL(ACTUAL,EPS_NONGAAP,ANNUAL,2018,,,,'')@FE_ESTIMATE(EPS_NONGAAP,MEAN,ANNUAL,2018,NOW,,,'')&lt;/Q&gt;&lt;R&gt;1&lt;/R&gt;&lt;C&gt;1&lt;/C&gt;&lt;D xsi:type="xsd:double"&gt;0.93666667&lt;/D&gt;&lt;/FQL&gt;&lt;FQL&gt;&lt;Q&gt;ACXM^FE_ACTUAL(ACTUAL,EPS_NONGAAP,ANNUAL,2019,,,,'')@FE_ESTIMATE(EPS_NONGAAP,MEAN,ANNUAL,2019,NOW,,,'')&lt;/Q&gt;&lt;R&gt;1&lt;/R&gt;&lt;C&gt;1&lt;/C&gt;&lt;D xsi:type="xsd:double"&gt;1.185&lt;/D&gt;&lt;/FQL&gt;&lt;FQL&gt;&lt;Q&gt;RAMP^FG_PRICE(NOW)&lt;/Q&gt;&lt;R&gt;1&lt;/R&gt;&lt;C&gt;1&lt;/C&gt;&lt;D xsi:type="xsd:double"&gt;41.71&lt;/D&gt;&lt;/FQL&gt;&lt;/Schema&gt;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Lowden, William</author>
    <author>BMO Capital Markets</author>
    <author>dsalmon</author>
    <author>Modi, Nirav</author>
    <author>Salmon, Dan</author>
  </authors>
  <commentList>
    <comment ref="CI45" authorId="0" shapeId="0" xr:uid="{00000000-0006-0000-0400-000001000000}">
      <text>
        <r>
          <rPr>
            <b/>
            <sz val="9"/>
            <color indexed="81"/>
            <rFont val="Tahoma"/>
            <family val="2"/>
          </rPr>
          <t>Lowden, William:</t>
        </r>
        <r>
          <rPr>
            <sz val="9"/>
            <color indexed="81"/>
            <rFont val="Tahoma"/>
            <family val="2"/>
          </rPr>
          <t xml:space="preserve">
$3.5mm in transition related expenses. </t>
        </r>
      </text>
    </comment>
    <comment ref="BJ47" authorId="1" shapeId="0" xr:uid="{00000000-0006-0000-0400-000002000000}">
      <text>
        <r>
          <rPr>
            <b/>
            <sz val="8"/>
            <color indexed="81"/>
            <rFont val="Tahoma"/>
            <family val="2"/>
          </rPr>
          <t xml:space="preserve">NMODI: </t>
        </r>
        <r>
          <rPr>
            <sz val="8"/>
            <color indexed="81"/>
            <rFont val="Tahoma"/>
            <family val="2"/>
          </rPr>
          <t>Business seperation expenses of $2.186mm was included in SG&amp;A</t>
        </r>
        <r>
          <rPr>
            <sz val="8"/>
            <color indexed="81"/>
            <rFont val="Tahoma"/>
            <family val="2"/>
          </rPr>
          <t xml:space="preserve">
</t>
        </r>
      </text>
    </comment>
    <comment ref="BK47" authorId="1" shapeId="0" xr:uid="{00000000-0006-0000-0400-000003000000}">
      <text>
        <r>
          <rPr>
            <b/>
            <sz val="8"/>
            <color indexed="81"/>
            <rFont val="Tahoma"/>
            <family val="2"/>
          </rPr>
          <t xml:space="preserve">NMODI: </t>
        </r>
        <r>
          <rPr>
            <sz val="8"/>
            <color indexed="81"/>
            <rFont val="Tahoma"/>
            <family val="2"/>
          </rPr>
          <t>Business seperation expenses was included in SG&amp;A</t>
        </r>
        <r>
          <rPr>
            <sz val="8"/>
            <color indexed="81"/>
            <rFont val="Tahoma"/>
            <family val="2"/>
          </rPr>
          <t xml:space="preserve">
</t>
        </r>
      </text>
    </comment>
    <comment ref="BL47" authorId="1" shapeId="0" xr:uid="{00000000-0006-0000-0400-000004000000}">
      <text>
        <r>
          <rPr>
            <b/>
            <sz val="8"/>
            <color indexed="81"/>
            <rFont val="Tahoma"/>
            <family val="2"/>
          </rPr>
          <t xml:space="preserve">NMODI: </t>
        </r>
        <r>
          <rPr>
            <sz val="8"/>
            <color indexed="81"/>
            <rFont val="Tahoma"/>
            <family val="2"/>
          </rPr>
          <t>Business seperation expenses of $6.924mm was included in SG&amp;A</t>
        </r>
        <r>
          <rPr>
            <sz val="8"/>
            <color indexed="81"/>
            <rFont val="Tahoma"/>
            <family val="2"/>
          </rPr>
          <t xml:space="preserve">
</t>
        </r>
      </text>
    </comment>
    <comment ref="BN47" authorId="1" shapeId="0" xr:uid="{00000000-0006-0000-0400-000005000000}">
      <text>
        <r>
          <rPr>
            <b/>
            <sz val="8"/>
            <color indexed="81"/>
            <rFont val="Tahoma"/>
            <family val="2"/>
          </rPr>
          <t xml:space="preserve">NMODI: </t>
        </r>
        <r>
          <rPr>
            <sz val="8"/>
            <color indexed="81"/>
            <rFont val="Tahoma"/>
            <family val="2"/>
          </rPr>
          <t>Business seperation expense of $12.037mm was included in SG&amp;A</t>
        </r>
        <r>
          <rPr>
            <sz val="8"/>
            <color indexed="81"/>
            <rFont val="Tahoma"/>
            <family val="2"/>
          </rPr>
          <t xml:space="preserve">
</t>
        </r>
      </text>
    </comment>
    <comment ref="BO47" authorId="1" shapeId="0" xr:uid="{00000000-0006-0000-0400-000006000000}">
      <text>
        <r>
          <rPr>
            <b/>
            <sz val="8"/>
            <color indexed="81"/>
            <rFont val="Tahoma"/>
            <family val="2"/>
          </rPr>
          <t xml:space="preserve">NMODI: </t>
        </r>
        <r>
          <rPr>
            <sz val="8"/>
            <color indexed="81"/>
            <rFont val="Tahoma"/>
            <family val="2"/>
          </rPr>
          <t>Business seperation expense of $9.291mm was included in SG&amp;A</t>
        </r>
        <r>
          <rPr>
            <sz val="8"/>
            <color indexed="81"/>
            <rFont val="Tahoma"/>
            <family val="2"/>
          </rPr>
          <t xml:space="preserve">
</t>
        </r>
      </text>
    </comment>
    <comment ref="BP47" authorId="1" shapeId="0" xr:uid="{00000000-0006-0000-0400-000007000000}">
      <text>
        <r>
          <rPr>
            <b/>
            <sz val="8"/>
            <color indexed="81"/>
            <rFont val="Tahoma"/>
            <family val="2"/>
          </rPr>
          <t xml:space="preserve">NMODI: </t>
        </r>
        <r>
          <rPr>
            <sz val="8"/>
            <color indexed="81"/>
            <rFont val="Tahoma"/>
            <family val="2"/>
          </rPr>
          <t>Business seperation expense of $8.116mm was included in SG&amp;A</t>
        </r>
        <r>
          <rPr>
            <sz val="8"/>
            <color indexed="81"/>
            <rFont val="Tahoma"/>
            <family val="2"/>
          </rPr>
          <t xml:space="preserve">
</t>
        </r>
      </text>
    </comment>
    <comment ref="BQ47" authorId="1" shapeId="0" xr:uid="{00000000-0006-0000-0400-000008000000}">
      <text>
        <r>
          <rPr>
            <b/>
            <sz val="8"/>
            <color indexed="81"/>
            <rFont val="Tahoma"/>
            <family val="2"/>
          </rPr>
          <t xml:space="preserve">NMODI: </t>
        </r>
        <r>
          <rPr>
            <sz val="8"/>
            <color indexed="81"/>
            <rFont val="Tahoma"/>
            <family val="2"/>
          </rPr>
          <t>Business seperation expense of $7.044mm was included in SG&amp;A</t>
        </r>
        <r>
          <rPr>
            <sz val="8"/>
            <color indexed="81"/>
            <rFont val="Tahoma"/>
            <family val="2"/>
          </rPr>
          <t xml:space="preserve">
</t>
        </r>
      </text>
    </comment>
    <comment ref="BR47" authorId="1" shapeId="0" xr:uid="{00000000-0006-0000-0400-000009000000}">
      <text>
        <r>
          <rPr>
            <b/>
            <sz val="8"/>
            <color indexed="81"/>
            <rFont val="Tahoma"/>
            <family val="2"/>
          </rPr>
          <t xml:space="preserve">nmodi: </t>
        </r>
        <r>
          <rPr>
            <sz val="8"/>
            <color indexed="81"/>
            <rFont val="Tahoma"/>
            <family val="2"/>
          </rPr>
          <t>Savings of $30mm from cost restructuring but investing part of it in AOS and LiveRamp.</t>
        </r>
        <r>
          <rPr>
            <sz val="8"/>
            <color indexed="81"/>
            <rFont val="Tahoma"/>
            <family val="2"/>
          </rPr>
          <t xml:space="preserve">
</t>
        </r>
      </text>
    </comment>
    <comment ref="AW48" authorId="2" shapeId="0" xr:uid="{00000000-0006-0000-0400-00000A000000}">
      <text>
        <r>
          <rPr>
            <b/>
            <sz val="8"/>
            <color indexed="81"/>
            <rFont val="Tahoma"/>
            <family val="2"/>
          </rPr>
          <t>dsalmon:</t>
        </r>
        <r>
          <rPr>
            <sz val="8"/>
            <color indexed="81"/>
            <rFont val="Tahoma"/>
            <family val="2"/>
          </rPr>
          <t xml:space="preserve">
Fourth-quarter loss per diluted share attributable to Acxiom stockholders of $0.83 includes $89.4 million or the equivalent of $1.04 per share in unusual expenses. The major components of the unusual expenses are:
Goodwill/Asset Impairment of $79.7 million. $15.4 million related to European Services, $57.1 million related to European Products and $7.2 million related to Middle East, North Africa; 
Disposal of operations of $3.3 million related to the disposal of the Netherlands and Portugal operations, of which $1.1 million represents cash payments to be made in future periods; and 
Other charges of $6.5 million including $5.5 million to be paid in future periods.
 </t>
        </r>
      </text>
    </comment>
    <comment ref="BA48" authorId="1" shapeId="0" xr:uid="{00000000-0006-0000-0400-00000B000000}">
      <text>
        <r>
          <rPr>
            <b/>
            <sz val="8"/>
            <color indexed="81"/>
            <rFont val="Tahoma"/>
            <family val="2"/>
          </rPr>
          <t xml:space="preserve">yarounian:
</t>
        </r>
        <r>
          <rPr>
            <sz val="8"/>
            <color indexed="81"/>
            <rFont val="Tahoma"/>
            <family val="2"/>
          </rPr>
          <t>includes impairment of goodwill</t>
        </r>
        <r>
          <rPr>
            <sz val="8"/>
            <color indexed="81"/>
            <rFont val="Tahoma"/>
            <family val="2"/>
          </rPr>
          <t xml:space="preserve">
</t>
        </r>
      </text>
    </comment>
    <comment ref="BB48" authorId="1" shapeId="0" xr:uid="{00000000-0006-0000-0400-00000C000000}">
      <text>
        <r>
          <rPr>
            <b/>
            <sz val="8"/>
            <color indexed="81"/>
            <rFont val="Tahoma"/>
            <family val="2"/>
          </rPr>
          <t xml:space="preserve">yarounian:
</t>
        </r>
        <r>
          <rPr>
            <sz val="8"/>
            <color indexed="81"/>
            <rFont val="Tahoma"/>
            <family val="2"/>
          </rPr>
          <t>Restructuring charges due to international restructuring.</t>
        </r>
        <r>
          <rPr>
            <sz val="8"/>
            <color indexed="81"/>
            <rFont val="Tahoma"/>
            <family val="2"/>
          </rPr>
          <t xml:space="preserve">
</t>
        </r>
      </text>
    </comment>
    <comment ref="BJ48" authorId="1" shapeId="0" xr:uid="{00000000-0006-0000-0400-00000D000000}">
      <text>
        <r>
          <rPr>
            <b/>
            <sz val="8"/>
            <color indexed="81"/>
            <rFont val="Tahoma"/>
            <family val="2"/>
          </rPr>
          <t xml:space="preserve">NMODI: </t>
        </r>
        <r>
          <rPr>
            <sz val="8"/>
            <color indexed="81"/>
            <rFont val="Tahoma"/>
            <family val="2"/>
          </rPr>
          <t>Business seperation expenses of $2.186mm was included in SG&amp;A</t>
        </r>
        <r>
          <rPr>
            <sz val="8"/>
            <color indexed="81"/>
            <rFont val="Tahoma"/>
            <family val="2"/>
          </rPr>
          <t xml:space="preserve">
</t>
        </r>
      </text>
    </comment>
    <comment ref="BK48" authorId="1" shapeId="0" xr:uid="{00000000-0006-0000-0400-00000E000000}">
      <text>
        <r>
          <rPr>
            <b/>
            <sz val="8"/>
            <color indexed="81"/>
            <rFont val="Tahoma"/>
            <family val="2"/>
          </rPr>
          <t xml:space="preserve">NMODI: </t>
        </r>
        <r>
          <rPr>
            <sz val="8"/>
            <color indexed="81"/>
            <rFont val="Tahoma"/>
            <family val="2"/>
          </rPr>
          <t>Business seperation expenses was included in SG&amp;A</t>
        </r>
        <r>
          <rPr>
            <sz val="8"/>
            <color indexed="81"/>
            <rFont val="Tahoma"/>
            <family val="2"/>
          </rPr>
          <t xml:space="preserve">
</t>
        </r>
      </text>
    </comment>
    <comment ref="BL48" authorId="1" shapeId="0" xr:uid="{00000000-0006-0000-0400-00000F000000}">
      <text>
        <r>
          <rPr>
            <b/>
            <sz val="8"/>
            <color indexed="81"/>
            <rFont val="Tahoma"/>
            <family val="2"/>
          </rPr>
          <t xml:space="preserve">NMODI: </t>
        </r>
        <r>
          <rPr>
            <sz val="8"/>
            <color indexed="81"/>
            <rFont val="Tahoma"/>
            <family val="2"/>
          </rPr>
          <t>Business seperation expenses of $6.924mm was included in SG&amp;A</t>
        </r>
        <r>
          <rPr>
            <sz val="8"/>
            <color indexed="81"/>
            <rFont val="Tahoma"/>
            <family val="2"/>
          </rPr>
          <t xml:space="preserve">
</t>
        </r>
      </text>
    </comment>
    <comment ref="BN48" authorId="1" shapeId="0" xr:uid="{00000000-0006-0000-0400-000010000000}">
      <text>
        <r>
          <rPr>
            <b/>
            <sz val="8"/>
            <color indexed="81"/>
            <rFont val="Tahoma"/>
            <family val="2"/>
          </rPr>
          <t xml:space="preserve">NMODI: </t>
        </r>
        <r>
          <rPr>
            <sz val="8"/>
            <color indexed="81"/>
            <rFont val="Tahoma"/>
            <family val="2"/>
          </rPr>
          <t>Business seperation expense of $12.037mm was included in SG&amp;A</t>
        </r>
        <r>
          <rPr>
            <sz val="8"/>
            <color indexed="81"/>
            <rFont val="Tahoma"/>
            <family val="2"/>
          </rPr>
          <t xml:space="preserve">
</t>
        </r>
      </text>
    </comment>
    <comment ref="BO48" authorId="1" shapeId="0" xr:uid="{00000000-0006-0000-0400-000011000000}">
      <text>
        <r>
          <rPr>
            <b/>
            <sz val="8"/>
            <color indexed="81"/>
            <rFont val="Tahoma"/>
            <family val="2"/>
          </rPr>
          <t xml:space="preserve">NMODI: </t>
        </r>
        <r>
          <rPr>
            <sz val="8"/>
            <color indexed="81"/>
            <rFont val="Tahoma"/>
            <family val="2"/>
          </rPr>
          <t>Business seperation expense of $9.291mm was included in SG&amp;A</t>
        </r>
        <r>
          <rPr>
            <sz val="8"/>
            <color indexed="81"/>
            <rFont val="Tahoma"/>
            <family val="2"/>
          </rPr>
          <t xml:space="preserve">
</t>
        </r>
      </text>
    </comment>
    <comment ref="BP48" authorId="1" shapeId="0" xr:uid="{00000000-0006-0000-0400-000012000000}">
      <text>
        <r>
          <rPr>
            <b/>
            <sz val="8"/>
            <color indexed="81"/>
            <rFont val="Tahoma"/>
            <family val="2"/>
          </rPr>
          <t xml:space="preserve">NMODI: </t>
        </r>
        <r>
          <rPr>
            <sz val="8"/>
            <color indexed="81"/>
            <rFont val="Tahoma"/>
            <family val="2"/>
          </rPr>
          <t>Business seperation expense of $8.116mm was included in SG&amp;A</t>
        </r>
        <r>
          <rPr>
            <sz val="8"/>
            <color indexed="81"/>
            <rFont val="Tahoma"/>
            <family val="2"/>
          </rPr>
          <t xml:space="preserve">
</t>
        </r>
      </text>
    </comment>
    <comment ref="BQ48" authorId="1" shapeId="0" xr:uid="{00000000-0006-0000-0400-000013000000}">
      <text>
        <r>
          <rPr>
            <b/>
            <sz val="8"/>
            <color indexed="81"/>
            <rFont val="Tahoma"/>
            <family val="2"/>
          </rPr>
          <t xml:space="preserve">NMODI: </t>
        </r>
        <r>
          <rPr>
            <sz val="8"/>
            <color indexed="81"/>
            <rFont val="Tahoma"/>
            <family val="2"/>
          </rPr>
          <t>Business seperation expense of $7.044mm was included in SG&amp;A</t>
        </r>
        <r>
          <rPr>
            <sz val="8"/>
            <color indexed="81"/>
            <rFont val="Tahoma"/>
            <family val="2"/>
          </rPr>
          <t xml:space="preserve">
</t>
        </r>
      </text>
    </comment>
    <comment ref="BK62" authorId="1" shapeId="0" xr:uid="{00000000-0006-0000-0400-000014000000}">
      <text>
        <r>
          <rPr>
            <b/>
            <sz val="8"/>
            <color indexed="81"/>
            <rFont val="Tahoma"/>
            <family val="2"/>
          </rPr>
          <t xml:space="preserve">NMODI: </t>
        </r>
        <r>
          <rPr>
            <sz val="8"/>
            <color indexed="81"/>
            <rFont val="Tahoma"/>
            <family val="2"/>
          </rPr>
          <t xml:space="preserve">Gain on investment of $2.567mm </t>
        </r>
      </text>
    </comment>
    <comment ref="BK63" authorId="1" shapeId="0" xr:uid="{00000000-0006-0000-0400-000015000000}">
      <text>
        <r>
          <rPr>
            <b/>
            <sz val="8"/>
            <color indexed="81"/>
            <rFont val="Tahoma"/>
            <family val="2"/>
          </rPr>
          <t xml:space="preserve">NMODI: </t>
        </r>
        <r>
          <rPr>
            <sz val="8"/>
            <color indexed="81"/>
            <rFont val="Tahoma"/>
            <family val="2"/>
          </rPr>
          <t xml:space="preserve">Gain on investment of $2.567mm </t>
        </r>
      </text>
    </comment>
    <comment ref="CJ63" authorId="0" shapeId="0" xr:uid="{00000000-0006-0000-0400-000016000000}">
      <text>
        <r>
          <rPr>
            <b/>
            <sz val="9"/>
            <color indexed="81"/>
            <rFont val="Tahoma"/>
            <family val="2"/>
          </rPr>
          <t>Lowden, William:</t>
        </r>
        <r>
          <rPr>
            <sz val="9"/>
            <color indexed="81"/>
            <rFont val="Tahoma"/>
            <family val="2"/>
          </rPr>
          <t xml:space="preserve">
Assuming 40mm in expenses related to AMS. </t>
        </r>
      </text>
    </comment>
    <comment ref="CB70" authorId="0" shapeId="0" xr:uid="{00000000-0006-0000-0400-000017000000}">
      <text>
        <r>
          <rPr>
            <b/>
            <sz val="9"/>
            <color indexed="81"/>
            <rFont val="Tahoma"/>
            <family val="2"/>
          </rPr>
          <t>Lowden, William:</t>
        </r>
        <r>
          <rPr>
            <sz val="9"/>
            <color indexed="81"/>
            <rFont val="Tahoma"/>
            <family val="2"/>
          </rPr>
          <t xml:space="preserve">
Guided to -$4.0mm in F3Q earnings release</t>
        </r>
      </text>
    </comment>
    <comment ref="AM71" authorId="2" shapeId="0" xr:uid="{00000000-0006-0000-0400-000018000000}">
      <text>
        <r>
          <rPr>
            <b/>
            <sz val="8"/>
            <color indexed="81"/>
            <rFont val="Tahoma"/>
            <family val="2"/>
          </rPr>
          <t>dsalmon:</t>
        </r>
        <r>
          <rPr>
            <sz val="8"/>
            <color indexed="81"/>
            <rFont val="Tahoma"/>
            <family val="2"/>
          </rPr>
          <t xml:space="preserve">
back into this to get to $0.25 of recurring EPS noted in press release</t>
        </r>
      </text>
    </comment>
    <comment ref="AR71" authorId="2" shapeId="0" xr:uid="{00000000-0006-0000-0400-000019000000}">
      <text>
        <r>
          <rPr>
            <b/>
            <sz val="8"/>
            <color indexed="81"/>
            <rFont val="Tahoma"/>
            <family val="2"/>
          </rPr>
          <t>dsalmon:</t>
        </r>
        <r>
          <rPr>
            <sz val="8"/>
            <color indexed="81"/>
            <rFont val="Tahoma"/>
            <family val="2"/>
          </rPr>
          <t xml:space="preserve">
back into this to get to $0.25 of recurring EPS noted in press release</t>
        </r>
      </text>
    </comment>
    <comment ref="AV71" authorId="2" shapeId="0" xr:uid="{00000000-0006-0000-0400-00001A000000}">
      <text>
        <r>
          <rPr>
            <b/>
            <sz val="8"/>
            <color indexed="81"/>
            <rFont val="Tahoma"/>
            <family val="2"/>
          </rPr>
          <t>dsalmon:</t>
        </r>
        <r>
          <rPr>
            <sz val="8"/>
            <color indexed="81"/>
            <rFont val="Tahoma"/>
            <family val="2"/>
          </rPr>
          <t xml:space="preserve">
tax effecting resturcturing costs at 41% and also including $3.5mm tax reversal to "reduce a reserved for unregognized tax benefits...due to the expiration of the related statue of limitations</t>
        </r>
      </text>
    </comment>
    <comment ref="E76" authorId="2" shapeId="0" xr:uid="{00000000-0006-0000-0400-00001B000000}">
      <text>
        <r>
          <rPr>
            <b/>
            <sz val="8"/>
            <color indexed="81"/>
            <rFont val="Tahoma"/>
            <family val="2"/>
          </rPr>
          <t>dsalmon:</t>
        </r>
        <r>
          <rPr>
            <sz val="8"/>
            <color indexed="81"/>
            <rFont val="Tahoma"/>
            <family val="2"/>
          </rPr>
          <t xml:space="preserve">
After MENA sold, only thing in here is the 70% Brazil </t>
        </r>
      </text>
    </comment>
    <comment ref="BB78" authorId="1" shapeId="0" xr:uid="{00000000-0006-0000-0400-00001C000000}">
      <text>
        <r>
          <rPr>
            <b/>
            <sz val="8"/>
            <color indexed="81"/>
            <rFont val="Tahoma"/>
            <family val="2"/>
          </rPr>
          <t xml:space="preserve">yarounian:
</t>
        </r>
        <r>
          <rPr>
            <sz val="8"/>
            <color indexed="81"/>
            <rFont val="Tahoma"/>
            <family val="2"/>
          </rPr>
          <t>Includes $30.864 of gain on disposal of discontinued ops and .167 of earnings from discontinued ops.</t>
        </r>
        <r>
          <rPr>
            <sz val="8"/>
            <color indexed="81"/>
            <rFont val="Tahoma"/>
            <family val="2"/>
          </rPr>
          <t xml:space="preserve">
</t>
        </r>
      </text>
    </comment>
    <comment ref="BS78" authorId="3" shapeId="0" xr:uid="{00000000-0006-0000-0400-00001D000000}">
      <text>
        <r>
          <rPr>
            <b/>
            <sz val="9"/>
            <color indexed="81"/>
            <rFont val="Tahoma"/>
            <family val="2"/>
          </rPr>
          <t>Modi, Nirav:</t>
        </r>
        <r>
          <rPr>
            <sz val="9"/>
            <color indexed="81"/>
            <rFont val="Tahoma"/>
            <family val="2"/>
          </rPr>
          <t xml:space="preserve">
ITO Business sale announced on May 20 and expected to close in Fiscal 2Q15</t>
        </r>
      </text>
    </comment>
    <comment ref="AW80" authorId="2" shapeId="0" xr:uid="{00000000-0006-0000-0400-00001E000000}">
      <text>
        <r>
          <rPr>
            <b/>
            <sz val="8"/>
            <color indexed="81"/>
            <rFont val="Tahoma"/>
            <family val="2"/>
          </rPr>
          <t>dsalmon:</t>
        </r>
        <r>
          <rPr>
            <sz val="8"/>
            <color indexed="81"/>
            <rFont val="Tahoma"/>
            <family val="2"/>
          </rPr>
          <t xml:space="preserve">
adding back portion of minority interest that is recurring, not the full $3.9mm which includes </t>
        </r>
      </text>
    </comment>
    <comment ref="BB80" authorId="2" shapeId="0" xr:uid="{00000000-0006-0000-0400-00001F000000}">
      <text>
        <r>
          <rPr>
            <b/>
            <sz val="8"/>
            <color indexed="81"/>
            <rFont val="Tahoma"/>
            <family val="2"/>
          </rPr>
          <t>dsalmon:</t>
        </r>
        <r>
          <rPr>
            <sz val="8"/>
            <color indexed="81"/>
            <rFont val="Tahoma"/>
            <family val="2"/>
          </rPr>
          <t xml:space="preserve">
backing out gain from sale of background screening, but keeps the $0.2mm in earnings from it</t>
        </r>
      </text>
    </comment>
    <comment ref="AW93" authorId="2" shapeId="0" xr:uid="{00000000-0006-0000-0400-000020000000}">
      <text>
        <r>
          <rPr>
            <b/>
            <sz val="8"/>
            <color indexed="81"/>
            <rFont val="Tahoma"/>
            <family val="2"/>
          </rPr>
          <t>dsalmon:</t>
        </r>
        <r>
          <rPr>
            <sz val="8"/>
            <color indexed="81"/>
            <rFont val="Tahoma"/>
            <family val="2"/>
          </rPr>
          <t xml:space="preserve">
using actual diluted share count in this calculation after backing out all the charges and yieled positive recurring net inocme</t>
        </r>
      </text>
    </comment>
    <comment ref="CE95" authorId="0" shapeId="0" xr:uid="{00000000-0006-0000-0400-000021000000}">
      <text>
        <r>
          <rPr>
            <b/>
            <sz val="9"/>
            <color indexed="81"/>
            <rFont val="Tahoma"/>
            <family val="2"/>
          </rPr>
          <t>Lowden, William:</t>
        </r>
        <r>
          <rPr>
            <sz val="9"/>
            <color indexed="81"/>
            <rFont val="Tahoma"/>
            <family val="2"/>
          </rPr>
          <t xml:space="preserve">
Hard coding due to rounding</t>
        </r>
      </text>
    </comment>
    <comment ref="BZ117" authorId="0" shapeId="0" xr:uid="{00000000-0006-0000-0400-000022000000}">
      <text>
        <r>
          <rPr>
            <b/>
            <sz val="9"/>
            <color indexed="81"/>
            <rFont val="Tahoma"/>
            <family val="2"/>
          </rPr>
          <t>Lowden, William:</t>
        </r>
        <r>
          <rPr>
            <sz val="9"/>
            <color indexed="81"/>
            <rFont val="Tahoma"/>
            <family val="2"/>
          </rPr>
          <t xml:space="preserve">
Announce acquisition of Arbor and Circulate on 11.17.16</t>
        </r>
      </text>
    </comment>
    <comment ref="CA119" authorId="0" shapeId="0" xr:uid="{00000000-0006-0000-0400-000023000000}">
      <text>
        <r>
          <rPr>
            <b/>
            <sz val="9"/>
            <color indexed="81"/>
            <rFont val="Tahoma"/>
            <family val="2"/>
          </rPr>
          <t>Lowden, William:</t>
        </r>
        <r>
          <rPr>
            <sz val="9"/>
            <color indexed="81"/>
            <rFont val="Tahoma"/>
            <family val="2"/>
          </rPr>
          <t xml:space="preserve">
Including gain on sale of assets and impairment of goodwill and other</t>
        </r>
      </text>
    </comment>
    <comment ref="E130" authorId="4" shapeId="0" xr:uid="{00000000-0006-0000-0400-000024000000}">
      <text>
        <r>
          <rPr>
            <b/>
            <sz val="9"/>
            <color indexed="81"/>
            <rFont val="Tahoma"/>
            <family val="2"/>
          </rPr>
          <t>Salmon, Dan:</t>
        </r>
        <r>
          <rPr>
            <sz val="9"/>
            <color indexed="81"/>
            <rFont val="Tahoma"/>
            <family val="2"/>
          </rPr>
          <t xml:space="preserve">
~15% connectivy, 85% MS and AS per Midwest NDR Dec 2015</t>
        </r>
      </text>
    </comment>
    <comment ref="CC133" authorId="0" shapeId="0" xr:uid="{00000000-0006-0000-0400-000025000000}">
      <text>
        <r>
          <rPr>
            <b/>
            <sz val="9"/>
            <color indexed="81"/>
            <rFont val="Tahoma"/>
            <family val="2"/>
          </rPr>
          <t>Lowden, William:</t>
        </r>
        <r>
          <rPr>
            <sz val="9"/>
            <color indexed="81"/>
            <rFont val="Tahoma"/>
            <family val="2"/>
          </rPr>
          <t xml:space="preserve">
Differs from cash flow statement for some reason</t>
        </r>
      </text>
    </comment>
    <comment ref="CL134" authorId="0" shapeId="0" xr:uid="{00000000-0006-0000-0400-000026000000}">
      <text>
        <r>
          <rPr>
            <b/>
            <sz val="9"/>
            <color indexed="81"/>
            <rFont val="Tahoma"/>
            <family val="2"/>
          </rPr>
          <t>Lowden, William:</t>
        </r>
        <r>
          <rPr>
            <sz val="9"/>
            <color indexed="81"/>
            <rFont val="Tahoma"/>
            <family val="2"/>
          </rPr>
          <t xml:space="preserve">
"The Company’s GAAP and non-GAAP operating loss guidance includes approximately $20 million of transition-related spend associated with establishing standalone operations at LiveRamp. The $20 million is broken out as follows: approximately $3.5 million in the second quarter, $9 million in the third quarter and $7.5 million in the fourth quarter. Transition-related spending is expected to be largely complete by the Company’s fiscal year end."-F2Q19 earnings</t>
        </r>
      </text>
    </comment>
    <comment ref="CJ146" authorId="0" shapeId="0" xr:uid="{00000000-0006-0000-0400-000027000000}">
      <text>
        <r>
          <rPr>
            <b/>
            <sz val="9"/>
            <color indexed="81"/>
            <rFont val="Tahoma"/>
            <family val="2"/>
          </rPr>
          <t>Lowden, William:</t>
        </r>
        <r>
          <rPr>
            <sz val="9"/>
            <color indexed="81"/>
            <rFont val="Tahoma"/>
            <family val="2"/>
          </rPr>
          <t xml:space="preserve">
Fees associated with AMS sale</t>
        </r>
      </text>
    </comment>
    <comment ref="AE166" authorId="2" shapeId="0" xr:uid="{00000000-0006-0000-0400-000028000000}">
      <text>
        <r>
          <rPr>
            <b/>
            <sz val="8"/>
            <color indexed="81"/>
            <rFont val="Tahoma"/>
            <family val="2"/>
          </rPr>
          <t>dsalmon:</t>
        </r>
        <r>
          <rPr>
            <sz val="8"/>
            <color indexed="81"/>
            <rFont val="Tahoma"/>
            <family val="2"/>
          </rPr>
          <t xml:space="preserve">
omitted this qtr</t>
        </r>
      </text>
    </comment>
    <comment ref="CK167" authorId="0" shapeId="0" xr:uid="{00000000-0006-0000-0400-000029000000}">
      <text>
        <r>
          <rPr>
            <b/>
            <sz val="9"/>
            <color indexed="81"/>
            <rFont val="Tahoma"/>
            <family val="2"/>
          </rPr>
          <t>Lowden, William:</t>
        </r>
        <r>
          <rPr>
            <sz val="9"/>
            <color indexed="81"/>
            <rFont val="Tahoma"/>
            <family val="2"/>
          </rPr>
          <t xml:space="preserve">
Corporate expenses higher at the beginning post sale of AMS. Should trend down over time. Some lumpiness in the first few quarters. 
Likely towards the higher end of 15-20% in FY20. 
Greater than 20% in 2H19
Trending down over time as revenue builds. </t>
        </r>
      </text>
    </comment>
    <comment ref="BV170" authorId="0" shapeId="0" xr:uid="{00000000-0006-0000-0400-00002A000000}">
      <text>
        <r>
          <rPr>
            <b/>
            <sz val="9"/>
            <color indexed="81"/>
            <rFont val="Tahoma"/>
            <family val="2"/>
          </rPr>
          <t>Lowden, William:</t>
        </r>
        <r>
          <rPr>
            <sz val="9"/>
            <color indexed="81"/>
            <rFont val="Tahoma"/>
            <family val="2"/>
          </rPr>
          <t xml:space="preserve">
Includes $6.1 million in goodwill impairment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dsalmon</author>
    <author>Modi, Nirav</author>
    <author>Lowden, William</author>
  </authors>
  <commentList>
    <comment ref="AW15" authorId="0" shapeId="0" xr:uid="{00000000-0006-0000-0500-000001000000}">
      <text>
        <r>
          <rPr>
            <b/>
            <sz val="8"/>
            <color indexed="81"/>
            <rFont val="Tahoma"/>
            <family val="2"/>
          </rPr>
          <t>dsalmon:</t>
        </r>
        <r>
          <rPr>
            <sz val="8"/>
            <color indexed="81"/>
            <rFont val="Tahoma"/>
            <family val="2"/>
          </rPr>
          <t xml:space="preserve">
includes $7.4mm in refundable income taxes</t>
        </r>
      </text>
    </comment>
    <comment ref="BS19" authorId="1" shapeId="0" xr:uid="{00000000-0006-0000-0500-000002000000}">
      <text>
        <r>
          <rPr>
            <b/>
            <sz val="9"/>
            <color indexed="81"/>
            <rFont val="Tahoma"/>
            <family val="2"/>
          </rPr>
          <t>Modi, Nirav:</t>
        </r>
        <r>
          <rPr>
            <sz val="9"/>
            <color indexed="81"/>
            <rFont val="Tahoma"/>
            <family val="2"/>
          </rPr>
          <t xml:space="preserve">
Sale of ITO assets</t>
        </r>
      </text>
    </comment>
    <comment ref="BZ21" authorId="2" shapeId="0" xr:uid="{00000000-0006-0000-0500-000003000000}">
      <text>
        <r>
          <rPr>
            <b/>
            <sz val="9"/>
            <color indexed="81"/>
            <rFont val="Tahoma"/>
            <family val="2"/>
          </rPr>
          <t>Lowden, William:</t>
        </r>
        <r>
          <rPr>
            <sz val="9"/>
            <color indexed="81"/>
            <rFont val="Tahoma"/>
            <family val="2"/>
          </rPr>
          <t xml:space="preserve">
Circulate/Arbor</t>
        </r>
      </text>
    </comment>
    <comment ref="BZ22" authorId="2" shapeId="0" xr:uid="{00000000-0006-0000-0500-000004000000}">
      <text>
        <r>
          <rPr>
            <b/>
            <sz val="9"/>
            <color indexed="81"/>
            <rFont val="Tahoma"/>
            <family val="2"/>
          </rPr>
          <t>Lowden, William:</t>
        </r>
        <r>
          <rPr>
            <sz val="9"/>
            <color indexed="81"/>
            <rFont val="Tahoma"/>
            <family val="2"/>
          </rPr>
          <t xml:space="preserve">
Circulate/Arbor</t>
        </r>
      </text>
    </comment>
    <comment ref="CJ42" authorId="2" shapeId="0" xr:uid="{00000000-0006-0000-0500-000005000000}">
      <text>
        <r>
          <rPr>
            <b/>
            <sz val="9"/>
            <color indexed="81"/>
            <rFont val="Tahoma"/>
            <family val="2"/>
          </rPr>
          <t>Lowden, William:</t>
        </r>
        <r>
          <rPr>
            <sz val="9"/>
            <color indexed="81"/>
            <rFont val="Tahoma"/>
            <family val="2"/>
          </rPr>
          <t xml:space="preserve">
Taxes for AMS sale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BMO Capital Markets</author>
    <author>Lowden, William</author>
    <author>dsalmon</author>
    <author>Modi, Nirav</author>
  </authors>
  <commentList>
    <comment ref="BB12" authorId="0" shapeId="0" xr:uid="{00000000-0006-0000-0600-000001000000}">
      <text>
        <r>
          <rPr>
            <b/>
            <sz val="8"/>
            <color indexed="81"/>
            <rFont val="Tahoma"/>
            <family val="2"/>
          </rPr>
          <t xml:space="preserve">yarounian:
</t>
        </r>
        <r>
          <rPr>
            <sz val="8"/>
            <color indexed="81"/>
            <rFont val="Tahoma"/>
            <family val="2"/>
          </rPr>
          <t>Gain on sale of background screening unit</t>
        </r>
      </text>
    </comment>
    <comment ref="CK13" authorId="1" shapeId="0" xr:uid="{00000000-0006-0000-0600-000002000000}">
      <text>
        <r>
          <rPr>
            <b/>
            <sz val="9"/>
            <color indexed="81"/>
            <rFont val="Tahoma"/>
            <family val="2"/>
          </rPr>
          <t>Lowden, William:</t>
        </r>
        <r>
          <rPr>
            <sz val="9"/>
            <color indexed="81"/>
            <rFont val="Tahoma"/>
            <family val="2"/>
          </rPr>
          <t xml:space="preserve">
LiveRamp anticipates paying taxes of approximately $500 million in its fourth fiscal quarter. </t>
        </r>
      </text>
    </comment>
    <comment ref="CA14" authorId="1" shapeId="0" xr:uid="{00000000-0006-0000-0600-000003000000}">
      <text>
        <r>
          <rPr>
            <b/>
            <sz val="9"/>
            <color indexed="81"/>
            <rFont val="Tahoma"/>
            <family val="2"/>
          </rPr>
          <t>Lowden, William:</t>
        </r>
        <r>
          <rPr>
            <sz val="9"/>
            <color indexed="81"/>
            <rFont val="Tahoma"/>
            <family val="2"/>
          </rPr>
          <t xml:space="preserve">
Arbor/Circulate increase stock comp by ~$4.2mm a quarter for three years</t>
        </r>
      </text>
    </comment>
    <comment ref="CI14" authorId="1" shapeId="0" xr:uid="{00000000-0006-0000-0600-000004000000}">
      <text>
        <r>
          <rPr>
            <b/>
            <sz val="9"/>
            <color indexed="81"/>
            <rFont val="Tahoma"/>
            <family val="2"/>
          </rPr>
          <t>Lowden, William:</t>
        </r>
        <r>
          <rPr>
            <sz val="9"/>
            <color indexed="81"/>
            <rFont val="Tahoma"/>
            <family val="2"/>
          </rPr>
          <t xml:space="preserve">
Higher due to acquisition related stock-comp</t>
        </r>
      </text>
    </comment>
    <comment ref="CJ14" authorId="1" shapeId="0" xr:uid="{00000000-0006-0000-0600-000005000000}">
      <text>
        <r>
          <rPr>
            <b/>
            <sz val="9"/>
            <color indexed="81"/>
            <rFont val="Tahoma"/>
            <family val="2"/>
          </rPr>
          <t>Lowden, William:</t>
        </r>
        <r>
          <rPr>
            <sz val="9"/>
            <color indexed="81"/>
            <rFont val="Tahoma"/>
            <family val="2"/>
          </rPr>
          <t xml:space="preserve">
Higher due to acquisition related stock-comp</t>
        </r>
      </text>
    </comment>
    <comment ref="CK14" authorId="1" shapeId="0" xr:uid="{00000000-0006-0000-0600-000006000000}">
      <text>
        <r>
          <rPr>
            <b/>
            <sz val="9"/>
            <color indexed="81"/>
            <rFont val="Tahoma"/>
            <family val="2"/>
          </rPr>
          <t>Lowden, William:</t>
        </r>
        <r>
          <rPr>
            <sz val="9"/>
            <color indexed="81"/>
            <rFont val="Tahoma"/>
            <family val="2"/>
          </rPr>
          <t xml:space="preserve">
Higher due to acquisition related stock-comp</t>
        </r>
      </text>
    </comment>
    <comment ref="BA20" authorId="0" shapeId="0" xr:uid="{00000000-0006-0000-0600-000007000000}">
      <text>
        <r>
          <rPr>
            <b/>
            <sz val="8"/>
            <color indexed="81"/>
            <rFont val="Tahoma"/>
            <family val="2"/>
          </rPr>
          <t xml:space="preserve">yarounian:
</t>
        </r>
        <r>
          <rPr>
            <sz val="8"/>
            <color indexed="81"/>
            <rFont val="Tahoma"/>
            <family val="2"/>
          </rPr>
          <t>includes $17.8mm in impairment of goodwill</t>
        </r>
        <r>
          <rPr>
            <sz val="8"/>
            <color indexed="81"/>
            <rFont val="Tahoma"/>
            <family val="2"/>
          </rPr>
          <t xml:space="preserve">
</t>
        </r>
      </text>
    </comment>
    <comment ref="AU26" authorId="2" shapeId="0" xr:uid="{00000000-0006-0000-0600-000008000000}">
      <text>
        <r>
          <rPr>
            <b/>
            <sz val="8"/>
            <color indexed="81"/>
            <rFont val="Tahoma"/>
            <family val="2"/>
          </rPr>
          <t>dsalmon:</t>
        </r>
        <r>
          <rPr>
            <sz val="8"/>
            <color indexed="81"/>
            <rFont val="Tahoma"/>
            <family val="2"/>
          </rPr>
          <t xml:space="preserve">
DNB </t>
        </r>
      </text>
    </comment>
    <comment ref="AZ26" authorId="2" shapeId="0" xr:uid="{00000000-0006-0000-0600-000009000000}">
      <text>
        <r>
          <rPr>
            <b/>
            <sz val="8"/>
            <color indexed="81"/>
            <rFont val="Tahoma"/>
            <family val="2"/>
          </rPr>
          <t>dsalmon:</t>
        </r>
        <r>
          <rPr>
            <sz val="8"/>
            <color indexed="81"/>
            <rFont val="Tahoma"/>
            <family val="2"/>
          </rPr>
          <t xml:space="preserve">
DNB </t>
        </r>
      </text>
    </comment>
    <comment ref="T27" authorId="2" shapeId="0" xr:uid="{00000000-0006-0000-0600-00000A000000}">
      <text>
        <r>
          <rPr>
            <b/>
            <sz val="8"/>
            <color indexed="81"/>
            <rFont val="Tahoma"/>
            <family val="2"/>
          </rPr>
          <t>dsalmon:</t>
        </r>
        <r>
          <rPr>
            <sz val="8"/>
            <color indexed="81"/>
            <rFont val="Tahoma"/>
            <family val="2"/>
          </rPr>
          <t xml:space="preserve">
includes deferral of costs starting this period back</t>
        </r>
      </text>
    </comment>
    <comment ref="Y27" authorId="2" shapeId="0" xr:uid="{00000000-0006-0000-0600-00000B000000}">
      <text>
        <r>
          <rPr>
            <b/>
            <sz val="8"/>
            <color indexed="81"/>
            <rFont val="Tahoma"/>
            <family val="2"/>
          </rPr>
          <t>dsalmon:</t>
        </r>
        <r>
          <rPr>
            <sz val="8"/>
            <color indexed="81"/>
            <rFont val="Tahoma"/>
            <family val="2"/>
          </rPr>
          <t xml:space="preserve">
includes deferral of costs starting this period back</t>
        </r>
      </text>
    </comment>
    <comment ref="AD27" authorId="2" shapeId="0" xr:uid="{00000000-0006-0000-0600-00000C000000}">
      <text>
        <r>
          <rPr>
            <b/>
            <sz val="8"/>
            <color indexed="81"/>
            <rFont val="Tahoma"/>
            <family val="2"/>
          </rPr>
          <t>dsalmon:</t>
        </r>
        <r>
          <rPr>
            <sz val="8"/>
            <color indexed="81"/>
            <rFont val="Tahoma"/>
            <family val="2"/>
          </rPr>
          <t xml:space="preserve">
includes deferral of costs starting this period back</t>
        </r>
      </text>
    </comment>
    <comment ref="AT28" authorId="2" shapeId="0" xr:uid="{00000000-0006-0000-0600-00000D000000}">
      <text>
        <r>
          <rPr>
            <b/>
            <sz val="8"/>
            <color indexed="81"/>
            <rFont val="Tahoma"/>
            <family val="2"/>
          </rPr>
          <t>dsalmon:</t>
        </r>
        <r>
          <rPr>
            <sz val="8"/>
            <color indexed="81"/>
            <rFont val="Tahoma"/>
            <family val="2"/>
          </rPr>
          <t xml:space="preserve">
cash paid for Brazil acquisition</t>
        </r>
      </text>
    </comment>
    <comment ref="AW28" authorId="2" shapeId="0" xr:uid="{00000000-0006-0000-0600-00000E000000}">
      <text>
        <r>
          <rPr>
            <b/>
            <sz val="8"/>
            <color indexed="81"/>
            <rFont val="Tahoma"/>
            <family val="2"/>
          </rPr>
          <t>dsalmon:</t>
        </r>
        <r>
          <rPr>
            <sz val="8"/>
            <color indexed="81"/>
            <rFont val="Tahoma"/>
            <family val="2"/>
          </rPr>
          <t xml:space="preserve">
includes disposal of operations</t>
        </r>
      </text>
    </comment>
    <comment ref="BB28" authorId="2" shapeId="0" xr:uid="{00000000-0006-0000-0600-00000F000000}">
      <text>
        <r>
          <rPr>
            <b/>
            <sz val="8"/>
            <color indexed="81"/>
            <rFont val="Tahoma"/>
            <family val="2"/>
          </rPr>
          <t>dsalmon:</t>
        </r>
        <r>
          <rPr>
            <sz val="8"/>
            <color indexed="81"/>
            <rFont val="Tahoma"/>
            <family val="2"/>
          </rPr>
          <t xml:space="preserve">
sale of background screening business to Sterling Infosystems announced 12/5/11 closing in 60 days</t>
        </r>
      </text>
    </comment>
    <comment ref="BO28" authorId="0" shapeId="0" xr:uid="{00000000-0006-0000-0600-000010000000}">
      <text>
        <r>
          <rPr>
            <b/>
            <sz val="8"/>
            <color indexed="81"/>
            <rFont val="Tahoma"/>
            <family val="2"/>
          </rPr>
          <t xml:space="preserve">nmodi: </t>
        </r>
        <r>
          <rPr>
            <sz val="8"/>
            <color indexed="81"/>
            <rFont val="Tahoma"/>
            <family val="2"/>
          </rPr>
          <t>Acquired LiveRamp for $310mm in cash. Net cash outlay was $266mm, per CFO during 1Q15 earnigns call. Deal closed on July 1</t>
        </r>
        <r>
          <rPr>
            <sz val="8"/>
            <color indexed="81"/>
            <rFont val="Tahoma"/>
            <family val="2"/>
          </rPr>
          <t xml:space="preserve">
</t>
        </r>
      </text>
    </comment>
    <comment ref="BS28" authorId="3" shapeId="0" xr:uid="{00000000-0006-0000-0600-000011000000}">
      <text>
        <r>
          <rPr>
            <b/>
            <sz val="9"/>
            <color indexed="81"/>
            <rFont val="Tahoma"/>
            <family val="2"/>
          </rPr>
          <t>Modi, Nirav:</t>
        </r>
        <r>
          <rPr>
            <sz val="9"/>
            <color indexed="81"/>
            <rFont val="Tahoma"/>
            <family val="2"/>
          </rPr>
          <t xml:space="preserve">
Sold ITO business for $140mm cash+$50mm contingent payment and 5% profits interest. ~$20mm in taxes and fees</t>
        </r>
      </text>
    </comment>
    <comment ref="BY28" authorId="1" shapeId="0" xr:uid="{00000000-0006-0000-0600-000012000000}">
      <text>
        <r>
          <rPr>
            <b/>
            <sz val="9"/>
            <color indexed="81"/>
            <rFont val="Tahoma"/>
            <family val="2"/>
          </rPr>
          <t>Lowden, William:</t>
        </r>
        <r>
          <rPr>
            <sz val="9"/>
            <color indexed="81"/>
            <rFont val="Tahoma"/>
            <family val="2"/>
          </rPr>
          <t xml:space="preserve">
Sold email business</t>
        </r>
      </text>
    </comment>
    <comment ref="AX33" authorId="2" shapeId="0" xr:uid="{00000000-0006-0000-0600-000013000000}">
      <text>
        <r>
          <rPr>
            <b/>
            <sz val="8"/>
            <color indexed="81"/>
            <rFont val="Tahoma"/>
            <family val="2"/>
          </rPr>
          <t>dsalmon:</t>
        </r>
        <r>
          <rPr>
            <sz val="8"/>
            <color indexed="81"/>
            <rFont val="Tahoma"/>
            <family val="2"/>
          </rPr>
          <t xml:space="preserve">
from F10 10K
$6.0mm of term loan due this year
$13.582mm of other debt</t>
        </r>
      </text>
    </comment>
    <comment ref="BC33" authorId="2" shapeId="0" xr:uid="{00000000-0006-0000-0600-000014000000}">
      <text>
        <r>
          <rPr>
            <b/>
            <sz val="8"/>
            <color indexed="81"/>
            <rFont val="Tahoma"/>
            <family val="2"/>
          </rPr>
          <t>dsalmon:</t>
        </r>
        <r>
          <rPr>
            <sz val="8"/>
            <color indexed="81"/>
            <rFont val="Tahoma"/>
            <family val="2"/>
          </rPr>
          <t xml:space="preserve">
from F10 10K
$32.296mm of term loan due this year
$1.629mm of other debt</t>
        </r>
      </text>
    </comment>
    <comment ref="BD33" authorId="2" shapeId="0" xr:uid="{00000000-0006-0000-0600-000015000000}">
      <text>
        <r>
          <rPr>
            <b/>
            <sz val="8"/>
            <color indexed="81"/>
            <rFont val="Tahoma"/>
            <family val="2"/>
          </rPr>
          <t>dsalmon:</t>
        </r>
        <r>
          <rPr>
            <sz val="8"/>
            <color indexed="81"/>
            <rFont val="Tahoma"/>
            <family val="2"/>
          </rPr>
          <t xml:space="preserve">
$1.5mm due on the term loan each quarter</t>
        </r>
      </text>
    </comment>
    <comment ref="BE33" authorId="2" shapeId="0" xr:uid="{00000000-0006-0000-0600-000016000000}">
      <text>
        <r>
          <rPr>
            <b/>
            <sz val="8"/>
            <color indexed="81"/>
            <rFont val="Tahoma"/>
            <family val="2"/>
          </rPr>
          <t>dsalmon:</t>
        </r>
        <r>
          <rPr>
            <sz val="8"/>
            <color indexed="81"/>
            <rFont val="Tahoma"/>
            <family val="2"/>
          </rPr>
          <t xml:space="preserve">
$1.5mm due on the term loan each quarter</t>
        </r>
      </text>
    </comment>
    <comment ref="BF33" authorId="2" shapeId="0" xr:uid="{00000000-0006-0000-0600-000017000000}">
      <text>
        <r>
          <rPr>
            <b/>
            <sz val="8"/>
            <color indexed="81"/>
            <rFont val="Tahoma"/>
            <family val="2"/>
          </rPr>
          <t>dsalmon:</t>
        </r>
        <r>
          <rPr>
            <sz val="8"/>
            <color indexed="81"/>
            <rFont val="Tahoma"/>
            <family val="2"/>
          </rPr>
          <t xml:space="preserve">
$1.5mm due on the term loan each quarter</t>
        </r>
      </text>
    </comment>
    <comment ref="BH33" authorId="2" shapeId="0" xr:uid="{00000000-0006-0000-0600-000018000000}">
      <text>
        <r>
          <rPr>
            <b/>
            <sz val="8"/>
            <color indexed="81"/>
            <rFont val="Tahoma"/>
            <family val="2"/>
          </rPr>
          <t>dsalmon:</t>
        </r>
        <r>
          <rPr>
            <sz val="8"/>
            <color indexed="81"/>
            <rFont val="Tahoma"/>
            <family val="2"/>
          </rPr>
          <t xml:space="preserve">
from F10 10K
$32.296mm of term loan due this year
$1.646mm of other debt</t>
        </r>
      </text>
    </comment>
    <comment ref="BI33" authorId="2" shapeId="0" xr:uid="{00000000-0006-0000-0600-000019000000}">
      <text>
        <r>
          <rPr>
            <b/>
            <sz val="8"/>
            <color indexed="81"/>
            <rFont val="Tahoma"/>
            <family val="2"/>
          </rPr>
          <t>dsalmon:</t>
        </r>
        <r>
          <rPr>
            <sz val="8"/>
            <color indexed="81"/>
            <rFont val="Tahoma"/>
            <family val="2"/>
          </rPr>
          <t xml:space="preserve">
$1.5mm due on the term loan each quarter</t>
        </r>
      </text>
    </comment>
    <comment ref="BJ33" authorId="2" shapeId="0" xr:uid="{00000000-0006-0000-0600-00001A000000}">
      <text>
        <r>
          <rPr>
            <b/>
            <sz val="8"/>
            <color indexed="81"/>
            <rFont val="Tahoma"/>
            <family val="2"/>
          </rPr>
          <t>dsalmon:</t>
        </r>
        <r>
          <rPr>
            <sz val="8"/>
            <color indexed="81"/>
            <rFont val="Tahoma"/>
            <family val="2"/>
          </rPr>
          <t xml:space="preserve">
$1.5mm due on the term loan each quarter</t>
        </r>
      </text>
    </comment>
    <comment ref="BK33" authorId="2" shapeId="0" xr:uid="{00000000-0006-0000-0600-00001B000000}">
      <text>
        <r>
          <rPr>
            <b/>
            <sz val="8"/>
            <color indexed="81"/>
            <rFont val="Tahoma"/>
            <family val="2"/>
          </rPr>
          <t>dsalmon:</t>
        </r>
        <r>
          <rPr>
            <sz val="8"/>
            <color indexed="81"/>
            <rFont val="Tahoma"/>
            <family val="2"/>
          </rPr>
          <t xml:space="preserve">
$1.5mm due on the term loan each quarter</t>
        </r>
      </text>
    </comment>
    <comment ref="BL33" authorId="2" shapeId="0" xr:uid="{00000000-0006-0000-0600-00001C000000}">
      <text>
        <r>
          <rPr>
            <b/>
            <sz val="8"/>
            <color indexed="81"/>
            <rFont val="Tahoma"/>
            <family val="2"/>
          </rPr>
          <t>dsalmon:</t>
        </r>
        <r>
          <rPr>
            <sz val="8"/>
            <color indexed="81"/>
            <rFont val="Tahoma"/>
            <family val="2"/>
          </rPr>
          <t xml:space="preserve">
$1.5mm due on the term loan each quarter</t>
        </r>
      </text>
    </comment>
    <comment ref="BM33" authorId="2" shapeId="0" xr:uid="{00000000-0006-0000-0600-00001D000000}">
      <text>
        <r>
          <rPr>
            <b/>
            <sz val="8"/>
            <color indexed="81"/>
            <rFont val="Tahoma"/>
            <family val="2"/>
          </rPr>
          <t>dsalmon:</t>
        </r>
        <r>
          <rPr>
            <sz val="8"/>
            <color indexed="81"/>
            <rFont val="Tahoma"/>
            <family val="2"/>
          </rPr>
          <t xml:space="preserve">
from F10 10K
$6.0mm of term loan due this year
$.529mm of other debt</t>
        </r>
      </text>
    </comment>
    <comment ref="BR33" authorId="2" shapeId="0" xr:uid="{00000000-0006-0000-0600-00001E000000}">
      <text>
        <r>
          <rPr>
            <b/>
            <sz val="8"/>
            <color indexed="81"/>
            <rFont val="Tahoma"/>
            <family val="2"/>
          </rPr>
          <t>dsalmon:</t>
        </r>
        <r>
          <rPr>
            <sz val="8"/>
            <color indexed="81"/>
            <rFont val="Tahoma"/>
            <family val="2"/>
          </rPr>
          <t xml:space="preserve">
from F10 10K
$6.0mm of term loan due this year
$.529mm of other debt</t>
        </r>
      </text>
    </comment>
    <comment ref="BW33" authorId="2" shapeId="0" xr:uid="{00000000-0006-0000-0600-00001F000000}">
      <text>
        <r>
          <rPr>
            <b/>
            <sz val="8"/>
            <color indexed="81"/>
            <rFont val="Tahoma"/>
            <family val="2"/>
          </rPr>
          <t>dsalmon:</t>
        </r>
        <r>
          <rPr>
            <sz val="8"/>
            <color indexed="81"/>
            <rFont val="Tahoma"/>
            <family val="2"/>
          </rPr>
          <t xml:space="preserve">
from F10 10K
$6.0mm of term loan due this year
$.529mm of other debt</t>
        </r>
      </text>
    </comment>
    <comment ref="BZ33" authorId="1" shapeId="0" xr:uid="{00000000-0006-0000-0600-000020000000}">
      <text>
        <r>
          <rPr>
            <b/>
            <sz val="9"/>
            <color indexed="81"/>
            <rFont val="Tahoma"/>
            <family val="2"/>
          </rPr>
          <t>Lowden, William:</t>
        </r>
        <r>
          <rPr>
            <sz val="9"/>
            <color indexed="81"/>
            <rFont val="Tahoma"/>
            <family val="2"/>
          </rPr>
          <t xml:space="preserve">
Used to fund Arbor/Circulate</t>
        </r>
      </text>
    </comment>
    <comment ref="CB33" authorId="2" shapeId="0" xr:uid="{00000000-0006-0000-0600-000021000000}">
      <text>
        <r>
          <rPr>
            <b/>
            <sz val="8"/>
            <color indexed="81"/>
            <rFont val="Tahoma"/>
            <family val="2"/>
          </rPr>
          <t>dsalmon:</t>
        </r>
        <r>
          <rPr>
            <sz val="8"/>
            <color indexed="81"/>
            <rFont val="Tahoma"/>
            <family val="2"/>
          </rPr>
          <t xml:space="preserve">
from F10 10K
$6.0mm of term loan due this year
$.529mm of other debt</t>
        </r>
      </text>
    </comment>
    <comment ref="BM61" authorId="3" shapeId="0" xr:uid="{00000000-0006-0000-0600-000022000000}">
      <text>
        <r>
          <rPr>
            <b/>
            <sz val="9"/>
            <color indexed="81"/>
            <rFont val="Tahoma"/>
            <family val="2"/>
          </rPr>
          <t>Modi, Nirav:</t>
        </r>
        <r>
          <rPr>
            <sz val="9"/>
            <color indexed="81"/>
            <rFont val="Tahoma"/>
            <family val="2"/>
          </rPr>
          <t xml:space="preserve">
Adjustment for one-time items</t>
        </r>
      </text>
    </comment>
    <comment ref="BR61" authorId="3" shapeId="0" xr:uid="{00000000-0006-0000-0600-000023000000}">
      <text>
        <r>
          <rPr>
            <b/>
            <sz val="9"/>
            <color indexed="81"/>
            <rFont val="Tahoma"/>
            <family val="2"/>
          </rPr>
          <t>Modi, Nirav:</t>
        </r>
        <r>
          <rPr>
            <sz val="9"/>
            <color indexed="81"/>
            <rFont val="Tahoma"/>
            <family val="2"/>
          </rPr>
          <t xml:space="preserve">
Adjustment for one-time items</t>
        </r>
      </text>
    </comment>
    <comment ref="BY82" authorId="1" shapeId="0" xr:uid="{00000000-0006-0000-0600-000024000000}">
      <text>
        <r>
          <rPr>
            <b/>
            <sz val="9"/>
            <color indexed="81"/>
            <rFont val="Tahoma"/>
            <family val="2"/>
          </rPr>
          <t>Lowden, William:</t>
        </r>
        <r>
          <rPr>
            <sz val="9"/>
            <color indexed="81"/>
            <rFont val="Tahoma"/>
            <family val="2"/>
          </rPr>
          <t xml:space="preserve">
Sale of email business</t>
        </r>
      </text>
    </comment>
    <comment ref="CA82" authorId="1" shapeId="0" xr:uid="{00000000-0006-0000-0600-000025000000}">
      <text>
        <r>
          <rPr>
            <b/>
            <sz val="9"/>
            <color indexed="81"/>
            <rFont val="Tahoma"/>
            <family val="2"/>
          </rPr>
          <t>Lowden, William:</t>
        </r>
        <r>
          <rPr>
            <sz val="9"/>
            <color indexed="81"/>
            <rFont val="Tahoma"/>
            <family val="2"/>
          </rPr>
          <t xml:space="preserve">
Real estate assets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Lowden, William</author>
  </authors>
  <commentList>
    <comment ref="CJ44" authorId="0" shapeId="0" xr:uid="{00000000-0006-0000-0700-000001000000}">
      <text>
        <r>
          <rPr>
            <b/>
            <sz val="9"/>
            <color indexed="81"/>
            <rFont val="Tahoma"/>
            <family val="2"/>
          </rPr>
          <t>Lowden, William:</t>
        </r>
        <r>
          <rPr>
            <sz val="9"/>
            <color indexed="81"/>
            <rFont val="Tahoma"/>
            <family val="2"/>
          </rPr>
          <t xml:space="preserve">
AbiliTec benefit</t>
        </r>
      </text>
    </comment>
    <comment ref="CK44" authorId="0" shapeId="0" xr:uid="{00000000-0006-0000-0700-000002000000}">
      <text>
        <r>
          <rPr>
            <b/>
            <sz val="9"/>
            <color indexed="81"/>
            <rFont val="Tahoma"/>
            <family val="2"/>
          </rPr>
          <t>Lowden, William:</t>
        </r>
        <r>
          <rPr>
            <sz val="9"/>
            <color indexed="81"/>
            <rFont val="Tahoma"/>
            <family val="2"/>
          </rPr>
          <t xml:space="preserve">
AbiliTec benefit</t>
        </r>
      </text>
    </comment>
    <comment ref="CM44" authorId="0" shapeId="0" xr:uid="{00000000-0006-0000-0700-000003000000}">
      <text>
        <r>
          <rPr>
            <b/>
            <sz val="9"/>
            <color indexed="81"/>
            <rFont val="Tahoma"/>
            <family val="2"/>
          </rPr>
          <t>Lowden, William:</t>
        </r>
        <r>
          <rPr>
            <sz val="9"/>
            <color indexed="81"/>
            <rFont val="Tahoma"/>
            <family val="2"/>
          </rPr>
          <t xml:space="preserve">
AbiliTec benefit</t>
        </r>
      </text>
    </comment>
    <comment ref="CN44" authorId="0" shapeId="0" xr:uid="{00000000-0006-0000-0700-000004000000}">
      <text>
        <r>
          <rPr>
            <b/>
            <sz val="9"/>
            <color indexed="81"/>
            <rFont val="Tahoma"/>
            <family val="2"/>
          </rPr>
          <t>Lowden, William:</t>
        </r>
        <r>
          <rPr>
            <sz val="9"/>
            <color indexed="81"/>
            <rFont val="Tahoma"/>
            <family val="2"/>
          </rPr>
          <t xml:space="preserve">
AbiliTec benefit</t>
        </r>
      </text>
    </comment>
    <comment ref="CO44" authorId="0" shapeId="0" xr:uid="{00000000-0006-0000-0700-000005000000}">
      <text>
        <r>
          <rPr>
            <b/>
            <sz val="9"/>
            <color indexed="81"/>
            <rFont val="Tahoma"/>
            <family val="2"/>
          </rPr>
          <t>Lowden, William:</t>
        </r>
        <r>
          <rPr>
            <sz val="9"/>
            <color indexed="81"/>
            <rFont val="Tahoma"/>
            <family val="2"/>
          </rPr>
          <t xml:space="preserve">
AbiliTec benefit</t>
        </r>
      </text>
    </comment>
    <comment ref="CJ50" authorId="0" shapeId="0" xr:uid="{00000000-0006-0000-0700-000006000000}">
      <text>
        <r>
          <rPr>
            <b/>
            <sz val="9"/>
            <color indexed="81"/>
            <rFont val="Tahoma"/>
            <family val="2"/>
          </rPr>
          <t>Lowden, William:</t>
        </r>
        <r>
          <rPr>
            <sz val="9"/>
            <color indexed="81"/>
            <rFont val="Tahoma"/>
            <family val="2"/>
          </rPr>
          <t xml:space="preserve">
Pressure from Abilitec costs coming on</t>
        </r>
      </text>
    </comment>
    <comment ref="CK50" authorId="0" shapeId="0" xr:uid="{00000000-0006-0000-0700-000007000000}">
      <text>
        <r>
          <rPr>
            <b/>
            <sz val="9"/>
            <color indexed="81"/>
            <rFont val="Tahoma"/>
            <family val="2"/>
          </rPr>
          <t>Lowden, William:</t>
        </r>
        <r>
          <rPr>
            <sz val="9"/>
            <color indexed="81"/>
            <rFont val="Tahoma"/>
            <family val="2"/>
          </rPr>
          <t xml:space="preserve">
Pressure from Abilitec costs coming on</t>
        </r>
      </text>
    </comment>
    <comment ref="CM50" authorId="0" shapeId="0" xr:uid="{00000000-0006-0000-0700-000008000000}">
      <text>
        <r>
          <rPr>
            <b/>
            <sz val="9"/>
            <color indexed="81"/>
            <rFont val="Tahoma"/>
            <family val="2"/>
          </rPr>
          <t>Lowden, William:</t>
        </r>
        <r>
          <rPr>
            <sz val="9"/>
            <color indexed="81"/>
            <rFont val="Tahoma"/>
            <family val="2"/>
          </rPr>
          <t xml:space="preserve">
Pressure from Abilitec costs coming on</t>
        </r>
      </text>
    </comment>
    <comment ref="CN50" authorId="0" shapeId="0" xr:uid="{00000000-0006-0000-0700-000009000000}">
      <text>
        <r>
          <rPr>
            <b/>
            <sz val="9"/>
            <color indexed="81"/>
            <rFont val="Tahoma"/>
            <family val="2"/>
          </rPr>
          <t>Lowden, William:</t>
        </r>
        <r>
          <rPr>
            <sz val="9"/>
            <color indexed="81"/>
            <rFont val="Tahoma"/>
            <family val="2"/>
          </rPr>
          <t xml:space="preserve">
Pressure from Abilitec costs coming on</t>
        </r>
      </text>
    </comment>
    <comment ref="CO50" authorId="0" shapeId="0" xr:uid="{00000000-0006-0000-0700-00000A000000}">
      <text>
        <r>
          <rPr>
            <b/>
            <sz val="9"/>
            <color indexed="81"/>
            <rFont val="Tahoma"/>
            <family val="2"/>
          </rPr>
          <t>Lowden, William:</t>
        </r>
        <r>
          <rPr>
            <sz val="9"/>
            <color indexed="81"/>
            <rFont val="Tahoma"/>
            <family val="2"/>
          </rPr>
          <t xml:space="preserve">
Pressure from Abilitec costs coming on</t>
        </r>
      </text>
    </comment>
    <comment ref="CC78" authorId="0" shapeId="0" xr:uid="{00000000-0006-0000-0700-00000B000000}">
      <text>
        <r>
          <rPr>
            <b/>
            <sz val="9"/>
            <color indexed="81"/>
            <rFont val="Tahoma"/>
            <family val="2"/>
          </rPr>
          <t>Lowden, William:</t>
        </r>
        <r>
          <rPr>
            <sz val="9"/>
            <color indexed="81"/>
            <rFont val="Tahoma"/>
            <family val="2"/>
          </rPr>
          <t xml:space="preserve">
6.2%</t>
        </r>
      </text>
    </comment>
    <comment ref="CH78" authorId="0" shapeId="0" xr:uid="{00000000-0006-0000-0700-00000C000000}">
      <text>
        <r>
          <rPr>
            <b/>
            <sz val="9"/>
            <color indexed="81"/>
            <rFont val="Tahoma"/>
            <family val="2"/>
          </rPr>
          <t>Lowden, William:</t>
        </r>
        <r>
          <rPr>
            <sz val="9"/>
            <color indexed="81"/>
            <rFont val="Tahoma"/>
            <family val="2"/>
          </rPr>
          <t xml:space="preserve">
20.8%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Salmon, Dan</author>
    <author>Lowden, William</author>
    <author>Modi, Nirav</author>
    <author>BMO Capital Markets</author>
    <author>dsalmon</author>
  </authors>
  <commentList>
    <comment ref="BO59" authorId="0" shapeId="0" xr:uid="{00000000-0006-0000-0800-000001000000}">
      <text>
        <r>
          <rPr>
            <b/>
            <sz val="9"/>
            <color indexed="81"/>
            <rFont val="Tahoma"/>
            <family val="2"/>
          </rPr>
          <t>Salmon, Dan:</t>
        </r>
        <r>
          <rPr>
            <sz val="9"/>
            <color indexed="81"/>
            <rFont val="Tahoma"/>
            <family val="2"/>
          </rPr>
          <t xml:space="preserve">
includes ($1mm) impact from EU restructuring</t>
        </r>
      </text>
    </comment>
    <comment ref="CC81" authorId="1" shapeId="0" xr:uid="{00000000-0006-0000-0800-000002000000}">
      <text>
        <r>
          <rPr>
            <b/>
            <sz val="9"/>
            <color indexed="81"/>
            <rFont val="Tahoma"/>
            <family val="2"/>
          </rPr>
          <t>Lowden, William:</t>
        </r>
        <r>
          <rPr>
            <sz val="9"/>
            <color indexed="81"/>
            <rFont val="Tahoma"/>
            <family val="2"/>
          </rPr>
          <t xml:space="preserve">
35.7%</t>
        </r>
      </text>
    </comment>
    <comment ref="CH81" authorId="1" shapeId="0" xr:uid="{00000000-0006-0000-0800-000003000000}">
      <text>
        <r>
          <rPr>
            <b/>
            <sz val="9"/>
            <color indexed="81"/>
            <rFont val="Tahoma"/>
            <family val="2"/>
          </rPr>
          <t>Lowden, William:</t>
        </r>
        <r>
          <rPr>
            <sz val="9"/>
            <color indexed="81"/>
            <rFont val="Tahoma"/>
            <family val="2"/>
          </rPr>
          <t xml:space="preserve">
35.2%</t>
        </r>
      </text>
    </comment>
    <comment ref="E127" authorId="2" shapeId="0" xr:uid="{00000000-0006-0000-0800-000004000000}">
      <text>
        <r>
          <rPr>
            <b/>
            <sz val="9"/>
            <color indexed="81"/>
            <rFont val="Tahoma"/>
            <family val="2"/>
          </rPr>
          <t>Modi, Nirav:</t>
        </r>
        <r>
          <rPr>
            <sz val="9"/>
            <color indexed="81"/>
            <rFont val="Tahoma"/>
            <family val="2"/>
          </rPr>
          <t xml:space="preserve">
Started presenting new segment information from June 2013.</t>
        </r>
      </text>
    </comment>
    <comment ref="BC130" authorId="2" shapeId="0" xr:uid="{00000000-0006-0000-0800-000005000000}">
      <text>
        <r>
          <rPr>
            <b/>
            <sz val="9"/>
            <color indexed="81"/>
            <rFont val="Tahoma"/>
            <family val="2"/>
          </rPr>
          <t>Modi, Nirav:</t>
        </r>
        <r>
          <rPr>
            <sz val="9"/>
            <color indexed="81"/>
            <rFont val="Tahoma"/>
            <family val="2"/>
          </rPr>
          <t xml:space="preserve">
F2014 10-K dated May 5, 2014 page F-6</t>
        </r>
      </text>
    </comment>
    <comment ref="BE130" authorId="2" shapeId="0" xr:uid="{00000000-0006-0000-0800-000006000000}">
      <text>
        <r>
          <rPr>
            <b/>
            <sz val="9"/>
            <color indexed="81"/>
            <rFont val="Tahoma"/>
            <family val="2"/>
          </rPr>
          <t>Modi, Nirav:</t>
        </r>
        <r>
          <rPr>
            <sz val="9"/>
            <color indexed="81"/>
            <rFont val="Tahoma"/>
            <family val="2"/>
          </rPr>
          <t xml:space="preserve">
F2Q14 10-Q dated Nov 12, 2013 page 24</t>
        </r>
      </text>
    </comment>
    <comment ref="BF130" authorId="2" shapeId="0" xr:uid="{00000000-0006-0000-0800-000007000000}">
      <text>
        <r>
          <rPr>
            <b/>
            <sz val="9"/>
            <color indexed="81"/>
            <rFont val="Tahoma"/>
            <family val="2"/>
          </rPr>
          <t>Modi, Nirav:</t>
        </r>
        <r>
          <rPr>
            <sz val="9"/>
            <color indexed="81"/>
            <rFont val="Tahoma"/>
            <family val="2"/>
          </rPr>
          <t xml:space="preserve">
F3Q14 10-Q dated Feb 7, 2014 page 25</t>
        </r>
      </text>
    </comment>
    <comment ref="BH130" authorId="2" shapeId="0" xr:uid="{00000000-0006-0000-0800-000008000000}">
      <text>
        <r>
          <rPr>
            <b/>
            <sz val="9"/>
            <color indexed="81"/>
            <rFont val="Tahoma"/>
            <family val="2"/>
          </rPr>
          <t>Modi, Nirav:</t>
        </r>
        <r>
          <rPr>
            <sz val="9"/>
            <color indexed="81"/>
            <rFont val="Tahoma"/>
            <family val="2"/>
          </rPr>
          <t xml:space="preserve">
F2014 10-K dated May 5, 2014 page F-6</t>
        </r>
      </text>
    </comment>
    <comment ref="BI130" authorId="2" shapeId="0" xr:uid="{00000000-0006-0000-0800-000009000000}">
      <text>
        <r>
          <rPr>
            <b/>
            <sz val="9"/>
            <color indexed="81"/>
            <rFont val="Tahoma"/>
            <family val="2"/>
          </rPr>
          <t>Modi, Nirav:</t>
        </r>
        <r>
          <rPr>
            <sz val="9"/>
            <color indexed="81"/>
            <rFont val="Tahoma"/>
            <family val="2"/>
          </rPr>
          <t xml:space="preserve">
F2Q15 10-Q dated Nov 8, 2014 page 29. Growth of 11.1mm or 6.5% for six months. 
</t>
        </r>
      </text>
    </comment>
    <comment ref="BJ130" authorId="2" shapeId="0" xr:uid="{00000000-0006-0000-0800-00000A000000}">
      <text>
        <r>
          <rPr>
            <b/>
            <sz val="9"/>
            <color indexed="81"/>
            <rFont val="Tahoma"/>
            <family val="2"/>
          </rPr>
          <t>Modi, Nirav:</t>
        </r>
        <r>
          <rPr>
            <sz val="9"/>
            <color indexed="81"/>
            <rFont val="Tahoma"/>
            <family val="2"/>
          </rPr>
          <t xml:space="preserve">
F2Q15 10-Q dated Nov 7, 2014 page 28</t>
        </r>
      </text>
    </comment>
    <comment ref="BK130" authorId="2" shapeId="0" xr:uid="{00000000-0006-0000-0800-00000B000000}">
      <text>
        <r>
          <rPr>
            <b/>
            <sz val="9"/>
            <color indexed="81"/>
            <rFont val="Tahoma"/>
            <family val="2"/>
          </rPr>
          <t>Modi, Nirav:</t>
        </r>
        <r>
          <rPr>
            <sz val="9"/>
            <color indexed="81"/>
            <rFont val="Tahoma"/>
            <family val="2"/>
          </rPr>
          <t xml:space="preserve">
F3Q15 10-Q dated Feb 4, 2015 page 29</t>
        </r>
      </text>
    </comment>
    <comment ref="BH131" authorId="2" shapeId="0" xr:uid="{00000000-0006-0000-0800-00000C000000}">
      <text>
        <r>
          <rPr>
            <b/>
            <sz val="9"/>
            <color indexed="81"/>
            <rFont val="Tahoma"/>
            <family val="2"/>
          </rPr>
          <t>Modi, Nirav:</t>
        </r>
        <r>
          <rPr>
            <sz val="9"/>
            <color indexed="81"/>
            <rFont val="Tahoma"/>
            <family val="2"/>
          </rPr>
          <t xml:space="preserve">
F2014 10-K dated May 5, 2014 page F-6</t>
        </r>
      </text>
    </comment>
    <comment ref="BM131" authorId="2" shapeId="0" xr:uid="{00000000-0006-0000-0800-00000D000000}">
      <text>
        <r>
          <rPr>
            <b/>
            <sz val="9"/>
            <color indexed="81"/>
            <rFont val="Tahoma"/>
            <family val="2"/>
          </rPr>
          <t>Modi, Nirav:</t>
        </r>
        <r>
          <rPr>
            <sz val="9"/>
            <color indexed="81"/>
            <rFont val="Tahoma"/>
            <family val="2"/>
          </rPr>
          <t xml:space="preserve">
F2014 10-K dated May 5, 2014 page F-6</t>
        </r>
      </text>
    </comment>
    <comment ref="BO131" authorId="2" shapeId="0" xr:uid="{00000000-0006-0000-0800-00000E000000}">
      <text>
        <r>
          <rPr>
            <b/>
            <sz val="9"/>
            <color indexed="81"/>
            <rFont val="Tahoma"/>
            <family val="2"/>
          </rPr>
          <t>Modi, Nirav:</t>
        </r>
        <r>
          <rPr>
            <sz val="9"/>
            <color indexed="81"/>
            <rFont val="Tahoma"/>
            <family val="2"/>
          </rPr>
          <t xml:space="preserve">
F2Q15 10-Q dated Nov 7, 2014 page 28</t>
        </r>
      </text>
    </comment>
    <comment ref="BP131" authorId="2" shapeId="0" xr:uid="{00000000-0006-0000-0800-00000F000000}">
      <text>
        <r>
          <rPr>
            <b/>
            <sz val="9"/>
            <color indexed="81"/>
            <rFont val="Tahoma"/>
            <family val="2"/>
          </rPr>
          <t>Modi, Nirav:</t>
        </r>
        <r>
          <rPr>
            <sz val="9"/>
            <color indexed="81"/>
            <rFont val="Tahoma"/>
            <family val="2"/>
          </rPr>
          <t xml:space="preserve">
F3Q15 10-Q dated Feb 4, 2015 page 29</t>
        </r>
      </text>
    </comment>
    <comment ref="BD132" authorId="2" shapeId="0" xr:uid="{00000000-0006-0000-0800-000010000000}">
      <text>
        <r>
          <rPr>
            <b/>
            <sz val="9"/>
            <color indexed="81"/>
            <rFont val="Tahoma"/>
            <family val="2"/>
          </rPr>
          <t>Modi, Nirav:</t>
        </r>
        <r>
          <rPr>
            <sz val="9"/>
            <color indexed="81"/>
            <rFont val="Tahoma"/>
            <family val="2"/>
          </rPr>
          <t xml:space="preserve">
F1Q14 10-Q dated Aug 8, 2013 page 21</t>
        </r>
      </text>
    </comment>
    <comment ref="BE132" authorId="2" shapeId="0" xr:uid="{00000000-0006-0000-0800-000011000000}">
      <text>
        <r>
          <rPr>
            <b/>
            <sz val="9"/>
            <color indexed="81"/>
            <rFont val="Tahoma"/>
            <family val="2"/>
          </rPr>
          <t>Modi, Nirav:</t>
        </r>
        <r>
          <rPr>
            <sz val="9"/>
            <color indexed="81"/>
            <rFont val="Tahoma"/>
            <family val="2"/>
          </rPr>
          <t xml:space="preserve">
F2Q14 10-Q dated Nov 12, 2013 page 24</t>
        </r>
      </text>
    </comment>
    <comment ref="BF132" authorId="2" shapeId="0" xr:uid="{00000000-0006-0000-0800-000012000000}">
      <text>
        <r>
          <rPr>
            <b/>
            <sz val="9"/>
            <color indexed="81"/>
            <rFont val="Tahoma"/>
            <family val="2"/>
          </rPr>
          <t>Modi, Nirav:</t>
        </r>
        <r>
          <rPr>
            <sz val="9"/>
            <color indexed="81"/>
            <rFont val="Tahoma"/>
            <family val="2"/>
          </rPr>
          <t xml:space="preserve">
F3Q14 10-Q dated Feb 7, 2014 page 25</t>
        </r>
      </text>
    </comment>
    <comment ref="BJ132" authorId="2" shapeId="0" xr:uid="{00000000-0006-0000-0800-000013000000}">
      <text>
        <r>
          <rPr>
            <b/>
            <sz val="9"/>
            <color indexed="81"/>
            <rFont val="Tahoma"/>
            <family val="2"/>
          </rPr>
          <t>Modi, Nirav:</t>
        </r>
        <r>
          <rPr>
            <sz val="9"/>
            <color indexed="81"/>
            <rFont val="Tahoma"/>
            <family val="2"/>
          </rPr>
          <t xml:space="preserve">
F2Q15 10-Q dated Nov 7, 2014 page 28</t>
        </r>
      </text>
    </comment>
    <comment ref="BK132" authorId="2" shapeId="0" xr:uid="{00000000-0006-0000-0800-000014000000}">
      <text>
        <r>
          <rPr>
            <b/>
            <sz val="9"/>
            <color indexed="81"/>
            <rFont val="Tahoma"/>
            <family val="2"/>
          </rPr>
          <t>Modi, Nirav:</t>
        </r>
        <r>
          <rPr>
            <sz val="9"/>
            <color indexed="81"/>
            <rFont val="Tahoma"/>
            <family val="2"/>
          </rPr>
          <t xml:space="preserve">
F3Q15 10-Q dated Feb 4, 2015 page 29</t>
        </r>
      </text>
    </comment>
    <comment ref="BN133" authorId="2" shapeId="0" xr:uid="{00000000-0006-0000-0800-000015000000}">
      <text>
        <r>
          <rPr>
            <b/>
            <sz val="9"/>
            <color indexed="81"/>
            <rFont val="Tahoma"/>
            <family val="2"/>
          </rPr>
          <t>Modi, Nirav:</t>
        </r>
        <r>
          <rPr>
            <sz val="9"/>
            <color indexed="81"/>
            <rFont val="Tahoma"/>
            <family val="2"/>
          </rPr>
          <t xml:space="preserve">
F1Q15 10-Q page 24. Declined due to European Restructuring</t>
        </r>
      </text>
    </comment>
    <comment ref="BO133" authorId="2" shapeId="0" xr:uid="{00000000-0006-0000-0800-000016000000}">
      <text>
        <r>
          <rPr>
            <b/>
            <sz val="9"/>
            <color indexed="81"/>
            <rFont val="Tahoma"/>
            <family val="2"/>
          </rPr>
          <t>Modi, Nirav:</t>
        </r>
        <r>
          <rPr>
            <sz val="9"/>
            <color indexed="81"/>
            <rFont val="Tahoma"/>
            <family val="2"/>
          </rPr>
          <t xml:space="preserve">
F2Q15 10-Q dated Nov 7, 2014 page 28. Declined due to European Restructuring</t>
        </r>
      </text>
    </comment>
    <comment ref="BP133" authorId="2" shapeId="0" xr:uid="{00000000-0006-0000-0800-000017000000}">
      <text>
        <r>
          <rPr>
            <b/>
            <sz val="9"/>
            <color indexed="81"/>
            <rFont val="Tahoma"/>
            <family val="2"/>
          </rPr>
          <t>Modi, Nirav:</t>
        </r>
        <r>
          <rPr>
            <sz val="9"/>
            <color indexed="81"/>
            <rFont val="Tahoma"/>
            <family val="2"/>
          </rPr>
          <t xml:space="preserve">
F3Q15 10-Q dated Feb 4, 2015 page 29. Declined due to Euro Resc and Lower project rev in Australia</t>
        </r>
      </text>
    </comment>
    <comment ref="BE134" authorId="2" shapeId="0" xr:uid="{00000000-0006-0000-0800-000018000000}">
      <text>
        <r>
          <rPr>
            <b/>
            <sz val="9"/>
            <color indexed="81"/>
            <rFont val="Tahoma"/>
            <family val="2"/>
          </rPr>
          <t>Modi, Nirav:</t>
        </r>
        <r>
          <rPr>
            <sz val="9"/>
            <color indexed="81"/>
            <rFont val="Tahoma"/>
            <family val="2"/>
          </rPr>
          <t xml:space="preserve">
F2Q14 10-Q dated Nov 12, 2013 page 24</t>
        </r>
      </text>
    </comment>
    <comment ref="BF134" authorId="2" shapeId="0" xr:uid="{00000000-0006-0000-0800-000019000000}">
      <text>
        <r>
          <rPr>
            <b/>
            <sz val="9"/>
            <color indexed="81"/>
            <rFont val="Tahoma"/>
            <family val="2"/>
          </rPr>
          <t>Modi, Nirav:</t>
        </r>
        <r>
          <rPr>
            <sz val="9"/>
            <color indexed="81"/>
            <rFont val="Tahoma"/>
            <family val="2"/>
          </rPr>
          <t xml:space="preserve">
F3Q14 10-Q dated Feb 7, 2014 page 25</t>
        </r>
      </text>
    </comment>
    <comment ref="BJ134" authorId="2" shapeId="0" xr:uid="{00000000-0006-0000-0800-00001A000000}">
      <text>
        <r>
          <rPr>
            <b/>
            <sz val="9"/>
            <color indexed="81"/>
            <rFont val="Tahoma"/>
            <family val="2"/>
          </rPr>
          <t>Modi, Nirav:</t>
        </r>
        <r>
          <rPr>
            <sz val="9"/>
            <color indexed="81"/>
            <rFont val="Tahoma"/>
            <family val="2"/>
          </rPr>
          <t xml:space="preserve">
F2Q15 10-Q dated Nov 7, 2014 page 28</t>
        </r>
      </text>
    </comment>
    <comment ref="BK134" authorId="2" shapeId="0" xr:uid="{00000000-0006-0000-0800-00001B000000}">
      <text>
        <r>
          <rPr>
            <b/>
            <sz val="9"/>
            <color indexed="81"/>
            <rFont val="Tahoma"/>
            <family val="2"/>
          </rPr>
          <t>Modi, Nirav:</t>
        </r>
        <r>
          <rPr>
            <sz val="9"/>
            <color indexed="81"/>
            <rFont val="Tahoma"/>
            <family val="2"/>
          </rPr>
          <t xml:space="preserve">
F3Q15 10-Q dated Feb 4, 2015 page 29</t>
        </r>
      </text>
    </comment>
    <comment ref="BO135" authorId="2" shapeId="0" xr:uid="{00000000-0006-0000-0800-00001C000000}">
      <text>
        <r>
          <rPr>
            <b/>
            <sz val="9"/>
            <color indexed="81"/>
            <rFont val="Tahoma"/>
            <family val="2"/>
          </rPr>
          <t>Modi, Nirav:</t>
        </r>
        <r>
          <rPr>
            <sz val="9"/>
            <color indexed="81"/>
            <rFont val="Tahoma"/>
            <family val="2"/>
          </rPr>
          <t xml:space="preserve">
F2Q15 10-Q dated Nov 7, 2014 page 28. Declined due to lower volume in the U.S.</t>
        </r>
      </text>
    </comment>
    <comment ref="BP135" authorId="2" shapeId="0" xr:uid="{00000000-0006-0000-0800-00001D000000}">
      <text>
        <r>
          <rPr>
            <b/>
            <sz val="9"/>
            <color indexed="81"/>
            <rFont val="Tahoma"/>
            <family val="2"/>
          </rPr>
          <t>Modi, Nirav:</t>
        </r>
        <r>
          <rPr>
            <sz val="9"/>
            <color indexed="81"/>
            <rFont val="Tahoma"/>
            <family val="2"/>
          </rPr>
          <t xml:space="preserve">
F3Q15 10-Q dated Feb 4, 2015 page 29. Declined due to lower volume in the U.S.</t>
        </r>
      </text>
    </comment>
    <comment ref="BD136" authorId="2" shapeId="0" xr:uid="{00000000-0006-0000-0800-00001E000000}">
      <text>
        <r>
          <rPr>
            <b/>
            <sz val="9"/>
            <color indexed="81"/>
            <rFont val="Tahoma"/>
            <family val="2"/>
          </rPr>
          <t>Modi, Nirav:</t>
        </r>
        <r>
          <rPr>
            <sz val="9"/>
            <color indexed="81"/>
            <rFont val="Tahoma"/>
            <family val="2"/>
          </rPr>
          <t xml:space="preserve">
F1Q14 10-Q dated Aug 8, 2013 page 21</t>
        </r>
      </text>
    </comment>
    <comment ref="BE136" authorId="2" shapeId="0" xr:uid="{00000000-0006-0000-0800-00001F000000}">
      <text>
        <r>
          <rPr>
            <b/>
            <sz val="9"/>
            <color indexed="81"/>
            <rFont val="Tahoma"/>
            <family val="2"/>
          </rPr>
          <t>Modi, Nirav:</t>
        </r>
        <r>
          <rPr>
            <sz val="9"/>
            <color indexed="81"/>
            <rFont val="Tahoma"/>
            <family val="2"/>
          </rPr>
          <t xml:space="preserve">
F2Q14 10-Q dated Nov 12, 2013 page 24</t>
        </r>
      </text>
    </comment>
    <comment ref="BF136" authorId="2" shapeId="0" xr:uid="{00000000-0006-0000-0800-000020000000}">
      <text>
        <r>
          <rPr>
            <b/>
            <sz val="9"/>
            <color indexed="81"/>
            <rFont val="Tahoma"/>
            <family val="2"/>
          </rPr>
          <t>Modi, Nirav:</t>
        </r>
        <r>
          <rPr>
            <sz val="9"/>
            <color indexed="81"/>
            <rFont val="Tahoma"/>
            <family val="2"/>
          </rPr>
          <t xml:space="preserve">
F3Q14 10-Q dated Feb 7, 2014 page 25</t>
        </r>
      </text>
    </comment>
    <comment ref="BI136" authorId="2" shapeId="0" xr:uid="{00000000-0006-0000-0800-000021000000}">
      <text>
        <r>
          <rPr>
            <b/>
            <sz val="9"/>
            <color indexed="81"/>
            <rFont val="Tahoma"/>
            <family val="2"/>
          </rPr>
          <t>Modi, Nirav:</t>
        </r>
        <r>
          <rPr>
            <sz val="9"/>
            <color indexed="81"/>
            <rFont val="Tahoma"/>
            <family val="2"/>
          </rPr>
          <t xml:space="preserve">
Assumed based on 9 months number from 3Q15 - 10Q</t>
        </r>
      </text>
    </comment>
    <comment ref="BJ136" authorId="2" shapeId="0" xr:uid="{00000000-0006-0000-0800-000022000000}">
      <text>
        <r>
          <rPr>
            <b/>
            <sz val="9"/>
            <color indexed="81"/>
            <rFont val="Tahoma"/>
            <family val="2"/>
          </rPr>
          <t>Modi, Nirav:</t>
        </r>
        <r>
          <rPr>
            <sz val="9"/>
            <color indexed="81"/>
            <rFont val="Tahoma"/>
            <family val="2"/>
          </rPr>
          <t xml:space="preserve">
F2Q15 10-Q dated Nov 7, 2014 page 28</t>
        </r>
      </text>
    </comment>
    <comment ref="BK136" authorId="2" shapeId="0" xr:uid="{00000000-0006-0000-0800-000023000000}">
      <text>
        <r>
          <rPr>
            <b/>
            <sz val="9"/>
            <color indexed="81"/>
            <rFont val="Tahoma"/>
            <family val="2"/>
          </rPr>
          <t>Modi, Nirav:</t>
        </r>
        <r>
          <rPr>
            <sz val="9"/>
            <color indexed="81"/>
            <rFont val="Tahoma"/>
            <family val="2"/>
          </rPr>
          <t xml:space="preserve">
F3Q15 10-Q dated Feb 4, 2015 page 29</t>
        </r>
      </text>
    </comment>
    <comment ref="BN137" authorId="2" shapeId="0" xr:uid="{00000000-0006-0000-0800-000024000000}">
      <text>
        <r>
          <rPr>
            <b/>
            <sz val="9"/>
            <color indexed="81"/>
            <rFont val="Tahoma"/>
            <family val="2"/>
          </rPr>
          <t>Modi, Nirav:</t>
        </r>
        <r>
          <rPr>
            <sz val="9"/>
            <color indexed="81"/>
            <rFont val="Tahoma"/>
            <family val="2"/>
          </rPr>
          <t xml:space="preserve">
Assumed based on 9 months number from 3Q15 - 10Q</t>
        </r>
      </text>
    </comment>
    <comment ref="BG143" authorId="3" shapeId="0" xr:uid="{00000000-0006-0000-0800-000025000000}">
      <text>
        <r>
          <rPr>
            <b/>
            <sz val="8"/>
            <color indexed="81"/>
            <rFont val="Tahoma"/>
            <family val="2"/>
          </rPr>
          <t xml:space="preserve">yarounian:
</t>
        </r>
        <r>
          <rPr>
            <sz val="8"/>
            <color indexed="81"/>
            <rFont val="Tahoma"/>
            <family val="2"/>
          </rPr>
          <t>Total marketing and data services revenues were restated for move of email from other to marketing segment, but individual regions were not restated.
They will be stated individual when the next year quarter results are announced, in the presentation</t>
        </r>
      </text>
    </comment>
    <comment ref="BR145" authorId="2" shapeId="0" xr:uid="{00000000-0006-0000-0800-000026000000}">
      <text>
        <r>
          <rPr>
            <b/>
            <sz val="9"/>
            <color indexed="81"/>
            <rFont val="Tahoma"/>
            <family val="2"/>
          </rPr>
          <t>Modi, Nirav:</t>
        </r>
        <r>
          <rPr>
            <sz val="9"/>
            <color indexed="81"/>
            <rFont val="Tahoma"/>
            <family val="2"/>
          </rPr>
          <t xml:space="preserve">
EU revenue reduction of $21mm</t>
        </r>
      </text>
    </comment>
    <comment ref="BG153" authorId="3" shapeId="0" xr:uid="{00000000-0006-0000-0800-000027000000}">
      <text>
        <r>
          <rPr>
            <b/>
            <sz val="8"/>
            <color indexed="81"/>
            <rFont val="Tahoma"/>
            <family val="2"/>
          </rPr>
          <t xml:space="preserve">yarounian:
</t>
        </r>
        <r>
          <rPr>
            <sz val="8"/>
            <color indexed="81"/>
            <rFont val="Tahoma"/>
            <family val="2"/>
          </rPr>
          <t>Total Other revenues were restated for move of email from other to marketing segment, but individual regions were not restated.
They will be stated individual when the next year quarter results are announced, in the presentation</t>
        </r>
      </text>
    </comment>
    <comment ref="E157" authorId="4" shapeId="0" xr:uid="{00000000-0006-0000-0800-000028000000}">
      <text>
        <r>
          <rPr>
            <b/>
            <sz val="8"/>
            <color indexed="81"/>
            <rFont val="Tahoma"/>
            <family val="2"/>
          </rPr>
          <t>dsalmon:</t>
        </r>
        <r>
          <rPr>
            <sz val="8"/>
            <color indexed="81"/>
            <rFont val="Tahoma"/>
            <family val="2"/>
          </rPr>
          <t xml:space="preserve">
US and UK fulfillment (mostly email, some direct mail overseas)
Risk management</t>
        </r>
      </text>
    </comment>
    <comment ref="E175" authorId="2" shapeId="0" xr:uid="{00000000-0006-0000-0800-000029000000}">
      <text>
        <r>
          <rPr>
            <b/>
            <sz val="9"/>
            <color indexed="81"/>
            <rFont val="Tahoma"/>
            <family val="2"/>
          </rPr>
          <t>Modi, Nirav:</t>
        </r>
        <r>
          <rPr>
            <sz val="9"/>
            <color indexed="81"/>
            <rFont val="Tahoma"/>
            <family val="2"/>
          </rPr>
          <t xml:space="preserve">
Started providing segment information from Dec 2014</t>
        </r>
      </text>
    </comment>
    <comment ref="BT188" authorId="1" shapeId="0" xr:uid="{00000000-0006-0000-0800-00002A000000}">
      <text>
        <r>
          <rPr>
            <b/>
            <sz val="9"/>
            <color indexed="81"/>
            <rFont val="Tahoma"/>
            <family val="2"/>
          </rPr>
          <t>Lowden, William:</t>
        </r>
        <r>
          <rPr>
            <sz val="9"/>
            <color indexed="81"/>
            <rFont val="Tahoma"/>
            <family val="2"/>
          </rPr>
          <t xml:space="preserve">
adding back business separation</t>
        </r>
      </text>
    </comment>
    <comment ref="E193" authorId="2" shapeId="0" xr:uid="{00000000-0006-0000-0800-00002B000000}">
      <text>
        <r>
          <rPr>
            <b/>
            <sz val="9"/>
            <color indexed="81"/>
            <rFont val="Tahoma"/>
            <family val="2"/>
          </rPr>
          <t>Modi, Nirav:</t>
        </r>
        <r>
          <rPr>
            <sz val="9"/>
            <color indexed="81"/>
            <rFont val="Tahoma"/>
            <family val="2"/>
          </rPr>
          <t xml:space="preserve">
Started providing segment information from Dec 2014</t>
        </r>
      </text>
    </comment>
    <comment ref="BB217" authorId="4" shapeId="0" xr:uid="{00000000-0006-0000-0800-00002C000000}">
      <text>
        <r>
          <rPr>
            <b/>
            <sz val="8"/>
            <color indexed="81"/>
            <rFont val="Tahoma"/>
            <family val="2"/>
          </rPr>
          <t>dsalmon:</t>
        </r>
        <r>
          <rPr>
            <sz val="8"/>
            <color indexed="81"/>
            <rFont val="Tahoma"/>
            <family val="2"/>
          </rPr>
          <t xml:space="preserve">
assumes screening business sale closes 12/31/11, i.e. in 25 days versus "less than 60" guidance</t>
        </r>
      </text>
    </comment>
    <comment ref="AR221" authorId="4" shapeId="0" xr:uid="{00000000-0006-0000-0800-00002D000000}">
      <text>
        <r>
          <rPr>
            <b/>
            <sz val="8"/>
            <color indexed="81"/>
            <rFont val="Tahoma"/>
            <family val="2"/>
          </rPr>
          <t>dsalmon:</t>
        </r>
        <r>
          <rPr>
            <sz val="8"/>
            <color indexed="81"/>
            <rFont val="Tahoma"/>
            <family val="2"/>
          </rPr>
          <t xml:space="preserve">
-1.1% ex currency and pass thru costs a year ago</t>
        </r>
      </text>
    </comment>
    <comment ref="E246" authorId="4" shapeId="0" xr:uid="{00000000-0006-0000-0800-00002E000000}">
      <text>
        <r>
          <rPr>
            <b/>
            <sz val="8"/>
            <color indexed="81"/>
            <rFont val="Tahoma"/>
            <family val="2"/>
          </rPr>
          <t>dsalmon:</t>
        </r>
        <r>
          <rPr>
            <sz val="8"/>
            <color indexed="81"/>
            <rFont val="Tahoma"/>
            <family val="2"/>
          </rPr>
          <t xml:space="preserve">
restated back to beginning of fiscal 2009, i.e. fiscal 2008 on back is not comparable</t>
        </r>
      </text>
    </comment>
    <comment ref="AR273" authorId="4" shapeId="0" xr:uid="{00000000-0006-0000-0800-00002F000000}">
      <text>
        <r>
          <rPr>
            <b/>
            <sz val="8"/>
            <color indexed="81"/>
            <rFont val="Tahoma"/>
            <family val="2"/>
          </rPr>
          <t>dsalmon:</t>
        </r>
        <r>
          <rPr>
            <sz val="8"/>
            <color indexed="81"/>
            <rFont val="Tahoma"/>
            <family val="2"/>
          </rPr>
          <t xml:space="preserve">
up 7.7% sequentially</t>
        </r>
      </text>
    </comment>
    <comment ref="AR278" authorId="4" shapeId="0" xr:uid="{00000000-0006-0000-0800-000030000000}">
      <text>
        <r>
          <rPr>
            <b/>
            <sz val="8"/>
            <color indexed="81"/>
            <rFont val="Tahoma"/>
            <family val="2"/>
          </rPr>
          <t>dsalmon:</t>
        </r>
        <r>
          <rPr>
            <sz val="8"/>
            <color indexed="81"/>
            <rFont val="Tahoma"/>
            <family val="2"/>
          </rPr>
          <t xml:space="preserve">
up 8% sequentially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dsalmon</author>
    <author>Lowden, William</author>
    <author>Modi, Nirav</author>
    <author>BMO Capital Markets</author>
  </authors>
  <commentList>
    <comment ref="BJ9" authorId="0" shapeId="0" xr:uid="{00000000-0006-0000-0900-000001000000}">
      <text>
        <r>
          <rPr>
            <b/>
            <sz val="8"/>
            <color indexed="81"/>
            <rFont val="Tahoma"/>
            <family val="2"/>
          </rPr>
          <t>dsalmon:</t>
        </r>
        <r>
          <rPr>
            <sz val="8"/>
            <color indexed="81"/>
            <rFont val="Tahoma"/>
            <family val="2"/>
          </rPr>
          <t xml:space="preserve">
functionally beta customers</t>
        </r>
      </text>
    </comment>
    <comment ref="BK9" authorId="0" shapeId="0" xr:uid="{00000000-0006-0000-0900-000002000000}">
      <text>
        <r>
          <rPr>
            <b/>
            <sz val="8"/>
            <color indexed="81"/>
            <rFont val="Tahoma"/>
            <family val="2"/>
          </rPr>
          <t>dsalmon:</t>
        </r>
        <r>
          <rPr>
            <sz val="8"/>
            <color indexed="81"/>
            <rFont val="Tahoma"/>
            <family val="2"/>
          </rPr>
          <t xml:space="preserve">
confirmed in F3Q press release</t>
        </r>
      </text>
    </comment>
    <comment ref="BY9" authorId="1" shapeId="0" xr:uid="{00000000-0006-0000-0900-000003000000}">
      <text>
        <r>
          <rPr>
            <b/>
            <sz val="9"/>
            <color indexed="81"/>
            <rFont val="Tahoma"/>
            <family val="2"/>
          </rPr>
          <t>Lowden, William:</t>
        </r>
        <r>
          <rPr>
            <sz val="9"/>
            <color indexed="81"/>
            <rFont val="Tahoma"/>
            <family val="2"/>
          </rPr>
          <t xml:space="preserve">
More than 40</t>
        </r>
      </text>
    </comment>
    <comment ref="BZ9" authorId="1" shapeId="0" xr:uid="{00000000-0006-0000-0900-000004000000}">
      <text>
        <r>
          <rPr>
            <b/>
            <sz val="9"/>
            <color indexed="81"/>
            <rFont val="Tahoma"/>
            <family val="2"/>
          </rPr>
          <t>Lowden, William:</t>
        </r>
        <r>
          <rPr>
            <sz val="9"/>
            <color indexed="81"/>
            <rFont val="Tahoma"/>
            <family val="2"/>
          </rPr>
          <t xml:space="preserve">
Added more than 50</t>
        </r>
      </text>
    </comment>
    <comment ref="CA9" authorId="1" shapeId="0" xr:uid="{00000000-0006-0000-0900-000005000000}">
      <text>
        <r>
          <rPr>
            <b/>
            <sz val="9"/>
            <color indexed="81"/>
            <rFont val="Tahoma"/>
            <family val="2"/>
          </rPr>
          <t>Lowden, William:</t>
        </r>
        <r>
          <rPr>
            <sz val="9"/>
            <color indexed="81"/>
            <rFont val="Tahoma"/>
            <family val="2"/>
          </rPr>
          <t xml:space="preserve">
25</t>
        </r>
      </text>
    </comment>
    <comment ref="BY11" authorId="1" shapeId="0" xr:uid="{00000000-0006-0000-0900-000006000000}">
      <text>
        <r>
          <rPr>
            <b/>
            <sz val="9"/>
            <color indexed="81"/>
            <rFont val="Tahoma"/>
            <family val="2"/>
          </rPr>
          <t>Lowden, William:</t>
        </r>
        <r>
          <rPr>
            <sz val="9"/>
            <color indexed="81"/>
            <rFont val="Tahoma"/>
            <family val="2"/>
          </rPr>
          <t xml:space="preserve">
Over 50</t>
        </r>
      </text>
    </comment>
    <comment ref="BO14" authorId="2" shapeId="0" xr:uid="{00000000-0006-0000-0900-000007000000}">
      <text>
        <r>
          <rPr>
            <b/>
            <sz val="9"/>
            <color indexed="81"/>
            <rFont val="Tahoma"/>
            <family val="2"/>
          </rPr>
          <t>Modi, Nirav:</t>
        </r>
        <r>
          <rPr>
            <sz val="9"/>
            <color indexed="81"/>
            <rFont val="Tahoma"/>
            <family val="2"/>
          </rPr>
          <t xml:space="preserve">
Includes 115 customers from LiveRamp</t>
        </r>
      </text>
    </comment>
    <comment ref="BV16" authorId="1" shapeId="0" xr:uid="{00000000-0006-0000-0900-000008000000}">
      <text>
        <r>
          <rPr>
            <b/>
            <sz val="9"/>
            <color indexed="81"/>
            <rFont val="Tahoma"/>
            <family val="2"/>
          </rPr>
          <t>Lowden, William:</t>
        </r>
        <r>
          <rPr>
            <sz val="9"/>
            <color indexed="81"/>
            <rFont val="Tahoma"/>
            <family val="2"/>
          </rPr>
          <t xml:space="preserve">
~275 F3Q17 earnings call</t>
        </r>
      </text>
    </comment>
    <comment ref="BX16" authorId="1" shapeId="0" xr:uid="{00000000-0006-0000-0900-000009000000}">
      <text>
        <r>
          <rPr>
            <b/>
            <sz val="9"/>
            <color indexed="81"/>
            <rFont val="Tahoma"/>
            <family val="2"/>
          </rPr>
          <t>Lowden, William:</t>
        </r>
        <r>
          <rPr>
            <sz val="9"/>
            <color indexed="81"/>
            <rFont val="Tahoma"/>
            <family val="2"/>
          </rPr>
          <t xml:space="preserve">
~300 F3Q17 earnings call</t>
        </r>
      </text>
    </comment>
    <comment ref="BY16" authorId="1" shapeId="0" xr:uid="{00000000-0006-0000-0900-00000A000000}">
      <text>
        <r>
          <rPr>
            <b/>
            <sz val="9"/>
            <color indexed="81"/>
            <rFont val="Tahoma"/>
            <family val="2"/>
          </rPr>
          <t>Lowden, William:</t>
        </r>
        <r>
          <rPr>
            <sz val="9"/>
            <color indexed="81"/>
            <rFont val="Tahoma"/>
            <family val="2"/>
          </rPr>
          <t xml:space="preserve">
~330 F3Q17 earnings call</t>
        </r>
      </text>
    </comment>
    <comment ref="BZ16" authorId="1" shapeId="0" xr:uid="{00000000-0006-0000-0900-00000B000000}">
      <text>
        <r>
          <rPr>
            <b/>
            <sz val="9"/>
            <color indexed="81"/>
            <rFont val="Tahoma"/>
            <family val="2"/>
          </rPr>
          <t>Lowden, William:</t>
        </r>
        <r>
          <rPr>
            <sz val="9"/>
            <color indexed="81"/>
            <rFont val="Tahoma"/>
            <family val="2"/>
          </rPr>
          <t xml:space="preserve">
~385 F3Q17 earnings call</t>
        </r>
      </text>
    </comment>
    <comment ref="CA16" authorId="1" shapeId="0" xr:uid="{00000000-0006-0000-0900-00000C000000}">
      <text>
        <r>
          <rPr>
            <b/>
            <sz val="9"/>
            <color indexed="81"/>
            <rFont val="Tahoma"/>
            <family val="2"/>
          </rPr>
          <t>Lowden, William:</t>
        </r>
        <r>
          <rPr>
            <sz val="9"/>
            <color indexed="81"/>
            <rFont val="Tahoma"/>
            <family val="2"/>
          </rPr>
          <t xml:space="preserve">
410 per 4Q16 earnings slides</t>
        </r>
      </text>
    </comment>
    <comment ref="CC16" authorId="1" shapeId="0" xr:uid="{00000000-0006-0000-0900-00000D000000}">
      <text>
        <r>
          <rPr>
            <b/>
            <sz val="9"/>
            <color indexed="81"/>
            <rFont val="Tahoma"/>
            <family val="2"/>
          </rPr>
          <t>Lowden, William:</t>
        </r>
        <r>
          <rPr>
            <sz val="9"/>
            <color indexed="81"/>
            <rFont val="Tahoma"/>
            <family val="2"/>
          </rPr>
          <t xml:space="preserve">
450</t>
        </r>
      </text>
    </comment>
    <comment ref="CD16" authorId="1" shapeId="0" xr:uid="{00000000-0006-0000-0900-00000E000000}">
      <text>
        <r>
          <rPr>
            <b/>
            <sz val="9"/>
            <color indexed="81"/>
            <rFont val="Tahoma"/>
            <family val="2"/>
          </rPr>
          <t>Lowden, William:</t>
        </r>
        <r>
          <rPr>
            <sz val="9"/>
            <color indexed="81"/>
            <rFont val="Tahoma"/>
            <family val="2"/>
          </rPr>
          <t xml:space="preserve">
475</t>
        </r>
      </text>
    </comment>
    <comment ref="CE16" authorId="1" shapeId="0" xr:uid="{00000000-0006-0000-0900-00000F000000}">
      <text>
        <r>
          <rPr>
            <b/>
            <sz val="9"/>
            <color indexed="81"/>
            <rFont val="Tahoma"/>
            <family val="2"/>
          </rPr>
          <t>Lowden, William:</t>
        </r>
        <r>
          <rPr>
            <sz val="9"/>
            <color indexed="81"/>
            <rFont val="Tahoma"/>
            <family val="2"/>
          </rPr>
          <t xml:space="preserve">
540</t>
        </r>
      </text>
    </comment>
    <comment ref="CF16" authorId="1" shapeId="0" xr:uid="{00000000-0006-0000-0900-000010000000}">
      <text>
        <r>
          <rPr>
            <b/>
            <sz val="9"/>
            <color indexed="81"/>
            <rFont val="Tahoma"/>
            <family val="2"/>
          </rPr>
          <t>Lowden, William:</t>
        </r>
        <r>
          <rPr>
            <sz val="9"/>
            <color indexed="81"/>
            <rFont val="Tahoma"/>
            <family val="2"/>
          </rPr>
          <t xml:space="preserve">
&gt;570</t>
        </r>
      </text>
    </comment>
    <comment ref="BK17" authorId="0" shapeId="0" xr:uid="{00000000-0006-0000-0900-000011000000}">
      <text>
        <r>
          <rPr>
            <b/>
            <sz val="8"/>
            <color indexed="81"/>
            <rFont val="Tahoma"/>
            <family val="2"/>
          </rPr>
          <t>dsalmon:</t>
        </r>
        <r>
          <rPr>
            <sz val="8"/>
            <color indexed="81"/>
            <rFont val="Tahoma"/>
            <family val="2"/>
          </rPr>
          <t xml:space="preserve">
confirmed in F3Q press release</t>
        </r>
      </text>
    </comment>
    <comment ref="BL17" authorId="3" shapeId="0" xr:uid="{00000000-0006-0000-0900-000012000000}">
      <text>
        <r>
          <rPr>
            <b/>
            <sz val="8"/>
            <color indexed="81"/>
            <rFont val="Tahoma"/>
            <family val="2"/>
          </rPr>
          <t xml:space="preserve">nmodi: </t>
        </r>
        <r>
          <rPr>
            <sz val="8"/>
            <color indexed="81"/>
            <rFont val="Tahoma"/>
            <family val="2"/>
          </rPr>
          <t>F4Q14 press release noted nearly 40 customers</t>
        </r>
        <r>
          <rPr>
            <sz val="8"/>
            <color indexed="81"/>
            <rFont val="Tahoma"/>
            <family val="2"/>
          </rPr>
          <t xml:space="preserve">
</t>
        </r>
      </text>
    </comment>
    <comment ref="BN17" authorId="2" shapeId="0" xr:uid="{00000000-0006-0000-0900-000013000000}">
      <text>
        <r>
          <rPr>
            <b/>
            <sz val="9"/>
            <color indexed="81"/>
            <rFont val="Tahoma"/>
            <family val="2"/>
          </rPr>
          <t>Modi, Nirav:</t>
        </r>
        <r>
          <rPr>
            <sz val="9"/>
            <color indexed="81"/>
            <rFont val="Tahoma"/>
            <family val="2"/>
          </rPr>
          <t xml:space="preserve">
ACXM Earnings presentation page 3. </t>
        </r>
      </text>
    </comment>
    <comment ref="BO17" authorId="2" shapeId="0" xr:uid="{00000000-0006-0000-0900-000014000000}">
      <text>
        <r>
          <rPr>
            <b/>
            <sz val="9"/>
            <color indexed="81"/>
            <rFont val="Tahoma"/>
            <family val="2"/>
          </rPr>
          <t>Modi, Nirav:</t>
        </r>
        <r>
          <rPr>
            <sz val="9"/>
            <color indexed="81"/>
            <rFont val="Tahoma"/>
            <family val="2"/>
          </rPr>
          <t xml:space="preserve">
60 AOS subs and 115 LiveRamp per ACXM Earnings presentation page 3. </t>
        </r>
      </text>
    </comment>
    <comment ref="E20" authorId="0" shapeId="0" xr:uid="{00000000-0006-0000-0900-000015000000}">
      <text>
        <r>
          <rPr>
            <b/>
            <sz val="8"/>
            <color indexed="81"/>
            <rFont val="Tahoma"/>
            <family val="2"/>
          </rPr>
          <t>dsalmon:</t>
        </r>
        <r>
          <rPr>
            <sz val="8"/>
            <color indexed="81"/>
            <rFont val="Tahoma"/>
            <family val="2"/>
          </rPr>
          <t xml:space="preserve">
will vary based on size of the customer</t>
        </r>
      </text>
    </comment>
    <comment ref="BJ30" authorId="0" shapeId="0" xr:uid="{00000000-0006-0000-0900-000016000000}">
      <text>
        <r>
          <rPr>
            <b/>
            <sz val="8"/>
            <color indexed="81"/>
            <rFont val="Tahoma"/>
            <family val="2"/>
          </rPr>
          <t>dsalmon:</t>
        </r>
        <r>
          <rPr>
            <sz val="8"/>
            <color indexed="81"/>
            <rFont val="Tahoma"/>
            <family val="2"/>
          </rPr>
          <t xml:space="preserve">
low single digits in this quarter per Warren on the F3Q conf call</t>
        </r>
      </text>
    </comment>
    <comment ref="BW30" authorId="1" shapeId="0" xr:uid="{00000000-0006-0000-0900-000017000000}">
      <text>
        <r>
          <rPr>
            <b/>
            <sz val="9"/>
            <color indexed="81"/>
            <rFont val="Tahoma"/>
            <family val="2"/>
          </rPr>
          <t>Lowden, William:</t>
        </r>
        <r>
          <rPr>
            <sz val="9"/>
            <color indexed="81"/>
            <rFont val="Tahoma"/>
            <family val="2"/>
          </rPr>
          <t xml:space="preserve">
$120mm associated with first party in FY16. 30% of FY16 GMS is first party. 70% is third party. Expect that to come down in FY17 and beyond. Royalty rates are about 10%. </t>
        </r>
      </text>
    </comment>
    <comment ref="BK32" authorId="0" shapeId="0" xr:uid="{00000000-0006-0000-0900-000018000000}">
      <text>
        <r>
          <rPr>
            <b/>
            <sz val="8"/>
            <color indexed="81"/>
            <rFont val="Tahoma"/>
            <family val="2"/>
          </rPr>
          <t>dsalmon:</t>
        </r>
        <r>
          <rPr>
            <sz val="8"/>
            <color indexed="81"/>
            <rFont val="Tahoma"/>
            <family val="2"/>
          </rPr>
          <t xml:space="preserve">
Warren noted "double digit, inline with industry" on conference call</t>
        </r>
      </text>
    </comment>
    <comment ref="BW33" authorId="1" shapeId="0" xr:uid="{00000000-0006-0000-0900-000019000000}">
      <text>
        <r>
          <rPr>
            <b/>
            <sz val="9"/>
            <color indexed="81"/>
            <rFont val="Tahoma"/>
            <family val="2"/>
          </rPr>
          <t>Lowden, William:</t>
        </r>
        <r>
          <rPr>
            <sz val="9"/>
            <color indexed="81"/>
            <rFont val="Tahoma"/>
            <family val="2"/>
          </rPr>
          <t xml:space="preserve">
$12 million</t>
        </r>
      </text>
    </comment>
    <comment ref="BO45" authorId="2" shapeId="0" xr:uid="{00000000-0006-0000-0900-00001A000000}">
      <text>
        <r>
          <rPr>
            <b/>
            <sz val="9"/>
            <color indexed="81"/>
            <rFont val="Tahoma"/>
            <family val="2"/>
          </rPr>
          <t>Modi, Nirav:</t>
        </r>
        <r>
          <rPr>
            <sz val="9"/>
            <color indexed="81"/>
            <rFont val="Tahoma"/>
            <family val="2"/>
          </rPr>
          <t xml:space="preserve">
Includes LiveRamp acquistiion closed on July 1, 2014. LiveRamp contributed $7.4mm in revenues.</t>
        </r>
      </text>
    </comment>
    <comment ref="BP45" authorId="2" shapeId="0" xr:uid="{00000000-0006-0000-0900-00001B000000}">
      <text>
        <r>
          <rPr>
            <b/>
            <sz val="9"/>
            <color indexed="81"/>
            <rFont val="Tahoma"/>
            <family val="2"/>
          </rPr>
          <t>Modi, Nirav:</t>
        </r>
        <r>
          <rPr>
            <sz val="9"/>
            <color indexed="81"/>
            <rFont val="Tahoma"/>
            <family val="2"/>
          </rPr>
          <t xml:space="preserve">
Includes $9mm from LiveRamp</t>
        </r>
      </text>
    </comment>
    <comment ref="BV45" authorId="1" shapeId="0" xr:uid="{00000000-0006-0000-0900-00001C000000}">
      <text>
        <r>
          <rPr>
            <b/>
            <sz val="9"/>
            <color indexed="81"/>
            <rFont val="Tahoma"/>
            <family val="2"/>
          </rPr>
          <t>Lowden, William:</t>
        </r>
        <r>
          <rPr>
            <sz val="9"/>
            <color indexed="81"/>
            <rFont val="Tahoma"/>
            <family val="2"/>
          </rPr>
          <t xml:space="preserve">
"So for us, onboarding was really step number one and this broader connectivity vision that we've had for the last four years. But in order to do this effectively, you really need to be able to match a significant amount of the client's data, the marketing data and you need to be able to distribute that data wherever you can, wherever they may want to use us. So for example, right now, we're able to connect data to about 275 different marketing and adtech applications." CFO Warren Jenson</t>
        </r>
      </text>
    </comment>
    <comment ref="BX46" authorId="1" shapeId="0" xr:uid="{00000000-0006-0000-0900-00001D000000}">
      <text>
        <r>
          <rPr>
            <b/>
            <sz val="9"/>
            <color indexed="81"/>
            <rFont val="Tahoma"/>
            <family val="2"/>
          </rPr>
          <t>Lowden, William:</t>
        </r>
        <r>
          <rPr>
            <sz val="9"/>
            <color indexed="81"/>
            <rFont val="Tahoma"/>
            <family val="2"/>
          </rPr>
          <t xml:space="preserve">
Segment growth impacted by slower growth in first-party GMS and the run-off of legacy AOS contracts</t>
        </r>
      </text>
    </comment>
    <comment ref="BX48" authorId="1" shapeId="0" xr:uid="{00000000-0006-0000-0900-00001E000000}">
      <text>
        <r>
          <rPr>
            <b/>
            <sz val="9"/>
            <color indexed="81"/>
            <rFont val="Tahoma"/>
            <family val="2"/>
          </rPr>
          <t>Lowden, William:</t>
        </r>
        <r>
          <rPr>
            <sz val="9"/>
            <color indexed="81"/>
            <rFont val="Tahoma"/>
            <family val="2"/>
          </rPr>
          <t xml:space="preserve">
"Product revenues, which account for more than 80% of the segment, grew by 62%."--F1Q17 earnings call</t>
        </r>
      </text>
    </comment>
    <comment ref="BY49" authorId="1" shapeId="0" xr:uid="{00000000-0006-0000-0900-00001F000000}">
      <text>
        <r>
          <rPr>
            <b/>
            <sz val="9"/>
            <color indexed="81"/>
            <rFont val="Tahoma"/>
            <family val="2"/>
          </rPr>
          <t>Lowden, William:</t>
        </r>
        <r>
          <rPr>
            <sz val="9"/>
            <color indexed="81"/>
            <rFont val="Tahoma"/>
            <family val="2"/>
          </rPr>
          <t xml:space="preserve">
68%</t>
        </r>
      </text>
    </comment>
    <comment ref="BZ49" authorId="1" shapeId="0" xr:uid="{00000000-0006-0000-0900-000020000000}">
      <text>
        <r>
          <rPr>
            <b/>
            <sz val="9"/>
            <color indexed="81"/>
            <rFont val="Tahoma"/>
            <family val="2"/>
          </rPr>
          <t>Lowden, William:</t>
        </r>
        <r>
          <rPr>
            <sz val="9"/>
            <color indexed="81"/>
            <rFont val="Tahoma"/>
            <family val="2"/>
          </rPr>
          <t xml:space="preserve">
61%</t>
        </r>
      </text>
    </comment>
    <comment ref="CA49" authorId="1" shapeId="0" xr:uid="{00000000-0006-0000-0900-000021000000}">
      <text>
        <r>
          <rPr>
            <b/>
            <sz val="9"/>
            <color indexed="81"/>
            <rFont val="Tahoma"/>
            <family val="2"/>
          </rPr>
          <t>Lowden, William:</t>
        </r>
        <r>
          <rPr>
            <sz val="9"/>
            <color indexed="81"/>
            <rFont val="Tahoma"/>
            <family val="2"/>
          </rPr>
          <t xml:space="preserve">
59%</t>
        </r>
      </text>
    </comment>
    <comment ref="CB49" authorId="1" shapeId="0" xr:uid="{00000000-0006-0000-0900-000022000000}">
      <text>
        <r>
          <rPr>
            <b/>
            <sz val="9"/>
            <color indexed="81"/>
            <rFont val="Tahoma"/>
            <family val="2"/>
          </rPr>
          <t>Lowden, William:</t>
        </r>
        <r>
          <rPr>
            <sz val="9"/>
            <color indexed="81"/>
            <rFont val="Tahoma"/>
            <family val="2"/>
          </rPr>
          <t xml:space="preserve">
Expect 55% to 60%</t>
        </r>
      </text>
    </comment>
    <comment ref="CG49" authorId="1" shapeId="0" xr:uid="{00000000-0006-0000-0900-000023000000}">
      <text>
        <r>
          <rPr>
            <b/>
            <sz val="9"/>
            <color indexed="81"/>
            <rFont val="Tahoma"/>
            <family val="2"/>
          </rPr>
          <t>Lowden, William:</t>
        </r>
        <r>
          <rPr>
            <sz val="9"/>
            <color indexed="81"/>
            <rFont val="Tahoma"/>
            <family val="2"/>
          </rPr>
          <t xml:space="preserve">
Management believes Core Connectivity revenue can grow 50%+ for the next couple of years</t>
        </r>
      </text>
    </comment>
    <comment ref="BW51" authorId="1" shapeId="0" xr:uid="{00000000-0006-0000-0900-000024000000}">
      <text>
        <r>
          <rPr>
            <b/>
            <sz val="9"/>
            <color indexed="81"/>
            <rFont val="Tahoma"/>
            <family val="2"/>
          </rPr>
          <t>Lowden, William:</t>
        </r>
        <r>
          <rPr>
            <sz val="9"/>
            <color indexed="81"/>
            <rFont val="Tahoma"/>
            <family val="2"/>
          </rPr>
          <t xml:space="preserve">
Accounted for ~80% of revenue in FY16</t>
        </r>
      </text>
    </comment>
    <comment ref="BX51" authorId="1" shapeId="0" xr:uid="{00000000-0006-0000-0900-000025000000}">
      <text>
        <r>
          <rPr>
            <b/>
            <sz val="9"/>
            <color indexed="81"/>
            <rFont val="Tahoma"/>
            <family val="2"/>
          </rPr>
          <t>Lowden, William:</t>
        </r>
        <r>
          <rPr>
            <sz val="9"/>
            <color indexed="81"/>
            <rFont val="Tahoma"/>
            <family val="2"/>
          </rPr>
          <t xml:space="preserve">
Accounted for more than 80% of revenue</t>
        </r>
      </text>
    </comment>
    <comment ref="BZ52" authorId="1" shapeId="0" xr:uid="{00000000-0006-0000-0900-000026000000}">
      <text>
        <r>
          <rPr>
            <b/>
            <sz val="9"/>
            <color indexed="81"/>
            <rFont val="Tahoma"/>
            <family val="2"/>
          </rPr>
          <t>Lowden, William:</t>
        </r>
        <r>
          <rPr>
            <sz val="9"/>
            <color indexed="81"/>
            <rFont val="Tahoma"/>
            <family val="2"/>
          </rPr>
          <t xml:space="preserve">
Announced acquisition on 11.17.16…expected to close within the next couple of weeks</t>
        </r>
      </text>
    </comment>
    <comment ref="BX57" authorId="1" shapeId="0" xr:uid="{00000000-0006-0000-0900-000027000000}">
      <text>
        <r>
          <rPr>
            <b/>
            <sz val="9"/>
            <color indexed="81"/>
            <rFont val="Tahoma"/>
            <family val="2"/>
          </rPr>
          <t>Lowden, William:</t>
        </r>
        <r>
          <rPr>
            <sz val="9"/>
            <color indexed="81"/>
            <rFont val="Tahoma"/>
            <family val="2"/>
          </rPr>
          <t xml:space="preserve">
"Our segment growth rate was impacted by slower growth in first-party GMS and the run-off of legacy AOS contracts. We continue to build multiple levers of growth in this segment and all signs suggest these investments are paying off."
FY1Q17 conference call </t>
        </r>
      </text>
    </comment>
    <comment ref="BZ57" authorId="1" shapeId="0" xr:uid="{00000000-0006-0000-0900-000028000000}">
      <text>
        <r>
          <rPr>
            <b/>
            <sz val="9"/>
            <color indexed="81"/>
            <rFont val="Tahoma"/>
            <family val="2"/>
          </rPr>
          <t>Lowden, William:</t>
        </r>
        <r>
          <rPr>
            <sz val="9"/>
            <color indexed="81"/>
            <rFont val="Tahoma"/>
            <family val="2"/>
          </rPr>
          <t xml:space="preserve">
down ~60%</t>
        </r>
      </text>
    </comment>
    <comment ref="BZ98" authorId="1" shapeId="0" xr:uid="{00000000-0006-0000-0900-000029000000}">
      <text>
        <r>
          <rPr>
            <b/>
            <sz val="9"/>
            <color indexed="81"/>
            <rFont val="Tahoma"/>
            <family val="2"/>
          </rPr>
          <t>Lowden, William:</t>
        </r>
        <r>
          <rPr>
            <sz val="9"/>
            <color indexed="81"/>
            <rFont val="Tahoma"/>
            <family val="2"/>
          </rPr>
          <t xml:space="preserve">
4</t>
        </r>
      </text>
    </comment>
    <comment ref="CA98" authorId="1" shapeId="0" xr:uid="{00000000-0006-0000-0900-00002A000000}">
      <text>
        <r>
          <rPr>
            <b/>
            <sz val="9"/>
            <color indexed="81"/>
            <rFont val="Tahoma"/>
            <family val="2"/>
          </rPr>
          <t>Lowden, William:</t>
        </r>
        <r>
          <rPr>
            <sz val="9"/>
            <color indexed="81"/>
            <rFont val="Tahoma"/>
            <family val="2"/>
          </rPr>
          <t xml:space="preserve">
4</t>
        </r>
      </text>
    </comment>
    <comment ref="CF98" authorId="1" shapeId="0" xr:uid="{00000000-0006-0000-0900-00002B000000}">
      <text>
        <r>
          <rPr>
            <b/>
            <sz val="9"/>
            <color indexed="81"/>
            <rFont val="Tahoma"/>
            <family val="2"/>
          </rPr>
          <t>Lowden, William:</t>
        </r>
        <r>
          <rPr>
            <sz val="9"/>
            <color indexed="81"/>
            <rFont val="Tahoma"/>
            <family val="2"/>
          </rPr>
          <t xml:space="preserve">
9</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Lowden, William</author>
    <author>Salmon, Dan</author>
    <author>Modi, Nirav</author>
    <author>BMO Capital Markets</author>
    <author>dsalmon</author>
  </authors>
  <commentList>
    <comment ref="BZ15" authorId="0" shapeId="0" xr:uid="{00000000-0006-0000-0A00-000001000000}">
      <text>
        <r>
          <rPr>
            <b/>
            <sz val="9"/>
            <color indexed="81"/>
            <rFont val="Tahoma"/>
            <family val="2"/>
          </rPr>
          <t>Lowden, William:</t>
        </r>
        <r>
          <rPr>
            <sz val="9"/>
            <color indexed="81"/>
            <rFont val="Tahoma"/>
            <family val="2"/>
          </rPr>
          <t xml:space="preserve">
FX</t>
        </r>
      </text>
    </comment>
    <comment ref="BW17" authorId="0" shapeId="0" xr:uid="{00000000-0006-0000-0A00-000002000000}">
      <text>
        <r>
          <rPr>
            <b/>
            <sz val="9"/>
            <color indexed="81"/>
            <rFont val="Tahoma"/>
            <family val="2"/>
          </rPr>
          <t>Lowden, William:</t>
        </r>
        <r>
          <rPr>
            <sz val="9"/>
            <color indexed="81"/>
            <rFont val="Tahoma"/>
            <family val="2"/>
          </rPr>
          <t xml:space="preserve">
Longer-term, they think Audience Solutions can grow 5% to 10%. </t>
        </r>
      </text>
    </comment>
    <comment ref="BX20" authorId="0" shapeId="0" xr:uid="{00000000-0006-0000-0A00-000003000000}">
      <text>
        <r>
          <rPr>
            <b/>
            <sz val="9"/>
            <color indexed="81"/>
            <rFont val="Tahoma"/>
            <family val="2"/>
          </rPr>
          <t>Lowden, William:</t>
        </r>
        <r>
          <rPr>
            <sz val="9"/>
            <color indexed="81"/>
            <rFont val="Tahoma"/>
            <family val="2"/>
          </rPr>
          <t xml:space="preserve">
In Q1, digital data revenue was more than $10 million, up over 100% compared to prior year. This revenue stream now represents over 10% of Audience Solutions' revenue, up from around 5% a year ago.</t>
        </r>
      </text>
    </comment>
    <comment ref="BX21" authorId="0" shapeId="0" xr:uid="{00000000-0006-0000-0A00-000004000000}">
      <text>
        <r>
          <rPr>
            <b/>
            <sz val="9"/>
            <color indexed="81"/>
            <rFont val="Tahoma"/>
            <family val="2"/>
          </rPr>
          <t>Lowden, William:</t>
        </r>
        <r>
          <rPr>
            <sz val="9"/>
            <color indexed="81"/>
            <rFont val="Tahoma"/>
            <family val="2"/>
          </rPr>
          <t xml:space="preserve">
133</t>
        </r>
      </text>
    </comment>
    <comment ref="BY21" authorId="0" shapeId="0" xr:uid="{00000000-0006-0000-0A00-000005000000}">
      <text>
        <r>
          <rPr>
            <b/>
            <sz val="9"/>
            <color indexed="81"/>
            <rFont val="Tahoma"/>
            <family val="2"/>
          </rPr>
          <t>Lowden, William:</t>
        </r>
        <r>
          <rPr>
            <sz val="9"/>
            <color indexed="81"/>
            <rFont val="Tahoma"/>
            <family val="2"/>
          </rPr>
          <t xml:space="preserve">
118</t>
        </r>
      </text>
    </comment>
    <comment ref="BO58" authorId="1" shapeId="0" xr:uid="{00000000-0006-0000-0A00-000006000000}">
      <text>
        <r>
          <rPr>
            <b/>
            <sz val="9"/>
            <color indexed="81"/>
            <rFont val="Tahoma"/>
            <family val="2"/>
          </rPr>
          <t>Salmon, Dan:</t>
        </r>
        <r>
          <rPr>
            <sz val="9"/>
            <color indexed="81"/>
            <rFont val="Tahoma"/>
            <family val="2"/>
          </rPr>
          <t xml:space="preserve">
includes ($1mm) impact from EU restructuring</t>
        </r>
      </text>
    </comment>
    <comment ref="BZ78" authorId="0" shapeId="0" xr:uid="{00000000-0006-0000-0A00-000007000000}">
      <text>
        <r>
          <rPr>
            <b/>
            <sz val="9"/>
            <color indexed="81"/>
            <rFont val="Tahoma"/>
            <family val="2"/>
          </rPr>
          <t>Lowden, William:</t>
        </r>
        <r>
          <rPr>
            <sz val="9"/>
            <color indexed="81"/>
            <rFont val="Tahoma"/>
            <family val="2"/>
          </rPr>
          <t xml:space="preserve">
39</t>
        </r>
      </text>
    </comment>
    <comment ref="CA78" authorId="0" shapeId="0" xr:uid="{00000000-0006-0000-0A00-000008000000}">
      <text>
        <r>
          <rPr>
            <b/>
            <sz val="9"/>
            <color indexed="81"/>
            <rFont val="Tahoma"/>
            <family val="2"/>
          </rPr>
          <t>Lowden, William:</t>
        </r>
        <r>
          <rPr>
            <sz val="9"/>
            <color indexed="81"/>
            <rFont val="Tahoma"/>
            <family val="2"/>
          </rPr>
          <t xml:space="preserve">
38</t>
        </r>
      </text>
    </comment>
    <comment ref="CF78" authorId="0" shapeId="0" xr:uid="{00000000-0006-0000-0A00-000009000000}">
      <text>
        <r>
          <rPr>
            <b/>
            <sz val="9"/>
            <color indexed="81"/>
            <rFont val="Tahoma"/>
            <family val="2"/>
          </rPr>
          <t>Lowden, William:</t>
        </r>
        <r>
          <rPr>
            <sz val="9"/>
            <color indexed="81"/>
            <rFont val="Tahoma"/>
            <family val="2"/>
          </rPr>
          <t xml:space="preserve">
38</t>
        </r>
      </text>
    </comment>
    <comment ref="E126" authorId="2" shapeId="0" xr:uid="{00000000-0006-0000-0A00-00000A000000}">
      <text>
        <r>
          <rPr>
            <b/>
            <sz val="9"/>
            <color indexed="81"/>
            <rFont val="Tahoma"/>
            <family val="2"/>
          </rPr>
          <t>Modi, Nirav:</t>
        </r>
        <r>
          <rPr>
            <sz val="9"/>
            <color indexed="81"/>
            <rFont val="Tahoma"/>
            <family val="2"/>
          </rPr>
          <t xml:space="preserve">
Started presenting new segment information from June 2013.</t>
        </r>
      </text>
    </comment>
    <comment ref="BC129" authorId="2" shapeId="0" xr:uid="{00000000-0006-0000-0A00-00000B000000}">
      <text>
        <r>
          <rPr>
            <b/>
            <sz val="9"/>
            <color indexed="81"/>
            <rFont val="Tahoma"/>
            <family val="2"/>
          </rPr>
          <t>Modi, Nirav:</t>
        </r>
        <r>
          <rPr>
            <sz val="9"/>
            <color indexed="81"/>
            <rFont val="Tahoma"/>
            <family val="2"/>
          </rPr>
          <t xml:space="preserve">
F2014 10-K dated May 5, 2014 page F-6</t>
        </r>
      </text>
    </comment>
    <comment ref="BE129" authorId="2" shapeId="0" xr:uid="{00000000-0006-0000-0A00-00000C000000}">
      <text>
        <r>
          <rPr>
            <b/>
            <sz val="9"/>
            <color indexed="81"/>
            <rFont val="Tahoma"/>
            <family val="2"/>
          </rPr>
          <t>Modi, Nirav:</t>
        </r>
        <r>
          <rPr>
            <sz val="9"/>
            <color indexed="81"/>
            <rFont val="Tahoma"/>
            <family val="2"/>
          </rPr>
          <t xml:space="preserve">
F2Q14 10-Q dated Nov 12, 2013 page 24</t>
        </r>
      </text>
    </comment>
    <comment ref="BF129" authorId="2" shapeId="0" xr:uid="{00000000-0006-0000-0A00-00000D000000}">
      <text>
        <r>
          <rPr>
            <b/>
            <sz val="9"/>
            <color indexed="81"/>
            <rFont val="Tahoma"/>
            <family val="2"/>
          </rPr>
          <t>Modi, Nirav:</t>
        </r>
        <r>
          <rPr>
            <sz val="9"/>
            <color indexed="81"/>
            <rFont val="Tahoma"/>
            <family val="2"/>
          </rPr>
          <t xml:space="preserve">
F3Q14 10-Q dated Feb 7, 2014 page 25</t>
        </r>
      </text>
    </comment>
    <comment ref="BH129" authorId="2" shapeId="0" xr:uid="{00000000-0006-0000-0A00-00000E000000}">
      <text>
        <r>
          <rPr>
            <b/>
            <sz val="9"/>
            <color indexed="81"/>
            <rFont val="Tahoma"/>
            <family val="2"/>
          </rPr>
          <t>Modi, Nirav:</t>
        </r>
        <r>
          <rPr>
            <sz val="9"/>
            <color indexed="81"/>
            <rFont val="Tahoma"/>
            <family val="2"/>
          </rPr>
          <t xml:space="preserve">
F2014 10-K dated May 5, 2014 page F-6</t>
        </r>
      </text>
    </comment>
    <comment ref="BI129" authorId="2" shapeId="0" xr:uid="{00000000-0006-0000-0A00-00000F000000}">
      <text>
        <r>
          <rPr>
            <b/>
            <sz val="9"/>
            <color indexed="81"/>
            <rFont val="Tahoma"/>
            <family val="2"/>
          </rPr>
          <t>Modi, Nirav:</t>
        </r>
        <r>
          <rPr>
            <sz val="9"/>
            <color indexed="81"/>
            <rFont val="Tahoma"/>
            <family val="2"/>
          </rPr>
          <t xml:space="preserve">
F2Q15 10-Q dated Nov 8, 2014 page 29. Growth of 11.1mm or 6.5% for six months. 
</t>
        </r>
      </text>
    </comment>
    <comment ref="BJ129" authorId="2" shapeId="0" xr:uid="{00000000-0006-0000-0A00-000010000000}">
      <text>
        <r>
          <rPr>
            <b/>
            <sz val="9"/>
            <color indexed="81"/>
            <rFont val="Tahoma"/>
            <family val="2"/>
          </rPr>
          <t>Modi, Nirav:</t>
        </r>
        <r>
          <rPr>
            <sz val="9"/>
            <color indexed="81"/>
            <rFont val="Tahoma"/>
            <family val="2"/>
          </rPr>
          <t xml:space="preserve">
F2Q15 10-Q dated Nov 7, 2014 page 28</t>
        </r>
      </text>
    </comment>
    <comment ref="BK129" authorId="2" shapeId="0" xr:uid="{00000000-0006-0000-0A00-000011000000}">
      <text>
        <r>
          <rPr>
            <b/>
            <sz val="9"/>
            <color indexed="81"/>
            <rFont val="Tahoma"/>
            <family val="2"/>
          </rPr>
          <t>Modi, Nirav:</t>
        </r>
        <r>
          <rPr>
            <sz val="9"/>
            <color indexed="81"/>
            <rFont val="Tahoma"/>
            <family val="2"/>
          </rPr>
          <t xml:space="preserve">
F3Q15 10-Q dated Feb 4, 2015 page 29</t>
        </r>
      </text>
    </comment>
    <comment ref="BH130" authorId="2" shapeId="0" xr:uid="{00000000-0006-0000-0A00-000012000000}">
      <text>
        <r>
          <rPr>
            <b/>
            <sz val="9"/>
            <color indexed="81"/>
            <rFont val="Tahoma"/>
            <family val="2"/>
          </rPr>
          <t>Modi, Nirav:</t>
        </r>
        <r>
          <rPr>
            <sz val="9"/>
            <color indexed="81"/>
            <rFont val="Tahoma"/>
            <family val="2"/>
          </rPr>
          <t xml:space="preserve">
F2014 10-K dated May 5, 2014 page F-6</t>
        </r>
      </text>
    </comment>
    <comment ref="BM130" authorId="2" shapeId="0" xr:uid="{00000000-0006-0000-0A00-000013000000}">
      <text>
        <r>
          <rPr>
            <b/>
            <sz val="9"/>
            <color indexed="81"/>
            <rFont val="Tahoma"/>
            <family val="2"/>
          </rPr>
          <t>Modi, Nirav:</t>
        </r>
        <r>
          <rPr>
            <sz val="9"/>
            <color indexed="81"/>
            <rFont val="Tahoma"/>
            <family val="2"/>
          </rPr>
          <t xml:space="preserve">
F2014 10-K dated May 5, 2014 page F-6</t>
        </r>
      </text>
    </comment>
    <comment ref="BO130" authorId="2" shapeId="0" xr:uid="{00000000-0006-0000-0A00-000014000000}">
      <text>
        <r>
          <rPr>
            <b/>
            <sz val="9"/>
            <color indexed="81"/>
            <rFont val="Tahoma"/>
            <family val="2"/>
          </rPr>
          <t>Modi, Nirav:</t>
        </r>
        <r>
          <rPr>
            <sz val="9"/>
            <color indexed="81"/>
            <rFont val="Tahoma"/>
            <family val="2"/>
          </rPr>
          <t xml:space="preserve">
F2Q15 10-Q dated Nov 7, 2014 page 28</t>
        </r>
      </text>
    </comment>
    <comment ref="BP130" authorId="2" shapeId="0" xr:uid="{00000000-0006-0000-0A00-000015000000}">
      <text>
        <r>
          <rPr>
            <b/>
            <sz val="9"/>
            <color indexed="81"/>
            <rFont val="Tahoma"/>
            <family val="2"/>
          </rPr>
          <t>Modi, Nirav:</t>
        </r>
        <r>
          <rPr>
            <sz val="9"/>
            <color indexed="81"/>
            <rFont val="Tahoma"/>
            <family val="2"/>
          </rPr>
          <t xml:space="preserve">
F3Q15 10-Q dated Feb 4, 2015 page 29</t>
        </r>
      </text>
    </comment>
    <comment ref="BD131" authorId="2" shapeId="0" xr:uid="{00000000-0006-0000-0A00-000016000000}">
      <text>
        <r>
          <rPr>
            <b/>
            <sz val="9"/>
            <color indexed="81"/>
            <rFont val="Tahoma"/>
            <family val="2"/>
          </rPr>
          <t>Modi, Nirav:</t>
        </r>
        <r>
          <rPr>
            <sz val="9"/>
            <color indexed="81"/>
            <rFont val="Tahoma"/>
            <family val="2"/>
          </rPr>
          <t xml:space="preserve">
F1Q14 10-Q dated Aug 8, 2013 page 21</t>
        </r>
      </text>
    </comment>
    <comment ref="BE131" authorId="2" shapeId="0" xr:uid="{00000000-0006-0000-0A00-000017000000}">
      <text>
        <r>
          <rPr>
            <b/>
            <sz val="9"/>
            <color indexed="81"/>
            <rFont val="Tahoma"/>
            <family val="2"/>
          </rPr>
          <t>Modi, Nirav:</t>
        </r>
        <r>
          <rPr>
            <sz val="9"/>
            <color indexed="81"/>
            <rFont val="Tahoma"/>
            <family val="2"/>
          </rPr>
          <t xml:space="preserve">
F2Q14 10-Q dated Nov 12, 2013 page 24</t>
        </r>
      </text>
    </comment>
    <comment ref="BF131" authorId="2" shapeId="0" xr:uid="{00000000-0006-0000-0A00-000018000000}">
      <text>
        <r>
          <rPr>
            <b/>
            <sz val="9"/>
            <color indexed="81"/>
            <rFont val="Tahoma"/>
            <family val="2"/>
          </rPr>
          <t>Modi, Nirav:</t>
        </r>
        <r>
          <rPr>
            <sz val="9"/>
            <color indexed="81"/>
            <rFont val="Tahoma"/>
            <family val="2"/>
          </rPr>
          <t xml:space="preserve">
F3Q14 10-Q dated Feb 7, 2014 page 25</t>
        </r>
      </text>
    </comment>
    <comment ref="BJ131" authorId="2" shapeId="0" xr:uid="{00000000-0006-0000-0A00-000019000000}">
      <text>
        <r>
          <rPr>
            <b/>
            <sz val="9"/>
            <color indexed="81"/>
            <rFont val="Tahoma"/>
            <family val="2"/>
          </rPr>
          <t>Modi, Nirav:</t>
        </r>
        <r>
          <rPr>
            <sz val="9"/>
            <color indexed="81"/>
            <rFont val="Tahoma"/>
            <family val="2"/>
          </rPr>
          <t xml:space="preserve">
F2Q15 10-Q dated Nov 7, 2014 page 28</t>
        </r>
      </text>
    </comment>
    <comment ref="BK131" authorId="2" shapeId="0" xr:uid="{00000000-0006-0000-0A00-00001A000000}">
      <text>
        <r>
          <rPr>
            <b/>
            <sz val="9"/>
            <color indexed="81"/>
            <rFont val="Tahoma"/>
            <family val="2"/>
          </rPr>
          <t>Modi, Nirav:</t>
        </r>
        <r>
          <rPr>
            <sz val="9"/>
            <color indexed="81"/>
            <rFont val="Tahoma"/>
            <family val="2"/>
          </rPr>
          <t xml:space="preserve">
F3Q15 10-Q dated Feb 4, 2015 page 29</t>
        </r>
      </text>
    </comment>
    <comment ref="BN132" authorId="2" shapeId="0" xr:uid="{00000000-0006-0000-0A00-00001B000000}">
      <text>
        <r>
          <rPr>
            <b/>
            <sz val="9"/>
            <color indexed="81"/>
            <rFont val="Tahoma"/>
            <family val="2"/>
          </rPr>
          <t>Modi, Nirav:</t>
        </r>
        <r>
          <rPr>
            <sz val="9"/>
            <color indexed="81"/>
            <rFont val="Tahoma"/>
            <family val="2"/>
          </rPr>
          <t xml:space="preserve">
F1Q15 10-Q page 24. Declined due to European Restructuring</t>
        </r>
      </text>
    </comment>
    <comment ref="BO132" authorId="2" shapeId="0" xr:uid="{00000000-0006-0000-0A00-00001C000000}">
      <text>
        <r>
          <rPr>
            <b/>
            <sz val="9"/>
            <color indexed="81"/>
            <rFont val="Tahoma"/>
            <family val="2"/>
          </rPr>
          <t>Modi, Nirav:</t>
        </r>
        <r>
          <rPr>
            <sz val="9"/>
            <color indexed="81"/>
            <rFont val="Tahoma"/>
            <family val="2"/>
          </rPr>
          <t xml:space="preserve">
F2Q15 10-Q dated Nov 7, 2014 page 28. Declined due to European Restructuring</t>
        </r>
      </text>
    </comment>
    <comment ref="BP132" authorId="2" shapeId="0" xr:uid="{00000000-0006-0000-0A00-00001D000000}">
      <text>
        <r>
          <rPr>
            <b/>
            <sz val="9"/>
            <color indexed="81"/>
            <rFont val="Tahoma"/>
            <family val="2"/>
          </rPr>
          <t>Modi, Nirav:</t>
        </r>
        <r>
          <rPr>
            <sz val="9"/>
            <color indexed="81"/>
            <rFont val="Tahoma"/>
            <family val="2"/>
          </rPr>
          <t xml:space="preserve">
F3Q15 10-Q dated Feb 4, 2015 page 29. Declined due to Euro Resc and Lower project rev in Australia</t>
        </r>
      </text>
    </comment>
    <comment ref="BE133" authorId="2" shapeId="0" xr:uid="{00000000-0006-0000-0A00-00001E000000}">
      <text>
        <r>
          <rPr>
            <b/>
            <sz val="9"/>
            <color indexed="81"/>
            <rFont val="Tahoma"/>
            <family val="2"/>
          </rPr>
          <t>Modi, Nirav:</t>
        </r>
        <r>
          <rPr>
            <sz val="9"/>
            <color indexed="81"/>
            <rFont val="Tahoma"/>
            <family val="2"/>
          </rPr>
          <t xml:space="preserve">
F2Q14 10-Q dated Nov 12, 2013 page 24</t>
        </r>
      </text>
    </comment>
    <comment ref="BF133" authorId="2" shapeId="0" xr:uid="{00000000-0006-0000-0A00-00001F000000}">
      <text>
        <r>
          <rPr>
            <b/>
            <sz val="9"/>
            <color indexed="81"/>
            <rFont val="Tahoma"/>
            <family val="2"/>
          </rPr>
          <t>Modi, Nirav:</t>
        </r>
        <r>
          <rPr>
            <sz val="9"/>
            <color indexed="81"/>
            <rFont val="Tahoma"/>
            <family val="2"/>
          </rPr>
          <t xml:space="preserve">
F3Q14 10-Q dated Feb 7, 2014 page 25</t>
        </r>
      </text>
    </comment>
    <comment ref="BJ133" authorId="2" shapeId="0" xr:uid="{00000000-0006-0000-0A00-000020000000}">
      <text>
        <r>
          <rPr>
            <b/>
            <sz val="9"/>
            <color indexed="81"/>
            <rFont val="Tahoma"/>
            <family val="2"/>
          </rPr>
          <t>Modi, Nirav:</t>
        </r>
        <r>
          <rPr>
            <sz val="9"/>
            <color indexed="81"/>
            <rFont val="Tahoma"/>
            <family val="2"/>
          </rPr>
          <t xml:space="preserve">
F2Q15 10-Q dated Nov 7, 2014 page 28</t>
        </r>
      </text>
    </comment>
    <comment ref="BK133" authorId="2" shapeId="0" xr:uid="{00000000-0006-0000-0A00-000021000000}">
      <text>
        <r>
          <rPr>
            <b/>
            <sz val="9"/>
            <color indexed="81"/>
            <rFont val="Tahoma"/>
            <family val="2"/>
          </rPr>
          <t>Modi, Nirav:</t>
        </r>
        <r>
          <rPr>
            <sz val="9"/>
            <color indexed="81"/>
            <rFont val="Tahoma"/>
            <family val="2"/>
          </rPr>
          <t xml:space="preserve">
F3Q15 10-Q dated Feb 4, 2015 page 29</t>
        </r>
      </text>
    </comment>
    <comment ref="BO134" authorId="2" shapeId="0" xr:uid="{00000000-0006-0000-0A00-000022000000}">
      <text>
        <r>
          <rPr>
            <b/>
            <sz val="9"/>
            <color indexed="81"/>
            <rFont val="Tahoma"/>
            <family val="2"/>
          </rPr>
          <t>Modi, Nirav:</t>
        </r>
        <r>
          <rPr>
            <sz val="9"/>
            <color indexed="81"/>
            <rFont val="Tahoma"/>
            <family val="2"/>
          </rPr>
          <t xml:space="preserve">
F2Q15 10-Q dated Nov 7, 2014 page 28. Declined due to lower volume in the U.S.</t>
        </r>
      </text>
    </comment>
    <comment ref="BP134" authorId="2" shapeId="0" xr:uid="{00000000-0006-0000-0A00-000023000000}">
      <text>
        <r>
          <rPr>
            <b/>
            <sz val="9"/>
            <color indexed="81"/>
            <rFont val="Tahoma"/>
            <family val="2"/>
          </rPr>
          <t>Modi, Nirav:</t>
        </r>
        <r>
          <rPr>
            <sz val="9"/>
            <color indexed="81"/>
            <rFont val="Tahoma"/>
            <family val="2"/>
          </rPr>
          <t xml:space="preserve">
F3Q15 10-Q dated Feb 4, 2015 page 29. Declined due to lower volume in the U.S.</t>
        </r>
      </text>
    </comment>
    <comment ref="BD135" authorId="2" shapeId="0" xr:uid="{00000000-0006-0000-0A00-000024000000}">
      <text>
        <r>
          <rPr>
            <b/>
            <sz val="9"/>
            <color indexed="81"/>
            <rFont val="Tahoma"/>
            <family val="2"/>
          </rPr>
          <t>Modi, Nirav:</t>
        </r>
        <r>
          <rPr>
            <sz val="9"/>
            <color indexed="81"/>
            <rFont val="Tahoma"/>
            <family val="2"/>
          </rPr>
          <t xml:space="preserve">
F1Q14 10-Q dated Aug 8, 2013 page 21</t>
        </r>
      </text>
    </comment>
    <comment ref="BE135" authorId="2" shapeId="0" xr:uid="{00000000-0006-0000-0A00-000025000000}">
      <text>
        <r>
          <rPr>
            <b/>
            <sz val="9"/>
            <color indexed="81"/>
            <rFont val="Tahoma"/>
            <family val="2"/>
          </rPr>
          <t>Modi, Nirav:</t>
        </r>
        <r>
          <rPr>
            <sz val="9"/>
            <color indexed="81"/>
            <rFont val="Tahoma"/>
            <family val="2"/>
          </rPr>
          <t xml:space="preserve">
F2Q14 10-Q dated Nov 12, 2013 page 24</t>
        </r>
      </text>
    </comment>
    <comment ref="BF135" authorId="2" shapeId="0" xr:uid="{00000000-0006-0000-0A00-000026000000}">
      <text>
        <r>
          <rPr>
            <b/>
            <sz val="9"/>
            <color indexed="81"/>
            <rFont val="Tahoma"/>
            <family val="2"/>
          </rPr>
          <t>Modi, Nirav:</t>
        </r>
        <r>
          <rPr>
            <sz val="9"/>
            <color indexed="81"/>
            <rFont val="Tahoma"/>
            <family val="2"/>
          </rPr>
          <t xml:space="preserve">
F3Q14 10-Q dated Feb 7, 2014 page 25</t>
        </r>
      </text>
    </comment>
    <comment ref="BI135" authorId="2" shapeId="0" xr:uid="{00000000-0006-0000-0A00-000027000000}">
      <text>
        <r>
          <rPr>
            <b/>
            <sz val="9"/>
            <color indexed="81"/>
            <rFont val="Tahoma"/>
            <family val="2"/>
          </rPr>
          <t>Modi, Nirav:</t>
        </r>
        <r>
          <rPr>
            <sz val="9"/>
            <color indexed="81"/>
            <rFont val="Tahoma"/>
            <family val="2"/>
          </rPr>
          <t xml:space="preserve">
Assumed based on 9 months number from 3Q15 - 10Q</t>
        </r>
      </text>
    </comment>
    <comment ref="BJ135" authorId="2" shapeId="0" xr:uid="{00000000-0006-0000-0A00-000028000000}">
      <text>
        <r>
          <rPr>
            <b/>
            <sz val="9"/>
            <color indexed="81"/>
            <rFont val="Tahoma"/>
            <family val="2"/>
          </rPr>
          <t>Modi, Nirav:</t>
        </r>
        <r>
          <rPr>
            <sz val="9"/>
            <color indexed="81"/>
            <rFont val="Tahoma"/>
            <family val="2"/>
          </rPr>
          <t xml:space="preserve">
F2Q15 10-Q dated Nov 7, 2014 page 28</t>
        </r>
      </text>
    </comment>
    <comment ref="BK135" authorId="2" shapeId="0" xr:uid="{00000000-0006-0000-0A00-000029000000}">
      <text>
        <r>
          <rPr>
            <b/>
            <sz val="9"/>
            <color indexed="81"/>
            <rFont val="Tahoma"/>
            <family val="2"/>
          </rPr>
          <t>Modi, Nirav:</t>
        </r>
        <r>
          <rPr>
            <sz val="9"/>
            <color indexed="81"/>
            <rFont val="Tahoma"/>
            <family val="2"/>
          </rPr>
          <t xml:space="preserve">
F3Q15 10-Q dated Feb 4, 2015 page 29</t>
        </r>
      </text>
    </comment>
    <comment ref="BN136" authorId="2" shapeId="0" xr:uid="{00000000-0006-0000-0A00-00002A000000}">
      <text>
        <r>
          <rPr>
            <b/>
            <sz val="9"/>
            <color indexed="81"/>
            <rFont val="Tahoma"/>
            <family val="2"/>
          </rPr>
          <t>Modi, Nirav:</t>
        </r>
        <r>
          <rPr>
            <sz val="9"/>
            <color indexed="81"/>
            <rFont val="Tahoma"/>
            <family val="2"/>
          </rPr>
          <t xml:space="preserve">
Assumed based on 9 months number from 3Q15 - 10Q</t>
        </r>
      </text>
    </comment>
    <comment ref="BG142" authorId="3" shapeId="0" xr:uid="{00000000-0006-0000-0A00-00002B000000}">
      <text>
        <r>
          <rPr>
            <b/>
            <sz val="8"/>
            <color indexed="81"/>
            <rFont val="Tahoma"/>
            <family val="2"/>
          </rPr>
          <t xml:space="preserve">yarounian:
</t>
        </r>
        <r>
          <rPr>
            <sz val="8"/>
            <color indexed="81"/>
            <rFont val="Tahoma"/>
            <family val="2"/>
          </rPr>
          <t>Total marketing and data services revenues were restated for move of email from other to marketing segment, but individual regions were not restated.
They will be stated individual when the next year quarter results are announced, in the presentation</t>
        </r>
      </text>
    </comment>
    <comment ref="BR144" authorId="2" shapeId="0" xr:uid="{00000000-0006-0000-0A00-00002C000000}">
      <text>
        <r>
          <rPr>
            <b/>
            <sz val="9"/>
            <color indexed="81"/>
            <rFont val="Tahoma"/>
            <family val="2"/>
          </rPr>
          <t>Modi, Nirav:</t>
        </r>
        <r>
          <rPr>
            <sz val="9"/>
            <color indexed="81"/>
            <rFont val="Tahoma"/>
            <family val="2"/>
          </rPr>
          <t xml:space="preserve">
EU revenue reduction of $21mm</t>
        </r>
      </text>
    </comment>
    <comment ref="BG152" authorId="3" shapeId="0" xr:uid="{00000000-0006-0000-0A00-00002D000000}">
      <text>
        <r>
          <rPr>
            <b/>
            <sz val="8"/>
            <color indexed="81"/>
            <rFont val="Tahoma"/>
            <family val="2"/>
          </rPr>
          <t xml:space="preserve">yarounian:
</t>
        </r>
        <r>
          <rPr>
            <sz val="8"/>
            <color indexed="81"/>
            <rFont val="Tahoma"/>
            <family val="2"/>
          </rPr>
          <t>Total Other revenues were restated for move of email from other to marketing segment, but individual regions were not restated.
They will be stated individual when the next year quarter results are announced, in the presentation</t>
        </r>
      </text>
    </comment>
    <comment ref="E156" authorId="4" shapeId="0" xr:uid="{00000000-0006-0000-0A00-00002E000000}">
      <text>
        <r>
          <rPr>
            <b/>
            <sz val="8"/>
            <color indexed="81"/>
            <rFont val="Tahoma"/>
            <family val="2"/>
          </rPr>
          <t>dsalmon:</t>
        </r>
        <r>
          <rPr>
            <sz val="8"/>
            <color indexed="81"/>
            <rFont val="Tahoma"/>
            <family val="2"/>
          </rPr>
          <t xml:space="preserve">
US and UK fulfillment (mostly email, some direct mail overseas)
Risk management</t>
        </r>
      </text>
    </comment>
    <comment ref="E174" authorId="2" shapeId="0" xr:uid="{00000000-0006-0000-0A00-00002F000000}">
      <text>
        <r>
          <rPr>
            <b/>
            <sz val="9"/>
            <color indexed="81"/>
            <rFont val="Tahoma"/>
            <family val="2"/>
          </rPr>
          <t>Modi, Nirav:</t>
        </r>
        <r>
          <rPr>
            <sz val="9"/>
            <color indexed="81"/>
            <rFont val="Tahoma"/>
            <family val="2"/>
          </rPr>
          <t xml:space="preserve">
Started providing segment information from Dec 2014</t>
        </r>
      </text>
    </comment>
    <comment ref="BT187" authorId="0" shapeId="0" xr:uid="{00000000-0006-0000-0A00-000030000000}">
      <text>
        <r>
          <rPr>
            <b/>
            <sz val="9"/>
            <color indexed="81"/>
            <rFont val="Tahoma"/>
            <family val="2"/>
          </rPr>
          <t>Lowden, William:</t>
        </r>
        <r>
          <rPr>
            <sz val="9"/>
            <color indexed="81"/>
            <rFont val="Tahoma"/>
            <family val="2"/>
          </rPr>
          <t xml:space="preserve">
adding back business separation</t>
        </r>
      </text>
    </comment>
    <comment ref="E192" authorId="2" shapeId="0" xr:uid="{00000000-0006-0000-0A00-000031000000}">
      <text>
        <r>
          <rPr>
            <b/>
            <sz val="9"/>
            <color indexed="81"/>
            <rFont val="Tahoma"/>
            <family val="2"/>
          </rPr>
          <t>Modi, Nirav:</t>
        </r>
        <r>
          <rPr>
            <sz val="9"/>
            <color indexed="81"/>
            <rFont val="Tahoma"/>
            <family val="2"/>
          </rPr>
          <t xml:space="preserve">
Started providing segment information from Dec 2014</t>
        </r>
      </text>
    </comment>
    <comment ref="BB216" authorId="4" shapeId="0" xr:uid="{00000000-0006-0000-0A00-000032000000}">
      <text>
        <r>
          <rPr>
            <b/>
            <sz val="8"/>
            <color indexed="81"/>
            <rFont val="Tahoma"/>
            <family val="2"/>
          </rPr>
          <t>dsalmon:</t>
        </r>
        <r>
          <rPr>
            <sz val="8"/>
            <color indexed="81"/>
            <rFont val="Tahoma"/>
            <family val="2"/>
          </rPr>
          <t xml:space="preserve">
assumes screening business sale closes 12/31/11, i.e. in 25 days versus "less than 60" guidance</t>
        </r>
      </text>
    </comment>
    <comment ref="AR220" authorId="4" shapeId="0" xr:uid="{00000000-0006-0000-0A00-000033000000}">
      <text>
        <r>
          <rPr>
            <b/>
            <sz val="8"/>
            <color indexed="81"/>
            <rFont val="Tahoma"/>
            <family val="2"/>
          </rPr>
          <t>dsalmon:</t>
        </r>
        <r>
          <rPr>
            <sz val="8"/>
            <color indexed="81"/>
            <rFont val="Tahoma"/>
            <family val="2"/>
          </rPr>
          <t xml:space="preserve">
-1.1% ex currency and pass thru costs a year ago</t>
        </r>
      </text>
    </comment>
    <comment ref="E245" authorId="4" shapeId="0" xr:uid="{00000000-0006-0000-0A00-000034000000}">
      <text>
        <r>
          <rPr>
            <b/>
            <sz val="8"/>
            <color indexed="81"/>
            <rFont val="Tahoma"/>
            <family val="2"/>
          </rPr>
          <t>dsalmon:</t>
        </r>
        <r>
          <rPr>
            <sz val="8"/>
            <color indexed="81"/>
            <rFont val="Tahoma"/>
            <family val="2"/>
          </rPr>
          <t xml:space="preserve">
restated back to beginning of fiscal 2009, i.e. fiscal 2008 on back is not comparable</t>
        </r>
      </text>
    </comment>
    <comment ref="AR272" authorId="4" shapeId="0" xr:uid="{00000000-0006-0000-0A00-000035000000}">
      <text>
        <r>
          <rPr>
            <b/>
            <sz val="8"/>
            <color indexed="81"/>
            <rFont val="Tahoma"/>
            <family val="2"/>
          </rPr>
          <t>dsalmon:</t>
        </r>
        <r>
          <rPr>
            <sz val="8"/>
            <color indexed="81"/>
            <rFont val="Tahoma"/>
            <family val="2"/>
          </rPr>
          <t xml:space="preserve">
up 7.7% sequentially</t>
        </r>
      </text>
    </comment>
    <comment ref="AR277" authorId="4" shapeId="0" xr:uid="{00000000-0006-0000-0A00-000036000000}">
      <text>
        <r>
          <rPr>
            <b/>
            <sz val="8"/>
            <color indexed="81"/>
            <rFont val="Tahoma"/>
            <family val="2"/>
          </rPr>
          <t>dsalmon:</t>
        </r>
        <r>
          <rPr>
            <sz val="8"/>
            <color indexed="81"/>
            <rFont val="Tahoma"/>
            <family val="2"/>
          </rPr>
          <t xml:space="preserve">
up 8% sequentially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Lowden, William</author>
  </authors>
  <commentList>
    <comment ref="BW14" authorId="0" shapeId="0" xr:uid="{00000000-0006-0000-0B00-000001000000}">
      <text>
        <r>
          <rPr>
            <b/>
            <sz val="9"/>
            <color indexed="81"/>
            <rFont val="Tahoma"/>
            <family val="2"/>
          </rPr>
          <t>Lowden, William:</t>
        </r>
        <r>
          <rPr>
            <sz val="9"/>
            <color indexed="81"/>
            <rFont val="Tahoma"/>
            <family val="2"/>
          </rPr>
          <t xml:space="preserve">
Anticipate marketing services to grow inline with GDP going forward. </t>
        </r>
      </text>
    </comment>
    <comment ref="BZ15" authorId="0" shapeId="0" xr:uid="{00000000-0006-0000-0B00-000002000000}">
      <text>
        <r>
          <rPr>
            <b/>
            <sz val="9"/>
            <color indexed="81"/>
            <rFont val="Tahoma"/>
            <family val="2"/>
          </rPr>
          <t>Lowden, William:</t>
        </r>
        <r>
          <rPr>
            <sz val="9"/>
            <color indexed="81"/>
            <rFont val="Tahoma"/>
            <family val="2"/>
          </rPr>
          <t xml:space="preserve">
Sale of Acxiom Impact</t>
        </r>
      </text>
    </comment>
    <comment ref="CA15" authorId="0" shapeId="0" xr:uid="{00000000-0006-0000-0B00-000003000000}">
      <text>
        <r>
          <rPr>
            <b/>
            <sz val="9"/>
            <color indexed="81"/>
            <rFont val="Tahoma"/>
            <family val="2"/>
          </rPr>
          <t>Lowden, William:</t>
        </r>
        <r>
          <rPr>
            <sz val="9"/>
            <color indexed="81"/>
            <rFont val="Tahoma"/>
            <family val="2"/>
          </rPr>
          <t xml:space="preserve">
Sale of Acxiom Impact</t>
        </r>
      </text>
    </comment>
    <comment ref="CB15" authorId="0" shapeId="0" xr:uid="{00000000-0006-0000-0B00-000004000000}">
      <text>
        <r>
          <rPr>
            <b/>
            <sz val="9"/>
            <color indexed="81"/>
            <rFont val="Tahoma"/>
            <family val="2"/>
          </rPr>
          <t>Lowden, William:</t>
        </r>
        <r>
          <rPr>
            <sz val="9"/>
            <color indexed="81"/>
            <rFont val="Tahoma"/>
            <family val="2"/>
          </rPr>
          <t xml:space="preserve">
Sale of Acxiom Impact</t>
        </r>
      </text>
    </comment>
    <comment ref="CC15" authorId="0" shapeId="0" xr:uid="{00000000-0006-0000-0B00-000005000000}">
      <text>
        <r>
          <rPr>
            <b/>
            <sz val="9"/>
            <color indexed="81"/>
            <rFont val="Tahoma"/>
            <family val="2"/>
          </rPr>
          <t>Lowden, William:</t>
        </r>
        <r>
          <rPr>
            <sz val="9"/>
            <color indexed="81"/>
            <rFont val="Tahoma"/>
            <family val="2"/>
          </rPr>
          <t xml:space="preserve">
Sale of Acxiom Impact</t>
        </r>
      </text>
    </comment>
    <comment ref="CD15" authorId="0" shapeId="0" xr:uid="{00000000-0006-0000-0B00-000006000000}">
      <text>
        <r>
          <rPr>
            <b/>
            <sz val="9"/>
            <color indexed="81"/>
            <rFont val="Tahoma"/>
            <family val="2"/>
          </rPr>
          <t>Lowden, William:</t>
        </r>
        <r>
          <rPr>
            <sz val="9"/>
            <color indexed="81"/>
            <rFont val="Tahoma"/>
            <family val="2"/>
          </rPr>
          <t xml:space="preserve">
Sale of Acxiom Impact</t>
        </r>
      </text>
    </comment>
    <comment ref="BY17" authorId="0" shapeId="0" xr:uid="{00000000-0006-0000-0B00-000007000000}">
      <text>
        <r>
          <rPr>
            <b/>
            <sz val="9"/>
            <color indexed="81"/>
            <rFont val="Tahoma"/>
            <family val="2"/>
          </rPr>
          <t>Lowden, William:</t>
        </r>
        <r>
          <rPr>
            <sz val="9"/>
            <color indexed="81"/>
            <rFont val="Tahoma"/>
            <family val="2"/>
          </rPr>
          <t xml:space="preserve">
Sale of Acxiom Impact closed a month earlier than expected</t>
        </r>
      </text>
    </comment>
    <comment ref="BN21" authorId="0" shapeId="0" xr:uid="{00000000-0006-0000-0B00-000008000000}">
      <text>
        <r>
          <rPr>
            <b/>
            <sz val="9"/>
            <color indexed="81"/>
            <rFont val="Tahoma"/>
            <family val="2"/>
          </rPr>
          <t>Lowden, William:</t>
        </r>
        <r>
          <rPr>
            <sz val="9"/>
            <color indexed="81"/>
            <rFont val="Tahoma"/>
            <family val="2"/>
          </rPr>
          <t xml:space="preserve">
From FY1Q17 earnings slide deck</t>
        </r>
      </text>
    </comment>
    <comment ref="BO21" authorId="0" shapeId="0" xr:uid="{00000000-0006-0000-0B00-000009000000}">
      <text>
        <r>
          <rPr>
            <b/>
            <sz val="9"/>
            <color indexed="81"/>
            <rFont val="Tahoma"/>
            <family val="2"/>
          </rPr>
          <t>Lowden, William:</t>
        </r>
        <r>
          <rPr>
            <sz val="9"/>
            <color indexed="81"/>
            <rFont val="Tahoma"/>
            <family val="2"/>
          </rPr>
          <t xml:space="preserve">
From FY1Q17 earnings slide deck</t>
        </r>
      </text>
    </comment>
    <comment ref="BP21" authorId="0" shapeId="0" xr:uid="{00000000-0006-0000-0B00-00000A000000}">
      <text>
        <r>
          <rPr>
            <b/>
            <sz val="9"/>
            <color indexed="81"/>
            <rFont val="Tahoma"/>
            <family val="2"/>
          </rPr>
          <t>Lowden, William:</t>
        </r>
        <r>
          <rPr>
            <sz val="9"/>
            <color indexed="81"/>
            <rFont val="Tahoma"/>
            <family val="2"/>
          </rPr>
          <t xml:space="preserve">
From FY1Q17 earnings slide deck</t>
        </r>
      </text>
    </comment>
    <comment ref="BQ21" authorId="0" shapeId="0" xr:uid="{00000000-0006-0000-0B00-00000B000000}">
      <text>
        <r>
          <rPr>
            <b/>
            <sz val="9"/>
            <color indexed="81"/>
            <rFont val="Tahoma"/>
            <family val="2"/>
          </rPr>
          <t>Lowden, William:</t>
        </r>
        <r>
          <rPr>
            <sz val="9"/>
            <color indexed="81"/>
            <rFont val="Tahoma"/>
            <family val="2"/>
          </rPr>
          <t xml:space="preserve">
From FY1Q17 earnings slide deck</t>
        </r>
      </text>
    </comment>
    <comment ref="BS21" authorId="0" shapeId="0" xr:uid="{00000000-0006-0000-0B00-00000C000000}">
      <text>
        <r>
          <rPr>
            <b/>
            <sz val="9"/>
            <color indexed="81"/>
            <rFont val="Tahoma"/>
            <family val="2"/>
          </rPr>
          <t>Lowden, William:</t>
        </r>
        <r>
          <rPr>
            <sz val="9"/>
            <color indexed="81"/>
            <rFont val="Tahoma"/>
            <family val="2"/>
          </rPr>
          <t xml:space="preserve">
From FY1Q17 earnings slide deck</t>
        </r>
      </text>
    </comment>
    <comment ref="BT21" authorId="0" shapeId="0" xr:uid="{00000000-0006-0000-0B00-00000D000000}">
      <text>
        <r>
          <rPr>
            <b/>
            <sz val="9"/>
            <color indexed="81"/>
            <rFont val="Tahoma"/>
            <family val="2"/>
          </rPr>
          <t>Lowden, William:</t>
        </r>
        <r>
          <rPr>
            <sz val="9"/>
            <color indexed="81"/>
            <rFont val="Tahoma"/>
            <family val="2"/>
          </rPr>
          <t xml:space="preserve">
From FY1Q17 earnings slide deck</t>
        </r>
      </text>
    </comment>
    <comment ref="BU21" authorId="0" shapeId="0" xr:uid="{00000000-0006-0000-0B00-00000E000000}">
      <text>
        <r>
          <rPr>
            <b/>
            <sz val="9"/>
            <color indexed="81"/>
            <rFont val="Tahoma"/>
            <family val="2"/>
          </rPr>
          <t>Lowden, William:</t>
        </r>
        <r>
          <rPr>
            <sz val="9"/>
            <color indexed="81"/>
            <rFont val="Tahoma"/>
            <family val="2"/>
          </rPr>
          <t xml:space="preserve">
From FY1Q17 earnings slide deck</t>
        </r>
      </text>
    </comment>
    <comment ref="BV21" authorId="0" shapeId="0" xr:uid="{00000000-0006-0000-0B00-00000F000000}">
      <text>
        <r>
          <rPr>
            <b/>
            <sz val="9"/>
            <color indexed="81"/>
            <rFont val="Tahoma"/>
            <family val="2"/>
          </rPr>
          <t>Lowden, William:</t>
        </r>
        <r>
          <rPr>
            <sz val="9"/>
            <color indexed="81"/>
            <rFont val="Tahoma"/>
            <family val="2"/>
          </rPr>
          <t xml:space="preserve">
From FY1Q17 earnings slide deck</t>
        </r>
      </text>
    </comment>
    <comment ref="BX21" authorId="0" shapeId="0" xr:uid="{00000000-0006-0000-0B00-000010000000}">
      <text>
        <r>
          <rPr>
            <b/>
            <sz val="9"/>
            <color indexed="81"/>
            <rFont val="Tahoma"/>
            <family val="2"/>
          </rPr>
          <t>Lowden, William:</t>
        </r>
        <r>
          <rPr>
            <sz val="9"/>
            <color indexed="81"/>
            <rFont val="Tahoma"/>
            <family val="2"/>
          </rPr>
          <t xml:space="preserve">
From FY1Q17 earnings slide deck</t>
        </r>
      </text>
    </comment>
    <comment ref="BZ57" authorId="0" shapeId="0" xr:uid="{00000000-0006-0000-0B00-000011000000}">
      <text>
        <r>
          <rPr>
            <b/>
            <sz val="9"/>
            <color indexed="81"/>
            <rFont val="Tahoma"/>
            <family val="2"/>
          </rPr>
          <t>Lowden, William:</t>
        </r>
        <r>
          <rPr>
            <sz val="9"/>
            <color indexed="81"/>
            <rFont val="Tahoma"/>
            <family val="2"/>
          </rPr>
          <t xml:space="preserve">
28</t>
        </r>
      </text>
    </comment>
    <comment ref="CA57" authorId="0" shapeId="0" xr:uid="{00000000-0006-0000-0B00-000012000000}">
      <text>
        <r>
          <rPr>
            <b/>
            <sz val="9"/>
            <color indexed="81"/>
            <rFont val="Tahoma"/>
            <family val="2"/>
          </rPr>
          <t>Lowden, William:</t>
        </r>
        <r>
          <rPr>
            <sz val="9"/>
            <color indexed="81"/>
            <rFont val="Tahoma"/>
            <family val="2"/>
          </rPr>
          <t xml:space="preserve">
27</t>
        </r>
      </text>
    </comment>
    <comment ref="CF57" authorId="0" shapeId="0" xr:uid="{00000000-0006-0000-0B00-000013000000}">
      <text>
        <r>
          <rPr>
            <b/>
            <sz val="9"/>
            <color indexed="81"/>
            <rFont val="Tahoma"/>
            <family val="2"/>
          </rPr>
          <t>Lowden, William:</t>
        </r>
        <r>
          <rPr>
            <sz val="9"/>
            <color indexed="81"/>
            <rFont val="Tahoma"/>
            <family val="2"/>
          </rPr>
          <t xml:space="preserve">
26</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dsalmon</author>
    <author>Lowden, William</author>
  </authors>
  <commentList>
    <comment ref="S10" authorId="0" shapeId="0" xr:uid="{00000000-0006-0000-0C00-000001000000}">
      <text>
        <r>
          <rPr>
            <b/>
            <sz val="8"/>
            <color indexed="81"/>
            <rFont val="Tahoma"/>
            <family val="2"/>
          </rPr>
          <t>dsalmon:</t>
        </r>
        <r>
          <rPr>
            <sz val="8"/>
            <color indexed="81"/>
            <rFont val="Tahoma"/>
            <family val="2"/>
          </rPr>
          <t xml:space="preserve">
removing from credit agreement line</t>
        </r>
      </text>
    </comment>
    <comment ref="X10" authorId="0" shapeId="0" xr:uid="{00000000-0006-0000-0C00-000002000000}">
      <text>
        <r>
          <rPr>
            <b/>
            <sz val="8"/>
            <color indexed="81"/>
            <rFont val="Tahoma"/>
            <family val="2"/>
          </rPr>
          <t>dsalmon:</t>
        </r>
        <r>
          <rPr>
            <sz val="8"/>
            <color indexed="81"/>
            <rFont val="Tahoma"/>
            <family val="2"/>
          </rPr>
          <t xml:space="preserve">
removing from credit agreement line</t>
        </r>
      </text>
    </comment>
    <comment ref="AC10" authorId="0" shapeId="0" xr:uid="{00000000-0006-0000-0C00-000003000000}">
      <text>
        <r>
          <rPr>
            <b/>
            <sz val="8"/>
            <color indexed="81"/>
            <rFont val="Tahoma"/>
            <family val="2"/>
          </rPr>
          <t>dsalmon:</t>
        </r>
        <r>
          <rPr>
            <sz val="8"/>
            <color indexed="81"/>
            <rFont val="Tahoma"/>
            <family val="2"/>
          </rPr>
          <t xml:space="preserve">
removing from credit agreement line</t>
        </r>
      </text>
    </comment>
    <comment ref="AH10" authorId="0" shapeId="0" xr:uid="{00000000-0006-0000-0C00-000004000000}">
      <text>
        <r>
          <rPr>
            <b/>
            <sz val="8"/>
            <color indexed="81"/>
            <rFont val="Tahoma"/>
            <family val="2"/>
          </rPr>
          <t>dsalmon:</t>
        </r>
        <r>
          <rPr>
            <sz val="8"/>
            <color indexed="81"/>
            <rFont val="Tahoma"/>
            <family val="2"/>
          </rPr>
          <t xml:space="preserve">
removing from credit agreement line</t>
        </r>
      </text>
    </comment>
    <comment ref="AJ10" authorId="0" shapeId="0" xr:uid="{00000000-0006-0000-0C00-000005000000}">
      <text>
        <r>
          <rPr>
            <b/>
            <sz val="8"/>
            <color indexed="81"/>
            <rFont val="Tahoma"/>
            <family val="2"/>
          </rPr>
          <t>dsalmon:</t>
        </r>
        <r>
          <rPr>
            <sz val="8"/>
            <color indexed="81"/>
            <rFont val="Tahoma"/>
            <family val="2"/>
          </rPr>
          <t xml:space="preserve">
removing from credit agreement line</t>
        </r>
      </text>
    </comment>
    <comment ref="AK10" authorId="0" shapeId="0" xr:uid="{00000000-0006-0000-0C00-000006000000}">
      <text>
        <r>
          <rPr>
            <b/>
            <sz val="8"/>
            <color indexed="81"/>
            <rFont val="Tahoma"/>
            <family val="2"/>
          </rPr>
          <t>dsalmon:</t>
        </r>
        <r>
          <rPr>
            <sz val="8"/>
            <color indexed="81"/>
            <rFont val="Tahoma"/>
            <family val="2"/>
          </rPr>
          <t xml:space="preserve">
removing from credit agreement line</t>
        </r>
      </text>
    </comment>
    <comment ref="AL10" authorId="0" shapeId="0" xr:uid="{00000000-0006-0000-0C00-000007000000}">
      <text>
        <r>
          <rPr>
            <b/>
            <sz val="8"/>
            <color indexed="81"/>
            <rFont val="Tahoma"/>
            <family val="2"/>
          </rPr>
          <t>dsalmon:</t>
        </r>
        <r>
          <rPr>
            <sz val="8"/>
            <color indexed="81"/>
            <rFont val="Tahoma"/>
            <family val="2"/>
          </rPr>
          <t xml:space="preserve">
removing from credit agreement line</t>
        </r>
      </text>
    </comment>
    <comment ref="AM10" authorId="0" shapeId="0" xr:uid="{00000000-0006-0000-0C00-000008000000}">
      <text>
        <r>
          <rPr>
            <b/>
            <sz val="8"/>
            <color indexed="81"/>
            <rFont val="Tahoma"/>
            <family val="2"/>
          </rPr>
          <t>dsalmon:</t>
        </r>
        <r>
          <rPr>
            <sz val="8"/>
            <color indexed="81"/>
            <rFont val="Tahoma"/>
            <family val="2"/>
          </rPr>
          <t xml:space="preserve">
removing from credit agreement line</t>
        </r>
      </text>
    </comment>
    <comment ref="AO10" authorId="0" shapeId="0" xr:uid="{00000000-0006-0000-0C00-000009000000}">
      <text>
        <r>
          <rPr>
            <b/>
            <sz val="8"/>
            <color indexed="81"/>
            <rFont val="Tahoma"/>
            <family val="2"/>
          </rPr>
          <t>dsalmon:</t>
        </r>
        <r>
          <rPr>
            <sz val="8"/>
            <color indexed="81"/>
            <rFont val="Tahoma"/>
            <family val="2"/>
          </rPr>
          <t xml:space="preserve">
removing from credit agreement line</t>
        </r>
      </text>
    </comment>
    <comment ref="AP10" authorId="0" shapeId="0" xr:uid="{00000000-0006-0000-0C00-00000A000000}">
      <text>
        <r>
          <rPr>
            <b/>
            <sz val="8"/>
            <color indexed="81"/>
            <rFont val="Tahoma"/>
            <family val="2"/>
          </rPr>
          <t>dsalmon:</t>
        </r>
        <r>
          <rPr>
            <sz val="8"/>
            <color indexed="81"/>
            <rFont val="Tahoma"/>
            <family val="2"/>
          </rPr>
          <t xml:space="preserve">
removing from credit agreement line</t>
        </r>
      </text>
    </comment>
    <comment ref="AQ10" authorId="0" shapeId="0" xr:uid="{00000000-0006-0000-0C00-00000B000000}">
      <text>
        <r>
          <rPr>
            <b/>
            <sz val="8"/>
            <color indexed="81"/>
            <rFont val="Tahoma"/>
            <family val="2"/>
          </rPr>
          <t>dsalmon:</t>
        </r>
        <r>
          <rPr>
            <sz val="8"/>
            <color indexed="81"/>
            <rFont val="Tahoma"/>
            <family val="2"/>
          </rPr>
          <t xml:space="preserve">
removing from credit agreement line</t>
        </r>
      </text>
    </comment>
    <comment ref="AR10" authorId="0" shapeId="0" xr:uid="{00000000-0006-0000-0C00-00000C000000}">
      <text>
        <r>
          <rPr>
            <b/>
            <sz val="8"/>
            <color indexed="81"/>
            <rFont val="Tahoma"/>
            <family val="2"/>
          </rPr>
          <t>dsalmon:</t>
        </r>
        <r>
          <rPr>
            <sz val="8"/>
            <color indexed="81"/>
            <rFont val="Tahoma"/>
            <family val="2"/>
          </rPr>
          <t xml:space="preserve">
removing from credit agreement line</t>
        </r>
      </text>
    </comment>
    <comment ref="AT10" authorId="0" shapeId="0" xr:uid="{00000000-0006-0000-0C00-00000D000000}">
      <text>
        <r>
          <rPr>
            <b/>
            <sz val="8"/>
            <color indexed="81"/>
            <rFont val="Tahoma"/>
            <family val="2"/>
          </rPr>
          <t>dsalmon:</t>
        </r>
        <r>
          <rPr>
            <sz val="8"/>
            <color indexed="81"/>
            <rFont val="Tahoma"/>
            <family val="2"/>
          </rPr>
          <t xml:space="preserve">
removing from credit agreement line</t>
        </r>
      </text>
    </comment>
    <comment ref="AY10" authorId="0" shapeId="0" xr:uid="{00000000-0006-0000-0C00-00000E000000}">
      <text>
        <r>
          <rPr>
            <b/>
            <sz val="8"/>
            <color indexed="81"/>
            <rFont val="Tahoma"/>
            <family val="2"/>
          </rPr>
          <t>dsalmon:</t>
        </r>
        <r>
          <rPr>
            <sz val="8"/>
            <color indexed="81"/>
            <rFont val="Tahoma"/>
            <family val="2"/>
          </rPr>
          <t xml:space="preserve">
removing from credit agreement line</t>
        </r>
      </text>
    </comment>
    <comment ref="BS59" authorId="1" shapeId="0" xr:uid="{00000000-0006-0000-0C00-00000F000000}">
      <text>
        <r>
          <rPr>
            <b/>
            <sz val="9"/>
            <color indexed="81"/>
            <rFont val="Tahoma"/>
            <family val="2"/>
          </rPr>
          <t>Lowden, William:</t>
        </r>
        <r>
          <rPr>
            <sz val="9"/>
            <color indexed="81"/>
            <rFont val="Tahoma"/>
            <family val="2"/>
          </rPr>
          <t xml:space="preserve">
This was cash received</t>
        </r>
      </text>
    </comment>
    <comment ref="AT60" authorId="0" shapeId="0" xr:uid="{00000000-0006-0000-0C00-000010000000}">
      <text>
        <r>
          <rPr>
            <b/>
            <sz val="8"/>
            <color indexed="81"/>
            <rFont val="Tahoma"/>
            <family val="2"/>
          </rPr>
          <t>dsalmon:</t>
        </r>
        <r>
          <rPr>
            <sz val="8"/>
            <color indexed="81"/>
            <rFont val="Tahoma"/>
            <family val="2"/>
          </rPr>
          <t xml:space="preserve">
exact figure from 10K</t>
        </r>
      </text>
    </comment>
    <comment ref="AV60" authorId="0" shapeId="0" xr:uid="{00000000-0006-0000-0C00-000011000000}">
      <text>
        <r>
          <rPr>
            <b/>
            <sz val="8"/>
            <color indexed="81"/>
            <rFont val="Tahoma"/>
            <family val="2"/>
          </rPr>
          <t>dsalmon:</t>
        </r>
        <r>
          <rPr>
            <sz val="8"/>
            <color indexed="81"/>
            <rFont val="Tahoma"/>
            <family val="2"/>
          </rPr>
          <t xml:space="preserve">
exact figure from 10K</t>
        </r>
      </text>
    </comment>
    <comment ref="AW60" authorId="0" shapeId="0" xr:uid="{00000000-0006-0000-0C00-000012000000}">
      <text>
        <r>
          <rPr>
            <b/>
            <sz val="8"/>
            <color indexed="81"/>
            <rFont val="Tahoma"/>
            <family val="2"/>
          </rPr>
          <t>dsalmon:</t>
        </r>
        <r>
          <rPr>
            <sz val="8"/>
            <color indexed="81"/>
            <rFont val="Tahoma"/>
            <family val="2"/>
          </rPr>
          <t xml:space="preserve">
exact figure from 10K</t>
        </r>
      </text>
    </comment>
    <comment ref="AX60" authorId="0" shapeId="0" xr:uid="{00000000-0006-0000-0C00-000013000000}">
      <text>
        <r>
          <rPr>
            <b/>
            <sz val="8"/>
            <color indexed="81"/>
            <rFont val="Tahoma"/>
            <family val="2"/>
          </rPr>
          <t>dsalmon:</t>
        </r>
        <r>
          <rPr>
            <sz val="8"/>
            <color indexed="81"/>
            <rFont val="Tahoma"/>
            <family val="2"/>
          </rPr>
          <t xml:space="preserve">
17.7mm in K</t>
        </r>
      </text>
    </comment>
    <comment ref="AY60" authorId="0" shapeId="0" xr:uid="{00000000-0006-0000-0C00-000014000000}">
      <text>
        <r>
          <rPr>
            <b/>
            <sz val="8"/>
            <color indexed="81"/>
            <rFont val="Tahoma"/>
            <family val="2"/>
          </rPr>
          <t>dsalmon:</t>
        </r>
        <r>
          <rPr>
            <sz val="8"/>
            <color indexed="81"/>
            <rFont val="Tahoma"/>
            <family val="2"/>
          </rPr>
          <t xml:space="preserve">
exact figure from 10K</t>
        </r>
      </text>
    </comment>
    <comment ref="BA60" authorId="0" shapeId="0" xr:uid="{00000000-0006-0000-0C00-000015000000}">
      <text>
        <r>
          <rPr>
            <b/>
            <sz val="8"/>
            <color indexed="81"/>
            <rFont val="Tahoma"/>
            <family val="2"/>
          </rPr>
          <t>dsalmon:</t>
        </r>
        <r>
          <rPr>
            <sz val="8"/>
            <color indexed="81"/>
            <rFont val="Tahoma"/>
            <family val="2"/>
          </rPr>
          <t xml:space="preserve">
exact figure from 10K</t>
        </r>
      </text>
    </comment>
    <comment ref="BC60" authorId="0" shapeId="0" xr:uid="{00000000-0006-0000-0C00-000016000000}">
      <text>
        <r>
          <rPr>
            <b/>
            <sz val="8"/>
            <color indexed="81"/>
            <rFont val="Tahoma"/>
            <family val="2"/>
          </rPr>
          <t>dsalmon:</t>
        </r>
        <r>
          <rPr>
            <sz val="8"/>
            <color indexed="81"/>
            <rFont val="Tahoma"/>
            <family val="2"/>
          </rPr>
          <t xml:space="preserve">
9mm in K</t>
        </r>
      </text>
    </comment>
    <comment ref="BD60" authorId="0" shapeId="0" xr:uid="{00000000-0006-0000-0C00-000017000000}">
      <text>
        <r>
          <rPr>
            <b/>
            <sz val="8"/>
            <color indexed="81"/>
            <rFont val="Tahoma"/>
            <family val="2"/>
          </rPr>
          <t>dsalmon:</t>
        </r>
        <r>
          <rPr>
            <sz val="8"/>
            <color indexed="81"/>
            <rFont val="Tahoma"/>
            <family val="2"/>
          </rPr>
          <t xml:space="preserve">
exact figure from 10K</t>
        </r>
      </text>
    </comment>
    <comment ref="BE60" authorId="0" shapeId="0" xr:uid="{00000000-0006-0000-0C00-000018000000}">
      <text>
        <r>
          <rPr>
            <b/>
            <sz val="8"/>
            <color indexed="81"/>
            <rFont val="Tahoma"/>
            <family val="2"/>
          </rPr>
          <t>dsalmon:</t>
        </r>
        <r>
          <rPr>
            <sz val="8"/>
            <color indexed="81"/>
            <rFont val="Tahoma"/>
            <family val="2"/>
          </rPr>
          <t xml:space="preserve">
exact figure from 10K</t>
        </r>
      </text>
    </comment>
    <comment ref="BF60" authorId="0" shapeId="0" xr:uid="{00000000-0006-0000-0C00-000019000000}">
      <text>
        <r>
          <rPr>
            <b/>
            <sz val="8"/>
            <color indexed="81"/>
            <rFont val="Tahoma"/>
            <family val="2"/>
          </rPr>
          <t>dsalmon:</t>
        </r>
        <r>
          <rPr>
            <sz val="8"/>
            <color indexed="81"/>
            <rFont val="Tahoma"/>
            <family val="2"/>
          </rPr>
          <t xml:space="preserve">
exact figure from 10K</t>
        </r>
      </text>
    </comment>
    <comment ref="AV61" authorId="0" shapeId="0" xr:uid="{00000000-0006-0000-0C00-00001A000000}">
      <text>
        <r>
          <rPr>
            <b/>
            <sz val="8"/>
            <color indexed="81"/>
            <rFont val="Tahoma"/>
            <family val="2"/>
          </rPr>
          <t>dsalmon:</t>
        </r>
        <r>
          <rPr>
            <sz val="8"/>
            <color indexed="81"/>
            <rFont val="Tahoma"/>
            <family val="2"/>
          </rPr>
          <t xml:space="preserve">
exact figure from 10K</t>
        </r>
      </text>
    </comment>
    <comment ref="AW61" authorId="0" shapeId="0" xr:uid="{00000000-0006-0000-0C00-00001B000000}">
      <text>
        <r>
          <rPr>
            <b/>
            <sz val="8"/>
            <color indexed="81"/>
            <rFont val="Tahoma"/>
            <family val="2"/>
          </rPr>
          <t>dsalmon:</t>
        </r>
        <r>
          <rPr>
            <sz val="8"/>
            <color indexed="81"/>
            <rFont val="Tahoma"/>
            <family val="2"/>
          </rPr>
          <t xml:space="preserve">
exact figure from 10K</t>
        </r>
      </text>
    </comment>
    <comment ref="BA61" authorId="0" shapeId="0" xr:uid="{00000000-0006-0000-0C00-00001C000000}">
      <text>
        <r>
          <rPr>
            <b/>
            <sz val="8"/>
            <color indexed="81"/>
            <rFont val="Tahoma"/>
            <family val="2"/>
          </rPr>
          <t>dsalmon:</t>
        </r>
        <r>
          <rPr>
            <sz val="8"/>
            <color indexed="81"/>
            <rFont val="Tahoma"/>
            <family val="2"/>
          </rPr>
          <t xml:space="preserve">
exact figure from 10K</t>
        </r>
      </text>
    </comment>
    <comment ref="BD61" authorId="0" shapeId="0" xr:uid="{00000000-0006-0000-0C00-00001D000000}">
      <text>
        <r>
          <rPr>
            <b/>
            <sz val="8"/>
            <color indexed="81"/>
            <rFont val="Tahoma"/>
            <family val="2"/>
          </rPr>
          <t>dsalmon:</t>
        </r>
        <r>
          <rPr>
            <sz val="8"/>
            <color indexed="81"/>
            <rFont val="Tahoma"/>
            <family val="2"/>
          </rPr>
          <t xml:space="preserve">
exact figure from 10K</t>
        </r>
      </text>
    </comment>
    <comment ref="BE61" authorId="0" shapeId="0" xr:uid="{00000000-0006-0000-0C00-00001E000000}">
      <text>
        <r>
          <rPr>
            <b/>
            <sz val="8"/>
            <color indexed="81"/>
            <rFont val="Tahoma"/>
            <family val="2"/>
          </rPr>
          <t>dsalmon:</t>
        </r>
        <r>
          <rPr>
            <sz val="8"/>
            <color indexed="81"/>
            <rFont val="Tahoma"/>
            <family val="2"/>
          </rPr>
          <t xml:space="preserve">
exact figure from 10K</t>
        </r>
      </text>
    </comment>
    <comment ref="BF61" authorId="0" shapeId="0" xr:uid="{00000000-0006-0000-0C00-00001F000000}">
      <text>
        <r>
          <rPr>
            <b/>
            <sz val="8"/>
            <color indexed="81"/>
            <rFont val="Tahoma"/>
            <family val="2"/>
          </rPr>
          <t>dsalmon:</t>
        </r>
        <r>
          <rPr>
            <sz val="8"/>
            <color indexed="81"/>
            <rFont val="Tahoma"/>
            <family val="2"/>
          </rPr>
          <t xml:space="preserve">
exact figure from 10K</t>
        </r>
      </text>
    </comment>
    <comment ref="BS61" authorId="0" shapeId="0" xr:uid="{00000000-0006-0000-0C00-000020000000}">
      <text>
        <r>
          <rPr>
            <b/>
            <sz val="8"/>
            <color indexed="81"/>
            <rFont val="Tahoma"/>
            <family val="2"/>
          </rPr>
          <t>dsalmon:</t>
        </r>
        <r>
          <rPr>
            <sz val="8"/>
            <color indexed="81"/>
            <rFont val="Tahoma"/>
            <family val="2"/>
          </rPr>
          <t xml:space="preserve">
exact figure from 10K</t>
        </r>
      </text>
    </comment>
    <comment ref="BT61" authorId="0" shapeId="0" xr:uid="{00000000-0006-0000-0C00-000021000000}">
      <text>
        <r>
          <rPr>
            <b/>
            <sz val="8"/>
            <color indexed="81"/>
            <rFont val="Tahoma"/>
            <family val="2"/>
          </rPr>
          <t>dsalmon:</t>
        </r>
        <r>
          <rPr>
            <sz val="8"/>
            <color indexed="81"/>
            <rFont val="Tahoma"/>
            <family val="2"/>
          </rPr>
          <t xml:space="preserve">
exact figure from 10K</t>
        </r>
      </text>
    </comment>
    <comment ref="BU61" authorId="0" shapeId="0" xr:uid="{00000000-0006-0000-0C00-000022000000}">
      <text>
        <r>
          <rPr>
            <b/>
            <sz val="8"/>
            <color indexed="81"/>
            <rFont val="Tahoma"/>
            <family val="2"/>
          </rPr>
          <t>dsalmon:</t>
        </r>
        <r>
          <rPr>
            <sz val="8"/>
            <color indexed="81"/>
            <rFont val="Tahoma"/>
            <family val="2"/>
          </rPr>
          <t xml:space="preserve">
exact figure from 10K</t>
        </r>
      </text>
    </comment>
    <comment ref="BV61" authorId="0" shapeId="0" xr:uid="{00000000-0006-0000-0C00-000023000000}">
      <text>
        <r>
          <rPr>
            <b/>
            <sz val="8"/>
            <color indexed="81"/>
            <rFont val="Tahoma"/>
            <family val="2"/>
          </rPr>
          <t>dsalmon:</t>
        </r>
        <r>
          <rPr>
            <sz val="8"/>
            <color indexed="81"/>
            <rFont val="Tahoma"/>
            <family val="2"/>
          </rPr>
          <t xml:space="preserve">
exact figure from 10K</t>
        </r>
      </text>
    </comment>
    <comment ref="CC61" authorId="0" shapeId="0" xr:uid="{00000000-0006-0000-0C00-000024000000}">
      <text>
        <r>
          <rPr>
            <b/>
            <sz val="8"/>
            <color indexed="81"/>
            <rFont val="Tahoma"/>
            <family val="2"/>
          </rPr>
          <t>dsalmon:</t>
        </r>
        <r>
          <rPr>
            <sz val="8"/>
            <color indexed="81"/>
            <rFont val="Tahoma"/>
            <family val="2"/>
          </rPr>
          <t xml:space="preserve">
exact figure from 10K</t>
        </r>
      </text>
    </comment>
    <comment ref="CD61" authorId="0" shapeId="0" xr:uid="{00000000-0006-0000-0C00-000025000000}">
      <text>
        <r>
          <rPr>
            <b/>
            <sz val="8"/>
            <color indexed="81"/>
            <rFont val="Tahoma"/>
            <family val="2"/>
          </rPr>
          <t>dsalmon:</t>
        </r>
        <r>
          <rPr>
            <sz val="8"/>
            <color indexed="81"/>
            <rFont val="Tahoma"/>
            <family val="2"/>
          </rPr>
          <t xml:space="preserve">
exact figure from 10K</t>
        </r>
      </text>
    </comment>
    <comment ref="CE61" authorId="0" shapeId="0" xr:uid="{00000000-0006-0000-0C00-000026000000}">
      <text>
        <r>
          <rPr>
            <b/>
            <sz val="8"/>
            <color indexed="81"/>
            <rFont val="Tahoma"/>
            <family val="2"/>
          </rPr>
          <t>dsalmon:</t>
        </r>
        <r>
          <rPr>
            <sz val="8"/>
            <color indexed="81"/>
            <rFont val="Tahoma"/>
            <family val="2"/>
          </rPr>
          <t xml:space="preserve">
exact figure from 10K</t>
        </r>
      </text>
    </comment>
    <comment ref="CF61" authorId="0" shapeId="0" xr:uid="{00000000-0006-0000-0C00-000027000000}">
      <text>
        <r>
          <rPr>
            <b/>
            <sz val="8"/>
            <color indexed="81"/>
            <rFont val="Tahoma"/>
            <family val="2"/>
          </rPr>
          <t>dsalmon:</t>
        </r>
        <r>
          <rPr>
            <sz val="8"/>
            <color indexed="81"/>
            <rFont val="Tahoma"/>
            <family val="2"/>
          </rPr>
          <t xml:space="preserve">
exact figure from 10K</t>
        </r>
      </text>
    </comment>
    <comment ref="CH61" authorId="0" shapeId="0" xr:uid="{00000000-0006-0000-0C00-000028000000}">
      <text>
        <r>
          <rPr>
            <b/>
            <sz val="8"/>
            <color indexed="81"/>
            <rFont val="Tahoma"/>
            <family val="2"/>
          </rPr>
          <t>dsalmon:</t>
        </r>
        <r>
          <rPr>
            <sz val="8"/>
            <color indexed="81"/>
            <rFont val="Tahoma"/>
            <family val="2"/>
          </rPr>
          <t xml:space="preserve">
exact figure from 10K</t>
        </r>
      </text>
    </comment>
    <comment ref="CI61" authorId="0" shapeId="0" xr:uid="{00000000-0006-0000-0C00-000029000000}">
      <text>
        <r>
          <rPr>
            <b/>
            <sz val="8"/>
            <color indexed="81"/>
            <rFont val="Tahoma"/>
            <family val="2"/>
          </rPr>
          <t>dsalmon:</t>
        </r>
        <r>
          <rPr>
            <sz val="8"/>
            <color indexed="81"/>
            <rFont val="Tahoma"/>
            <family val="2"/>
          </rPr>
          <t xml:space="preserve">
exact figure from 10K</t>
        </r>
      </text>
    </comment>
    <comment ref="CJ61" authorId="0" shapeId="0" xr:uid="{00000000-0006-0000-0C00-00002A000000}">
      <text>
        <r>
          <rPr>
            <b/>
            <sz val="8"/>
            <color indexed="81"/>
            <rFont val="Tahoma"/>
            <family val="2"/>
          </rPr>
          <t>dsalmon:</t>
        </r>
        <r>
          <rPr>
            <sz val="8"/>
            <color indexed="81"/>
            <rFont val="Tahoma"/>
            <family val="2"/>
          </rPr>
          <t xml:space="preserve">
exact figure from 10K</t>
        </r>
      </text>
    </comment>
    <comment ref="CK61" authorId="0" shapeId="0" xr:uid="{00000000-0006-0000-0C00-00002B000000}">
      <text>
        <r>
          <rPr>
            <b/>
            <sz val="8"/>
            <color indexed="81"/>
            <rFont val="Tahoma"/>
            <family val="2"/>
          </rPr>
          <t>dsalmon:</t>
        </r>
        <r>
          <rPr>
            <sz val="8"/>
            <color indexed="81"/>
            <rFont val="Tahoma"/>
            <family val="2"/>
          </rPr>
          <t xml:space="preserve">
exact figure from 10K</t>
        </r>
      </text>
    </comment>
    <comment ref="CM61" authorId="0" shapeId="0" xr:uid="{00000000-0006-0000-0C00-00002C000000}">
      <text>
        <r>
          <rPr>
            <b/>
            <sz val="8"/>
            <color indexed="81"/>
            <rFont val="Tahoma"/>
            <family val="2"/>
          </rPr>
          <t>dsalmon:</t>
        </r>
        <r>
          <rPr>
            <sz val="8"/>
            <color indexed="81"/>
            <rFont val="Tahoma"/>
            <family val="2"/>
          </rPr>
          <t xml:space="preserve">
exact figure from 10K</t>
        </r>
      </text>
    </comment>
    <comment ref="CN61" authorId="0" shapeId="0" xr:uid="{00000000-0006-0000-0C00-00002D000000}">
      <text>
        <r>
          <rPr>
            <b/>
            <sz val="8"/>
            <color indexed="81"/>
            <rFont val="Tahoma"/>
            <family val="2"/>
          </rPr>
          <t>dsalmon:</t>
        </r>
        <r>
          <rPr>
            <sz val="8"/>
            <color indexed="81"/>
            <rFont val="Tahoma"/>
            <family val="2"/>
          </rPr>
          <t xml:space="preserve">
exact figure from 10K</t>
        </r>
      </text>
    </comment>
    <comment ref="CO61" authorId="0" shapeId="0" xr:uid="{00000000-0006-0000-0C00-00002E000000}">
      <text>
        <r>
          <rPr>
            <b/>
            <sz val="8"/>
            <color indexed="81"/>
            <rFont val="Tahoma"/>
            <family val="2"/>
          </rPr>
          <t>dsalmon:</t>
        </r>
        <r>
          <rPr>
            <sz val="8"/>
            <color indexed="81"/>
            <rFont val="Tahoma"/>
            <family val="2"/>
          </rPr>
          <t xml:space="preserve">
exact figure from 10K</t>
        </r>
      </text>
    </comment>
    <comment ref="CP61" authorId="0" shapeId="0" xr:uid="{00000000-0006-0000-0C00-00002F000000}">
      <text>
        <r>
          <rPr>
            <b/>
            <sz val="8"/>
            <color indexed="81"/>
            <rFont val="Tahoma"/>
            <family val="2"/>
          </rPr>
          <t>dsalmon:</t>
        </r>
        <r>
          <rPr>
            <sz val="8"/>
            <color indexed="81"/>
            <rFont val="Tahoma"/>
            <family val="2"/>
          </rPr>
          <t xml:space="preserve">
exact figure from 10K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abrennan</author>
  </authors>
  <commentList>
    <comment ref="CT5" authorId="0" shapeId="0" xr:uid="{B8A73B09-B77D-437A-9CBB-71B363304E4E}">
      <text>
        <r>
          <rPr>
            <b/>
            <sz val="8"/>
            <color indexed="81"/>
            <rFont val="Tahoma"/>
            <family val="2"/>
          </rPr>
          <t>abrennan:</t>
        </r>
        <r>
          <rPr>
            <sz val="8"/>
            <color indexed="81"/>
            <rFont val="Tahoma"/>
            <family val="2"/>
          </rPr>
          <t xml:space="preserve">
if GBP then make S</t>
        </r>
      </text>
    </comment>
  </commentList>
</comments>
</file>

<file path=xl/sharedStrings.xml><?xml version="1.0" encoding="utf-8"?>
<sst xmlns="http://schemas.openxmlformats.org/spreadsheetml/2006/main" count="2676" uniqueCount="1029">
  <si>
    <t>Capitalization</t>
  </si>
  <si>
    <t>Estimates</t>
  </si>
  <si>
    <t>% growth</t>
  </si>
  <si>
    <t>EBITDA</t>
  </si>
  <si>
    <t>Income statement</t>
  </si>
  <si>
    <t>Revenue</t>
  </si>
  <si>
    <t>Operating expenses</t>
  </si>
  <si>
    <t>Assets</t>
  </si>
  <si>
    <t>Current assets</t>
  </si>
  <si>
    <t>Liabilities</t>
  </si>
  <si>
    <t>Current liabilities</t>
  </si>
  <si>
    <t>Cash from operations</t>
  </si>
  <si>
    <t>Cash from financing</t>
  </si>
  <si>
    <t>Financing cash flow</t>
  </si>
  <si>
    <t>Cash, beginning of period</t>
  </si>
  <si>
    <t>Cash, end of period</t>
  </si>
  <si>
    <t>Net cash (debt)</t>
  </si>
  <si>
    <t>% potential appreciation</t>
  </si>
  <si>
    <t>Sources: Company reports and BMO Capital Markets estimates</t>
  </si>
  <si>
    <t>Source: Company reports and BMO Capital Markets estimates</t>
  </si>
  <si>
    <t>Net cash (debt), projected</t>
  </si>
  <si>
    <t>Enterprise value</t>
  </si>
  <si>
    <t>Free cash flow per share</t>
  </si>
  <si>
    <t>Cash</t>
  </si>
  <si>
    <t>Reported GAAP EPS</t>
  </si>
  <si>
    <t>Diluted shares</t>
  </si>
  <si>
    <t>Market capitalization</t>
  </si>
  <si>
    <t>EV/Revenue</t>
  </si>
  <si>
    <t>Margins</t>
  </si>
  <si>
    <t>Net revenue</t>
  </si>
  <si>
    <t>Minority interest</t>
  </si>
  <si>
    <t>Other one-time, pre-tax expense</t>
  </si>
  <si>
    <t>Other one-time, after-tax expense</t>
  </si>
  <si>
    <t>Cash taxes</t>
  </si>
  <si>
    <t>Non-cash taxes</t>
  </si>
  <si>
    <t>Reported pre-tax income</t>
  </si>
  <si>
    <t>Reported GAAP operating income</t>
  </si>
  <si>
    <t>Reported GAAP net income</t>
  </si>
  <si>
    <t>Reported taxes</t>
  </si>
  <si>
    <t>Effective reported tax rate</t>
  </si>
  <si>
    <t>1QA</t>
  </si>
  <si>
    <t>Value</t>
  </si>
  <si>
    <t>Total Equity Value</t>
  </si>
  <si>
    <t>Sensitivity Analysis</t>
  </si>
  <si>
    <t>Short-term investments</t>
  </si>
  <si>
    <t>Free Cash Flow</t>
  </si>
  <si>
    <t>Beta</t>
  </si>
  <si>
    <t>WACC</t>
  </si>
  <si>
    <t>FCF Multiple</t>
  </si>
  <si>
    <t>Fiscal Year</t>
  </si>
  <si>
    <t>- Interest expense</t>
  </si>
  <si>
    <t>- Capital expenditures</t>
  </si>
  <si>
    <t>- Cash taxes</t>
  </si>
  <si>
    <t>Cash from operating activities</t>
  </si>
  <si>
    <t>Cash from investments</t>
  </si>
  <si>
    <t>Net change in cash</t>
  </si>
  <si>
    <t>Currency effect</t>
  </si>
  <si>
    <t>Cash flow from discontinued operations</t>
  </si>
  <si>
    <t>Off-balance sheet &amp; equity interests</t>
  </si>
  <si>
    <t>Debt, excluding convertibles</t>
  </si>
  <si>
    <t>Capital expenditures</t>
  </si>
  <si>
    <t>Debt</t>
  </si>
  <si>
    <t>Common equity</t>
  </si>
  <si>
    <t>Net cash (debt) calculation</t>
  </si>
  <si>
    <t>Other current assets</t>
  </si>
  <si>
    <t>Other liabilities</t>
  </si>
  <si>
    <t>Retained earnings (deficit)</t>
  </si>
  <si>
    <t>Convertible debt</t>
  </si>
  <si>
    <t>Tax effect of one-time items</t>
  </si>
  <si>
    <t>TOTAL REVENUE</t>
  </si>
  <si>
    <t>Debt Schedule and Interest Expense</t>
  </si>
  <si>
    <t>Debt Schedule</t>
  </si>
  <si>
    <t>Discounted Cash Flow</t>
  </si>
  <si>
    <t>Current Debt</t>
  </si>
  <si>
    <t>NON-CONVERTIBLE LONG TERM DEBT</t>
  </si>
  <si>
    <t>CONVERTIBLE LONG TERM DEBT</t>
  </si>
  <si>
    <t>TOTAL DEBT</t>
  </si>
  <si>
    <t>Current debt rate</t>
  </si>
  <si>
    <t>Current debt expense</t>
  </si>
  <si>
    <t>Adjustment</t>
  </si>
  <si>
    <t>TOTAL INTEREST EXPENSE</t>
  </si>
  <si>
    <t>Interest Rates and Expense</t>
  </si>
  <si>
    <t>+ Adjustment</t>
  </si>
  <si>
    <t>FCF/diluted share</t>
  </si>
  <si>
    <t>Other (expenses)/income</t>
  </si>
  <si>
    <t>Gross margin</t>
  </si>
  <si>
    <t>FCF/diluted share growth</t>
  </si>
  <si>
    <t>Non-convertible long term debt</t>
  </si>
  <si>
    <t>Source: BMO Capital Markets estimates and company reports</t>
  </si>
  <si>
    <t>Equity value</t>
  </si>
  <si>
    <t>Price target</t>
  </si>
  <si>
    <t>% margin</t>
  </si>
  <si>
    <t>Basic shares outstanding</t>
  </si>
  <si>
    <t>Diluted shares outstanding</t>
  </si>
  <si>
    <t>Consensus estimates</t>
  </si>
  <si>
    <t>BMO Capital Markets estimates</t>
  </si>
  <si>
    <t>Recurring non-GAAP EBITDA</t>
  </si>
  <si>
    <t>Recurring non-GAAP EPS</t>
  </si>
  <si>
    <t>Actual results</t>
  </si>
  <si>
    <t>Variance: Actual vs Consensus</t>
  </si>
  <si>
    <t>Free Cash Flow Estimates</t>
  </si>
  <si>
    <t>FCF in Terminal Year</t>
  </si>
  <si>
    <t>Net (Debt)</t>
  </si>
  <si>
    <t>Discount Rate</t>
  </si>
  <si>
    <t>Average cost of debt (ex converts)</t>
  </si>
  <si>
    <t>Leverage (Net debt/EBITDA)</t>
  </si>
  <si>
    <t>Interest coverage (EBITDA/Interest expense)</t>
  </si>
  <si>
    <t>$ in millions, except per share figures</t>
  </si>
  <si>
    <t>PV of Terminal Value</t>
  </si>
  <si>
    <t>Net acquisitions/other investing</t>
  </si>
  <si>
    <t>Preferred/other financing</t>
  </si>
  <si>
    <t>Reported GAAP basic EPS</t>
  </si>
  <si>
    <t>Reported GAAP diluted EPS</t>
  </si>
  <si>
    <t>Estimate Variation vs. Actuals</t>
  </si>
  <si>
    <t>Other</t>
  </si>
  <si>
    <t>Common &amp; paid-in capital</t>
  </si>
  <si>
    <t>Low</t>
  </si>
  <si>
    <t>Mid</t>
  </si>
  <si>
    <t>High</t>
  </si>
  <si>
    <t>Period</t>
  </si>
  <si>
    <t>Comments</t>
  </si>
  <si>
    <t>Beat or Missed?</t>
  </si>
  <si>
    <t>Versus BMO Estimates</t>
  </si>
  <si>
    <t>Versus Consensus Estimates</t>
  </si>
  <si>
    <t>Guidance Summary</t>
  </si>
  <si>
    <t>Source: Company press releases, conference calls, SEC filings and presentations.</t>
  </si>
  <si>
    <t>New</t>
  </si>
  <si>
    <t>Old</t>
  </si>
  <si>
    <t>Cons.</t>
  </si>
  <si>
    <t>Quarterly Summary Box</t>
  </si>
  <si>
    <t>Historical Valuation Data (adjust dates, links for specific company)</t>
  </si>
  <si>
    <t>Valuation and Estimates Summary</t>
  </si>
  <si>
    <t>Dividend</t>
  </si>
  <si>
    <t>TOTAL CASH</t>
  </si>
  <si>
    <t>Liabilities &amp; Equity</t>
  </si>
  <si>
    <t>Interest Income on Cash balance</t>
  </si>
  <si>
    <t>NET INTEREST EXPENSE</t>
  </si>
  <si>
    <t>Cash rate</t>
  </si>
  <si>
    <t xml:space="preserve">Goodwill </t>
  </si>
  <si>
    <t>Changes in working capital</t>
  </si>
  <si>
    <t>Dividends</t>
  </si>
  <si>
    <t>Treasury stock, at cost</t>
  </si>
  <si>
    <t>Bottom Up Free Cash Flow</t>
  </si>
  <si>
    <t>+ Depreciation &amp; amortization</t>
  </si>
  <si>
    <t>+ Non-cash taxes</t>
  </si>
  <si>
    <t>+ Earnings from equity investments</t>
  </si>
  <si>
    <t>- Captial expenditures</t>
  </si>
  <si>
    <t>Cash from Operations</t>
  </si>
  <si>
    <t>EPS</t>
  </si>
  <si>
    <t>Leverage and Return Analysis</t>
  </si>
  <si>
    <t>Return on Invested Capital</t>
  </si>
  <si>
    <t xml:space="preserve">Return on Assets </t>
  </si>
  <si>
    <t xml:space="preserve">Return on Equity </t>
  </si>
  <si>
    <t>Mean</t>
  </si>
  <si>
    <t>NET (DEBT) CASH including converts</t>
  </si>
  <si>
    <t>NET (DEBT) CASH excluding converts</t>
  </si>
  <si>
    <t>Consensus revenue</t>
  </si>
  <si>
    <t>Consensus EPS</t>
  </si>
  <si>
    <t>+ Stock compensation</t>
  </si>
  <si>
    <t>DCF Summary</t>
  </si>
  <si>
    <t>Triangulated</t>
  </si>
  <si>
    <t>Adjusted EBITDA</t>
  </si>
  <si>
    <t>Implied Tgt. Multiples</t>
  </si>
  <si>
    <t>Target Multiple</t>
  </si>
  <si>
    <t>Terminal Mult.</t>
  </si>
  <si>
    <t>Enterprise Value</t>
  </si>
  <si>
    <t>Target stress test (EV/EBITDA)</t>
  </si>
  <si>
    <t>Historical EV/EBITDA Chart</t>
  </si>
  <si>
    <t>Current Trading Multiples</t>
  </si>
  <si>
    <t>Scenario Analysis</t>
  </si>
  <si>
    <t>Fundamental Drivers</t>
  </si>
  <si>
    <t>Base Case</t>
  </si>
  <si>
    <t>US Economy</t>
  </si>
  <si>
    <t>Target EBITDA multiple</t>
  </si>
  <si>
    <t>Total revenue</t>
  </si>
  <si>
    <t>Total revenue growth</t>
  </si>
  <si>
    <t>Shares outstanding, projected</t>
  </si>
  <si>
    <t>Projected target</t>
  </si>
  <si>
    <t>Scenario likelihood</t>
  </si>
  <si>
    <t>Target multiple delta</t>
  </si>
  <si>
    <t>% upside/downside</t>
  </si>
  <si>
    <t>Target price</t>
  </si>
  <si>
    <t>Check</t>
  </si>
  <si>
    <t>Terminal Value Calculation</t>
  </si>
  <si>
    <t>WACC Calculation</t>
  </si>
  <si>
    <t>Total capital</t>
  </si>
  <si>
    <t>Terminal Value</t>
  </si>
  <si>
    <t>10-year rate</t>
  </si>
  <si>
    <t>Equity Value Calculation</t>
  </si>
  <si>
    <t>Per Sh.</t>
  </si>
  <si>
    <t>Equity premium</t>
  </si>
  <si>
    <t>Cost of equity</t>
  </si>
  <si>
    <t>Cost of debt</t>
  </si>
  <si>
    <t>Tax rate</t>
  </si>
  <si>
    <t>Current multiple</t>
  </si>
  <si>
    <t>Current target multiple</t>
  </si>
  <si>
    <t>Top Down Free Cash Flow (BMO Method)</t>
  </si>
  <si>
    <t>Actual</t>
  </si>
  <si>
    <t>Est.</t>
  </si>
  <si>
    <t>Cash flow statement</t>
  </si>
  <si>
    <t>Balance sheet</t>
  </si>
  <si>
    <t>March fiscal year</t>
  </si>
  <si>
    <t>Information services</t>
  </si>
  <si>
    <t>Information products</t>
  </si>
  <si>
    <t>Information servicces COGS</t>
  </si>
  <si>
    <t>Information products COGS</t>
  </si>
  <si>
    <t>F1QA</t>
  </si>
  <si>
    <t>F2QA</t>
  </si>
  <si>
    <t>F3QA</t>
  </si>
  <si>
    <t>F4QA</t>
  </si>
  <si>
    <t>F1QE</t>
  </si>
  <si>
    <t>F2QE</t>
  </si>
  <si>
    <t>F3QE</t>
  </si>
  <si>
    <t>F4QE</t>
  </si>
  <si>
    <t>F2009A</t>
  </si>
  <si>
    <t>F2008A</t>
  </si>
  <si>
    <t>F2007A</t>
  </si>
  <si>
    <t>F2006A</t>
  </si>
  <si>
    <t>Recurring EPS</t>
  </si>
  <si>
    <t>F2005A</t>
  </si>
  <si>
    <t>Mar. '06</t>
  </si>
  <si>
    <t>Dec. '09</t>
  </si>
  <si>
    <t>Mar. '10</t>
  </si>
  <si>
    <t>Calendar quarter</t>
  </si>
  <si>
    <t>Sept. '09</t>
  </si>
  <si>
    <t>June '09</t>
  </si>
  <si>
    <t>Mar. '09</t>
  </si>
  <si>
    <t>Dec. '08</t>
  </si>
  <si>
    <t>F1999A</t>
  </si>
  <si>
    <t>F2000A</t>
  </si>
  <si>
    <t>F2001A</t>
  </si>
  <si>
    <t>F2002A</t>
  </si>
  <si>
    <t>F2003A</t>
  </si>
  <si>
    <t>Dec. '03</t>
  </si>
  <si>
    <t>June '03</t>
  </si>
  <si>
    <t>F2004A</t>
  </si>
  <si>
    <t>Sept. '03</t>
  </si>
  <si>
    <t>Mar. '04</t>
  </si>
  <si>
    <t>June '04</t>
  </si>
  <si>
    <t>Sept. '04</t>
  </si>
  <si>
    <t>Dec. '04</t>
  </si>
  <si>
    <t>Mar. '05</t>
  </si>
  <si>
    <t>June '05</t>
  </si>
  <si>
    <t>Sept. '05</t>
  </si>
  <si>
    <t>Dec. '05</t>
  </si>
  <si>
    <t>June '06</t>
  </si>
  <si>
    <t>Sept. '06</t>
  </si>
  <si>
    <t>Dec. '06</t>
  </si>
  <si>
    <t>Mar. '07</t>
  </si>
  <si>
    <t>June '07</t>
  </si>
  <si>
    <t>Sept. '07</t>
  </si>
  <si>
    <t>Dec. '07</t>
  </si>
  <si>
    <t>Mar. '08</t>
  </si>
  <si>
    <t>June '08</t>
  </si>
  <si>
    <t>Sept. '08</t>
  </si>
  <si>
    <t>June '10</t>
  </si>
  <si>
    <t>Sept. '10</t>
  </si>
  <si>
    <t>Dec. '10</t>
  </si>
  <si>
    <t>Mar. '11</t>
  </si>
  <si>
    <t>June '11</t>
  </si>
  <si>
    <t>Sept. '11</t>
  </si>
  <si>
    <t>Dec. '11</t>
  </si>
  <si>
    <t>Mar. '12</t>
  </si>
  <si>
    <t>June '12</t>
  </si>
  <si>
    <t>Sept. '12</t>
  </si>
  <si>
    <t>Dec. '12</t>
  </si>
  <si>
    <t>Mar. '13</t>
  </si>
  <si>
    <t>June '13</t>
  </si>
  <si>
    <t>Sept. '13</t>
  </si>
  <si>
    <t>Dec. '13</t>
  </si>
  <si>
    <t>Mar. '14</t>
  </si>
  <si>
    <t>Multichannel marketing services</t>
  </si>
  <si>
    <t>Information management services</t>
  </si>
  <si>
    <t>CDI services</t>
  </si>
  <si>
    <t>Consulting services</t>
  </si>
  <si>
    <t>Information/risk products</t>
  </si>
  <si>
    <t>Background screening products</t>
  </si>
  <si>
    <t>Passthrough data</t>
  </si>
  <si>
    <t>Other services</t>
  </si>
  <si>
    <t>Financial services</t>
  </si>
  <si>
    <t>Retail &amp; CPG</t>
  </si>
  <si>
    <t>T&amp;E, Media, Telecom</t>
  </si>
  <si>
    <t>Insurance and Health</t>
  </si>
  <si>
    <t>Manufacturing &amp; Distribution</t>
  </si>
  <si>
    <t>Europe</t>
  </si>
  <si>
    <t>Asia Pacific</t>
  </si>
  <si>
    <t>% of revenue by territory</t>
  </si>
  <si>
    <t>North America</t>
  </si>
  <si>
    <t>Revenue by market</t>
  </si>
  <si>
    <t>Total gross margin</t>
  </si>
  <si>
    <t>Information services gross margin</t>
  </si>
  <si>
    <t>Information products gross margin</t>
  </si>
  <si>
    <t>COGS</t>
  </si>
  <si>
    <t>TOTAL COGS</t>
  </si>
  <si>
    <t>Information products net revenue</t>
  </si>
  <si>
    <t>TOTAL NET REVENUE</t>
  </si>
  <si>
    <t>Gross margins</t>
  </si>
  <si>
    <t>Information products opex</t>
  </si>
  <si>
    <t xml:space="preserve">TOTAL OPEX </t>
  </si>
  <si>
    <t>Operating income</t>
  </si>
  <si>
    <t>Information products oper. income</t>
  </si>
  <si>
    <t>TOTAL OPERATING INCOME</t>
  </si>
  <si>
    <t>Other operating income</t>
  </si>
  <si>
    <t>Information services opex</t>
  </si>
  <si>
    <t>Information services oper. income</t>
  </si>
  <si>
    <t>Information services net revenue</t>
  </si>
  <si>
    <t>Information services COGS</t>
  </si>
  <si>
    <t>Operating income margin</t>
  </si>
  <si>
    <t>Information services OI margin</t>
  </si>
  <si>
    <t>Information products OI margin</t>
  </si>
  <si>
    <t>TOTAL OI MARGIN</t>
  </si>
  <si>
    <t>Gains, losses and other items, net</t>
  </si>
  <si>
    <t>Total operating costs</t>
  </si>
  <si>
    <t>Net earnings (loss) attributable to non-control interest</t>
  </si>
  <si>
    <t>check</t>
  </si>
  <si>
    <t xml:space="preserve">   Core info products COGS</t>
  </si>
  <si>
    <r>
      <t xml:space="preserve">   </t>
    </r>
    <r>
      <rPr>
        <u/>
        <sz val="8"/>
        <rFont val="Book Antiqua"/>
        <family val="1"/>
      </rPr>
      <t>Passthrough data</t>
    </r>
  </si>
  <si>
    <t>Cash and cash equivalents</t>
  </si>
  <si>
    <t>Trade accounts receivable, net</t>
  </si>
  <si>
    <t>Refundable incomes taxes</t>
  </si>
  <si>
    <t>Deferred income taxes</t>
  </si>
  <si>
    <t>Property and equipment, gross</t>
  </si>
  <si>
    <t>Property &amp; equipment, net</t>
  </si>
  <si>
    <r>
      <t xml:space="preserve">   </t>
    </r>
    <r>
      <rPr>
        <u/>
        <sz val="8"/>
        <rFont val="Book Antiqua"/>
        <family val="1"/>
      </rPr>
      <t>Less: accumulated D&amp;A</t>
    </r>
  </si>
  <si>
    <t>Software, net of accumulated amortization</t>
  </si>
  <si>
    <t>Purchased software licenses, net of acc. amort.</t>
  </si>
  <si>
    <t>Deferred costs, net</t>
  </si>
  <si>
    <t>Data acquisition costs</t>
  </si>
  <si>
    <t>Other assets, net</t>
  </si>
  <si>
    <t>Current installments of long-term debt</t>
  </si>
  <si>
    <t>Trade accounts payables</t>
  </si>
  <si>
    <t>Accrued payroll and related expenses</t>
  </si>
  <si>
    <t>Other accrued expenses</t>
  </si>
  <si>
    <t>Deferred revenue</t>
  </si>
  <si>
    <t>Other, including income taxes</t>
  </si>
  <si>
    <t>Stockholders' equity</t>
  </si>
  <si>
    <t>Accumulated other comprehensive income (loss)</t>
  </si>
  <si>
    <t>Total Acxiom stockholders' equity</t>
  </si>
  <si>
    <t>Total equity</t>
  </si>
  <si>
    <t>Capital leases</t>
  </si>
  <si>
    <t>Warrants</t>
  </si>
  <si>
    <t>Software license liabilities</t>
  </si>
  <si>
    <t>Data license agreement</t>
  </si>
  <si>
    <t>Other debt and long-term liabilities</t>
  </si>
  <si>
    <t>Non-cash stock-based compensation</t>
  </si>
  <si>
    <t>Tax benefit on stock comp exercised</t>
  </si>
  <si>
    <t>Capitalized software</t>
  </si>
  <si>
    <t>Accounts receivables</t>
  </si>
  <si>
    <t>Accounts payable and other liabilities</t>
  </si>
  <si>
    <t>Deferred costs</t>
  </si>
  <si>
    <t>Cash paid for:</t>
  </si>
  <si>
    <t>Interest</t>
  </si>
  <si>
    <t>Income taxes</t>
  </si>
  <si>
    <t>Payments on capital leases</t>
  </si>
  <si>
    <t>Payments on software and data</t>
  </si>
  <si>
    <t>Other debt payments, ex credit line</t>
  </si>
  <si>
    <t>Prepayment of debt</t>
  </si>
  <si>
    <t>Non-cash investing and financing</t>
  </si>
  <si>
    <t>Acqs. under capital lease and installments</t>
  </si>
  <si>
    <t>Net earnings (loss)</t>
  </si>
  <si>
    <t>- Capitalized software</t>
  </si>
  <si>
    <t>- Data acquisition costs</t>
  </si>
  <si>
    <t>- Payments on capital leases, installments</t>
  </si>
  <si>
    <t>- Payments on software and data</t>
  </si>
  <si>
    <t>- Other required debt payments</t>
  </si>
  <si>
    <t>+ Tax benefit of stock options, warrants</t>
  </si>
  <si>
    <t>+ Cash collected from sale of software</t>
  </si>
  <si>
    <t>+ Sale of assets, payments from investments</t>
  </si>
  <si>
    <t>Software licenses, maintenance acquired</t>
  </si>
  <si>
    <t>Construction and other financing</t>
  </si>
  <si>
    <t>Assets acquired under data obligation, and other</t>
  </si>
  <si>
    <t>F2014</t>
  </si>
  <si>
    <t>F2011</t>
  </si>
  <si>
    <t>F2012</t>
  </si>
  <si>
    <t>F2013</t>
  </si>
  <si>
    <t>% reported growth</t>
  </si>
  <si>
    <t>% pro forma growth</t>
  </si>
  <si>
    <t>F2007</t>
  </si>
  <si>
    <t>F2008</t>
  </si>
  <si>
    <t>F2009</t>
  </si>
  <si>
    <t>F2010</t>
  </si>
  <si>
    <t>F2015</t>
  </si>
  <si>
    <t>F2016</t>
  </si>
  <si>
    <t>F2017</t>
  </si>
  <si>
    <t>F2018</t>
  </si>
  <si>
    <t>F2019</t>
  </si>
  <si>
    <t>F2020</t>
  </si>
  <si>
    <t>ACXM EV/EBITDA</t>
  </si>
  <si>
    <t>ACXM Mean</t>
  </si>
  <si>
    <t>ACXM P/E</t>
  </si>
  <si>
    <t>Direct Marketing Mean</t>
  </si>
  <si>
    <t>Flat GDP</t>
  </si>
  <si>
    <t>GUIDANCE GIVING WAS SUSPENDED FOR F2010</t>
  </si>
  <si>
    <t>F4Q10 Earnings: 5/13/10</t>
  </si>
  <si>
    <t>Free Cash Flow #3 (Company method)</t>
  </si>
  <si>
    <t>Asia Pacific and other</t>
  </si>
  <si>
    <t>Depreciation and amortization</t>
  </si>
  <si>
    <t>NO GUIDANCE GIVEN</t>
  </si>
  <si>
    <t>FCF Yield</t>
  </si>
  <si>
    <t xml:space="preserve">M&amp;A </t>
  </si>
  <si>
    <t>Approaching trough multiple</t>
  </si>
  <si>
    <t>Multiple expansion</t>
  </si>
  <si>
    <t xml:space="preserve">Approaching peak multiple </t>
  </si>
  <si>
    <t>F2010A</t>
  </si>
  <si>
    <t>Net debt as % of total capital</t>
  </si>
  <si>
    <t>na</t>
  </si>
  <si>
    <t xml:space="preserve">na  </t>
  </si>
  <si>
    <t>Calendar EBITDA</t>
  </si>
  <si>
    <t>F1Q11 Earnings: 7/30/10</t>
  </si>
  <si>
    <t>Incremental margins</t>
  </si>
  <si>
    <t>Information services margin</t>
  </si>
  <si>
    <t>Information products margin</t>
  </si>
  <si>
    <t>TOTAL INCREMENTAL MARGIN</t>
  </si>
  <si>
    <t xml:space="preserve">% of rev. by business </t>
  </si>
  <si>
    <t>F2021</t>
  </si>
  <si>
    <t>F2Q11 Earnings: 10/27/10</t>
  </si>
  <si>
    <t>F3Q11 Earnings: 1/26/11</t>
  </si>
  <si>
    <t>1-2 accretive deals</t>
  </si>
  <si>
    <t>Other working capital, and other</t>
  </si>
  <si>
    <t>Preannouncement and Management Changes: 3/30/11</t>
  </si>
  <si>
    <t>Reported EPS</t>
  </si>
  <si>
    <t>F4Q11</t>
  </si>
  <si>
    <t>F4Q11 Earnings: 5/11/11</t>
  </si>
  <si>
    <t xml:space="preserve">$ in millions, </t>
  </si>
  <si>
    <t>F2011A</t>
  </si>
  <si>
    <t>EBITDA Calculation</t>
  </si>
  <si>
    <t>Depreciation &amp; amortization</t>
  </si>
  <si>
    <t>Stock-based compensation</t>
  </si>
  <si>
    <t xml:space="preserve"> Adjusted EBITDA</t>
  </si>
  <si>
    <t>Variance: BMO estimates vs Consensus</t>
  </si>
  <si>
    <t>Q1</t>
  </si>
  <si>
    <t>Q2</t>
  </si>
  <si>
    <t>Q3</t>
  </si>
  <si>
    <t>Q4</t>
  </si>
  <si>
    <t>F2022</t>
  </si>
  <si>
    <t>GDP down 1-2%</t>
  </si>
  <si>
    <t>GDP up 1-2%</t>
  </si>
  <si>
    <t>GDP up 3-4%</t>
  </si>
  <si>
    <t>Strong Bear</t>
  </si>
  <si>
    <t>Weak Bear</t>
  </si>
  <si>
    <t>Weak Bull</t>
  </si>
  <si>
    <t>Strong Bull</t>
  </si>
  <si>
    <t>F1Q12 Earnings: 8/4/11</t>
  </si>
  <si>
    <t>F2Q12 Earnings: 10/27/11</t>
  </si>
  <si>
    <t>Act.</t>
  </si>
  <si>
    <t>ex. per share</t>
  </si>
  <si>
    <t>F3Q12 Earnings: 1/31/12</t>
  </si>
  <si>
    <t>Marketing and data services</t>
  </si>
  <si>
    <t>IT infrastructure management</t>
  </si>
  <si>
    <t>Total international revenue</t>
  </si>
  <si>
    <t>Earnings from discontinued operations</t>
  </si>
  <si>
    <t>Earnings from discontinued operations, net of tax</t>
  </si>
  <si>
    <t>Liabilities of discontinued operations</t>
  </si>
  <si>
    <t>Non GAAP EPS calculation</t>
  </si>
  <si>
    <t>Non GAAP net income</t>
  </si>
  <si>
    <t>Non GAAP EPS</t>
  </si>
  <si>
    <t>IT infrastructure management (US only)</t>
  </si>
  <si>
    <t>% US margin</t>
  </si>
  <si>
    <t>Total other services</t>
  </si>
  <si>
    <t>Total US revenue</t>
  </si>
  <si>
    <t>% international margin</t>
  </si>
  <si>
    <t>Other income (expense)</t>
  </si>
  <si>
    <t>Pro forma pre-tax income</t>
  </si>
  <si>
    <t xml:space="preserve">   % implied tax rate</t>
  </si>
  <si>
    <t>Pro forma, non-GAAP earnings from continuing ops.</t>
  </si>
  <si>
    <t>Small amount will fall in F4Q12</t>
  </si>
  <si>
    <t>Investment spending</t>
  </si>
  <si>
    <t>Long-term revenue growth</t>
  </si>
  <si>
    <t>Double digit</t>
  </si>
  <si>
    <t>Date</t>
  </si>
  <si>
    <t>F4Q12 Earnings: 5/15/12</t>
  </si>
  <si>
    <t>Revenue from continued ops.</t>
  </si>
  <si>
    <t>Flat to slightly down</t>
  </si>
  <si>
    <t>F2012A</t>
  </si>
  <si>
    <t>F1Q13 Earnings: 7/30/12</t>
  </si>
  <si>
    <t>Won't necessarily get to 30 in the year</t>
  </si>
  <si>
    <t>F2Q13</t>
  </si>
  <si>
    <t>down ~5% (as a result of declines in IT Infrastructure Mgmt and Other)</t>
  </si>
  <si>
    <t>June '14</t>
  </si>
  <si>
    <t>Sept. '14</t>
  </si>
  <si>
    <t>Dec. '14</t>
  </si>
  <si>
    <t>Mar. '15</t>
  </si>
  <si>
    <t>June '15</t>
  </si>
  <si>
    <t>Sept. '15</t>
  </si>
  <si>
    <t>Dec. '15</t>
  </si>
  <si>
    <t>Mar. '16</t>
  </si>
  <si>
    <t>June '16</t>
  </si>
  <si>
    <t>Sept. '16</t>
  </si>
  <si>
    <t>Dec. '16</t>
  </si>
  <si>
    <t>Mar. '17</t>
  </si>
  <si>
    <t>nm</t>
  </si>
  <si>
    <t>F2023</t>
  </si>
  <si>
    <t>Terminal Multiple of FCF</t>
  </si>
  <si>
    <t>F2Q13 Earnings: 10/25/12</t>
  </si>
  <si>
    <t>flat to slightly down</t>
  </si>
  <si>
    <t>Raised</t>
  </si>
  <si>
    <t>US marketing and data services</t>
  </si>
  <si>
    <t>International marketing and data services</t>
  </si>
  <si>
    <t>US other services</t>
  </si>
  <si>
    <t>International other services</t>
  </si>
  <si>
    <t>F3Q13 Earnings: 1/30/13</t>
  </si>
  <si>
    <t>Primarily as a result of IT infrastructure management and international ops.</t>
  </si>
  <si>
    <t>F4Q13 Earnings: 5/15/13</t>
  </si>
  <si>
    <t>Flat</t>
  </si>
  <si>
    <t>Flat with $1.099B</t>
  </si>
  <si>
    <t>Pro forma taxes</t>
  </si>
  <si>
    <t>Pro forma basic EPS</t>
  </si>
  <si>
    <t>1-2 dilutive deals</t>
  </si>
  <si>
    <t>1-2 neutral deals</t>
  </si>
  <si>
    <t>2-3 dilutive deals</t>
  </si>
  <si>
    <t>2-3 very dilutive deals</t>
  </si>
  <si>
    <t>F2013A</t>
  </si>
  <si>
    <t>Growth rates</t>
  </si>
  <si>
    <t>F1Q14 Earnings: 7/31/13</t>
  </si>
  <si>
    <t>Marketing up, IT down</t>
  </si>
  <si>
    <t>US other services (previously email marketing)</t>
  </si>
  <si>
    <t>% sequential growth</t>
  </si>
  <si>
    <t>% yoy growth</t>
  </si>
  <si>
    <t>Gross client adds</t>
  </si>
  <si>
    <t>% churn</t>
  </si>
  <si>
    <t>Net adds</t>
  </si>
  <si>
    <t>End of quarter subs</t>
  </si>
  <si>
    <t>Average subs</t>
  </si>
  <si>
    <t>Average quarterly spend per sub</t>
  </si>
  <si>
    <t>Ests.</t>
  </si>
  <si>
    <t>Slightly down from $1.099B</t>
  </si>
  <si>
    <t>Slight revenue decline attributed to IT Infrastructure Management busines</t>
  </si>
  <si>
    <t>% gross margin</t>
  </si>
  <si>
    <t>F2Q14 Earnings: 11/6/13</t>
  </si>
  <si>
    <t>F3Q14 Earnings: 1/29/14</t>
  </si>
  <si>
    <t>F4Q14 Earnings: 05/14/14</t>
  </si>
  <si>
    <t>F2014A</t>
  </si>
  <si>
    <t>Non-GAAP diluted shares outstanding</t>
  </si>
  <si>
    <t>Non-GAAP EPS calculation</t>
  </si>
  <si>
    <t>Business separation and transformation expenses</t>
  </si>
  <si>
    <t>Legal settlement accruals</t>
  </si>
  <si>
    <t>Restructuring charges and other adjustments</t>
  </si>
  <si>
    <t xml:space="preserve">Non-cash stock compensation </t>
  </si>
  <si>
    <t>Non-GAAP provision for income taxes</t>
  </si>
  <si>
    <t>Non-GAAP net income</t>
  </si>
  <si>
    <t>Non-GAAP diluted EPS</t>
  </si>
  <si>
    <t>Net loss attributable to noncontrolling interest</t>
  </si>
  <si>
    <t>Non-GAAP EPS</t>
  </si>
  <si>
    <t>Growth based on adjusted 2014 Revenue, excl. ITO client loss and EU rev. reduction</t>
  </si>
  <si>
    <t>GAAP net margin ex items</t>
  </si>
  <si>
    <t>Non-GAAP P/E</t>
  </si>
  <si>
    <t>EV/Adjusted EBITDA</t>
  </si>
  <si>
    <t>GAAP P/E</t>
  </si>
  <si>
    <t>F2024</t>
  </si>
  <si>
    <t>F1Q15 Earnings: 8/4/14</t>
  </si>
  <si>
    <t>June '17</t>
  </si>
  <si>
    <t>Sept. '17</t>
  </si>
  <si>
    <t>Dec. '17</t>
  </si>
  <si>
    <t>Mar. '18</t>
  </si>
  <si>
    <t>F2025</t>
  </si>
  <si>
    <t>Adjusted EBITDA less UK Call Center</t>
  </si>
  <si>
    <t>2Touch, UK call center business</t>
  </si>
  <si>
    <t>Growth based on adjusted 2014 Revenue, excl. ITO client loss, EU rev. reduction and 2Touch</t>
  </si>
  <si>
    <t>Restructuring expense</t>
  </si>
  <si>
    <t>One-time expense</t>
  </si>
  <si>
    <t>Capex</t>
  </si>
  <si>
    <t>$10mm for the remaining 3 quarers</t>
  </si>
  <si>
    <t>$20mm for the remaining 3 quarters</t>
  </si>
  <si>
    <t>Depreciation by segment</t>
  </si>
  <si>
    <t>Total depreciation and amortization</t>
  </si>
  <si>
    <t>EBITDA by segment</t>
  </si>
  <si>
    <t>Total EBITDA</t>
  </si>
  <si>
    <t>F2Q15 Earnings: 11/3/14</t>
  </si>
  <si>
    <t>$10mm for the remaining 2 quarers</t>
  </si>
  <si>
    <t>$26mm for the remaining 2 quarters</t>
  </si>
  <si>
    <t>Estimated Average Monthly ARPU</t>
  </si>
  <si>
    <t xml:space="preserve">   Estimated Core Marketing Management</t>
  </si>
  <si>
    <t xml:space="preserve">Total marketing and data services </t>
  </si>
  <si>
    <t>Consumer Data Integration</t>
  </si>
  <si>
    <t>Consumer Insights Solutions</t>
  </si>
  <si>
    <t>Total Marketing Management Services</t>
  </si>
  <si>
    <t>E-mail Fulfillment and Agency Services</t>
  </si>
  <si>
    <t>F3Q15 Earnings: 02/04/15</t>
  </si>
  <si>
    <t>Stock based comp by segment</t>
  </si>
  <si>
    <t>Total stock based comp</t>
  </si>
  <si>
    <t>Adjusted EBITDA by segment</t>
  </si>
  <si>
    <t>Total adjusted EBITDA</t>
  </si>
  <si>
    <t xml:space="preserve">$0.23 </t>
  </si>
  <si>
    <t>F4Q15 Earnings: 05/21/15</t>
  </si>
  <si>
    <r>
      <t xml:space="preserve">   Estimated </t>
    </r>
    <r>
      <rPr>
        <u/>
        <sz val="8"/>
        <rFont val="Book Antiqua"/>
        <family val="1"/>
      </rPr>
      <t>LiveRamp Connect</t>
    </r>
  </si>
  <si>
    <t>$9mm for 4Q</t>
  </si>
  <si>
    <t xml:space="preserve">$0.22 </t>
  </si>
  <si>
    <t xml:space="preserve">$0.76 </t>
  </si>
  <si>
    <t>F2015A</t>
  </si>
  <si>
    <t>Pro forma revenue growth, excluding 2Touch and ITO</t>
  </si>
  <si>
    <t>Ests</t>
  </si>
  <si>
    <t>Adjusted baseline of $0.43 for F2015</t>
  </si>
  <si>
    <t>Tax-rate</t>
  </si>
  <si>
    <t>BMO</t>
  </si>
  <si>
    <t>F2019E</t>
  </si>
  <si>
    <t>June '18</t>
  </si>
  <si>
    <t>Sept. '18</t>
  </si>
  <si>
    <t>Dec. '18</t>
  </si>
  <si>
    <t>Mar. '19</t>
  </si>
  <si>
    <t>F1Q16 Earnings: 08/05/15</t>
  </si>
  <si>
    <t>Research and development</t>
  </si>
  <si>
    <t>Sales and marketing</t>
  </si>
  <si>
    <t>General and administrative</t>
  </si>
  <si>
    <t>Total Connectivity revenue</t>
  </si>
  <si>
    <t>International marketing services and audience solutions</t>
  </si>
  <si>
    <t>International total revenue ex. ITO</t>
  </si>
  <si>
    <t>US marketing services and audience solutions revenue</t>
  </si>
  <si>
    <t>Total revenue ex. ITO</t>
  </si>
  <si>
    <t>Marketing services and audience solutions</t>
  </si>
  <si>
    <t>Connectivity</t>
  </si>
  <si>
    <t>Cost of revenue (incl. ITO)</t>
  </si>
  <si>
    <t>General and administrative (incl. ITO)</t>
  </si>
  <si>
    <t>Gains, losses and other items, net (incl. ITO)</t>
  </si>
  <si>
    <t>GAAP operating income ex. items</t>
  </si>
  <si>
    <t>GAAP pre-tax income ex. items</t>
  </si>
  <si>
    <t>Loss (earnings) from discontinued operations, net</t>
  </si>
  <si>
    <t>Estimated 3P data gross media spend</t>
  </si>
  <si>
    <t>Estimated 1P gross media spend ($ in mm)</t>
  </si>
  <si>
    <t>Estimated 1P GMS revenue</t>
  </si>
  <si>
    <t>Take-rate</t>
  </si>
  <si>
    <t>1) SaaS revenues</t>
  </si>
  <si>
    <t xml:space="preserve">Total SaaS revenue </t>
  </si>
  <si>
    <t>US connectivity revenue</t>
  </si>
  <si>
    <t>% of total connectivity revenue</t>
  </si>
  <si>
    <t>International connectivity revenue</t>
  </si>
  <si>
    <t>GAAP net income ex. items</t>
  </si>
  <si>
    <t xml:space="preserve">Reported GAAP net income </t>
  </si>
  <si>
    <t>GAAP diluted EPS ex. items</t>
  </si>
  <si>
    <t>F2Q16 Earnings: 11/04/15</t>
  </si>
  <si>
    <t>Variance: Actual vs BMO</t>
  </si>
  <si>
    <t>U.S. Audience Solutions Revenue</t>
  </si>
  <si>
    <t>International Marketing Services Revenue</t>
  </si>
  <si>
    <t>U.S. Marketing Services Revenue</t>
  </si>
  <si>
    <t>International Audience Solutions Revenue</t>
  </si>
  <si>
    <t xml:space="preserve">US total revenue </t>
  </si>
  <si>
    <t>Audience Solutions</t>
  </si>
  <si>
    <t>Marketing Services</t>
  </si>
  <si>
    <t>F2026</t>
  </si>
  <si>
    <t>Total Revenue</t>
  </si>
  <si>
    <t>Total Mkt Services + Aud Solutions revenue</t>
  </si>
  <si>
    <t>Total Marketing Services revenue</t>
  </si>
  <si>
    <t>MD&amp;S segment by Lines of Business</t>
  </si>
  <si>
    <t>2) % of Gross Media Spend (GMS) revenues</t>
  </si>
  <si>
    <t>Gross profit</t>
  </si>
  <si>
    <t>GAAP corporate and other items, net</t>
  </si>
  <si>
    <t>Non-GAAP income from operations by segment</t>
  </si>
  <si>
    <t>Total Non-GAAP segment operating income</t>
  </si>
  <si>
    <t>Non-GAAP corporate and other items, net</t>
  </si>
  <si>
    <t>Total Connectivity revenue runrate</t>
  </si>
  <si>
    <t xml:space="preserve">   US</t>
  </si>
  <si>
    <t xml:space="preserve">   % margin</t>
  </si>
  <si>
    <t xml:space="preserve">   International</t>
  </si>
  <si>
    <t>Total deals signed</t>
  </si>
  <si>
    <t># deals per client</t>
  </si>
  <si>
    <t>F3Q16 Earnings: 2/04/16</t>
  </si>
  <si>
    <t>US Marketing Services</t>
  </si>
  <si>
    <t>International Marketing Services</t>
  </si>
  <si>
    <t>International Connectivity</t>
  </si>
  <si>
    <t>US Connectivity</t>
  </si>
  <si>
    <t>Non-GAAP Operating Income Calculation</t>
  </si>
  <si>
    <t>GAAP operating income</t>
  </si>
  <si>
    <t>Purchased intangible amortization</t>
  </si>
  <si>
    <t>Restructuring charges/other</t>
  </si>
  <si>
    <t>Separation and transformation costs</t>
  </si>
  <si>
    <t>Accelerated amortization</t>
  </si>
  <si>
    <t>Non-GAAP operating income</t>
  </si>
  <si>
    <t>Connectivity operating income</t>
  </si>
  <si>
    <t>Connectivity Adjusted EBITDA</t>
  </si>
  <si>
    <t>Marketing Services operating income</t>
  </si>
  <si>
    <t>Audience Soltuions operating income</t>
  </si>
  <si>
    <t>Audience Solutions Adjusted EBITDA</t>
  </si>
  <si>
    <t>Marketing Services Adjusted EBITDA</t>
  </si>
  <si>
    <t>% total</t>
  </si>
  <si>
    <t>Corporate operating income</t>
  </si>
  <si>
    <t>Corporate Adjusted EBITDA</t>
  </si>
  <si>
    <t>This sheet contains FactSet XML data for use with this workbook's =FDS codes.  Modifying the worksheet's contents may damage the workbook's =FDS functionality.</t>
  </si>
  <si>
    <t>F4Q16 Earnings: 5/17/16</t>
  </si>
  <si>
    <t>End of quarter customers</t>
  </si>
  <si>
    <t>F2016A</t>
  </si>
  <si>
    <t>GAAP EPS</t>
  </si>
  <si>
    <t>F1Q17 Earnings: 8/04/16</t>
  </si>
  <si>
    <t>GDP up 4-5%</t>
  </si>
  <si>
    <t>1P GMS Revenue</t>
  </si>
  <si>
    <t>Core Connectivity Product Revenue</t>
  </si>
  <si>
    <t>Legacy AOS Revenue</t>
  </si>
  <si>
    <t>% total Connectivity revenue</t>
  </si>
  <si>
    <t>% total gross media spend</t>
  </si>
  <si>
    <t>Total Connectivity Revenue Growth</t>
  </si>
  <si>
    <t>Core Connectivity Product Growth</t>
  </si>
  <si>
    <t>Purchased intangible asset amortization</t>
  </si>
  <si>
    <t>Non-cash stock compensation</t>
  </si>
  <si>
    <t>International Audience Solutions</t>
  </si>
  <si>
    <t>US Audience Solutions</t>
  </si>
  <si>
    <t>Total Marketing Services gross profit</t>
  </si>
  <si>
    <t>Total Audience Solutions gross profit</t>
  </si>
  <si>
    <t>Total Connectivity gross profit</t>
  </si>
  <si>
    <t>Total Marketing Services operating income</t>
  </si>
  <si>
    <t>Total Audience Solutions operating income</t>
  </si>
  <si>
    <t>Total Connectivity operating income</t>
  </si>
  <si>
    <t>Total corporate/other</t>
  </si>
  <si>
    <t>Corporate expenses</t>
  </si>
  <si>
    <t>% total Audience Solutions revenue</t>
  </si>
  <si>
    <t>Core Marketing Services revenue</t>
  </si>
  <si>
    <t>Total Audience Solutions revenue</t>
  </si>
  <si>
    <t>Digital Data revenue</t>
  </si>
  <si>
    <t>Acxiom Impact revenue</t>
  </si>
  <si>
    <t>% total Marketing Services revenue</t>
  </si>
  <si>
    <t>F2Q17 Earnings: 11/07/16</t>
  </si>
  <si>
    <t>Consensus adj. EBITDA</t>
  </si>
  <si>
    <t>Non-Digital Data revenue</t>
  </si>
  <si>
    <t>Arbor/Circulate acquisition: 11/17/16</t>
  </si>
  <si>
    <t>Arbor/Circulate revenue</t>
  </si>
  <si>
    <t>F3Q17 Earnings: 1/31/17</t>
  </si>
  <si>
    <t>Acquisitions will be accretive to FY18 EBITDA and non-GAAP EPS</t>
  </si>
  <si>
    <t>F4Q17 Earnings: 5/16/17</t>
  </si>
  <si>
    <t>F2017A</t>
  </si>
  <si>
    <t>June '19</t>
  </si>
  <si>
    <t>Sept. '19</t>
  </si>
  <si>
    <t>Dec. '19</t>
  </si>
  <si>
    <t>Mar. '20</t>
  </si>
  <si>
    <t>F2020E</t>
  </si>
  <si>
    <t>F2028</t>
  </si>
  <si>
    <t>F2027</t>
  </si>
  <si>
    <t>F1Q18 Earnings: 8/03/17</t>
  </si>
  <si>
    <t>&lt;--- F2019 EPS growth</t>
  </si>
  <si>
    <t>&lt;--- F2019 EBITDA growth</t>
  </si>
  <si>
    <t>F2Q18 Earnings: 11/1/17</t>
  </si>
  <si>
    <t>Connectivity Segment Model</t>
  </si>
  <si>
    <t>Audience Solutions Segment Model</t>
  </si>
  <si>
    <t>Marketing Services Segment Model</t>
  </si>
  <si>
    <t xml:space="preserve">% growth </t>
  </si>
  <si>
    <t>Segment cost of revenue</t>
  </si>
  <si>
    <t xml:space="preserve">Total cost of revenue </t>
  </si>
  <si>
    <t>Segment operating costs</t>
  </si>
  <si>
    <t>Corprate/other costs</t>
  </si>
  <si>
    <t>Effective tax rate ex items</t>
  </si>
  <si>
    <t>F3Q18 Earnings: 2/6/18</t>
  </si>
  <si>
    <t>Term loan/revolving credit</t>
  </si>
  <si>
    <t>Acxiom Marketing Solutions</t>
  </si>
  <si>
    <t>LiveRamp</t>
  </si>
  <si>
    <t>F4Q18 Earnings: 5/16/18</t>
  </si>
  <si>
    <t>F2018A</t>
  </si>
  <si>
    <t>US LiveRamp revenue</t>
  </si>
  <si>
    <t>International LiveRamp revenue</t>
  </si>
  <si>
    <t>Total LiveRamp revenue</t>
  </si>
  <si>
    <t>US LiveRamp</t>
  </si>
  <si>
    <t>International LiveRamp</t>
  </si>
  <si>
    <t>Total LiveRamp gross profit</t>
  </si>
  <si>
    <t>Total LiveRamp operating income</t>
  </si>
  <si>
    <t>LiveRamp Adjusted EBITDA</t>
  </si>
  <si>
    <t>U.S. AMS Revenue</t>
  </si>
  <si>
    <t>International AMS Revenue</t>
  </si>
  <si>
    <t>Total AMS revenue</t>
  </si>
  <si>
    <t>US AMS</t>
  </si>
  <si>
    <t>International AMS</t>
  </si>
  <si>
    <t>Total AMS gross profit</t>
  </si>
  <si>
    <t>Total AMS operating income</t>
  </si>
  <si>
    <t>AMS Adjusted EBITDA</t>
  </si>
  <si>
    <t>Acxiom Marketing Solutions Segment Model</t>
  </si>
  <si>
    <t>LiveRamp Segment Model</t>
  </si>
  <si>
    <t>AMS revenue from Facebook</t>
  </si>
  <si>
    <t>Non-Facebook AMS revenue</t>
  </si>
  <si>
    <t>Acxiom Impact Revenue</t>
  </si>
  <si>
    <t>AMS revenue ex FB and Acxiom Impact</t>
  </si>
  <si>
    <t>LiveRamp revenue from FB</t>
  </si>
  <si>
    <t>LiveRamp revenue ex FB</t>
  </si>
  <si>
    <t>`</t>
  </si>
  <si>
    <t>LiveRamp Opex</t>
  </si>
  <si>
    <t>LiveRamp COGS</t>
  </si>
  <si>
    <t>AMS COGS</t>
  </si>
  <si>
    <t>AMS Opex</t>
  </si>
  <si>
    <t>Gain on sale of AMS</t>
  </si>
  <si>
    <t>Valuation on F2020E</t>
  </si>
  <si>
    <t>Base and Potential F2020 Financials</t>
  </si>
  <si>
    <t>EV/revenue multiple</t>
  </si>
  <si>
    <t>EV/revenue</t>
  </si>
  <si>
    <t>Target stress test (EV/rev)</t>
  </si>
  <si>
    <t>Historical EV/revene chart</t>
  </si>
  <si>
    <t>AbiliTec licensing revenue from IPG/AMS</t>
  </si>
  <si>
    <t>Likely 5-6mm in FY19 and 15-16mm in FY20</t>
  </si>
  <si>
    <t>F1Q19 Earnings: 8/9/18</t>
  </si>
  <si>
    <t>F2021E</t>
  </si>
  <si>
    <t>June '20</t>
  </si>
  <si>
    <t>Sept. '20</t>
  </si>
  <si>
    <t>Dec. '20</t>
  </si>
  <si>
    <t>Mar. '21</t>
  </si>
  <si>
    <t>YoY change</t>
  </si>
  <si>
    <t>Total LiveRamp costs</t>
  </si>
  <si>
    <t>Incremental adj. EBITDA margin</t>
  </si>
  <si>
    <t>Loss/gain on disposal/impairment of assets, net</t>
  </si>
  <si>
    <t>Interest expense/income</t>
  </si>
  <si>
    <t>F2029</t>
  </si>
  <si>
    <t>PV of FCF F21-F29</t>
  </si>
  <si>
    <t>F22-'25 FCF grth</t>
  </si>
  <si>
    <t>F26-'29 FCF grth</t>
  </si>
  <si>
    <t>LiveRamp by revenue type</t>
  </si>
  <si>
    <t>% of total LiveRamp revenue</t>
  </si>
  <si>
    <t>Subscription</t>
  </si>
  <si>
    <t>Marketplace &amp; Other</t>
  </si>
  <si>
    <t>Client count</t>
  </si>
  <si>
    <t>Direct clients</t>
  </si>
  <si>
    <t>Sequential client additions</t>
  </si>
  <si>
    <t>This can vary based on the size of the client</t>
  </si>
  <si>
    <t>Avg. Monthly Subscription ARPU/Direct Client</t>
  </si>
  <si>
    <t>Current RAMP Price</t>
  </si>
  <si>
    <t>RAMP</t>
  </si>
  <si>
    <t>Assets of discontinued operations/held for sale</t>
  </si>
  <si>
    <t>Non-GAAP Gross Profit Calculation</t>
  </si>
  <si>
    <t>GAAP gross profit</t>
  </si>
  <si>
    <t>Non-GAAP gross profit</t>
  </si>
  <si>
    <t>Other cost of revenue</t>
  </si>
  <si>
    <t>Accelerated D&amp;A</t>
  </si>
  <si>
    <t>Non-GAAP Gross Profit</t>
  </si>
  <si>
    <t>Non-GAAP Operating Income</t>
  </si>
  <si>
    <t>Accelerated depreciation</t>
  </si>
  <si>
    <t>EV/gross profit</t>
  </si>
  <si>
    <t>EV/non-GAAP gross profit</t>
  </si>
  <si>
    <t>Last</t>
  </si>
  <si>
    <t>Market</t>
  </si>
  <si>
    <t>Enterprise</t>
  </si>
  <si>
    <t>EV/Sales</t>
  </si>
  <si>
    <t>EV / GROSS PROFIT</t>
  </si>
  <si>
    <t>Sales</t>
  </si>
  <si>
    <t>Profit</t>
  </si>
  <si>
    <t>CapEx</t>
  </si>
  <si>
    <t>Sales (FY)</t>
  </si>
  <si>
    <t>EBITDA (FY)</t>
  </si>
  <si>
    <t>EBIT (FY)</t>
  </si>
  <si>
    <t>Adj. Net Income</t>
  </si>
  <si>
    <t>EPS (Est)</t>
  </si>
  <si>
    <t>Diluted Share count</t>
  </si>
  <si>
    <t>Capital Expenditures</t>
  </si>
  <si>
    <t>Depreciation &amp; Amortization</t>
  </si>
  <si>
    <t>Free Cash Flow / Share</t>
  </si>
  <si>
    <t>Sales (CY)</t>
  </si>
  <si>
    <t>EBITDA (CY)</t>
  </si>
  <si>
    <t>EBIT (CY)</t>
  </si>
  <si>
    <t>EPS Est (CY)</t>
  </si>
  <si>
    <t>FCF / Share</t>
  </si>
  <si>
    <t>FX</t>
  </si>
  <si>
    <t>Ticker</t>
  </si>
  <si>
    <t>Company</t>
  </si>
  <si>
    <t>Price</t>
  </si>
  <si>
    <t>Cap.</t>
  </si>
  <si>
    <t>Growth</t>
  </si>
  <si>
    <t>Margin</t>
  </si>
  <si>
    <t>% Sales</t>
  </si>
  <si>
    <t>ST Debt</t>
  </si>
  <si>
    <t>LT Debt</t>
  </si>
  <si>
    <t>Preferred</t>
  </si>
  <si>
    <t>Min. Interest</t>
  </si>
  <si>
    <t>ST Invest.</t>
  </si>
  <si>
    <t>Shr Cap &amp; APIC</t>
  </si>
  <si>
    <t>Ret. Erns</t>
  </si>
  <si>
    <t>EV</t>
  </si>
  <si>
    <t>LTM</t>
  </si>
  <si>
    <t>Code</t>
  </si>
  <si>
    <t>Rate</t>
  </si>
  <si>
    <t>Scale</t>
  </si>
  <si>
    <t xml:space="preserve">Shares </t>
  </si>
  <si>
    <t>Last FY</t>
  </si>
  <si>
    <t>Day</t>
  </si>
  <si>
    <t>Month</t>
  </si>
  <si>
    <t>Year</t>
  </si>
  <si>
    <t>Proportion</t>
  </si>
  <si>
    <t>CRM</t>
  </si>
  <si>
    <t>Q</t>
  </si>
  <si>
    <t>DATA</t>
  </si>
  <si>
    <t>WDAY</t>
  </si>
  <si>
    <t>SPLK</t>
  </si>
  <si>
    <t>NOW</t>
  </si>
  <si>
    <t>Average</t>
  </si>
  <si>
    <t>Median</t>
  </si>
  <si>
    <t>Current</t>
  </si>
  <si>
    <t>10-K Notes</t>
  </si>
  <si>
    <t>Connectivity (new RAMP). Our Connectivity segment enables clients to build an omni-channel view of the customer and activate that understanding across the open marketing ecosystem.</t>
  </si>
  <si>
    <t>Industry Trends</t>
  </si>
  <si>
    <t xml:space="preserve">Marketing has evolved significantly in recent years driven by rapid innovation and an explosion of data, channels, devices, and applications. Historically, brands interacted with consumers </t>
  </si>
  <si>
    <t xml:space="preserve">through a limited number of channels, with limited visibility into the activities taking place. Today, companies interact with consumers across a growing number of touchpoints, including </t>
  </si>
  <si>
    <t xml:space="preserve">online, social, mobile and point-of-sale. The billions of interactions that take place each day between brands and consumers create a trove of valuable data that can be collected and </t>
  </si>
  <si>
    <t>analyzed. However, most companies are unable to cut through the complexity to effectively harness and leverage this data.</t>
  </si>
  <si>
    <t xml:space="preserve">Today, customer journeys span multiple channels and devices over time, resulting in data silos and fragmented identities. As consumers engage with brands across various touchpoints – </t>
  </si>
  <si>
    <t>over the web, mobile devices and applications, by email and television, and in physical stores – they may not be represented as single unique individuals with complex behaviors, appearing</t>
  </si>
  <si>
    <t xml:space="preserve"> instead as disparate data points with dozens of different identifiers. Becky Smith who lives at 123 Main Street may appear as beckys@acme.com when she uses Facebook, becky@yahoo.com </t>
  </si>
  <si>
    <t xml:space="preserve">when she signs into Yahoo Finance, cookie 123 when she browses msn.com, cookie ABC when she browses aol.com, and so on. As a result, marketers struggle to understand the cross-channel, </t>
  </si>
  <si>
    <t xml:space="preserve">cross-device habits of consumers and the different steps they take on their path to conversion. More specifically, data silos and fragmented identities prevent brands from being able to </t>
  </si>
  <si>
    <t>resolve all relevant data to a specific individual; this poses a challenge to formation of accurate, actionable insights about a brand’s consumers or campaigns</t>
  </si>
  <si>
    <t xml:space="preserve">Every day, brands spend billions of dollars on advertising and marketing, yet many of the messages they deliver are irrelevant, repetitive, mistimed, or simply reach the wrong audience. In </t>
  </si>
  <si>
    <t xml:space="preserve">addition, as the marketing landscape continues to grow and splinter across a growing array of online and offline channels, it is increasingly difficult to attribute marketing spend to a measurable </t>
  </si>
  <si>
    <t xml:space="preserve">outcome, such as an in-store visit or sale. Wasted marketing spend is largely driven by the fragmented ecosystem of brands, data providers, marketing applications, media providers, and agencies </t>
  </si>
  <si>
    <t xml:space="preserve">that are involved in the marketing process, but operate without cohesion. Without a common understanding of consumer identity to unify otherwise siloed data, brands are unable to define </t>
  </si>
  <si>
    <t>accurate audience segments and derive insights that would enable better decision making</t>
  </si>
  <si>
    <t xml:space="preserve">Historically, marketers were forced to cast a wide net to reach a desired audience. They might, for example, have run a television commercial during a specific program or placed generic advertising </t>
  </si>
  <si>
    <t xml:space="preserve">alongside certain types of web content, often exposing their message to millions of consumers outside their target audience. Today, however, rich data opens the door to granular audience targeting </t>
  </si>
  <si>
    <t xml:space="preserve">and better, more engaging customer experiences. For example, digital publishers like Facebook and Twitter now provide marketers with the ability to target very specific audiences – males, over </t>
  </si>
  <si>
    <t xml:space="preserve">the age of 30, who live in zip code 94123, and own pets, for instance. Consumers are demanding personalization, and every piece of marketing content served has the potential to be individually </t>
  </si>
  <si>
    <t xml:space="preserve">relevant, addressable, and measurable. By understanding which devices, email addresses, and postal addresses relate to the same individual, marketers can deliver seamless experiences as </t>
  </si>
  <si>
    <t>consumers engage a brand across touchpoints. At the same time, by targeting consumers at the individual level, organizations can reduce marketing waste and more easily attribute their marketing</t>
  </si>
  <si>
    <t>spend to actual results.</t>
  </si>
  <si>
    <t xml:space="preserve">Through integrations with more than 575 leading digital marketing platforms and data providers, we have become a key point of entry into the digital ecosystem, helping our clients eliminate </t>
  </si>
  <si>
    <t xml:space="preserve">data silos and unlock greater value from the marketing tools they use every day. We provide a foundational identity resolution layer enabling our clients to identify and reach consumers across </t>
  </si>
  <si>
    <t>channels and measure the impact of marketing on sales, using the marketing platform of their choice.</t>
  </si>
  <si>
    <t xml:space="preserve">Our primary Connectivity offering is LiveRamp® IdentityLink™, an identity resolution service that ties data back to real people and makes it possible to onboard that data for people-based </t>
  </si>
  <si>
    <t xml:space="preserve">marketing initiatives across digital channels. Leveraging AbiliTec® and the LiveRamp identity graph, IdentityLink first resolves a client’s first-, second-, and third-party, exposure, and transaction </t>
  </si>
  <si>
    <t xml:space="preserve">data to persistent anonymous consumer identifiers that represent real people in a privacy-safe way. This omni-channel view of the consumer can then be onboarded to and between any of the </t>
  </si>
  <si>
    <t>575 plus partners in our ecosystem to support targeting, personalization and measurement use cases</t>
  </si>
  <si>
    <t xml:space="preserve">Our ten largest clients represented approximately 36% of our revenues in fiscal year 2018 but no single client accounted for more than 10% of our consolidated revenues.   </t>
  </si>
  <si>
    <t xml:space="preserve">Competitors for our Connectivity services are typically also members of our partner ecosystem, creating a paradigm where competition is the norm. Our primary competitors are companies that </t>
  </si>
  <si>
    <t xml:space="preserve">sell data onboarding as part of a suite of marketing applications or services. Walled gardens that offer a direct interface for matching CRM data compete for a portion of our services, particularly </t>
  </si>
  <si>
    <t xml:space="preserve">amongst marketers that have not yet adopted in-house platforms for programmatic marketing or attribution. Some providers of tag management, data management, and cross-device marketing </t>
  </si>
  <si>
    <t xml:space="preserve">solutions have adopted positioning similar to our Connectivity business and compete for mindshare. </t>
  </si>
  <si>
    <t xml:space="preserve">Our Connectivity segment primarily generates revenue from monthly recurring subscription fees sold on an annual basis. To a lesser extent, it also generates revenue from data providers and </t>
  </si>
  <si>
    <t>certain digital publishers in the form of revenue-sharing agreements.</t>
  </si>
  <si>
    <t>Management</t>
  </si>
  <si>
    <t xml:space="preserve">Scott E. Howe, age 50, joined the Company in 2011 as its Chief Executive Officer and President.  He currently serves on and chairs the Executive Committee of </t>
  </si>
  <si>
    <t xml:space="preserve">the Company’s board of directors.  Prior to joining Acxiom, he served as corporate vice president of Microsoft Advertising Business Group from 2007–2010.  In </t>
  </si>
  <si>
    <t xml:space="preserve">this role, he managed a multi-billion dollar business encompassing all emerging businesses related to online advertising, including search, display, ad networks, </t>
  </si>
  <si>
    <t xml:space="preserve">in-game, mobile, digital cable and a variety of enterprise software applications.  In 2010, he co-founded and served as interim CEO and president of King of the </t>
  </si>
  <si>
    <t xml:space="preserve">Web, Inc., a portfolio of online game shows.  Mr. Howe was employed from 1999–2007 as an executive and later as a corporate officer at aQuantive, Inc. where </t>
  </si>
  <si>
    <t xml:space="preserve">he managed three lines of business, including Avenue A|Razorfish (a leading Seattle-based global consultancy in digital marketing and technology), DRIVE </t>
  </si>
  <si>
    <t xml:space="preserve">Performance Media (now Microsoft Media Network), and Atlas International (an ad serving technology now owned by Facebook).  Earlier in his career, he was </t>
  </si>
  <si>
    <t xml:space="preserve">with The Boston Consulting Group and Kidder, Peabody &amp; Company, Inc.  He previously served on the boards of Blue Nile, Inc. (NASDAQ: NILE), a leading online </t>
  </si>
  <si>
    <t xml:space="preserve">retailer of diamonds and fine jewelry, the Internet Advertising Bureau (IAB) and the Center for Medical Weight Loss.  He is a magna cum laude graduate of </t>
  </si>
  <si>
    <t>Princeton University, where he earned a degree in economics, and he holds an MBA from Harvard University.</t>
  </si>
  <si>
    <t xml:space="preserve">James F. Arra, age 52, was divisional co-president of the Company’s Connectivity Division, a position he held from September 2017 through the end of our fiscal </t>
  </si>
  <si>
    <t xml:space="preserve">year ended March 31, 2018. Beginning in fiscal 2019, he assumed the position of divisional co-president of the Company's LiveRamp division. In this role, he is </t>
  </si>
  <si>
    <t xml:space="preserve">responsible for leading the go-to-market strategy for LiveRamp’s client verticals: brands, agencies, data providers, platforms and publishers. Since joining LiveRamp </t>
  </si>
  <si>
    <t xml:space="preserve">in 2013, Mr. Arra has held several key leadership roles, most recently serving as Chief Operating Officer. From 2009 to 2012, Mr. Arra was Vice President of </t>
  </si>
  <si>
    <t xml:space="preserve">worldwide sales at TRUSTe, where he helped grow the company from less than 1,000 customers to more than 6,000 customers in just over three years. Prior to </t>
  </si>
  <si>
    <t xml:space="preserve">TRUSTe, he was in a sales leadership role at Vontu, a data security company that was acquired by Symantec, and before that was a vice president and general </t>
  </si>
  <si>
    <t xml:space="preserve">manager at FreeMarkets, a publicly traded SaaS company that subsequently merged with Ariba. Mr. Arra holds a bachelor’s degree in electrical engineering with </t>
  </si>
  <si>
    <t>a minor in quantitative economics and decision theory from the University of California, San Diego.</t>
  </si>
  <si>
    <t xml:space="preserve">Anneka R. Gupta, age 30, was divisional co-president of the Company's Connectivity Division, a position she held from September 2017 through the end of our </t>
  </si>
  <si>
    <t xml:space="preserve">fiscal year ended March 31, 2018. Beginning in fiscal 2019, she assumed the position of co-president of the Company's LiveRamp division. She is responsible for </t>
  </si>
  <si>
    <t xml:space="preserve">leading LiveRamp’s product, engineering, marketing, and general and administrative functions. Previously Ms. Gupta was LiveRamp’s chief product officer, </t>
  </si>
  <si>
    <t xml:space="preserve">overseeing product strategy and execution. During her seven-year tenure at LiveRamp (which was acquired by Acxiom in 2014), Ms. Gupta has led successful </t>
  </si>
  <si>
    <t xml:space="preserve">efforts in a variety of disciplines, including marketing, recruiting, product management and software development. In 2016, Ms. Gupta was recognized as a “Top </t>
  </si>
  <si>
    <t>10 Digital Marketing Innovator” by AdAge magazine. She holds a bachelor’s degree in math and computational sciences from Stanford University and has</t>
  </si>
  <si>
    <t xml:space="preserve"> completed the Executive Program at the Stanford University Graduate School of Business.</t>
  </si>
  <si>
    <t>Risks</t>
  </si>
  <si>
    <t xml:space="preserve">Changes in legislative, judicial, regulatory, or cultural environments relating to information collection and use may limit our ability to collect and use data.  Such developments could cause revenues </t>
  </si>
  <si>
    <t>to decline, increase the cost and availability of data and adversely affect the demand for our products and services.</t>
  </si>
  <si>
    <t>In the U.S., the U.S. Congress and state legislatures, along with federal regulatory authorities have recently increased their attention on matters concerning the collection and use of consumer data.</t>
  </si>
  <si>
    <t xml:space="preserve">collection or use of such data.  In Europe, the reverse is true.  If the European “opt-in” model were to be adopted in the U.S., less data would be available and the cost of data would be higher. </t>
  </si>
  <si>
    <t xml:space="preserve">Decreased availability and increased costs of information could adversely affect our ability to meet our clients’ requirements and could result in decreased revenues. In addition to government </t>
  </si>
  <si>
    <t>regulation, privacy advocacy and industry groups may propose new and different self-regulatory standards that either legally or contractually apply to us or our clients</t>
  </si>
  <si>
    <t xml:space="preserve">In the U.S., non-sensitive consumer data generally may be used under current rules and regulations, subject to certain restrictions, so long as the person does not affirmatively “opt-out” of the </t>
  </si>
  <si>
    <t xml:space="preserve">In Europe, the European General Data Protection Regulation ("GDPR") took effect on May 25, 2018 and applies to products and services that we provide in Europe. The GDPR includes operational </t>
  </si>
  <si>
    <t xml:space="preserve">requirements for companies that receive or process personal data of residents of the European Union that are different than those that were in place in the European Union. For example, we will </t>
  </si>
  <si>
    <t xml:space="preserve">be required to offer new controls to data subjects in Europe before processing data for certain aspects of our service. In addition, the GDPR includes significant penalties for non-compliance. In </t>
  </si>
  <si>
    <t xml:space="preserve">addition, some countries are considering or have passed legislation implementing data protection requirements or requiring local storage and processing of data or similar requirements that could </t>
  </si>
  <si>
    <t xml:space="preserve">increase the cost and complexity of delivering our services. Any failure to achieve required data protection standards may result in lawsuits, regulatory fines, or other actions or liability, all of which </t>
  </si>
  <si>
    <t>may harm our operating results</t>
  </si>
  <si>
    <t xml:space="preserve">In June 2016, a referendum was passed in the United Kingdom to leave the European Union, commonly referred to as “Brexit.” This decision creates an uncertain political and economic environment </t>
  </si>
  <si>
    <t xml:space="preserve">in the United Kingdom and other European Union countries, even though the formal process for leaving the European Union may take years to complete. For example, it is unclear whether the </t>
  </si>
  <si>
    <t xml:space="preserve">United Kingdom will enact data protection laws or regulations designed to be consistent with GDPR and how data transfers to and from the United Kingdom will be regulated. A Data Protection Bill </t>
  </si>
  <si>
    <t xml:space="preserve">is undergoing the legislative process in the United Kingdom that generally would be consistent with the GDPR, but it is unclear whether this bill ultimately will be enacted. The full effect of Brexit is </t>
  </si>
  <si>
    <t xml:space="preserve">uncertain and depends on any agreements the United Kingdom may make to retain access to European Union markets. Consequently, no assurance can be given about the impact of the outcome </t>
  </si>
  <si>
    <t>and our business may be seriously harmed.</t>
  </si>
  <si>
    <t xml:space="preserve">Data suppliers may withdraw data that we have previously collected or withhold data from us in the future, leading to our inability to provide products and services to our clients, which could lead </t>
  </si>
  <si>
    <t>to a decrease in revenue and loss of client confidence.</t>
  </si>
  <si>
    <t xml:space="preserve">Much of the data that we use is either purchased or licensed from third-party data suppliers, and we are dependent upon our ability to obtain necessary data licenses on commercially reasonable terms.  </t>
  </si>
  <si>
    <t xml:space="preserve">We compile the remainder of the data that we use from public record sources.  We could suffer material adverse consequences if our data suppliers were to withhold their data from us, which could occur </t>
  </si>
  <si>
    <t xml:space="preserve">either because we fail to maintain sufficient relationships with the suppliers or if they decline to provide, or are prohibited from providing, such data to us due to legal, contractual, privacy, competition or </t>
  </si>
  <si>
    <t xml:space="preserve">other economic concerns.  For example, data suppliers could withhold their data from us if there is a competitive reason to do so, if we breach our contract with a supplier, if they are acquired by one of </t>
  </si>
  <si>
    <t xml:space="preserve">our competitors, if legislation is passed restricting the use or dissemination of the data they provide or if judicial interpretations are issued restricting use of such data.  Additionally, we could terminate </t>
  </si>
  <si>
    <t xml:space="preserve">relationships with our data suppliers if they fail to adhere to our data quality standards.  If a substantial number of data suppliers were to withdraw or withhold their data from us, or if we sever ties with </t>
  </si>
  <si>
    <t xml:space="preserve">our data suppliers based on their inability to meet our data standards, our ability to provide products and services to our clients could be materially adversely impacted, which could result in decreased </t>
  </si>
  <si>
    <t>revenues, net income and earnings per share.</t>
  </si>
  <si>
    <t>Date of Tender Announcement</t>
  </si>
  <si>
    <t>Tender Expiration</t>
  </si>
  <si>
    <t>Market Unaffected Date</t>
  </si>
  <si>
    <t>NYSE Composite Index</t>
  </si>
  <si>
    <t>NASDAQ Global Market Index</t>
  </si>
  <si>
    <t>Dow Jones Industrial Average Index</t>
  </si>
  <si>
    <t>S&amp;P 500 Index</t>
  </si>
  <si>
    <t>NYA INDEX</t>
  </si>
  <si>
    <t>CCMP INDEX</t>
  </si>
  <si>
    <t>INDU INDEX</t>
  </si>
  <si>
    <t>SPX INDEX</t>
  </si>
  <si>
    <t>Today</t>
  </si>
  <si>
    <t>Change %</t>
  </si>
  <si>
    <t>TTD</t>
  </si>
  <si>
    <t>CRM EQUITY</t>
  </si>
  <si>
    <t>DATA EQUITY</t>
  </si>
  <si>
    <t>WDAY EQUITY</t>
  </si>
  <si>
    <t>SPLK EQUITY</t>
  </si>
  <si>
    <t>NOW EQUITY</t>
  </si>
  <si>
    <t>TTD EQUITY</t>
  </si>
  <si>
    <t>TWLO</t>
  </si>
  <si>
    <t>OKTA</t>
  </si>
  <si>
    <t>ZEN</t>
  </si>
  <si>
    <t>YEXT</t>
  </si>
  <si>
    <t>HUBS</t>
  </si>
  <si>
    <t>SEND</t>
  </si>
  <si>
    <t>COMPOSITE (ALL)</t>
  </si>
  <si>
    <t>LARGE CAP SAAS</t>
  </si>
  <si>
    <t>Bear Case Scenario (Assumes only 25% growth then 20% growth next 2 years)</t>
  </si>
  <si>
    <t>Tender Price Range (and Increments)</t>
  </si>
  <si>
    <t>Where are we?</t>
  </si>
  <si>
    <t>through range</t>
  </si>
  <si>
    <t>Valuation Summary (Consensus)</t>
  </si>
  <si>
    <t>Large Cap</t>
  </si>
  <si>
    <t>Proxy Peers</t>
  </si>
  <si>
    <t>Composite</t>
  </si>
  <si>
    <t>TWLO EQUITY</t>
  </si>
  <si>
    <t>OKTA EQUITY</t>
  </si>
  <si>
    <t>ZEN EQUITY</t>
  </si>
  <si>
    <t>YEXT EQUITY</t>
  </si>
  <si>
    <t>HUBS EQUITY</t>
  </si>
  <si>
    <t>SEND EQUITY</t>
  </si>
  <si>
    <t>PROXY PEERS (SMALL CAP SAAS ex-TWLO/SEND)</t>
  </si>
  <si>
    <t>Gross Profit</t>
  </si>
  <si>
    <t>Gross Margin %</t>
  </si>
  <si>
    <t>Consensus Gross Margin %</t>
  </si>
  <si>
    <t>CAGR 'F18-F21</t>
  </si>
  <si>
    <t>Revenue guidance (midpoint)</t>
  </si>
  <si>
    <t>Operating Income</t>
  </si>
  <si>
    <t>Consensus Operating Income</t>
  </si>
  <si>
    <t>Gross Profit guidance (midpoint)</t>
  </si>
  <si>
    <t>Operating Income guidance (midpoint)</t>
  </si>
  <si>
    <t>&gt; $0</t>
  </si>
  <si>
    <t>H1'FY19A</t>
  </si>
  <si>
    <t>H2'FY19E</t>
  </si>
  <si>
    <t>"Long Term"</t>
  </si>
  <si>
    <t>&gt; $1,000M</t>
  </si>
  <si>
    <t>&gt; 75%</t>
  </si>
  <si>
    <t>&gt; 25% margin</t>
  </si>
  <si>
    <t>Operating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</si>
</sst>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_);\(#,##0.0\)"/>
    <numFmt numFmtId="165" formatCode="0.0%;\(0.0%\)"/>
    <numFmt numFmtId="166" formatCode="0%;\(0%\)"/>
    <numFmt numFmtId="167" formatCode="0.0\x"/>
    <numFmt numFmtId="168" formatCode="#,##0.000_);\(#,##0.000\)"/>
    <numFmt numFmtId="169" formatCode="_(* #,##0_);_(* \(#,##0\);_(* &quot;-&quot;??_);_(@_)"/>
    <numFmt numFmtId="170" formatCode="0.0%"/>
    <numFmt numFmtId="171" formatCode="#,##0.0000000000_);\(#,##0.0000000000\)"/>
    <numFmt numFmtId="172" formatCode="_(&quot;$&quot;* #,##0_);_(&quot;$&quot;* \(#,##0\);_(&quot;$&quot;* &quot;-&quot;??_);_(@_)"/>
    <numFmt numFmtId="173" formatCode="0.0\x;\(0.0\x\)"/>
    <numFmt numFmtId="174" formatCode="0.0"/>
    <numFmt numFmtId="175" formatCode="&quot;$&quot;#,##0"/>
    <numFmt numFmtId="176" formatCode="&quot;$&quot;#,##0.00"/>
    <numFmt numFmtId="177" formatCode="0_);\(0\)"/>
    <numFmt numFmtId="178" formatCode="#,##0.0"/>
    <numFmt numFmtId="179" formatCode="&quot;$&quot;#,##0.000_);\(&quot;$&quot;#,##0.000\)"/>
    <numFmt numFmtId="180" formatCode="_(* #,##0.0_);_(* \(#,##0.0\);_(* &quot;-&quot;??_);_(@_)"/>
    <numFmt numFmtId="181" formatCode="#,##0.0_);[Red]\(#,##0.0\)"/>
    <numFmt numFmtId="182" formatCode="#,##0.0\ ;\(#,##0.0\)"/>
    <numFmt numFmtId="183" formatCode="#,##0\ ;\(#,##0.0\)"/>
    <numFmt numFmtId="184" formatCode="&quot;$&quot;0.00_)"/>
    <numFmt numFmtId="185" formatCode="#,##0&quot;%&quot;"/>
    <numFmt numFmtId="186" formatCode="#,##0___);\(#,##0.00\)"/>
    <numFmt numFmtId="187" formatCode="_(* #,##0,,_);_(* \(#,##0,,\);_(* &quot;-&quot;_)"/>
    <numFmt numFmtId="188" formatCode="_(* #,##0_);[Red]_(* \(#,##0\);_(* &quot;&quot;&quot;&quot;&quot;&quot;&quot;&quot;\ \-\ &quot;&quot;&quot;&quot;&quot;&quot;&quot;&quot;_);_(@_)"/>
    <numFmt numFmtId="189" formatCode="_(* #,##0,_);[Red]_(* \(#,##0,\);_(* &quot;&quot;&quot;&quot;&quot;&quot;&quot;&quot;\ \-\ &quot;&quot;&quot;&quot;&quot;&quot;&quot;&quot;_);_(@_)"/>
    <numFmt numFmtId="190" formatCode="0%;\(0%\);;"/>
    <numFmt numFmtId="191" formatCode="0%;\(0%\);&quot;-&quot;"/>
    <numFmt numFmtId="192" formatCode="#,##0_);[Red]\(#,##0\);&quot;-&quot;"/>
    <numFmt numFmtId="193" formatCode="*-"/>
    <numFmt numFmtId="194" formatCode="#,##0;\-#,##0;&quot;-&quot;"/>
    <numFmt numFmtId="195" formatCode="_._.&quot;$&quot;* \(#,##0\)_%;_._.&quot;$&quot;* #,##0_)_%;_._.&quot;$&quot;* 0_)_%;_._.@_)_%"/>
    <numFmt numFmtId="196" formatCode="_._.* \(#,##0\)_%;_._.* #,##0_)_%;_._.* 0_)_%;_._.@_)_%"/>
    <numFmt numFmtId="197" formatCode="&quot;$&quot;#,##0;\-&quot;$&quot;#,##0"/>
    <numFmt numFmtId="198" formatCode="_-&quot;$&quot;* #,##0_-;\-&quot;$&quot;* #,##0_-;_-&quot;$&quot;* &quot;-&quot;_-;_-@_-"/>
    <numFmt numFmtId="199" formatCode="_-&quot;$&quot;* #,##0.00_-;\-&quot;$&quot;* #,##0.00_-;_-&quot;$&quot;* &quot;-&quot;??_-;_-@_-"/>
    <numFmt numFmtId="200" formatCode="#,##0;\(#,##0\)"/>
    <numFmt numFmtId="201" formatCode="&quot;SFr.&quot;\ #,##0.00;&quot;SFr.&quot;\ \-#,##0.00"/>
    <numFmt numFmtId="202" formatCode="#,##0.00;\-#,##0.00;&quot;-&quot;"/>
    <numFmt numFmtId="203" formatCode="* #,##0.00_);\(#,##0.00\)"/>
    <numFmt numFmtId="204" formatCode="_([$€-2]* #,##0.00_);_([$€-2]* \(#,##0.00\);_([$€-2]* &quot;-&quot;??_)"/>
    <numFmt numFmtId="205" formatCode="0.0_)\%;\(0.0\)\%;0.0_)\%;@_)_%"/>
    <numFmt numFmtId="206" formatCode="#,##0.0_)_%;\(#,##0.0\)_%;0.0_)_%;@_)_%"/>
    <numFmt numFmtId="207" formatCode="#,##0.0_);\(#,##0.0\);#,##0.0_);@_)"/>
    <numFmt numFmtId="208" formatCode="&quot;$&quot;_(#,##0.00_);&quot;$&quot;\(#,##0.00\);&quot;$&quot;_(0.00_);@_)"/>
    <numFmt numFmtId="209" formatCode="#,##0.00_);\(#,##0.00\);0.00_);@_)"/>
    <numFmt numFmtId="210" formatCode="\€_(#,##0.00_);\€\(#,##0.00\);\€_(0.00_);@_)"/>
    <numFmt numFmtId="211" formatCode="#,##0_)\x;\(#,##0\)\x;0_)\x;@_)_x"/>
    <numFmt numFmtId="212" formatCode="#,##0_)_x;\(#,##0\)_x;0_)_x;@_)_x"/>
    <numFmt numFmtId="213" formatCode="#,##0.0000;\-#,##0.0000"/>
    <numFmt numFmtId="214" formatCode="#,##0.000000;\-#,##0.000000"/>
    <numFmt numFmtId="215" formatCode="#,##0.0;\-#,##0.0"/>
    <numFmt numFmtId="216" formatCode="#,##0.000;\-#,##0.000"/>
    <numFmt numFmtId="217" formatCode="#,##0.00000;\-#,##0.00000"/>
    <numFmt numFmtId="218" formatCode="#,##0.0000000;\-#,##0.0000000"/>
    <numFmt numFmtId="219" formatCode="#,##0.00000000;\-#,##0.00000000"/>
    <numFmt numFmtId="220" formatCode="#,##0.000000000;\-#,##0.000000000"/>
    <numFmt numFmtId="221" formatCode="#,##0.0000000000;\-#,##0.0000000000"/>
    <numFmt numFmtId="222" formatCode="_-* #,##0\ _D_M_-;\-* #,##0\ _D_M_-;_-* &quot;-&quot;\ _D_M_-;_-@_-"/>
    <numFmt numFmtId="223" formatCode="_-* #,##0.00\ _D_M_-;\-* #,##0.00\ _D_M_-;_-* &quot;-&quot;??\ _D_M_-;_-@_-"/>
    <numFmt numFmtId="224" formatCode="_-* #,##0\ &quot;DM&quot;_-;\-* #,##0\ &quot;DM&quot;_-;_-* &quot;-&quot;\ &quot;DM&quot;_-;_-@_-"/>
    <numFmt numFmtId="225" formatCode="_-* #,##0.00\ &quot;DM&quot;_-;\-* #,##0.00\ &quot;DM&quot;_-;_-* &quot;-&quot;??\ &quot;DM&quot;_-;_-@_-"/>
    <numFmt numFmtId="226" formatCode="0.000000"/>
    <numFmt numFmtId="227" formatCode="&quot;£&quot;#,##0;[Red]\-&quot;£&quot;#,##0"/>
    <numFmt numFmtId="228" formatCode="0.00_);[Red]\(0.00\)"/>
    <numFmt numFmtId="229" formatCode="&quot;£&quot;#,##0.00;[Red]\-&quot;£&quot;#,##0.00"/>
    <numFmt numFmtId="230" formatCode="_(* #,##0.000_);_(* \(#,##0.000\);_(* &quot;-&quot;_);_(@_)"/>
    <numFmt numFmtId="231" formatCode="_-&quot;£&quot;* #,##0_-;\-&quot;£&quot;* #,##0_-;_-&quot;£&quot;* &quot;-&quot;_-;_-@_-"/>
    <numFmt numFmtId="232" formatCode="_(&quot;$&quot;* #,##0,_);_(&quot;$&quot;* \(#,##0,\);_(&quot;$&quot;* &quot;-&quot;_);_(@_)"/>
    <numFmt numFmtId="233" formatCode="&quot;SFr.&quot;#,##0;[Red]&quot;SFr.&quot;\-#,##0"/>
    <numFmt numFmtId="234" formatCode="_-&quot;£&quot;* #,##0.00_-;\-&quot;£&quot;* #,##0.00_-;_-&quot;£&quot;* &quot;-&quot;??_-;_-@_-"/>
    <numFmt numFmtId="235" formatCode="#,##0;[Red]\(#,##0\)"/>
    <numFmt numFmtId="236" formatCode="0.0_);\(0.0\)"/>
    <numFmt numFmtId="237" formatCode="#,##0.00000_);\(#,##0.00000\)"/>
    <numFmt numFmtId="238" formatCode="#,##0.0000_);\(#,##0.0000\)"/>
    <numFmt numFmtId="239" formatCode="0.000"/>
    <numFmt numFmtId="240" formatCode="_(* #,##0.000_);_(* \(#,##0.000\);_(* &quot;-&quot;??_);_(@_)"/>
    <numFmt numFmtId="241" formatCode="General&quot;E&quot;"/>
    <numFmt numFmtId="242" formatCode="0.0\x_);\(0.0\x\);_(@_)"/>
    <numFmt numFmtId="243" formatCode="#,##0.0%_);\(#,##0.0%\)"/>
    <numFmt numFmtId="244" formatCode="0.0000"/>
    <numFmt numFmtId="245" formatCode="&quot;$&quot;#,##0.0"/>
    <numFmt numFmtId="246" formatCode="&quot;$&quot;#,##0.0_);\(&quot;$&quot;#,##0.0\)"/>
  </numFmts>
  <fonts count="140" x14ac:knownFonts="1">
    <font>
      <sz val="8"/>
      <color theme="1"/>
      <name val="Book Antiqu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8"/>
      <color indexed="12"/>
      <name val="Book Antiqua"/>
      <family val="1"/>
    </font>
    <font>
      <sz val="8"/>
      <name val="Book Antiqua"/>
      <family val="1"/>
    </font>
    <font>
      <b/>
      <sz val="8"/>
      <name val="Book Antiqua"/>
      <family val="1"/>
    </font>
    <font>
      <i/>
      <sz val="8"/>
      <name val="Book Antiqua"/>
      <family val="1"/>
    </font>
    <font>
      <b/>
      <sz val="8"/>
      <color indexed="14"/>
      <name val="Book Antiqua"/>
      <family val="1"/>
    </font>
    <font>
      <b/>
      <u/>
      <sz val="8"/>
      <name val="Book Antiqua"/>
      <family val="1"/>
    </font>
    <font>
      <sz val="8"/>
      <color indexed="14"/>
      <name val="Book Antiqua"/>
      <family val="1"/>
    </font>
    <font>
      <b/>
      <sz val="8"/>
      <color indexed="12"/>
      <name val="Book Antiqua"/>
      <family val="1"/>
    </font>
    <font>
      <u/>
      <sz val="8"/>
      <color indexed="12"/>
      <name val="Book Antiqua"/>
      <family val="1"/>
    </font>
    <font>
      <u/>
      <sz val="8"/>
      <name val="Book Antiqua"/>
      <family val="1"/>
    </font>
    <font>
      <b/>
      <i/>
      <sz val="8"/>
      <name val="Book Antiqua"/>
      <family val="1"/>
    </font>
    <font>
      <i/>
      <sz val="8"/>
      <color indexed="12"/>
      <name val="Book Antiqua"/>
      <family val="1"/>
    </font>
    <font>
      <sz val="8"/>
      <color indexed="16"/>
      <name val="Book Antiqua"/>
      <family val="1"/>
    </font>
    <font>
      <sz val="8"/>
      <color indexed="17"/>
      <name val="Book Antiqua"/>
      <family val="1"/>
    </font>
    <font>
      <u/>
      <sz val="8"/>
      <color indexed="17"/>
      <name val="Book Antiqua"/>
      <family val="1"/>
    </font>
    <font>
      <i/>
      <sz val="8"/>
      <color indexed="10"/>
      <name val="Book Antiqua"/>
      <family val="1"/>
    </font>
    <font>
      <b/>
      <i/>
      <sz val="8"/>
      <color indexed="8"/>
      <name val="Book Antiqua"/>
      <family val="1"/>
    </font>
    <font>
      <i/>
      <sz val="8"/>
      <color indexed="8"/>
      <name val="Book Antiqua"/>
      <family val="1"/>
    </font>
    <font>
      <sz val="8"/>
      <color indexed="8"/>
      <name val="Book Antiqua"/>
      <family val="1"/>
    </font>
    <font>
      <b/>
      <sz val="8"/>
      <color indexed="8"/>
      <name val="Book Antiqua"/>
      <family val="1"/>
    </font>
    <font>
      <u/>
      <sz val="8"/>
      <color indexed="8"/>
      <name val="Book Antiqua"/>
      <family val="1"/>
    </font>
    <font>
      <i/>
      <u/>
      <sz val="8"/>
      <color indexed="12"/>
      <name val="Book Antiqua"/>
      <family val="1"/>
    </font>
    <font>
      <u/>
      <sz val="8"/>
      <color indexed="16"/>
      <name val="Book Antiqua"/>
      <family val="1"/>
    </font>
    <font>
      <i/>
      <sz val="8"/>
      <color indexed="17"/>
      <name val="Book Antiqua"/>
      <family val="1"/>
    </font>
    <font>
      <sz val="8"/>
      <color indexed="60"/>
      <name val="Book Antiqua"/>
      <family val="1"/>
    </font>
    <font>
      <u/>
      <sz val="8"/>
      <color indexed="60"/>
      <name val="Book Antiqua"/>
      <family val="1"/>
    </font>
    <font>
      <b/>
      <u/>
      <sz val="8"/>
      <color indexed="12"/>
      <name val="Book Antiqua"/>
      <family val="1"/>
    </font>
    <font>
      <b/>
      <sz val="8"/>
      <color indexed="17"/>
      <name val="Book Antiqua"/>
      <family val="1"/>
    </font>
    <font>
      <sz val="8"/>
      <color indexed="10"/>
      <name val="Book Antiqua"/>
      <family val="1"/>
    </font>
    <font>
      <b/>
      <sz val="8"/>
      <color indexed="10"/>
      <name val="Book Antiqua"/>
      <family val="1"/>
    </font>
    <font>
      <b/>
      <i/>
      <sz val="8"/>
      <color indexed="10"/>
      <name val="Book Antiqua"/>
      <family val="1"/>
    </font>
    <font>
      <b/>
      <i/>
      <sz val="8"/>
      <color indexed="12"/>
      <name val="Book Antiqua"/>
      <family val="1"/>
    </font>
    <font>
      <i/>
      <sz val="8"/>
      <color indexed="16"/>
      <name val="Book Antiqua"/>
      <family val="1"/>
    </font>
    <font>
      <sz val="8"/>
      <color indexed="81"/>
      <name val="Tahoma"/>
      <family val="2"/>
    </font>
    <font>
      <b/>
      <sz val="8"/>
      <color indexed="81"/>
      <name val="Tahoma"/>
      <family val="2"/>
    </font>
    <font>
      <i/>
      <sz val="8"/>
      <color indexed="9"/>
      <name val="Book Antiqua"/>
      <family val="1"/>
    </font>
    <font>
      <sz val="8"/>
      <color indexed="9"/>
      <name val="Book Antiqua"/>
      <family val="1"/>
    </font>
    <font>
      <b/>
      <u/>
      <sz val="8"/>
      <color indexed="17"/>
      <name val="Book Antiqua"/>
      <family val="1"/>
    </font>
    <font>
      <b/>
      <i/>
      <sz val="8"/>
      <color indexed="17"/>
      <name val="Book Antiqua"/>
      <family val="1"/>
    </font>
    <font>
      <i/>
      <sz val="8"/>
      <color indexed="60"/>
      <name val="Book Antiqua"/>
      <family val="1"/>
    </font>
    <font>
      <b/>
      <sz val="8"/>
      <color indexed="16"/>
      <name val="Book Antiqua"/>
      <family val="1"/>
    </font>
    <font>
      <b/>
      <sz val="8"/>
      <color indexed="60"/>
      <name val="Book Antiqua"/>
      <family val="1"/>
    </font>
    <font>
      <sz val="8"/>
      <color indexed="57"/>
      <name val="Book Antiqua"/>
      <family val="1"/>
    </font>
    <font>
      <sz val="9"/>
      <color indexed="81"/>
      <name val="Tahoma"/>
      <family val="2"/>
    </font>
    <font>
      <b/>
      <sz val="9"/>
      <color indexed="81"/>
      <name val="Tahoma"/>
      <family val="2"/>
    </font>
    <font>
      <sz val="10"/>
      <color indexed="8"/>
      <name val="Arial"/>
      <family val="2"/>
    </font>
    <font>
      <sz val="10"/>
      <name val="Tms Rmn"/>
    </font>
    <font>
      <sz val="10"/>
      <name val="Helv"/>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8"/>
      <name val="Helv"/>
    </font>
    <font>
      <b/>
      <sz val="12"/>
      <name val="Tms Rmn"/>
    </font>
    <font>
      <b/>
      <i/>
      <sz val="12"/>
      <name val="Tms Rmn"/>
    </font>
    <font>
      <b/>
      <sz val="10"/>
      <name val="MS Sans Serif"/>
      <family val="2"/>
    </font>
    <font>
      <b/>
      <sz val="11"/>
      <name val="Arial"/>
      <family val="2"/>
    </font>
    <font>
      <b/>
      <sz val="10"/>
      <name val="Arial"/>
      <family val="2"/>
    </font>
    <font>
      <sz val="10"/>
      <name val="MS Sans Serif"/>
      <family val="2"/>
    </font>
    <font>
      <sz val="10"/>
      <color indexed="0"/>
      <name val="MS Sans Serif"/>
      <family val="2"/>
    </font>
    <font>
      <b/>
      <sz val="14"/>
      <name val="Arial"/>
      <family val="2"/>
    </font>
    <font>
      <sz val="11"/>
      <color indexed="12"/>
      <name val="Times New Roman"/>
      <family val="1"/>
    </font>
    <font>
      <sz val="11"/>
      <name val="Times New Roman"/>
      <family val="1"/>
    </font>
    <font>
      <sz val="10"/>
      <color indexed="12"/>
      <name val="Helv"/>
    </font>
    <font>
      <sz val="8"/>
      <color indexed="18"/>
      <name val="Helv"/>
    </font>
    <font>
      <b/>
      <u/>
      <sz val="10"/>
      <color indexed="8"/>
      <name val="Times New Roman"/>
      <family val="1"/>
    </font>
    <font>
      <sz val="10"/>
      <color indexed="12"/>
      <name val="Arial"/>
      <family val="2"/>
    </font>
    <font>
      <b/>
      <sz val="12"/>
      <name val="Arial"/>
      <family val="2"/>
    </font>
    <font>
      <sz val="10"/>
      <color indexed="14"/>
      <name val="Arial"/>
      <family val="2"/>
    </font>
    <font>
      <sz val="10"/>
      <color indexed="10"/>
      <name val="Arial"/>
      <family val="2"/>
    </font>
    <font>
      <b/>
      <sz val="10"/>
      <color indexed="10"/>
      <name val="Arial"/>
      <family val="2"/>
    </font>
    <font>
      <sz val="8"/>
      <name val="Tms Rmn"/>
    </font>
    <font>
      <sz val="12"/>
      <name val="Times New Roman"/>
      <family val="1"/>
    </font>
    <font>
      <sz val="7"/>
      <name val="Small Fonts"/>
      <family val="2"/>
    </font>
    <font>
      <b/>
      <u/>
      <sz val="26"/>
      <color indexed="9"/>
      <name val="Arial"/>
      <family val="2"/>
    </font>
    <font>
      <sz val="12"/>
      <name val="Helv"/>
    </font>
    <font>
      <sz val="10"/>
      <name val="Helv"/>
      <family val="2"/>
    </font>
    <font>
      <sz val="12"/>
      <name val="Helv"/>
      <family val="2"/>
    </font>
    <font>
      <sz val="10"/>
      <name val="Trebuchet MS"/>
      <family val="2"/>
    </font>
    <font>
      <sz val="10"/>
      <name val="Tms Rmn"/>
      <family val="1"/>
    </font>
    <font>
      <sz val="11"/>
      <color indexed="8"/>
      <name val="Calibri"/>
      <family val="2"/>
    </font>
    <font>
      <u/>
      <sz val="10"/>
      <color indexed="12"/>
      <name val="Arial"/>
      <family val="2"/>
    </font>
    <font>
      <sz val="8"/>
      <color theme="1"/>
      <name val="Book Antiqua"/>
      <family val="2"/>
    </font>
    <font>
      <sz val="8"/>
      <color theme="0"/>
      <name val="Book Antiqua"/>
      <family val="2"/>
    </font>
    <font>
      <sz val="8"/>
      <color rgb="FF9C0006"/>
      <name val="Book Antiqua"/>
      <family val="2"/>
    </font>
    <font>
      <sz val="11"/>
      <color theme="1"/>
      <name val="Calibri"/>
      <family val="2"/>
      <scheme val="minor"/>
    </font>
    <font>
      <b/>
      <sz val="8"/>
      <color rgb="FFFA7D00"/>
      <name val="Book Antiqua"/>
      <family val="2"/>
    </font>
    <font>
      <b/>
      <sz val="8"/>
      <color theme="0"/>
      <name val="Book Antiqua"/>
      <family val="2"/>
    </font>
    <font>
      <sz val="10"/>
      <color theme="1"/>
      <name val="Arial"/>
      <family val="2"/>
    </font>
    <font>
      <i/>
      <sz val="8"/>
      <color rgb="FF7F7F7F"/>
      <name val="Book Antiqua"/>
      <family val="2"/>
    </font>
    <font>
      <sz val="8"/>
      <color rgb="FF006100"/>
      <name val="Book Antiqua"/>
      <family val="2"/>
    </font>
    <font>
      <b/>
      <sz val="15"/>
      <color theme="3"/>
      <name val="Book Antiqua"/>
      <family val="2"/>
    </font>
    <font>
      <b/>
      <sz val="13"/>
      <color theme="3"/>
      <name val="Book Antiqua"/>
      <family val="2"/>
    </font>
    <font>
      <b/>
      <sz val="11"/>
      <color theme="3"/>
      <name val="Book Antiqua"/>
      <family val="2"/>
    </font>
    <font>
      <u/>
      <sz val="11"/>
      <color theme="10"/>
      <name val="Calibri"/>
      <family val="2"/>
    </font>
    <font>
      <u/>
      <sz val="10"/>
      <color theme="10"/>
      <name val="Trebuchet MS"/>
      <family val="2"/>
    </font>
    <font>
      <u/>
      <sz val="11"/>
      <color theme="10"/>
      <name val="Calibri"/>
      <family val="2"/>
      <scheme val="minor"/>
    </font>
    <font>
      <sz val="8"/>
      <color rgb="FF3F3F76"/>
      <name val="Book Antiqua"/>
      <family val="2"/>
    </font>
    <font>
      <sz val="8"/>
      <color rgb="FFFA7D00"/>
      <name val="Book Antiqua"/>
      <family val="2"/>
    </font>
    <font>
      <sz val="8"/>
      <color rgb="FF9C6500"/>
      <name val="Book Antiqua"/>
      <family val="2"/>
    </font>
    <font>
      <b/>
      <sz val="8"/>
      <color rgb="FF3F3F3F"/>
      <name val="Book Antiqua"/>
      <family val="2"/>
    </font>
    <font>
      <b/>
      <sz val="8"/>
      <color theme="1"/>
      <name val="Book Antiqua"/>
      <family val="2"/>
    </font>
    <font>
      <sz val="8"/>
      <color rgb="FFFF0000"/>
      <name val="Book Antiqua"/>
      <family val="2"/>
    </font>
    <font>
      <sz val="8"/>
      <color rgb="FF0000FF"/>
      <name val="Book Antiqua"/>
      <family val="1"/>
    </font>
    <font>
      <sz val="8"/>
      <color theme="0"/>
      <name val="Book Antiqua"/>
      <family val="1"/>
    </font>
    <font>
      <b/>
      <sz val="8"/>
      <color rgb="FF0000FF"/>
      <name val="Book Antiqua"/>
      <family val="1"/>
    </font>
    <font>
      <i/>
      <sz val="8"/>
      <color rgb="FF0000FF"/>
      <name val="Book Antiqua"/>
      <family val="1"/>
    </font>
    <font>
      <b/>
      <i/>
      <sz val="8"/>
      <color indexed="60"/>
      <name val="Book Antiqua"/>
      <family val="1"/>
    </font>
    <font>
      <sz val="8"/>
      <color theme="1"/>
      <name val="Arial"/>
      <family val="2"/>
    </font>
    <font>
      <sz val="8"/>
      <color rgb="FF3333FF"/>
      <name val="Arial"/>
      <family val="2"/>
    </font>
    <font>
      <sz val="8"/>
      <color rgb="FFFFFFFF"/>
      <name val="Arial"/>
      <family val="2"/>
    </font>
    <font>
      <b/>
      <sz val="8"/>
      <color theme="1"/>
      <name val="Arial"/>
      <family val="2"/>
    </font>
    <font>
      <sz val="8"/>
      <color rgb="FF0000FF"/>
      <name val="Arial"/>
      <family val="2"/>
    </font>
    <font>
      <b/>
      <u/>
      <sz val="8"/>
      <color theme="1"/>
      <name val="Arial"/>
      <family val="2"/>
    </font>
    <font>
      <b/>
      <sz val="8"/>
      <color rgb="FFFF0000"/>
      <name val="Arial"/>
      <family val="2"/>
    </font>
    <font>
      <i/>
      <sz val="8"/>
      <color theme="1"/>
      <name val="Arial"/>
      <family val="2"/>
    </font>
    <font>
      <sz val="9"/>
      <color theme="1"/>
      <name val="Calibri"/>
      <family val="2"/>
      <scheme val="minor"/>
    </font>
    <font>
      <b/>
      <sz val="9"/>
      <color theme="1"/>
      <name val="Calibri"/>
      <family val="2"/>
      <scheme val="minor"/>
    </font>
    <font>
      <b/>
      <u/>
      <sz val="9"/>
      <color theme="1"/>
      <name val="Calibri"/>
      <family val="2"/>
      <scheme val="minor"/>
    </font>
    <font>
      <b/>
      <i/>
      <sz val="9"/>
      <color theme="1"/>
      <name val="Calibri"/>
      <family val="2"/>
      <scheme val="minor"/>
    </font>
    <font>
      <b/>
      <sz val="9"/>
      <name val="Calibri"/>
      <family val="2"/>
      <scheme val="minor"/>
    </font>
    <font>
      <sz val="9"/>
      <name val="Calibri"/>
      <family val="2"/>
      <scheme val="minor"/>
    </font>
    <font>
      <b/>
      <i/>
      <sz val="9"/>
      <name val="Calibri"/>
      <family val="2"/>
      <scheme val="minor"/>
    </font>
    <font>
      <i/>
      <sz val="9"/>
      <name val="Calibri"/>
      <family val="2"/>
      <scheme val="minor"/>
    </font>
    <font>
      <u/>
      <sz val="9"/>
      <name val="Calibri"/>
      <family val="2"/>
      <scheme val="minor"/>
    </font>
    <font>
      <b/>
      <u/>
      <sz val="9"/>
      <name val="Calibri"/>
      <family val="2"/>
      <scheme val="minor"/>
    </font>
    <font>
      <i/>
      <sz val="9"/>
      <color indexed="17"/>
      <name val="Calibri"/>
      <family val="2"/>
      <scheme val="minor"/>
    </font>
    <font>
      <i/>
      <sz val="9"/>
      <color rgb="FF0000FF"/>
      <name val="Calibri"/>
      <family val="2"/>
      <scheme val="minor"/>
    </font>
    <font>
      <u/>
      <sz val="9"/>
      <color indexed="16"/>
      <name val="Calibri"/>
      <family val="2"/>
      <scheme val="minor"/>
    </font>
    <font>
      <b/>
      <sz val="9"/>
      <color indexed="12"/>
      <name val="Calibri"/>
      <family val="2"/>
      <scheme val="minor"/>
    </font>
    <font>
      <sz val="9"/>
      <color indexed="12"/>
      <name val="Calibri"/>
      <family val="2"/>
      <scheme val="minor"/>
    </font>
  </fonts>
  <fills count="44">
    <fill>
      <patternFill patternType="none"/>
    </fill>
    <fill>
      <patternFill patternType="gray125"/>
    </fill>
    <fill>
      <patternFill patternType="solid">
        <fgColor indexed="43"/>
      </patternFill>
    </fill>
    <fill>
      <patternFill patternType="solid">
        <fgColor indexed="22"/>
        <bgColor indexed="64"/>
      </patternFill>
    </fill>
    <fill>
      <patternFill patternType="solid">
        <fgColor indexed="27"/>
        <bgColor indexed="64"/>
      </patternFill>
    </fill>
    <fill>
      <patternFill patternType="solid">
        <fgColor indexed="26"/>
        <bgColor indexed="64"/>
      </patternFill>
    </fill>
    <fill>
      <patternFill patternType="solid">
        <fgColor indexed="44"/>
        <bgColor indexed="64"/>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s>
  <borders count="66">
    <border>
      <left/>
      <right/>
      <top/>
      <bottom/>
      <diagonal/>
    </border>
    <border>
      <left/>
      <right/>
      <top style="hair">
        <color indexed="8"/>
      </top>
      <bottom style="hair">
        <color indexed="8"/>
      </bottom>
      <diagonal/>
    </border>
    <border>
      <left/>
      <right/>
      <top/>
      <bottom style="medium">
        <color indexed="18"/>
      </bottom>
      <diagonal/>
    </border>
    <border>
      <left/>
      <right/>
      <top style="thin">
        <color indexed="64"/>
      </top>
      <bottom/>
      <diagonal/>
    </border>
    <border>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thick">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double">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style="medium">
        <color indexed="64"/>
      </right>
      <top style="thin">
        <color indexed="64"/>
      </top>
      <bottom style="thin">
        <color indexed="64"/>
      </bottom>
      <diagonal/>
    </border>
    <border>
      <left style="thick">
        <color rgb="FFFFFFFF"/>
      </left>
      <right style="thick">
        <color rgb="FFFFFFFF"/>
      </right>
      <top/>
      <bottom/>
      <diagonal/>
    </border>
    <border>
      <left style="thick">
        <color rgb="FFFFFFFF"/>
      </left>
      <right/>
      <top/>
      <bottom style="dotted">
        <color indexed="64"/>
      </bottom>
      <diagonal/>
    </border>
    <border>
      <left/>
      <right/>
      <top/>
      <bottom style="dotted">
        <color indexed="64"/>
      </bottom>
      <diagonal/>
    </border>
    <border>
      <left/>
      <right style="thick">
        <color rgb="FFFFFFFF"/>
      </right>
      <top/>
      <bottom/>
      <diagonal/>
    </border>
    <border>
      <left style="thick">
        <color rgb="FFFFFFFF"/>
      </left>
      <right style="thick">
        <color rgb="FFFFFFFF"/>
      </right>
      <top/>
      <bottom style="thin">
        <color auto="1"/>
      </bottom>
      <diagonal/>
    </border>
    <border>
      <left/>
      <right style="thick">
        <color rgb="FFFFFFFF"/>
      </right>
      <top style="dotted">
        <color indexed="64"/>
      </top>
      <bottom style="thin">
        <color auto="1"/>
      </bottom>
      <diagonal/>
    </border>
    <border>
      <left style="thick">
        <color rgb="FFFFFFFF"/>
      </left>
      <right/>
      <top/>
      <bottom style="thin">
        <color auto="1"/>
      </bottom>
      <diagonal/>
    </border>
    <border>
      <left style="thick">
        <color theme="0" tint="0.79998168889431442"/>
      </left>
      <right style="thick">
        <color rgb="FFFFFFFF"/>
      </right>
      <top/>
      <bottom style="thin">
        <color indexed="64"/>
      </bottom>
      <diagonal/>
    </border>
    <border>
      <left/>
      <right/>
      <top/>
      <bottom style="thin">
        <color rgb="FF000000"/>
      </bottom>
      <diagonal/>
    </border>
    <border>
      <left style="dotted">
        <color auto="1"/>
      </left>
      <right/>
      <top/>
      <bottom/>
      <diagonal/>
    </border>
    <border>
      <left/>
      <right style="dotted">
        <color auto="1"/>
      </right>
      <top/>
      <bottom/>
      <diagonal/>
    </border>
    <border>
      <left style="dotted">
        <color auto="1"/>
      </left>
      <right/>
      <top style="thin">
        <color indexed="64"/>
      </top>
      <bottom/>
      <diagonal/>
    </border>
    <border>
      <left/>
      <right style="dotted">
        <color auto="1"/>
      </right>
      <top style="thin">
        <color indexed="64"/>
      </top>
      <bottom/>
      <diagonal/>
    </border>
    <border>
      <left style="dotted">
        <color auto="1"/>
      </left>
      <right/>
      <top/>
      <bottom style="thin">
        <color indexed="64"/>
      </bottom>
      <diagonal/>
    </border>
    <border>
      <left/>
      <right style="dotted">
        <color auto="1"/>
      </right>
      <top/>
      <bottom style="thin">
        <color indexed="64"/>
      </bottom>
      <diagonal/>
    </border>
    <border>
      <left style="thin">
        <color indexed="64"/>
      </left>
      <right style="medium">
        <color rgb="FFFFFFFF"/>
      </right>
      <top/>
      <bottom style="thin">
        <color indexed="64"/>
      </bottom>
      <diagonal/>
    </border>
  </borders>
  <cellStyleXfs count="732">
    <xf numFmtId="0" fontId="0" fillId="0" borderId="0"/>
    <xf numFmtId="205" fontId="6" fillId="0" borderId="0" applyFont="0" applyFill="0" applyBorder="0" applyAlignment="0" applyProtection="0"/>
    <xf numFmtId="206" fontId="6" fillId="0" borderId="0" applyFont="0" applyFill="0" applyBorder="0" applyAlignment="0" applyProtection="0"/>
    <xf numFmtId="207" fontId="6" fillId="0" borderId="0" applyFont="0" applyFill="0" applyBorder="0" applyAlignment="0" applyProtection="0"/>
    <xf numFmtId="208" fontId="6" fillId="0" borderId="0" applyFont="0" applyFill="0" applyBorder="0" applyAlignment="0" applyProtection="0"/>
    <xf numFmtId="209" fontId="6" fillId="0" borderId="0" applyFont="0" applyFill="0" applyBorder="0" applyAlignment="0" applyProtection="0"/>
    <xf numFmtId="210" fontId="6" fillId="0" borderId="0" applyFon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6" fillId="2" borderId="0" applyNumberFormat="0" applyFont="0" applyAlignment="0" applyProtection="0"/>
    <xf numFmtId="211" fontId="6" fillId="0" borderId="0" applyFont="0" applyFill="0" applyBorder="0" applyAlignment="0" applyProtection="0"/>
    <xf numFmtId="212" fontId="6" fillId="0" borderId="0" applyFont="0" applyFill="0" applyBorder="0" applyProtection="0">
      <alignment horizontal="right"/>
    </xf>
    <xf numFmtId="0" fontId="57" fillId="0" borderId="0" applyNumberFormat="0" applyFill="0" applyBorder="0" applyProtection="0">
      <alignment vertical="top"/>
    </xf>
    <xf numFmtId="0" fontId="57" fillId="0" borderId="0" applyNumberFormat="0" applyFill="0" applyBorder="0" applyProtection="0">
      <alignment vertical="top"/>
    </xf>
    <xf numFmtId="0" fontId="57" fillId="0" borderId="0" applyNumberFormat="0" applyFill="0" applyBorder="0" applyProtection="0">
      <alignment vertical="top"/>
    </xf>
    <xf numFmtId="0" fontId="57" fillId="0" borderId="0" applyNumberFormat="0" applyFill="0" applyBorder="0" applyProtection="0">
      <alignment vertical="top"/>
    </xf>
    <xf numFmtId="0" fontId="57" fillId="0" borderId="0" applyNumberFormat="0" applyFill="0" applyBorder="0" applyProtection="0">
      <alignment vertical="top"/>
    </xf>
    <xf numFmtId="0" fontId="58" fillId="0" borderId="1" applyNumberFormat="0" applyFill="0" applyAlignment="0" applyProtection="0"/>
    <xf numFmtId="0" fontId="59" fillId="0" borderId="2" applyNumberFormat="0" applyFill="0" applyProtection="0">
      <alignment horizontal="center"/>
    </xf>
    <xf numFmtId="0" fontId="59" fillId="0" borderId="0" applyNumberFormat="0" applyFill="0" applyBorder="0" applyProtection="0">
      <alignment horizontal="left"/>
    </xf>
    <xf numFmtId="0" fontId="60" fillId="0" borderId="0" applyNumberFormat="0" applyFill="0" applyBorder="0" applyProtection="0">
      <alignment horizontal="centerContinuous"/>
    </xf>
    <xf numFmtId="0" fontId="81" fillId="0" borderId="0" applyNumberFormat="0" applyFill="0" applyBorder="0" applyAlignment="0" applyProtection="0"/>
    <xf numFmtId="0" fontId="85" fillId="0" borderId="0"/>
    <xf numFmtId="0" fontId="91" fillId="8" borderId="0" applyNumberFormat="0" applyBorder="0" applyAlignment="0" applyProtection="0"/>
    <xf numFmtId="0" fontId="91" fillId="9" borderId="0" applyNumberFormat="0" applyBorder="0" applyAlignment="0" applyProtection="0"/>
    <xf numFmtId="0" fontId="91" fillId="10" borderId="0" applyNumberFormat="0" applyBorder="0" applyAlignment="0" applyProtection="0"/>
    <xf numFmtId="0" fontId="91" fillId="11" borderId="0" applyNumberFormat="0" applyBorder="0" applyAlignment="0" applyProtection="0"/>
    <xf numFmtId="0" fontId="91" fillId="12" borderId="0" applyNumberFormat="0" applyBorder="0" applyAlignment="0" applyProtection="0"/>
    <xf numFmtId="0" fontId="91" fillId="13" borderId="0" applyNumberFormat="0" applyBorder="0" applyAlignment="0" applyProtection="0"/>
    <xf numFmtId="0" fontId="91" fillId="14" borderId="0" applyNumberFormat="0" applyBorder="0" applyAlignment="0" applyProtection="0"/>
    <xf numFmtId="0" fontId="91" fillId="15" borderId="0" applyNumberFormat="0" applyBorder="0" applyAlignment="0" applyProtection="0"/>
    <xf numFmtId="0" fontId="91" fillId="16" borderId="0" applyNumberFormat="0" applyBorder="0" applyAlignment="0" applyProtection="0"/>
    <xf numFmtId="0" fontId="91" fillId="17" borderId="0" applyNumberFormat="0" applyBorder="0" applyAlignment="0" applyProtection="0"/>
    <xf numFmtId="0" fontId="91" fillId="18" borderId="0" applyNumberFormat="0" applyBorder="0" applyAlignment="0" applyProtection="0"/>
    <xf numFmtId="0" fontId="91" fillId="19" borderId="0" applyNumberFormat="0" applyBorder="0" applyAlignment="0" applyProtection="0"/>
    <xf numFmtId="203" fontId="61" fillId="0" borderId="0">
      <alignment horizontal="center"/>
    </xf>
    <xf numFmtId="0" fontId="92" fillId="20" borderId="0" applyNumberFormat="0" applyBorder="0" applyAlignment="0" applyProtection="0"/>
    <xf numFmtId="0" fontId="92" fillId="21" borderId="0" applyNumberFormat="0" applyBorder="0" applyAlignment="0" applyProtection="0"/>
    <xf numFmtId="0" fontId="92" fillId="22" borderId="0" applyNumberFormat="0" applyBorder="0" applyAlignment="0" applyProtection="0"/>
    <xf numFmtId="0" fontId="92" fillId="23" borderId="0" applyNumberFormat="0" applyBorder="0" applyAlignment="0" applyProtection="0"/>
    <xf numFmtId="0" fontId="92" fillId="24" borderId="0" applyNumberFormat="0" applyBorder="0" applyAlignment="0" applyProtection="0"/>
    <xf numFmtId="0" fontId="92" fillId="25" borderId="0" applyNumberFormat="0" applyBorder="0" applyAlignment="0" applyProtection="0"/>
    <xf numFmtId="0" fontId="92" fillId="26" borderId="0" applyNumberFormat="0" applyBorder="0" applyAlignment="0" applyProtection="0"/>
    <xf numFmtId="0" fontId="92" fillId="27" borderId="0" applyNumberFormat="0" applyBorder="0" applyAlignment="0" applyProtection="0"/>
    <xf numFmtId="0" fontId="92" fillId="28" borderId="0" applyNumberFormat="0" applyBorder="0" applyAlignment="0" applyProtection="0"/>
    <xf numFmtId="0" fontId="92" fillId="29" borderId="0" applyNumberFormat="0" applyBorder="0" applyAlignment="0" applyProtection="0"/>
    <xf numFmtId="0" fontId="92" fillId="30" borderId="0" applyNumberFormat="0" applyBorder="0" applyAlignment="0" applyProtection="0"/>
    <xf numFmtId="0" fontId="92" fillId="31" borderId="0" applyNumberFormat="0" applyBorder="0" applyAlignment="0" applyProtection="0"/>
    <xf numFmtId="0" fontId="93" fillId="32" borderId="0" applyNumberFormat="0" applyBorder="0" applyAlignment="0" applyProtection="0"/>
    <xf numFmtId="37" fontId="62" fillId="0" borderId="0"/>
    <xf numFmtId="37" fontId="63" fillId="0" borderId="0"/>
    <xf numFmtId="197" fontId="64" fillId="0" borderId="3"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64" fillId="0" borderId="3"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64" fillId="0" borderId="3"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64" fillId="0" borderId="3" applyAlignment="0" applyProtection="0"/>
    <xf numFmtId="197" fontId="94" fillId="0" borderId="0" applyAlignment="0" applyProtection="0"/>
    <xf numFmtId="197" fontId="94" fillId="0" borderId="0" applyAlignment="0" applyProtection="0"/>
    <xf numFmtId="197" fontId="94" fillId="0" borderId="0" applyAlignment="0" applyProtection="0"/>
    <xf numFmtId="197" fontId="64" fillId="0" borderId="3" applyAlignment="0" applyProtection="0"/>
    <xf numFmtId="197" fontId="64" fillId="0" borderId="3" applyAlignment="0" applyProtection="0"/>
    <xf numFmtId="197" fontId="64" fillId="0" borderId="3" applyAlignment="0" applyProtection="0"/>
    <xf numFmtId="197" fontId="64" fillId="0" borderId="3" applyAlignment="0" applyProtection="0"/>
    <xf numFmtId="197" fontId="94" fillId="0" borderId="0" applyAlignment="0" applyProtection="0"/>
    <xf numFmtId="194" fontId="53" fillId="0" borderId="0" applyFill="0" applyBorder="0" applyAlignment="0"/>
    <xf numFmtId="226" fontId="6" fillId="0" borderId="0" applyFill="0" applyBorder="0" applyAlignment="0"/>
    <xf numFmtId="187" fontId="6" fillId="0" borderId="0" applyFill="0" applyBorder="0" applyAlignment="0"/>
    <xf numFmtId="180" fontId="6" fillId="0" borderId="0" applyFill="0" applyBorder="0" applyAlignment="0"/>
    <xf numFmtId="188" fontId="6" fillId="0" borderId="0" applyFill="0" applyBorder="0" applyAlignment="0"/>
    <xf numFmtId="227" fontId="6" fillId="0" borderId="0" applyFill="0" applyBorder="0" applyAlignment="0"/>
    <xf numFmtId="189" fontId="6" fillId="0" borderId="0" applyFill="0" applyBorder="0" applyAlignment="0"/>
    <xf numFmtId="228" fontId="6" fillId="0" borderId="0" applyFill="0" applyBorder="0" applyAlignment="0"/>
    <xf numFmtId="190" fontId="6" fillId="0" borderId="0" applyFill="0" applyBorder="0" applyAlignment="0"/>
    <xf numFmtId="229" fontId="6" fillId="0" borderId="0" applyFill="0" applyBorder="0" applyAlignment="0"/>
    <xf numFmtId="194" fontId="53" fillId="0" borderId="0" applyFill="0" applyBorder="0" applyAlignment="0"/>
    <xf numFmtId="230" fontId="6" fillId="0" borderId="0" applyFill="0" applyBorder="0" applyAlignment="0"/>
    <xf numFmtId="191" fontId="6" fillId="0" borderId="0" applyFill="0" applyBorder="0" applyAlignment="0"/>
    <xf numFmtId="231" fontId="6" fillId="0" borderId="0" applyFill="0" applyBorder="0" applyAlignment="0"/>
    <xf numFmtId="187" fontId="6" fillId="0" borderId="0" applyFill="0" applyBorder="0" applyAlignment="0"/>
    <xf numFmtId="180" fontId="6" fillId="0" borderId="0" applyFill="0" applyBorder="0" applyAlignment="0"/>
    <xf numFmtId="0" fontId="95" fillId="33" borderId="41" applyNumberFormat="0" applyAlignment="0" applyProtection="0"/>
    <xf numFmtId="0" fontId="65" fillId="0" borderId="0" applyFill="0" applyBorder="0" applyProtection="0">
      <alignment horizontal="center"/>
      <protection locked="0"/>
    </xf>
    <xf numFmtId="0" fontId="96" fillId="34" borderId="42" applyNumberFormat="0" applyAlignment="0" applyProtection="0"/>
    <xf numFmtId="0" fontId="55" fillId="0" borderId="0"/>
    <xf numFmtId="43" fontId="6" fillId="0" borderId="0" applyFont="0" applyFill="0" applyBorder="0" applyAlignment="0" applyProtection="0"/>
    <xf numFmtId="232" fontId="6" fillId="0" borderId="0"/>
    <xf numFmtId="232" fontId="6" fillId="0" borderId="0"/>
    <xf numFmtId="232" fontId="6" fillId="0" borderId="0"/>
    <xf numFmtId="232" fontId="6" fillId="0" borderId="0"/>
    <xf numFmtId="232" fontId="6" fillId="0" borderId="0"/>
    <xf numFmtId="232" fontId="6" fillId="0" borderId="0"/>
    <xf numFmtId="232" fontId="6" fillId="0" borderId="0"/>
    <xf numFmtId="232" fontId="6" fillId="0" borderId="0"/>
    <xf numFmtId="183" fontId="55" fillId="0" borderId="4"/>
    <xf numFmtId="174" fontId="94" fillId="0" borderId="0"/>
    <xf numFmtId="0" fontId="85" fillId="0" borderId="4"/>
    <xf numFmtId="174" fontId="94" fillId="0" borderId="0"/>
    <xf numFmtId="194" fontId="6" fillId="0" borderId="0" applyFont="0" applyFill="0" applyBorder="0" applyAlignment="0" applyProtection="0"/>
    <xf numFmtId="230" fontId="6" fillId="0" borderId="0" applyFont="0" applyFill="0" applyBorder="0" applyAlignment="0" applyProtection="0"/>
    <xf numFmtId="4" fontId="55" fillId="0" borderId="0" applyFont="0" applyFill="0" applyBorder="0" applyAlignment="0" applyProtection="0"/>
    <xf numFmtId="43" fontId="6" fillId="0" borderId="0" applyFont="0" applyFill="0" applyBorder="0" applyAlignment="0" applyProtection="0">
      <alignment wrapText="1"/>
    </xf>
    <xf numFmtId="43" fontId="94" fillId="0" borderId="0" applyFont="0" applyFill="0" applyBorder="0" applyAlignment="0" applyProtection="0"/>
    <xf numFmtId="43" fontId="6" fillId="0" borderId="0" applyFont="0" applyFill="0" applyBorder="0" applyAlignment="0" applyProtection="0">
      <alignment wrapText="1"/>
    </xf>
    <xf numFmtId="43" fontId="6" fillId="0" borderId="0" applyFont="0" applyFill="0" applyBorder="0" applyAlignment="0" applyProtection="0">
      <alignment wrapText="1"/>
    </xf>
    <xf numFmtId="43" fontId="6" fillId="0" borderId="0" applyFont="0" applyFill="0" applyBorder="0" applyAlignment="0" applyProtection="0"/>
    <xf numFmtId="4" fontId="55" fillId="0" borderId="0" applyFont="0" applyFill="0" applyBorder="0" applyAlignment="0" applyProtection="0"/>
    <xf numFmtId="43" fontId="94" fillId="0" borderId="0" applyFont="0" applyFill="0" applyBorder="0" applyAlignment="0" applyProtection="0"/>
    <xf numFmtId="4" fontId="94" fillId="0" borderId="0" applyFont="0" applyFill="0" applyBorder="0" applyAlignment="0" applyProtection="0"/>
    <xf numFmtId="43" fontId="97" fillId="0" borderId="0" applyFont="0" applyFill="0" applyBorder="0" applyAlignment="0" applyProtection="0"/>
    <xf numFmtId="4" fontId="94" fillId="0" borderId="0" applyFont="0" applyFill="0" applyBorder="0" applyAlignment="0" applyProtection="0"/>
    <xf numFmtId="4" fontId="85" fillId="0" borderId="0" applyFont="0" applyFill="0" applyBorder="0" applyAlignment="0" applyProtection="0"/>
    <xf numFmtId="43" fontId="94" fillId="0" borderId="0" applyFont="0" applyFill="0" applyBorder="0" applyAlignment="0" applyProtection="0"/>
    <xf numFmtId="43" fontId="6" fillId="0" borderId="0" applyFont="0" applyFill="0" applyBorder="0" applyAlignment="0" applyProtection="0"/>
    <xf numFmtId="43" fontId="94" fillId="0" borderId="0" applyFont="0" applyFill="0" applyBorder="0" applyAlignment="0" applyProtection="0"/>
    <xf numFmtId="0" fontId="68" fillId="0" borderId="0" applyNumberFormat="0" applyFill="0" applyBorder="0" applyAlignment="0" applyProtection="0"/>
    <xf numFmtId="0" fontId="69" fillId="0" borderId="0" applyFill="0" applyBorder="0" applyAlignment="0" applyProtection="0">
      <protection locked="0"/>
    </xf>
    <xf numFmtId="202" fontId="6" fillId="0" borderId="0">
      <alignment horizontal="center"/>
    </xf>
    <xf numFmtId="196" fontId="70" fillId="0" borderId="0" applyFill="0" applyBorder="0" applyProtection="0"/>
    <xf numFmtId="195" fontId="71" fillId="0" borderId="0" applyFont="0" applyFill="0" applyBorder="0" applyAlignment="0" applyProtection="0"/>
    <xf numFmtId="184" fontId="72" fillId="0" borderId="5">
      <protection hidden="1"/>
    </xf>
    <xf numFmtId="44" fontId="6" fillId="0" borderId="0" applyFont="0" applyFill="0" applyBorder="0" applyAlignment="0" applyProtection="0"/>
    <xf numFmtId="187" fontId="6" fillId="0" borderId="0" applyFont="0" applyFill="0" applyBorder="0" applyAlignment="0" applyProtection="0"/>
    <xf numFmtId="180" fontId="6" fillId="0" borderId="0" applyFont="0" applyFill="0" applyBorder="0" applyAlignment="0" applyProtection="0"/>
    <xf numFmtId="8" fontId="94" fillId="0" borderId="0" applyFont="0" applyFill="0" applyBorder="0" applyAlignment="0" applyProtection="0"/>
    <xf numFmtId="44" fontId="94" fillId="0" borderId="0" applyFont="0" applyFill="0" applyBorder="0" applyAlignment="0" applyProtection="0"/>
    <xf numFmtId="44" fontId="6" fillId="0" borderId="0" applyFont="0" applyFill="0" applyBorder="0" applyAlignment="0" applyProtection="0"/>
    <xf numFmtId="0" fontId="68" fillId="0" borderId="0" applyNumberFormat="0" applyFill="0" applyBorder="0" applyAlignment="0" applyProtection="0"/>
    <xf numFmtId="1" fontId="61" fillId="0" borderId="0"/>
    <xf numFmtId="14" fontId="73" fillId="0" borderId="0">
      <alignment horizontal="center"/>
    </xf>
    <xf numFmtId="14" fontId="53" fillId="0" borderId="0" applyFill="0" applyBorder="0" applyAlignment="0"/>
    <xf numFmtId="15" fontId="74" fillId="3" borderId="0" applyNumberFormat="0" applyFont="0" applyFill="0" applyBorder="0" applyAlignment="0">
      <alignment horizontal="center" wrapText="1"/>
    </xf>
    <xf numFmtId="0" fontId="53" fillId="0" borderId="6" applyNumberFormat="0" applyFill="0" applyBorder="0" applyAlignment="0" applyProtection="0"/>
    <xf numFmtId="201" fontId="55" fillId="0" borderId="0" applyFont="0" applyFill="0" applyBorder="0" applyAlignment="0" applyProtection="0"/>
    <xf numFmtId="200" fontId="71" fillId="0" borderId="0" applyFont="0" applyFill="0" applyBorder="0" applyAlignment="0" applyProtection="0"/>
    <xf numFmtId="194" fontId="75" fillId="0" borderId="0" applyFill="0" applyBorder="0" applyAlignment="0"/>
    <xf numFmtId="230" fontId="6" fillId="0" borderId="0" applyFill="0" applyBorder="0" applyAlignment="0"/>
    <xf numFmtId="187" fontId="6" fillId="0" borderId="0" applyFill="0" applyBorder="0" applyAlignment="0"/>
    <xf numFmtId="180" fontId="6" fillId="0" borderId="0" applyFill="0" applyBorder="0" applyAlignment="0"/>
    <xf numFmtId="194" fontId="75" fillId="0" borderId="0" applyFill="0" applyBorder="0" applyAlignment="0"/>
    <xf numFmtId="230" fontId="6" fillId="0" borderId="0" applyFill="0" applyBorder="0" applyAlignment="0"/>
    <xf numFmtId="191" fontId="6" fillId="0" borderId="0" applyFill="0" applyBorder="0" applyAlignment="0"/>
    <xf numFmtId="231" fontId="6" fillId="0" borderId="0" applyFill="0" applyBorder="0" applyAlignment="0"/>
    <xf numFmtId="187" fontId="6" fillId="0" borderId="0" applyFill="0" applyBorder="0" applyAlignment="0"/>
    <xf numFmtId="180" fontId="6" fillId="0" borderId="0" applyFill="0" applyBorder="0" applyAlignment="0"/>
    <xf numFmtId="184" fontId="72" fillId="0" borderId="5">
      <protection hidden="1"/>
    </xf>
    <xf numFmtId="204" fontId="6" fillId="0" borderId="0" applyFont="0" applyFill="0" applyBorder="0" applyAlignment="0" applyProtection="0"/>
    <xf numFmtId="0" fontId="98" fillId="0" borderId="0" applyNumberFormat="0" applyFill="0" applyBorder="0" applyAlignment="0" applyProtection="0"/>
    <xf numFmtId="0" fontId="99" fillId="35" borderId="0" applyNumberFormat="0" applyBorder="0" applyAlignment="0" applyProtection="0"/>
    <xf numFmtId="38" fontId="7" fillId="3" borderId="0" applyNumberFormat="0" applyBorder="0" applyAlignment="0" applyProtection="0"/>
    <xf numFmtId="0" fontId="76" fillId="0" borderId="7" applyNumberFormat="0" applyAlignment="0" applyProtection="0">
      <alignment horizontal="left" vertical="center"/>
    </xf>
    <xf numFmtId="0" fontId="76" fillId="0" borderId="8">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76" fillId="0" borderId="8">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76" fillId="0" borderId="8">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76" fillId="0" borderId="8">
      <alignment horizontal="left" vertical="center"/>
    </xf>
    <xf numFmtId="0" fontId="94" fillId="0" borderId="0">
      <alignment horizontal="left" vertical="center"/>
    </xf>
    <xf numFmtId="0" fontId="94" fillId="0" borderId="0">
      <alignment horizontal="left" vertical="center"/>
    </xf>
    <xf numFmtId="0" fontId="94" fillId="0" borderId="0">
      <alignment horizontal="left" vertical="center"/>
    </xf>
    <xf numFmtId="0" fontId="76" fillId="0" borderId="8">
      <alignment horizontal="left" vertical="center"/>
    </xf>
    <xf numFmtId="0" fontId="76" fillId="0" borderId="8">
      <alignment horizontal="left" vertical="center"/>
    </xf>
    <xf numFmtId="0" fontId="76" fillId="0" borderId="8">
      <alignment horizontal="left" vertical="center"/>
    </xf>
    <xf numFmtId="0" fontId="76" fillId="0" borderId="8">
      <alignment horizontal="left" vertical="center"/>
    </xf>
    <xf numFmtId="0" fontId="94" fillId="0" borderId="0">
      <alignment horizontal="left" vertical="center"/>
    </xf>
    <xf numFmtId="14" fontId="66" fillId="4" borderId="5">
      <alignment horizontal="center" vertical="center" wrapText="1"/>
    </xf>
    <xf numFmtId="0" fontId="100" fillId="0" borderId="43" applyNumberFormat="0" applyFill="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01" fillId="0" borderId="44" applyNumberFormat="0" applyFill="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02" fillId="0" borderId="45" applyNumberFormat="0" applyFill="0" applyAlignment="0" applyProtection="0"/>
    <xf numFmtId="0" fontId="102" fillId="0" borderId="0" applyNumberFormat="0" applyFill="0" applyBorder="0" applyAlignment="0" applyProtection="0"/>
    <xf numFmtId="0" fontId="65" fillId="0" borderId="0" applyFill="0" applyAlignment="0" applyProtection="0">
      <protection locked="0"/>
    </xf>
    <xf numFmtId="0" fontId="65" fillId="0" borderId="4" applyFill="0" applyAlignment="0" applyProtection="0">
      <protection locked="0"/>
    </xf>
    <xf numFmtId="0" fontId="103" fillId="0" borderId="0" applyNumberFormat="0" applyFill="0" applyBorder="0" applyAlignment="0" applyProtection="0">
      <alignment vertical="top"/>
      <protection locked="0"/>
    </xf>
    <xf numFmtId="0" fontId="103"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105" fillId="0" borderId="0" applyNumberFormat="0" applyFill="0" applyBorder="0" applyAlignment="0" applyProtection="0"/>
    <xf numFmtId="0" fontId="106" fillId="36" borderId="41" applyNumberFormat="0" applyAlignment="0" applyProtection="0"/>
    <xf numFmtId="10" fontId="7" fillId="5" borderId="6" applyNumberFormat="0" applyBorder="0" applyAlignment="0" applyProtection="0"/>
    <xf numFmtId="194" fontId="77" fillId="0" borderId="0" applyFill="0" applyBorder="0" applyAlignment="0"/>
    <xf numFmtId="230" fontId="6" fillId="0" borderId="0" applyFill="0" applyBorder="0" applyAlignment="0"/>
    <xf numFmtId="187" fontId="6" fillId="0" borderId="0" applyFill="0" applyBorder="0" applyAlignment="0"/>
    <xf numFmtId="180" fontId="6" fillId="0" borderId="0" applyFill="0" applyBorder="0" applyAlignment="0"/>
    <xf numFmtId="194" fontId="77" fillId="0" borderId="0" applyFill="0" applyBorder="0" applyAlignment="0"/>
    <xf numFmtId="230" fontId="6" fillId="0" borderId="0" applyFill="0" applyBorder="0" applyAlignment="0"/>
    <xf numFmtId="191" fontId="6" fillId="0" borderId="0" applyFill="0" applyBorder="0" applyAlignment="0"/>
    <xf numFmtId="231" fontId="6" fillId="0" borderId="0" applyFill="0" applyBorder="0" applyAlignment="0"/>
    <xf numFmtId="187" fontId="6" fillId="0" borderId="0" applyFill="0" applyBorder="0" applyAlignment="0"/>
    <xf numFmtId="180" fontId="6" fillId="0" borderId="0" applyFill="0" applyBorder="0" applyAlignment="0"/>
    <xf numFmtId="0" fontId="107" fillId="0" borderId="46" applyNumberFormat="0" applyFill="0" applyAlignment="0" applyProtection="0"/>
    <xf numFmtId="222" fontId="6" fillId="0" borderId="0" applyFont="0" applyFill="0" applyBorder="0" applyAlignment="0" applyProtection="0"/>
    <xf numFmtId="223" fontId="6" fillId="0" borderId="0" applyFont="0" applyFill="0" applyBorder="0" applyAlignment="0" applyProtection="0"/>
    <xf numFmtId="38" fontId="67" fillId="0" borderId="0" applyFont="0" applyFill="0" applyBorder="0" applyAlignment="0" applyProtection="0"/>
    <xf numFmtId="40" fontId="67" fillId="0" borderId="0" applyFont="0" applyFill="0" applyBorder="0" applyAlignment="0" applyProtection="0"/>
    <xf numFmtId="224" fontId="6" fillId="0" borderId="0" applyFont="0" applyFill="0" applyBorder="0" applyAlignment="0" applyProtection="0"/>
    <xf numFmtId="225" fontId="6" fillId="0" borderId="0" applyFont="0" applyFill="0" applyBorder="0" applyAlignment="0" applyProtection="0"/>
    <xf numFmtId="6" fontId="67" fillId="0" borderId="0" applyFont="0" applyFill="0" applyBorder="0" applyAlignment="0" applyProtection="0"/>
    <xf numFmtId="8" fontId="67" fillId="0" borderId="0" applyFont="0" applyFill="0" applyBorder="0" applyAlignment="0" applyProtection="0"/>
    <xf numFmtId="164" fontId="61" fillId="0" borderId="4"/>
    <xf numFmtId="0" fontId="108" fillId="37" borderId="0" applyNumberFormat="0" applyBorder="0" applyAlignment="0" applyProtection="0"/>
    <xf numFmtId="37" fontId="82" fillId="0" borderId="0"/>
    <xf numFmtId="182" fontId="55" fillId="0" borderId="0"/>
    <xf numFmtId="182" fontId="94" fillId="0" borderId="0"/>
    <xf numFmtId="166" fontId="6" fillId="0" borderId="0"/>
    <xf numFmtId="233" fontId="6" fillId="0" borderId="0"/>
    <xf numFmtId="0" fontId="86" fillId="0" borderId="0"/>
    <xf numFmtId="0" fontId="86" fillId="0" borderId="0"/>
    <xf numFmtId="0" fontId="86" fillId="0" borderId="0"/>
    <xf numFmtId="0" fontId="86" fillId="0" borderId="0"/>
    <xf numFmtId="0" fontId="6" fillId="0" borderId="0"/>
    <xf numFmtId="0" fontId="94" fillId="0" borderId="0"/>
    <xf numFmtId="37" fontId="54" fillId="0" borderId="0"/>
    <xf numFmtId="0" fontId="6" fillId="0" borderId="0"/>
    <xf numFmtId="0" fontId="94" fillId="0" borderId="0"/>
    <xf numFmtId="0" fontId="6" fillId="0" borderId="0"/>
    <xf numFmtId="0" fontId="6" fillId="0" borderId="0"/>
    <xf numFmtId="0" fontId="6" fillId="0" borderId="0">
      <alignment wrapText="1"/>
    </xf>
    <xf numFmtId="0" fontId="6" fillId="0" borderId="0"/>
    <xf numFmtId="0" fontId="87" fillId="0" borderId="0"/>
    <xf numFmtId="0" fontId="6" fillId="0" borderId="0"/>
    <xf numFmtId="0" fontId="6" fillId="0" borderId="0"/>
    <xf numFmtId="0" fontId="6" fillId="0" borderId="0">
      <alignment wrapText="1"/>
    </xf>
    <xf numFmtId="0" fontId="94" fillId="0" borderId="0"/>
    <xf numFmtId="0" fontId="94" fillId="0" borderId="0"/>
    <xf numFmtId="0" fontId="6" fillId="0" borderId="0"/>
    <xf numFmtId="37" fontId="54" fillId="0" borderId="0"/>
    <xf numFmtId="0" fontId="6" fillId="0" borderId="0"/>
    <xf numFmtId="37" fontId="54" fillId="0" borderId="0"/>
    <xf numFmtId="0" fontId="94" fillId="0" borderId="0"/>
    <xf numFmtId="0" fontId="97" fillId="0" borderId="0"/>
    <xf numFmtId="37" fontId="94" fillId="0" borderId="0"/>
    <xf numFmtId="0" fontId="94" fillId="0" borderId="0"/>
    <xf numFmtId="37" fontId="94" fillId="0" borderId="0"/>
    <xf numFmtId="0" fontId="6" fillId="0" borderId="0">
      <alignment wrapText="1"/>
    </xf>
    <xf numFmtId="37" fontId="88" fillId="0" borderId="0"/>
    <xf numFmtId="0" fontId="6" fillId="0" borderId="0"/>
    <xf numFmtId="0" fontId="6" fillId="0" borderId="0"/>
    <xf numFmtId="37" fontId="6" fillId="0" borderId="0"/>
    <xf numFmtId="37" fontId="6" fillId="0" borderId="0"/>
    <xf numFmtId="221" fontId="6" fillId="0" borderId="0"/>
    <xf numFmtId="215" fontId="6" fillId="0" borderId="0"/>
    <xf numFmtId="39" fontId="6" fillId="0" borderId="0"/>
    <xf numFmtId="39" fontId="6" fillId="0" borderId="0"/>
    <xf numFmtId="216" fontId="6" fillId="0" borderId="0"/>
    <xf numFmtId="213" fontId="6" fillId="0" borderId="0"/>
    <xf numFmtId="217" fontId="6" fillId="0" borderId="0"/>
    <xf numFmtId="214" fontId="6" fillId="0" borderId="0"/>
    <xf numFmtId="218" fontId="6" fillId="0" borderId="0"/>
    <xf numFmtId="219" fontId="6" fillId="0" borderId="0"/>
    <xf numFmtId="220" fontId="6" fillId="0" borderId="0"/>
    <xf numFmtId="0" fontId="109" fillId="33" borderId="47" applyNumberFormat="0" applyAlignment="0" applyProtection="0"/>
    <xf numFmtId="186" fontId="67" fillId="0" borderId="0"/>
    <xf numFmtId="9" fontId="6" fillId="0" borderId="0" applyFont="0" applyFill="0" applyBorder="0" applyAlignment="0" applyProtection="0"/>
    <xf numFmtId="185" fontId="72" fillId="0" borderId="0">
      <protection hidden="1"/>
    </xf>
    <xf numFmtId="190" fontId="6" fillId="0" borderId="0" applyFont="0" applyFill="0" applyBorder="0" applyAlignment="0" applyProtection="0"/>
    <xf numFmtId="229" fontId="6" fillId="0" borderId="0" applyFont="0" applyFill="0" applyBorder="0" applyAlignment="0" applyProtection="0"/>
    <xf numFmtId="166" fontId="6" fillId="0" borderId="0" applyFont="0" applyFill="0" applyBorder="0" applyAlignment="0" applyProtection="0"/>
    <xf numFmtId="233" fontId="6" fillId="0" borderId="0" applyFont="0" applyFill="0" applyBorder="0" applyAlignment="0" applyProtection="0"/>
    <xf numFmtId="10" fontId="6" fillId="0" borderId="0" applyFont="0" applyFill="0" applyBorder="0" applyAlignment="0" applyProtection="0"/>
    <xf numFmtId="9" fontId="89" fillId="0" borderId="0" applyFont="0" applyFill="0" applyBorder="0" applyAlignment="0" applyProtection="0"/>
    <xf numFmtId="9" fontId="55"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97" fillId="0" borderId="0" applyFont="0" applyFill="0" applyBorder="0" applyAlignment="0" applyProtection="0"/>
    <xf numFmtId="9" fontId="94" fillId="0" borderId="0" applyFont="0" applyFill="0" applyBorder="0" applyAlignment="0" applyProtection="0"/>
    <xf numFmtId="9" fontId="94" fillId="0" borderId="0" applyFont="0" applyFill="0" applyBorder="0" applyAlignment="0" applyProtection="0"/>
    <xf numFmtId="9" fontId="89" fillId="0" borderId="0" applyFont="0" applyFill="0" applyBorder="0" applyAlignment="0" applyProtection="0"/>
    <xf numFmtId="9" fontId="67" fillId="0" borderId="9" applyNumberFormat="0" applyBorder="0"/>
    <xf numFmtId="164" fontId="61" fillId="0" borderId="0"/>
    <xf numFmtId="0" fontId="83" fillId="6" borderId="10" applyNumberFormat="0" applyFont="0" applyFill="0" applyAlignment="0">
      <alignment horizontal="center" vertical="center"/>
    </xf>
    <xf numFmtId="194" fontId="78" fillId="0" borderId="0" applyFill="0" applyBorder="0" applyAlignment="0"/>
    <xf numFmtId="230" fontId="6" fillId="0" borderId="0" applyFill="0" applyBorder="0" applyAlignment="0"/>
    <xf numFmtId="187" fontId="6" fillId="0" borderId="0" applyFill="0" applyBorder="0" applyAlignment="0"/>
    <xf numFmtId="180" fontId="6" fillId="0" borderId="0" applyFill="0" applyBorder="0" applyAlignment="0"/>
    <xf numFmtId="194" fontId="78" fillId="0" borderId="0" applyFill="0" applyBorder="0" applyAlignment="0"/>
    <xf numFmtId="230" fontId="6" fillId="0" borderId="0" applyFill="0" applyBorder="0" applyAlignment="0"/>
    <xf numFmtId="191" fontId="6" fillId="0" borderId="0" applyFill="0" applyBorder="0" applyAlignment="0"/>
    <xf numFmtId="231" fontId="6" fillId="0" borderId="0" applyFill="0" applyBorder="0" applyAlignment="0"/>
    <xf numFmtId="187" fontId="6" fillId="0" borderId="0" applyFill="0" applyBorder="0" applyAlignment="0"/>
    <xf numFmtId="180" fontId="6" fillId="0" borderId="0" applyFill="0" applyBorder="0" applyAlignment="0"/>
    <xf numFmtId="37" fontId="54" fillId="0" borderId="11"/>
    <xf numFmtId="0" fontId="84" fillId="0" borderId="0"/>
    <xf numFmtId="0" fontId="55" fillId="0" borderId="0"/>
    <xf numFmtId="0" fontId="67" fillId="0" borderId="0"/>
    <xf numFmtId="49" fontId="53" fillId="0" borderId="0" applyFill="0" applyBorder="0" applyAlignment="0"/>
    <xf numFmtId="192" fontId="6" fillId="0" borderId="0" applyFill="0" applyBorder="0" applyAlignment="0"/>
    <xf numFmtId="234" fontId="6" fillId="0" borderId="0" applyFill="0" applyBorder="0" applyAlignment="0"/>
    <xf numFmtId="193" fontId="6" fillId="0" borderId="0" applyFill="0" applyBorder="0" applyAlignment="0"/>
    <xf numFmtId="235" fontId="6" fillId="0" borderId="0" applyFill="0" applyBorder="0" applyAlignment="0"/>
    <xf numFmtId="49" fontId="6" fillId="0" borderId="0"/>
    <xf numFmtId="0" fontId="79" fillId="0" borderId="0" applyFill="0" applyBorder="0" applyProtection="0">
      <alignment horizontal="left" vertical="top"/>
    </xf>
    <xf numFmtId="40" fontId="80" fillId="0" borderId="0"/>
    <xf numFmtId="0" fontId="110" fillId="0" borderId="48" applyNumberFormat="0" applyFill="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37" fontId="54" fillId="0" borderId="4"/>
    <xf numFmtId="37" fontId="54" fillId="0" borderId="12"/>
    <xf numFmtId="198" fontId="6" fillId="0" borderId="0" applyFont="0" applyFill="0" applyBorder="0" applyAlignment="0" applyProtection="0"/>
    <xf numFmtId="199" fontId="6" fillId="0" borderId="0" applyFont="0" applyFill="0" applyBorder="0" applyAlignment="0" applyProtection="0"/>
    <xf numFmtId="0" fontId="111" fillId="0" borderId="0" applyNumberFormat="0" applyFill="0" applyBorder="0" applyAlignment="0" applyProtection="0"/>
    <xf numFmtId="0" fontId="6" fillId="0" borderId="0"/>
    <xf numFmtId="0" fontId="6" fillId="0" borderId="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97" fontId="5" fillId="0" borderId="0" applyAlignment="0" applyProtection="0"/>
    <xf numFmtId="174" fontId="5" fillId="0" borderId="0"/>
    <xf numFmtId="174" fontId="5" fillId="0" borderId="0"/>
    <xf numFmtId="43" fontId="5" fillId="0" borderId="0" applyFont="0" applyFill="0" applyBorder="0" applyAlignment="0" applyProtection="0"/>
    <xf numFmtId="43" fontId="5" fillId="0" borderId="0" applyFont="0" applyFill="0" applyBorder="0" applyAlignment="0" applyProtection="0"/>
    <xf numFmtId="4" fontId="5" fillId="0" borderId="0" applyFont="0" applyFill="0" applyBorder="0" applyAlignment="0" applyProtection="0"/>
    <xf numFmtId="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8" fontId="5" fillId="0" borderId="0" applyFont="0" applyFill="0" applyBorder="0" applyAlignment="0" applyProtection="0"/>
    <xf numFmtId="44" fontId="5" fillId="0" borderId="0" applyFont="0" applyFill="0" applyBorder="0" applyAlignment="0" applyProtection="0"/>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0" fontId="5" fillId="0" borderId="0">
      <alignment horizontal="left" vertical="center"/>
    </xf>
    <xf numFmtId="182" fontId="5" fillId="0" borderId="0"/>
    <xf numFmtId="0" fontId="5" fillId="0" borderId="0"/>
    <xf numFmtId="0" fontId="5" fillId="0" borderId="0"/>
    <xf numFmtId="0" fontId="5" fillId="0" borderId="0"/>
    <xf numFmtId="0" fontId="5" fillId="0" borderId="0"/>
    <xf numFmtId="0" fontId="5" fillId="0" borderId="0"/>
    <xf numFmtId="37" fontId="5" fillId="0" borderId="0"/>
    <xf numFmtId="0" fontId="5" fillId="0" borderId="0"/>
    <xf numFmtId="37" fontId="5" fillId="0" borderId="0"/>
    <xf numFmtId="9" fontId="5" fillId="0" borderId="0" applyFont="0" applyFill="0" applyBorder="0" applyAlignment="0" applyProtection="0"/>
    <xf numFmtId="9" fontId="5" fillId="0" borderId="0" applyFont="0" applyFill="0" applyBorder="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74" fontId="4" fillId="0" borderId="0"/>
    <xf numFmtId="174" fontId="4" fillId="0" borderId="0"/>
    <xf numFmtId="43" fontId="4" fillId="0" borderId="0" applyFont="0" applyFill="0" applyBorder="0" applyAlignment="0" applyProtection="0"/>
    <xf numFmtId="43" fontId="4" fillId="0" borderId="0" applyFont="0" applyFill="0" applyBorder="0" applyAlignment="0" applyProtection="0"/>
    <xf numFmtId="4" fontId="4" fillId="0" borderId="0" applyFont="0" applyFill="0" applyBorder="0" applyAlignment="0" applyProtection="0"/>
    <xf numFmtId="4"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8" fontId="4" fillId="0" borderId="0" applyFont="0" applyFill="0" applyBorder="0" applyAlignment="0" applyProtection="0"/>
    <xf numFmtId="44" fontId="4" fillId="0" borderId="0" applyFont="0" applyFill="0" applyBorder="0" applyAlignment="0" applyProtection="0"/>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182" fontId="4" fillId="0" borderId="0"/>
    <xf numFmtId="0" fontId="4" fillId="0" borderId="0"/>
    <xf numFmtId="0" fontId="4" fillId="0" borderId="0"/>
    <xf numFmtId="0" fontId="4" fillId="0" borderId="0"/>
    <xf numFmtId="0" fontId="4" fillId="0" borderId="0"/>
    <xf numFmtId="0" fontId="4" fillId="0" borderId="0"/>
    <xf numFmtId="37" fontId="4" fillId="0" borderId="0"/>
    <xf numFmtId="0" fontId="4" fillId="0" borderId="0"/>
    <xf numFmtId="37" fontId="4" fillId="0" borderId="0"/>
    <xf numFmtId="9" fontId="4" fillId="0" borderId="0" applyFont="0" applyFill="0" applyBorder="0" applyAlignment="0" applyProtection="0"/>
    <xf numFmtId="9" fontId="4" fillId="0" borderId="0" applyFont="0" applyFill="0" applyBorder="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97" fontId="4" fillId="0" borderId="0" applyAlignment="0" applyProtection="0"/>
    <xf numFmtId="174" fontId="4" fillId="0" borderId="0"/>
    <xf numFmtId="174" fontId="4" fillId="0" borderId="0"/>
    <xf numFmtId="43" fontId="4" fillId="0" borderId="0" applyFont="0" applyFill="0" applyBorder="0" applyAlignment="0" applyProtection="0"/>
    <xf numFmtId="43" fontId="4" fillId="0" borderId="0" applyFont="0" applyFill="0" applyBorder="0" applyAlignment="0" applyProtection="0"/>
    <xf numFmtId="4" fontId="4" fillId="0" borderId="0" applyFont="0" applyFill="0" applyBorder="0" applyAlignment="0" applyProtection="0"/>
    <xf numFmtId="4"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8" fontId="4" fillId="0" borderId="0" applyFont="0" applyFill="0" applyBorder="0" applyAlignment="0" applyProtection="0"/>
    <xf numFmtId="44" fontId="4" fillId="0" borderId="0" applyFont="0" applyFill="0" applyBorder="0" applyAlignment="0" applyProtection="0"/>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0" fontId="4" fillId="0" borderId="0">
      <alignment horizontal="left" vertical="center"/>
    </xf>
    <xf numFmtId="182" fontId="4" fillId="0" borderId="0"/>
    <xf numFmtId="0" fontId="4" fillId="0" borderId="0"/>
    <xf numFmtId="0" fontId="4" fillId="0" borderId="0"/>
    <xf numFmtId="0" fontId="4" fillId="0" borderId="0"/>
    <xf numFmtId="0" fontId="4" fillId="0" borderId="0"/>
    <xf numFmtId="0" fontId="4" fillId="0" borderId="0"/>
    <xf numFmtId="37" fontId="4" fillId="0" borderId="0"/>
    <xf numFmtId="0" fontId="4" fillId="0" borderId="0"/>
    <xf numFmtId="37" fontId="4" fillId="0" borderId="0"/>
    <xf numFmtId="9" fontId="4" fillId="0" borderId="0" applyFont="0" applyFill="0" applyBorder="0" applyAlignment="0" applyProtection="0"/>
    <xf numFmtId="9" fontId="4" fillId="0" borderId="0" applyFont="0" applyFill="0" applyBorder="0" applyAlignment="0" applyProtection="0"/>
    <xf numFmtId="0" fontId="3" fillId="0" borderId="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97" fontId="3" fillId="0" borderId="0" applyAlignment="0" applyProtection="0"/>
    <xf numFmtId="174" fontId="3" fillId="0" borderId="0"/>
    <xf numFmtId="174" fontId="3" fillId="0" borderId="0"/>
    <xf numFmtId="4" fontId="3" fillId="0" borderId="0" applyFont="0" applyFill="0" applyBorder="0" applyAlignment="0" applyProtection="0"/>
    <xf numFmtId="4" fontId="3" fillId="0" borderId="0" applyFont="0" applyFill="0" applyBorder="0" applyAlignment="0" applyProtection="0"/>
    <xf numFmtId="43" fontId="3" fillId="0" borderId="0" applyFont="0" applyFill="0" applyBorder="0" applyAlignment="0" applyProtection="0"/>
    <xf numFmtId="8" fontId="3" fillId="0" borderId="0" applyFont="0" applyFill="0" applyBorder="0" applyAlignment="0" applyProtection="0"/>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0" fontId="3" fillId="0" borderId="0">
      <alignment horizontal="left" vertical="center"/>
    </xf>
    <xf numFmtId="182" fontId="3" fillId="0" borderId="0"/>
    <xf numFmtId="0" fontId="3" fillId="0" borderId="0"/>
    <xf numFmtId="37" fontId="3" fillId="0" borderId="0"/>
    <xf numFmtId="37" fontId="3"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 fillId="0" borderId="0"/>
    <xf numFmtId="0" fontId="2" fillId="0" borderId="0"/>
    <xf numFmtId="0" fontId="2" fillId="0" borderId="0"/>
    <xf numFmtId="0" fontId="117" fillId="0" borderId="0"/>
    <xf numFmtId="0" fontId="1" fillId="0" borderId="0"/>
  </cellStyleXfs>
  <cellXfs count="1110">
    <xf numFmtId="0" fontId="0" fillId="0" borderId="0" xfId="0"/>
    <xf numFmtId="37" fontId="10" fillId="0" borderId="0" xfId="0" applyNumberFormat="1" applyFont="1" applyAlignment="1">
      <alignment vertical="center"/>
    </xf>
    <xf numFmtId="37" fontId="8" fillId="0" borderId="0" xfId="0" applyNumberFormat="1" applyFont="1" applyBorder="1" applyAlignment="1">
      <alignment vertical="center"/>
    </xf>
    <xf numFmtId="37" fontId="10" fillId="0" borderId="0" xfId="0" applyNumberFormat="1" applyFont="1" applyBorder="1" applyAlignment="1">
      <alignment horizontal="right" vertical="center"/>
    </xf>
    <xf numFmtId="37" fontId="12" fillId="0" borderId="0" xfId="0" applyNumberFormat="1" applyFont="1" applyBorder="1" applyAlignment="1">
      <alignment horizontal="left" vertical="center"/>
    </xf>
    <xf numFmtId="37" fontId="10" fillId="0" borderId="0" xfId="0" applyNumberFormat="1" applyFont="1" applyBorder="1" applyAlignment="1">
      <alignment horizontal="centerContinuous" vertical="center"/>
    </xf>
    <xf numFmtId="37" fontId="9" fillId="0" borderId="0" xfId="0" applyNumberFormat="1" applyFont="1" applyBorder="1" applyAlignment="1">
      <alignment vertical="center"/>
    </xf>
    <xf numFmtId="37" fontId="12" fillId="0" borderId="0" xfId="0" applyNumberFormat="1" applyFont="1" applyBorder="1" applyAlignment="1">
      <alignment horizontal="right" vertical="center"/>
    </xf>
    <xf numFmtId="37" fontId="14" fillId="0" borderId="0" xfId="0" applyNumberFormat="1" applyFont="1" applyBorder="1" applyAlignment="1">
      <alignment horizontal="left" vertical="center"/>
    </xf>
    <xf numFmtId="37" fontId="10" fillId="0" borderId="0" xfId="0" applyNumberFormat="1" applyFont="1" applyBorder="1" applyAlignment="1">
      <alignment horizontal="left" vertical="center"/>
    </xf>
    <xf numFmtId="37" fontId="13" fillId="0" borderId="0" xfId="0" applyNumberFormat="1" applyFont="1" applyBorder="1" applyAlignment="1">
      <alignment horizontal="right" vertical="center"/>
    </xf>
    <xf numFmtId="37" fontId="9" fillId="0" borderId="0" xfId="0" applyNumberFormat="1" applyFont="1" applyBorder="1" applyAlignment="1">
      <alignment horizontal="left" vertical="center"/>
    </xf>
    <xf numFmtId="37" fontId="11" fillId="0" borderId="0" xfId="0" applyNumberFormat="1" applyFont="1" applyBorder="1" applyAlignment="1">
      <alignment horizontal="left" vertical="center"/>
    </xf>
    <xf numFmtId="37" fontId="10" fillId="0" borderId="0" xfId="0" applyNumberFormat="1" applyFont="1" applyBorder="1" applyAlignment="1">
      <alignment vertical="center"/>
    </xf>
    <xf numFmtId="37" fontId="16" fillId="0" borderId="0" xfId="0" applyNumberFormat="1" applyFont="1" applyBorder="1" applyAlignment="1">
      <alignment vertical="center"/>
    </xf>
    <xf numFmtId="37" fontId="17" fillId="0" borderId="0" xfId="0" applyNumberFormat="1" applyFont="1" applyBorder="1" applyAlignment="1">
      <alignment vertical="center"/>
    </xf>
    <xf numFmtId="37" fontId="13" fillId="0" borderId="0" xfId="0" applyNumberFormat="1" applyFont="1" applyBorder="1" applyAlignment="1">
      <alignment horizontal="centerContinuous" vertical="center"/>
    </xf>
    <xf numFmtId="167" fontId="9" fillId="0" borderId="0" xfId="0" applyNumberFormat="1" applyFont="1" applyBorder="1" applyAlignment="1">
      <alignment vertical="center"/>
    </xf>
    <xf numFmtId="37" fontId="10" fillId="0" borderId="0" xfId="0" applyNumberFormat="1" applyFont="1" applyFill="1" applyBorder="1" applyAlignment="1">
      <alignment vertical="center"/>
    </xf>
    <xf numFmtId="37" fontId="10" fillId="0" borderId="0" xfId="0" applyNumberFormat="1" applyFont="1" applyFill="1" applyBorder="1" applyAlignment="1">
      <alignment horizontal="right" vertical="center"/>
    </xf>
    <xf numFmtId="37" fontId="9" fillId="0" borderId="0" xfId="0" applyNumberFormat="1" applyFont="1" applyFill="1" applyBorder="1" applyAlignment="1">
      <alignment vertical="center"/>
    </xf>
    <xf numFmtId="39" fontId="9" fillId="0" borderId="0" xfId="0" applyNumberFormat="1" applyFont="1" applyFill="1" applyBorder="1" applyAlignment="1">
      <alignment vertical="center"/>
    </xf>
    <xf numFmtId="0" fontId="9" fillId="0" borderId="0" xfId="0" applyFont="1" applyAlignment="1">
      <alignment vertical="center"/>
    </xf>
    <xf numFmtId="167" fontId="9" fillId="3" borderId="0" xfId="0" applyNumberFormat="1" applyFont="1" applyFill="1" applyBorder="1" applyAlignment="1">
      <alignment vertical="center"/>
    </xf>
    <xf numFmtId="37" fontId="10" fillId="3" borderId="0" xfId="0" applyNumberFormat="1" applyFont="1" applyFill="1" applyBorder="1" applyAlignment="1">
      <alignment vertical="center"/>
    </xf>
    <xf numFmtId="167" fontId="9" fillId="0" borderId="0" xfId="0" applyNumberFormat="1" applyFont="1" applyBorder="1" applyAlignment="1">
      <alignment horizontal="center" vertical="center"/>
    </xf>
    <xf numFmtId="14" fontId="10" fillId="0" borderId="0" xfId="0" applyNumberFormat="1" applyFont="1" applyBorder="1" applyAlignment="1">
      <alignment horizontal="centerContinuous" vertical="center"/>
    </xf>
    <xf numFmtId="164" fontId="9" fillId="0" borderId="0" xfId="0" applyNumberFormat="1" applyFont="1" applyBorder="1" applyAlignment="1">
      <alignment vertical="center"/>
    </xf>
    <xf numFmtId="164" fontId="10" fillId="0" borderId="0" xfId="0" applyNumberFormat="1" applyFont="1" applyBorder="1" applyAlignment="1">
      <alignment vertical="center"/>
    </xf>
    <xf numFmtId="164" fontId="17" fillId="0" borderId="0" xfId="0" applyNumberFormat="1" applyFont="1" applyBorder="1" applyAlignment="1">
      <alignment vertical="center"/>
    </xf>
    <xf numFmtId="164" fontId="9" fillId="0" borderId="0" xfId="0" applyNumberFormat="1" applyFont="1" applyBorder="1" applyAlignment="1">
      <alignment horizontal="right" vertical="center"/>
    </xf>
    <xf numFmtId="37" fontId="11" fillId="3" borderId="0" xfId="0" applyNumberFormat="1" applyFont="1" applyFill="1" applyBorder="1" applyAlignment="1">
      <alignment vertical="center"/>
    </xf>
    <xf numFmtId="170" fontId="11" fillId="3" borderId="0" xfId="318" applyNumberFormat="1" applyFont="1" applyFill="1" applyBorder="1" applyAlignment="1">
      <alignment vertical="center"/>
    </xf>
    <xf numFmtId="37" fontId="9" fillId="3" borderId="0" xfId="0" applyNumberFormat="1" applyFont="1" applyFill="1" applyBorder="1" applyAlignment="1">
      <alignment vertical="center"/>
    </xf>
    <xf numFmtId="37" fontId="18" fillId="3" borderId="0" xfId="0" applyNumberFormat="1" applyFont="1" applyFill="1" applyBorder="1" applyAlignment="1">
      <alignment vertical="center"/>
    </xf>
    <xf numFmtId="164" fontId="10" fillId="3" borderId="0" xfId="0" applyNumberFormat="1" applyFont="1" applyFill="1" applyBorder="1" applyAlignment="1">
      <alignment vertical="center"/>
    </xf>
    <xf numFmtId="170" fontId="9" fillId="3" borderId="0" xfId="318" applyNumberFormat="1" applyFont="1" applyFill="1" applyBorder="1" applyAlignment="1">
      <alignment vertical="center"/>
    </xf>
    <xf numFmtId="164" fontId="9" fillId="0" borderId="0" xfId="116" applyNumberFormat="1" applyFont="1" applyFill="1" applyBorder="1" applyAlignment="1">
      <alignment vertical="center"/>
    </xf>
    <xf numFmtId="7" fontId="10" fillId="3" borderId="0" xfId="152" applyNumberFormat="1" applyFont="1" applyFill="1" applyBorder="1" applyAlignment="1">
      <alignment vertical="center"/>
    </xf>
    <xf numFmtId="37" fontId="15" fillId="0" borderId="0" xfId="0" applyNumberFormat="1" applyFont="1" applyBorder="1" applyAlignment="1">
      <alignment vertical="center"/>
    </xf>
    <xf numFmtId="15" fontId="11" fillId="0" borderId="0" xfId="0" applyNumberFormat="1" applyFont="1" applyFill="1" applyBorder="1" applyAlignment="1">
      <alignment horizontal="right" vertical="center"/>
    </xf>
    <xf numFmtId="37" fontId="10" fillId="0" borderId="0" xfId="0" applyNumberFormat="1" applyFont="1" applyFill="1" applyBorder="1" applyAlignment="1">
      <alignment horizontal="center" vertical="center"/>
    </xf>
    <xf numFmtId="37" fontId="9" fillId="0" borderId="0" xfId="0" applyNumberFormat="1" applyFont="1" applyFill="1" applyBorder="1" applyAlignment="1">
      <alignment horizontal="center" vertical="center"/>
    </xf>
    <xf numFmtId="167" fontId="9" fillId="0" borderId="0" xfId="0" applyNumberFormat="1" applyFont="1" applyFill="1" applyBorder="1" applyAlignment="1">
      <alignment horizontal="center" vertical="center"/>
    </xf>
    <xf numFmtId="37" fontId="27" fillId="0" borderId="0" xfId="0" applyNumberFormat="1" applyFont="1" applyBorder="1" applyAlignment="1" applyProtection="1">
      <alignment vertical="center"/>
    </xf>
    <xf numFmtId="0" fontId="24" fillId="0" borderId="0" xfId="0" applyFont="1" applyBorder="1" applyAlignment="1" applyProtection="1">
      <alignment vertical="center"/>
    </xf>
    <xf numFmtId="0" fontId="25" fillId="0" borderId="0" xfId="0" applyFont="1" applyBorder="1" applyAlignment="1" applyProtection="1">
      <alignment vertical="center"/>
    </xf>
    <xf numFmtId="0" fontId="9" fillId="0" borderId="0" xfId="0" applyFont="1" applyBorder="1" applyAlignment="1">
      <alignment vertical="center"/>
    </xf>
    <xf numFmtId="0" fontId="26" fillId="0" borderId="0" xfId="0" applyFont="1" applyBorder="1" applyAlignment="1">
      <alignment vertical="center"/>
    </xf>
    <xf numFmtId="37" fontId="25" fillId="0" borderId="0" xfId="0" applyNumberFormat="1" applyFont="1" applyBorder="1" applyAlignment="1" applyProtection="1">
      <alignment vertical="center"/>
    </xf>
    <xf numFmtId="0" fontId="26" fillId="0" borderId="0" xfId="0" applyFont="1" applyBorder="1" applyAlignment="1" applyProtection="1">
      <alignment vertical="center"/>
    </xf>
    <xf numFmtId="0" fontId="9" fillId="0" borderId="0" xfId="0" applyFont="1" applyAlignment="1" applyProtection="1">
      <alignment vertical="center"/>
    </xf>
    <xf numFmtId="169" fontId="26" fillId="0" borderId="0" xfId="116" applyNumberFormat="1" applyFont="1" applyAlignment="1" applyProtection="1">
      <alignment vertical="center"/>
    </xf>
    <xf numFmtId="0" fontId="26" fillId="0" borderId="0" xfId="0" applyFont="1" applyAlignment="1">
      <alignment vertical="center"/>
    </xf>
    <xf numFmtId="170" fontId="26" fillId="0" borderId="0" xfId="318" applyNumberFormat="1" applyFont="1" applyFill="1" applyBorder="1" applyAlignment="1">
      <alignment vertical="center"/>
    </xf>
    <xf numFmtId="0" fontId="14" fillId="0" borderId="0" xfId="0" applyFont="1" applyAlignment="1">
      <alignment vertical="center"/>
    </xf>
    <xf numFmtId="170" fontId="9" fillId="0" borderId="0" xfId="0" applyNumberFormat="1" applyFont="1" applyAlignment="1" applyProtection="1">
      <alignment vertical="center"/>
    </xf>
    <xf numFmtId="0" fontId="9" fillId="0" borderId="0" xfId="0" applyFont="1" applyFill="1" applyBorder="1" applyAlignment="1">
      <alignment vertical="center"/>
    </xf>
    <xf numFmtId="0" fontId="26" fillId="0" borderId="0" xfId="0" applyNumberFormat="1" applyFont="1" applyAlignment="1">
      <alignment vertical="center"/>
    </xf>
    <xf numFmtId="37" fontId="26" fillId="0" borderId="0" xfId="0" applyNumberFormat="1" applyFont="1" applyBorder="1" applyAlignment="1">
      <alignment vertical="center"/>
    </xf>
    <xf numFmtId="164" fontId="26" fillId="0" borderId="0" xfId="116" applyNumberFormat="1" applyFont="1" applyFill="1" applyBorder="1" applyAlignment="1">
      <alignment horizontal="right" vertical="center"/>
    </xf>
    <xf numFmtId="0" fontId="25" fillId="0" borderId="0" xfId="0" applyFont="1" applyBorder="1" applyAlignment="1">
      <alignment vertical="center"/>
    </xf>
    <xf numFmtId="170" fontId="9" fillId="0" borderId="0" xfId="318" applyNumberFormat="1" applyFont="1" applyBorder="1" applyAlignment="1">
      <alignment vertical="center"/>
    </xf>
    <xf numFmtId="0" fontId="14" fillId="0" borderId="0" xfId="0" applyNumberFormat="1" applyFont="1" applyAlignment="1">
      <alignment vertical="center"/>
    </xf>
    <xf numFmtId="0" fontId="25" fillId="0" borderId="0" xfId="0" applyFont="1" applyAlignment="1">
      <alignment vertical="center"/>
    </xf>
    <xf numFmtId="0" fontId="26" fillId="0" borderId="0" xfId="0" applyNumberFormat="1" applyFont="1" applyBorder="1" applyAlignment="1">
      <alignment vertical="center"/>
    </xf>
    <xf numFmtId="9" fontId="26" fillId="0" borderId="0" xfId="0" applyNumberFormat="1" applyFont="1" applyAlignment="1">
      <alignment vertical="center"/>
    </xf>
    <xf numFmtId="173" fontId="9" fillId="0" borderId="0" xfId="0" applyNumberFormat="1" applyFont="1" applyFill="1" applyBorder="1" applyAlignment="1">
      <alignment vertical="center"/>
    </xf>
    <xf numFmtId="37" fontId="8" fillId="0" borderId="0" xfId="0" applyNumberFormat="1" applyFont="1" applyFill="1" applyBorder="1" applyAlignment="1">
      <alignment horizontal="center" vertical="center"/>
    </xf>
    <xf numFmtId="0" fontId="10" fillId="0" borderId="0" xfId="0" applyFont="1" applyAlignment="1">
      <alignment vertical="center"/>
    </xf>
    <xf numFmtId="0" fontId="11" fillId="3" borderId="0" xfId="0" applyFont="1" applyFill="1" applyBorder="1" applyAlignment="1">
      <alignment vertical="center"/>
    </xf>
    <xf numFmtId="0" fontId="9" fillId="3" borderId="0" xfId="0" applyFont="1" applyFill="1" applyBorder="1" applyAlignment="1">
      <alignment vertical="center"/>
    </xf>
    <xf numFmtId="0" fontId="36" fillId="3" borderId="0" xfId="0" applyFont="1" applyFill="1" applyBorder="1" applyAlignment="1">
      <alignment horizontal="center" vertical="center"/>
    </xf>
    <xf numFmtId="0" fontId="9" fillId="0" borderId="0" xfId="0" applyFont="1" applyAlignment="1">
      <alignment horizontal="center" vertical="center"/>
    </xf>
    <xf numFmtId="0" fontId="36" fillId="3" borderId="0" xfId="0" applyFont="1" applyFill="1" applyBorder="1" applyAlignment="1">
      <alignment vertical="center"/>
    </xf>
    <xf numFmtId="0" fontId="11" fillId="0" borderId="0" xfId="0" applyFont="1" applyAlignment="1">
      <alignment horizontal="left" vertical="center"/>
    </xf>
    <xf numFmtId="0" fontId="9" fillId="0" borderId="0" xfId="0" applyFont="1" applyAlignment="1">
      <alignment horizontal="left" vertical="center"/>
    </xf>
    <xf numFmtId="0" fontId="10" fillId="0" borderId="13" xfId="0" applyFont="1" applyBorder="1" applyAlignment="1">
      <alignment vertical="center"/>
    </xf>
    <xf numFmtId="0" fontId="9" fillId="0" borderId="13" xfId="0" applyFont="1" applyBorder="1" applyAlignment="1">
      <alignment horizontal="center" vertical="center"/>
    </xf>
    <xf numFmtId="0" fontId="9" fillId="0" borderId="13" xfId="0" applyFont="1" applyBorder="1" applyAlignment="1">
      <alignment vertical="center"/>
    </xf>
    <xf numFmtId="0" fontId="13" fillId="0" borderId="0" xfId="0" applyFont="1" applyAlignment="1">
      <alignment horizontal="center" vertical="center"/>
    </xf>
    <xf numFmtId="0" fontId="13" fillId="0" borderId="0" xfId="0" applyFont="1" applyAlignment="1">
      <alignment horizontal="left" vertical="center"/>
    </xf>
    <xf numFmtId="0" fontId="9" fillId="0" borderId="0" xfId="0" applyFont="1" applyAlignment="1">
      <alignment horizontal="right" vertical="center"/>
    </xf>
    <xf numFmtId="9" fontId="9" fillId="0" borderId="0" xfId="0" applyNumberFormat="1" applyFont="1" applyAlignment="1">
      <alignment horizontal="center" vertical="center"/>
    </xf>
    <xf numFmtId="37" fontId="9" fillId="0" borderId="0" xfId="0" applyNumberFormat="1" applyFont="1" applyFill="1" applyBorder="1" applyAlignment="1">
      <alignment horizontal="right" vertical="center"/>
    </xf>
    <xf numFmtId="164" fontId="9" fillId="0" borderId="0" xfId="0" applyNumberFormat="1" applyFont="1" applyFill="1" applyBorder="1" applyAlignment="1">
      <alignment vertical="center"/>
    </xf>
    <xf numFmtId="164" fontId="17" fillId="0" borderId="0" xfId="0" applyNumberFormat="1" applyFont="1" applyFill="1" applyBorder="1" applyAlignment="1">
      <alignment vertical="center"/>
    </xf>
    <xf numFmtId="164" fontId="10" fillId="0" borderId="0" xfId="0" applyNumberFormat="1" applyFont="1" applyFill="1" applyBorder="1" applyAlignment="1">
      <alignment vertical="center"/>
    </xf>
    <xf numFmtId="37" fontId="10" fillId="3" borderId="0" xfId="0" applyNumberFormat="1" applyFont="1" applyFill="1" applyBorder="1" applyAlignment="1">
      <alignment horizontal="right" vertical="center"/>
    </xf>
    <xf numFmtId="167" fontId="10" fillId="3" borderId="0" xfId="0" applyNumberFormat="1" applyFont="1" applyFill="1" applyBorder="1" applyAlignment="1">
      <alignment horizontal="right" vertical="center"/>
    </xf>
    <xf numFmtId="39" fontId="9" fillId="3" borderId="0" xfId="0" applyNumberFormat="1" applyFont="1" applyFill="1" applyBorder="1" applyAlignment="1">
      <alignment horizontal="right" vertical="center"/>
    </xf>
    <xf numFmtId="164" fontId="11" fillId="0" borderId="0" xfId="0" applyNumberFormat="1" applyFont="1" applyFill="1" applyBorder="1" applyAlignment="1">
      <alignment vertical="center"/>
    </xf>
    <xf numFmtId="165" fontId="9" fillId="0" borderId="0" xfId="0" applyNumberFormat="1" applyFont="1" applyBorder="1" applyAlignment="1">
      <alignment horizontal="right" vertical="center"/>
    </xf>
    <xf numFmtId="37" fontId="18" fillId="0" borderId="0" xfId="0" applyNumberFormat="1" applyFont="1" applyBorder="1" applyAlignment="1">
      <alignment vertical="center"/>
    </xf>
    <xf numFmtId="37" fontId="11" fillId="0" borderId="0" xfId="0" applyNumberFormat="1" applyFont="1" applyBorder="1" applyAlignment="1">
      <alignment vertical="center"/>
    </xf>
    <xf numFmtId="165" fontId="14" fillId="0" borderId="0" xfId="0" applyNumberFormat="1" applyFont="1" applyBorder="1" applyAlignment="1">
      <alignment horizontal="left" vertical="center"/>
    </xf>
    <xf numFmtId="9" fontId="9" fillId="0" borderId="0" xfId="318" applyFont="1" applyBorder="1" applyAlignment="1">
      <alignment vertical="center"/>
    </xf>
    <xf numFmtId="165" fontId="11" fillId="0" borderId="0" xfId="0" applyNumberFormat="1" applyFont="1" applyBorder="1" applyAlignment="1">
      <alignment horizontal="left" vertical="center"/>
    </xf>
    <xf numFmtId="7" fontId="9" fillId="0" borderId="0" xfId="0" applyNumberFormat="1" applyFont="1" applyBorder="1" applyAlignment="1">
      <alignment vertical="center"/>
    </xf>
    <xf numFmtId="37" fontId="19" fillId="0" borderId="0" xfId="0" applyNumberFormat="1" applyFont="1" applyBorder="1" applyAlignment="1">
      <alignment vertical="center"/>
    </xf>
    <xf numFmtId="164" fontId="9" fillId="0" borderId="0" xfId="0" applyNumberFormat="1" applyFont="1" applyBorder="1" applyAlignment="1">
      <alignment horizontal="left" vertical="center"/>
    </xf>
    <xf numFmtId="39" fontId="9" fillId="0" borderId="0" xfId="0" applyNumberFormat="1" applyFont="1" applyBorder="1" applyAlignment="1">
      <alignment vertical="center"/>
    </xf>
    <xf numFmtId="37" fontId="10" fillId="3" borderId="0" xfId="0" applyNumberFormat="1" applyFont="1" applyFill="1" applyBorder="1" applyAlignment="1">
      <alignment horizontal="centerContinuous" vertical="center"/>
    </xf>
    <xf numFmtId="39" fontId="9" fillId="0" borderId="0" xfId="0" applyNumberFormat="1" applyFont="1" applyBorder="1" applyAlignment="1">
      <alignment horizontal="right" vertical="center"/>
    </xf>
    <xf numFmtId="37" fontId="10" fillId="0" borderId="0" xfId="0" applyNumberFormat="1" applyFont="1" applyBorder="1" applyAlignment="1">
      <alignment horizontal="center" vertical="center"/>
    </xf>
    <xf numFmtId="0" fontId="10" fillId="0" borderId="0" xfId="0" applyFont="1" applyBorder="1" applyAlignment="1">
      <alignment horizontal="center" vertical="center"/>
    </xf>
    <xf numFmtId="37" fontId="10" fillId="3" borderId="0" xfId="0" applyNumberFormat="1" applyFont="1" applyFill="1" applyBorder="1" applyAlignment="1">
      <alignment horizontal="center" vertical="center"/>
    </xf>
    <xf numFmtId="164" fontId="31" fillId="0" borderId="0" xfId="0" applyNumberFormat="1" applyFont="1" applyBorder="1" applyAlignment="1">
      <alignment vertical="center"/>
    </xf>
    <xf numFmtId="0" fontId="17" fillId="0" borderId="0" xfId="0" applyFont="1" applyBorder="1" applyAlignment="1" applyProtection="1">
      <alignment vertical="center"/>
    </xf>
    <xf numFmtId="164" fontId="28" fillId="0" borderId="0" xfId="152" applyNumberFormat="1" applyFont="1" applyBorder="1" applyAlignment="1" applyProtection="1">
      <alignment horizontal="center" vertical="center"/>
    </xf>
    <xf numFmtId="0" fontId="9" fillId="0" borderId="0" xfId="0" applyFont="1" applyBorder="1" applyAlignment="1" applyProtection="1">
      <alignment vertical="center"/>
    </xf>
    <xf numFmtId="37" fontId="11" fillId="3" borderId="0" xfId="0" applyNumberFormat="1" applyFont="1" applyFill="1" applyBorder="1" applyAlignment="1">
      <alignment horizontal="right" vertical="center"/>
    </xf>
    <xf numFmtId="15" fontId="11" fillId="3" borderId="0" xfId="0" applyNumberFormat="1" applyFont="1" applyFill="1" applyBorder="1" applyAlignment="1">
      <alignment horizontal="right" vertical="center"/>
    </xf>
    <xf numFmtId="37" fontId="9" fillId="3" borderId="0" xfId="0" applyNumberFormat="1" applyFont="1" applyFill="1" applyBorder="1" applyAlignment="1">
      <alignment horizontal="right" vertical="center"/>
    </xf>
    <xf numFmtId="9" fontId="9" fillId="0" borderId="0" xfId="318" applyFont="1" applyFill="1" applyBorder="1" applyAlignment="1">
      <alignment vertical="center"/>
    </xf>
    <xf numFmtId="165" fontId="8" fillId="0" borderId="0" xfId="0" applyNumberFormat="1" applyFont="1" applyBorder="1" applyAlignment="1">
      <alignment vertical="center"/>
    </xf>
    <xf numFmtId="170" fontId="9" fillId="0" borderId="0" xfId="0" applyNumberFormat="1" applyFont="1" applyBorder="1" applyAlignment="1">
      <alignment vertical="center"/>
    </xf>
    <xf numFmtId="37" fontId="9" fillId="3" borderId="0" xfId="0" applyNumberFormat="1" applyFont="1" applyFill="1" applyBorder="1" applyAlignment="1">
      <alignment horizontal="center" vertical="center"/>
    </xf>
    <xf numFmtId="0" fontId="18" fillId="0" borderId="0" xfId="0" applyFont="1" applyBorder="1" applyAlignment="1">
      <alignment vertical="center"/>
    </xf>
    <xf numFmtId="37" fontId="11" fillId="0" borderId="0" xfId="0" applyNumberFormat="1" applyFont="1" applyBorder="1" applyAlignment="1">
      <alignment horizontal="right" vertical="center"/>
    </xf>
    <xf numFmtId="9" fontId="11" fillId="0" borderId="0" xfId="318" applyFont="1" applyBorder="1" applyAlignment="1">
      <alignment horizontal="right" vertical="center"/>
    </xf>
    <xf numFmtId="9" fontId="13" fillId="0" borderId="0" xfId="318" applyFont="1" applyBorder="1" applyAlignment="1">
      <alignment horizontal="right" vertical="center"/>
    </xf>
    <xf numFmtId="164" fontId="8" fillId="0" borderId="0" xfId="0" applyNumberFormat="1" applyFont="1" applyBorder="1" applyAlignment="1">
      <alignment vertical="center"/>
    </xf>
    <xf numFmtId="0" fontId="11" fillId="0" borderId="0" xfId="0" applyFont="1" applyBorder="1" applyAlignment="1">
      <alignment vertical="center"/>
    </xf>
    <xf numFmtId="164" fontId="21" fillId="0" borderId="0" xfId="0" applyNumberFormat="1" applyFont="1" applyBorder="1" applyAlignment="1">
      <alignment vertical="center"/>
    </xf>
    <xf numFmtId="164" fontId="22" fillId="0" borderId="0" xfId="0" applyNumberFormat="1" applyFont="1" applyBorder="1" applyAlignment="1">
      <alignment vertical="center"/>
    </xf>
    <xf numFmtId="164" fontId="19" fillId="0" borderId="0" xfId="0" applyNumberFormat="1" applyFont="1" applyBorder="1" applyAlignment="1">
      <alignment vertical="center"/>
    </xf>
    <xf numFmtId="164" fontId="11" fillId="3" borderId="0" xfId="0" applyNumberFormat="1" applyFont="1" applyFill="1" applyBorder="1" applyAlignment="1">
      <alignment vertical="center"/>
    </xf>
    <xf numFmtId="164" fontId="20" fillId="0" borderId="0" xfId="0" applyNumberFormat="1" applyFont="1" applyBorder="1" applyAlignment="1">
      <alignment vertical="center"/>
    </xf>
    <xf numFmtId="164" fontId="16" fillId="0" borderId="0" xfId="0" applyNumberFormat="1" applyFont="1" applyBorder="1" applyAlignment="1">
      <alignment vertical="center"/>
    </xf>
    <xf numFmtId="164" fontId="11" fillId="0" borderId="0" xfId="0" applyNumberFormat="1" applyFont="1" applyBorder="1" applyAlignment="1">
      <alignment vertical="center"/>
    </xf>
    <xf numFmtId="166" fontId="11" fillId="0" borderId="0" xfId="0" applyNumberFormat="1" applyFont="1" applyBorder="1" applyAlignment="1">
      <alignment horizontal="left" vertical="center"/>
    </xf>
    <xf numFmtId="166" fontId="8" fillId="0" borderId="0" xfId="0" applyNumberFormat="1" applyFont="1" applyBorder="1" applyAlignment="1">
      <alignment vertical="center"/>
    </xf>
    <xf numFmtId="166" fontId="9" fillId="0" borderId="0" xfId="0" applyNumberFormat="1" applyFont="1" applyFill="1" applyBorder="1" applyAlignment="1">
      <alignment vertical="center"/>
    </xf>
    <xf numFmtId="166" fontId="9" fillId="0" borderId="0" xfId="0" applyNumberFormat="1" applyFont="1" applyBorder="1" applyAlignment="1">
      <alignment vertical="center"/>
    </xf>
    <xf numFmtId="37" fontId="9" fillId="0" borderId="0" xfId="116" applyNumberFormat="1" applyFont="1" applyFill="1" applyBorder="1" applyAlignment="1">
      <alignment vertical="center"/>
    </xf>
    <xf numFmtId="7" fontId="21" fillId="0" borderId="0" xfId="152" applyNumberFormat="1" applyFont="1" applyBorder="1" applyAlignment="1">
      <alignment vertical="center"/>
    </xf>
    <xf numFmtId="37" fontId="13" fillId="3" borderId="0" xfId="0" applyNumberFormat="1" applyFont="1" applyFill="1" applyBorder="1" applyAlignment="1">
      <alignment horizontal="right" vertical="center"/>
    </xf>
    <xf numFmtId="164" fontId="9" fillId="3" borderId="0" xfId="0" applyNumberFormat="1" applyFont="1" applyFill="1" applyBorder="1" applyAlignment="1">
      <alignment horizontal="right" vertical="center"/>
    </xf>
    <xf numFmtId="164" fontId="9" fillId="3" borderId="0" xfId="0" applyNumberFormat="1" applyFont="1" applyFill="1" applyBorder="1" applyAlignment="1">
      <alignment vertical="center"/>
    </xf>
    <xf numFmtId="164" fontId="21" fillId="3" borderId="0" xfId="0" applyNumberFormat="1" applyFont="1" applyFill="1" applyBorder="1" applyAlignment="1">
      <alignment vertical="center"/>
    </xf>
    <xf numFmtId="164" fontId="22" fillId="3" borderId="0" xfId="0" applyNumberFormat="1" applyFont="1" applyFill="1" applyBorder="1" applyAlignment="1">
      <alignment vertical="center"/>
    </xf>
    <xf numFmtId="166" fontId="9" fillId="3" borderId="0" xfId="0" applyNumberFormat="1" applyFont="1" applyFill="1" applyBorder="1" applyAlignment="1">
      <alignment vertical="center"/>
    </xf>
    <xf numFmtId="164" fontId="9" fillId="3" borderId="0" xfId="116" applyNumberFormat="1" applyFont="1" applyFill="1" applyBorder="1" applyAlignment="1">
      <alignment vertical="center"/>
    </xf>
    <xf numFmtId="37" fontId="9" fillId="3" borderId="0" xfId="116" applyNumberFormat="1" applyFont="1" applyFill="1" applyBorder="1" applyAlignment="1">
      <alignment vertical="center"/>
    </xf>
    <xf numFmtId="7" fontId="21" fillId="3" borderId="0" xfId="152" applyNumberFormat="1" applyFont="1" applyFill="1" applyBorder="1" applyAlignment="1">
      <alignment vertical="center"/>
    </xf>
    <xf numFmtId="9" fontId="9" fillId="3" borderId="0" xfId="318" applyFont="1" applyFill="1" applyBorder="1" applyAlignment="1">
      <alignment vertical="center"/>
    </xf>
    <xf numFmtId="164" fontId="17" fillId="3" borderId="0" xfId="0" applyNumberFormat="1" applyFont="1" applyFill="1" applyBorder="1" applyAlignment="1">
      <alignment horizontal="right" vertical="center"/>
    </xf>
    <xf numFmtId="7" fontId="9" fillId="3" borderId="0" xfId="152" applyNumberFormat="1" applyFont="1" applyFill="1" applyBorder="1" applyAlignment="1">
      <alignment vertical="center"/>
    </xf>
    <xf numFmtId="164" fontId="17" fillId="3" borderId="0" xfId="0" applyNumberFormat="1" applyFont="1" applyFill="1" applyBorder="1" applyAlignment="1">
      <alignment vertical="center"/>
    </xf>
    <xf numFmtId="37" fontId="8" fillId="3" borderId="0" xfId="0" applyNumberFormat="1" applyFont="1" applyFill="1" applyBorder="1" applyAlignment="1">
      <alignment vertical="center"/>
    </xf>
    <xf numFmtId="37" fontId="8" fillId="3" borderId="0" xfId="0" applyNumberFormat="1" applyFont="1" applyFill="1" applyBorder="1" applyAlignment="1">
      <alignment horizontal="right" vertical="center"/>
    </xf>
    <xf numFmtId="15" fontId="11" fillId="0" borderId="0" xfId="0" applyNumberFormat="1" applyFont="1" applyBorder="1" applyAlignment="1">
      <alignment horizontal="right" vertical="center"/>
    </xf>
    <xf numFmtId="164" fontId="29" fillId="0" borderId="0" xfId="0" applyNumberFormat="1" applyFont="1" applyBorder="1" applyAlignment="1">
      <alignment horizontal="right" vertical="center"/>
    </xf>
    <xf numFmtId="170" fontId="8" fillId="0" borderId="0" xfId="318" applyNumberFormat="1" applyFont="1" applyBorder="1" applyAlignment="1">
      <alignment vertical="center"/>
    </xf>
    <xf numFmtId="170" fontId="29" fillId="0" borderId="0" xfId="318" applyNumberFormat="1" applyFont="1" applyBorder="1" applyAlignment="1">
      <alignment horizontal="right" vertical="center"/>
    </xf>
    <xf numFmtId="170" fontId="8" fillId="0" borderId="0" xfId="0" applyNumberFormat="1" applyFont="1" applyBorder="1" applyAlignment="1">
      <alignment vertical="center"/>
    </xf>
    <xf numFmtId="164" fontId="26" fillId="0" borderId="0" xfId="0" applyNumberFormat="1" applyFont="1" applyBorder="1" applyAlignment="1">
      <alignment vertical="center"/>
    </xf>
    <xf numFmtId="164" fontId="18" fillId="0" borderId="0" xfId="0" applyNumberFormat="1" applyFont="1" applyBorder="1" applyAlignment="1">
      <alignment vertical="center"/>
    </xf>
    <xf numFmtId="37" fontId="8" fillId="0" borderId="0" xfId="0" applyNumberFormat="1" applyFont="1" applyFill="1" applyBorder="1" applyAlignment="1">
      <alignment vertical="center"/>
    </xf>
    <xf numFmtId="9" fontId="9" fillId="0" borderId="0" xfId="0" applyNumberFormat="1" applyFont="1" applyBorder="1" applyAlignment="1">
      <alignment vertical="center"/>
    </xf>
    <xf numFmtId="164" fontId="26" fillId="3" borderId="0" xfId="0" applyNumberFormat="1" applyFont="1" applyFill="1" applyBorder="1" applyAlignment="1">
      <alignment vertical="center"/>
    </xf>
    <xf numFmtId="170" fontId="9" fillId="3" borderId="0" xfId="0" applyNumberFormat="1" applyFont="1" applyFill="1" applyBorder="1" applyAlignment="1">
      <alignment vertical="center"/>
    </xf>
    <xf numFmtId="9" fontId="9" fillId="3" borderId="0" xfId="0" applyNumberFormat="1" applyFont="1" applyFill="1" applyBorder="1" applyAlignment="1">
      <alignment vertical="center"/>
    </xf>
    <xf numFmtId="15" fontId="18" fillId="0" borderId="0" xfId="0" applyNumberFormat="1" applyFont="1" applyBorder="1" applyAlignment="1">
      <alignment horizontal="left" vertical="center"/>
    </xf>
    <xf numFmtId="0" fontId="29" fillId="0" borderId="0" xfId="0" applyNumberFormat="1" applyFont="1" applyBorder="1" applyAlignment="1">
      <alignment horizontal="right" vertical="center"/>
    </xf>
    <xf numFmtId="164" fontId="32" fillId="0" borderId="0" xfId="0" applyNumberFormat="1" applyFont="1" applyBorder="1" applyAlignment="1">
      <alignment vertical="center"/>
    </xf>
    <xf numFmtId="164" fontId="30" fillId="0" borderId="0" xfId="0" applyNumberFormat="1" applyFont="1" applyBorder="1" applyAlignment="1">
      <alignment vertical="center"/>
    </xf>
    <xf numFmtId="164" fontId="15" fillId="3" borderId="0" xfId="0" applyNumberFormat="1" applyFont="1" applyFill="1" applyBorder="1" applyAlignment="1">
      <alignment vertical="center"/>
    </xf>
    <xf numFmtId="164" fontId="12" fillId="0" borderId="0" xfId="0" applyNumberFormat="1" applyFont="1" applyBorder="1" applyAlignment="1">
      <alignment vertical="center"/>
    </xf>
    <xf numFmtId="164" fontId="19" fillId="0" borderId="0" xfId="0" applyNumberFormat="1" applyFont="1" applyBorder="1" applyAlignment="1">
      <alignment horizontal="right" vertical="center"/>
    </xf>
    <xf numFmtId="164" fontId="31" fillId="0" borderId="0" xfId="0" applyNumberFormat="1" applyFont="1" applyFill="1" applyBorder="1" applyAlignment="1">
      <alignment vertical="center"/>
    </xf>
    <xf numFmtId="164" fontId="33" fillId="0" borderId="0" xfId="0" applyNumberFormat="1" applyFont="1" applyBorder="1" applyAlignment="1">
      <alignment vertical="center"/>
    </xf>
    <xf numFmtId="164" fontId="15" fillId="0" borderId="0" xfId="0" applyNumberFormat="1" applyFont="1" applyBorder="1" applyAlignment="1">
      <alignment vertical="center"/>
    </xf>
    <xf numFmtId="0" fontId="9" fillId="0" borderId="0" xfId="0" applyFont="1" applyBorder="1"/>
    <xf numFmtId="37" fontId="8" fillId="0" borderId="0" xfId="0" applyNumberFormat="1" applyFont="1" applyBorder="1"/>
    <xf numFmtId="37" fontId="10" fillId="0" borderId="0" xfId="0" applyNumberFormat="1" applyFont="1" applyBorder="1"/>
    <xf numFmtId="37" fontId="9" fillId="0" borderId="0" xfId="0" applyNumberFormat="1" applyFont="1" applyBorder="1"/>
    <xf numFmtId="164" fontId="9" fillId="0" borderId="0" xfId="0" quotePrefix="1" applyNumberFormat="1" applyFont="1" applyBorder="1"/>
    <xf numFmtId="164" fontId="9" fillId="0" borderId="0" xfId="0" quotePrefix="1" applyNumberFormat="1" applyFont="1" applyBorder="1" applyAlignment="1">
      <alignment vertical="center"/>
    </xf>
    <xf numFmtId="37" fontId="10" fillId="3" borderId="0" xfId="0" applyNumberFormat="1" applyFont="1" applyFill="1" applyBorder="1"/>
    <xf numFmtId="164" fontId="10" fillId="3" borderId="0" xfId="0" applyNumberFormat="1" applyFont="1" applyFill="1" applyBorder="1"/>
    <xf numFmtId="37" fontId="11" fillId="0" borderId="0" xfId="0" applyNumberFormat="1" applyFont="1" applyBorder="1"/>
    <xf numFmtId="170" fontId="11" fillId="0" borderId="0" xfId="318" applyNumberFormat="1" applyFont="1" applyBorder="1" applyAlignment="1">
      <alignment vertical="center"/>
    </xf>
    <xf numFmtId="37" fontId="14" fillId="0" borderId="0" xfId="0" applyNumberFormat="1" applyFont="1" applyBorder="1" applyAlignment="1">
      <alignment vertical="center"/>
    </xf>
    <xf numFmtId="164" fontId="8" fillId="3" borderId="0" xfId="0" applyNumberFormat="1" applyFont="1" applyFill="1" applyBorder="1" applyAlignment="1">
      <alignment vertical="center"/>
    </xf>
    <xf numFmtId="164" fontId="12" fillId="3" borderId="0" xfId="0" applyNumberFormat="1" applyFont="1" applyFill="1" applyBorder="1" applyAlignment="1">
      <alignment vertical="center"/>
    </xf>
    <xf numFmtId="37" fontId="9" fillId="3" borderId="0" xfId="0" applyNumberFormat="1" applyFont="1" applyFill="1" applyBorder="1"/>
    <xf numFmtId="164" fontId="9" fillId="3" borderId="0" xfId="0" applyNumberFormat="1" applyFont="1" applyFill="1" applyBorder="1"/>
    <xf numFmtId="170" fontId="11" fillId="3" borderId="0" xfId="318" applyNumberFormat="1" applyFont="1" applyFill="1" applyBorder="1"/>
    <xf numFmtId="37" fontId="24" fillId="0" borderId="0" xfId="0" applyNumberFormat="1" applyFont="1" applyBorder="1" applyAlignment="1">
      <alignment vertical="center"/>
    </xf>
    <xf numFmtId="37" fontId="34" fillId="0" borderId="0" xfId="0" applyNumberFormat="1" applyFont="1" applyBorder="1" applyAlignment="1">
      <alignment horizontal="right" vertical="center"/>
    </xf>
    <xf numFmtId="5" fontId="8" fillId="0" borderId="0" xfId="0" applyNumberFormat="1" applyFont="1" applyBorder="1" applyAlignment="1">
      <alignment vertical="center"/>
    </xf>
    <xf numFmtId="5" fontId="9" fillId="0" borderId="0" xfId="0" applyNumberFormat="1" applyFont="1" applyFill="1" applyBorder="1" applyAlignment="1">
      <alignment vertical="center"/>
    </xf>
    <xf numFmtId="5" fontId="26" fillId="0" borderId="0" xfId="0" applyNumberFormat="1" applyFont="1" applyBorder="1" applyAlignment="1">
      <alignment vertical="center"/>
    </xf>
    <xf numFmtId="5" fontId="20" fillId="0" borderId="0" xfId="0" applyNumberFormat="1" applyFont="1" applyBorder="1" applyAlignment="1">
      <alignment vertical="center"/>
    </xf>
    <xf numFmtId="5" fontId="9" fillId="0" borderId="0" xfId="0" applyNumberFormat="1" applyFont="1" applyBorder="1" applyAlignment="1">
      <alignment vertical="center"/>
    </xf>
    <xf numFmtId="164" fontId="27" fillId="0" borderId="0" xfId="0" applyNumberFormat="1" applyFont="1" applyBorder="1" applyAlignment="1">
      <alignment vertical="center"/>
    </xf>
    <xf numFmtId="164" fontId="35" fillId="0" borderId="0" xfId="116" applyNumberFormat="1" applyFont="1" applyBorder="1" applyAlignment="1">
      <alignment vertical="center"/>
    </xf>
    <xf numFmtId="164" fontId="10" fillId="0" borderId="0" xfId="116" applyNumberFormat="1" applyFont="1" applyBorder="1" applyAlignment="1">
      <alignment vertical="center"/>
    </xf>
    <xf numFmtId="164" fontId="28" fillId="0" borderId="0" xfId="0" applyNumberFormat="1" applyFont="1" applyBorder="1" applyAlignment="1">
      <alignment vertical="center"/>
    </xf>
    <xf numFmtId="170" fontId="26" fillId="0" borderId="0" xfId="0" applyNumberFormat="1" applyFont="1" applyBorder="1" applyAlignment="1">
      <alignment vertical="center"/>
    </xf>
    <xf numFmtId="5" fontId="8" fillId="3" borderId="0" xfId="0" applyNumberFormat="1" applyFont="1" applyFill="1" applyBorder="1" applyAlignment="1">
      <alignment vertical="center"/>
    </xf>
    <xf numFmtId="164" fontId="10" fillId="3" borderId="0" xfId="116" applyNumberFormat="1" applyFont="1" applyFill="1" applyBorder="1" applyAlignment="1">
      <alignment vertical="center"/>
    </xf>
    <xf numFmtId="37" fontId="26" fillId="3" borderId="0" xfId="0" applyNumberFormat="1" applyFont="1" applyFill="1" applyBorder="1" applyAlignment="1">
      <alignment vertical="center"/>
    </xf>
    <xf numFmtId="10" fontId="8" fillId="0" borderId="0" xfId="318" applyNumberFormat="1" applyFont="1" applyBorder="1" applyAlignment="1">
      <alignment vertical="center"/>
    </xf>
    <xf numFmtId="10" fontId="9" fillId="0" borderId="0" xfId="318" applyNumberFormat="1" applyFont="1" applyBorder="1" applyAlignment="1">
      <alignment vertical="center"/>
    </xf>
    <xf numFmtId="0" fontId="10" fillId="0" borderId="0" xfId="0" applyFont="1" applyBorder="1" applyAlignment="1">
      <alignment vertical="center"/>
    </xf>
    <xf numFmtId="10" fontId="8" fillId="3" borderId="0" xfId="318" applyNumberFormat="1" applyFont="1" applyFill="1" applyBorder="1" applyAlignment="1">
      <alignment vertical="center"/>
    </xf>
    <xf numFmtId="10" fontId="18" fillId="3" borderId="0" xfId="0" applyNumberFormat="1" applyFont="1" applyFill="1" applyBorder="1" applyAlignment="1">
      <alignment vertical="center"/>
    </xf>
    <xf numFmtId="10" fontId="9" fillId="3" borderId="0" xfId="0" applyNumberFormat="1" applyFont="1" applyFill="1" applyBorder="1" applyAlignment="1">
      <alignment vertical="center"/>
    </xf>
    <xf numFmtId="174" fontId="9" fillId="0" borderId="0" xfId="0" applyNumberFormat="1" applyFont="1" applyBorder="1" applyAlignment="1">
      <alignment vertical="center"/>
    </xf>
    <xf numFmtId="174" fontId="8" fillId="0" borderId="0" xfId="0" applyNumberFormat="1" applyFont="1" applyBorder="1" applyAlignment="1">
      <alignment vertical="center"/>
    </xf>
    <xf numFmtId="174" fontId="9" fillId="3" borderId="0" xfId="0" applyNumberFormat="1" applyFont="1" applyFill="1" applyBorder="1" applyAlignment="1">
      <alignment vertical="center"/>
    </xf>
    <xf numFmtId="174" fontId="21" fillId="0" borderId="0" xfId="0" applyNumberFormat="1" applyFont="1" applyBorder="1" applyAlignment="1">
      <alignment vertical="center"/>
    </xf>
    <xf numFmtId="7" fontId="21" fillId="0" borderId="0" xfId="0" applyNumberFormat="1" applyFont="1" applyBorder="1" applyAlignment="1">
      <alignment vertical="center"/>
    </xf>
    <xf numFmtId="0" fontId="10" fillId="3" borderId="0" xfId="0" applyFont="1" applyFill="1" applyBorder="1" applyAlignment="1">
      <alignment vertical="center"/>
    </xf>
    <xf numFmtId="7" fontId="9" fillId="3" borderId="0" xfId="0" applyNumberFormat="1" applyFont="1" applyFill="1" applyBorder="1" applyAlignment="1">
      <alignment vertical="center"/>
    </xf>
    <xf numFmtId="174" fontId="21" fillId="3" borderId="0" xfId="0" applyNumberFormat="1" applyFont="1" applyFill="1" applyBorder="1" applyAlignment="1">
      <alignment vertical="center"/>
    </xf>
    <xf numFmtId="7" fontId="21" fillId="3" borderId="0" xfId="0" applyNumberFormat="1" applyFont="1" applyFill="1" applyBorder="1" applyAlignment="1">
      <alignment vertical="center"/>
    </xf>
    <xf numFmtId="44" fontId="9" fillId="0" borderId="0" xfId="0" applyNumberFormat="1" applyFont="1" applyBorder="1" applyAlignment="1">
      <alignment vertical="center"/>
    </xf>
    <xf numFmtId="37" fontId="9" fillId="0" borderId="16" xfId="0" applyNumberFormat="1" applyFont="1" applyBorder="1" applyAlignment="1">
      <alignment horizontal="right" vertical="center"/>
    </xf>
    <xf numFmtId="167" fontId="9" fillId="0" borderId="17" xfId="0" applyNumberFormat="1" applyFont="1" applyBorder="1" applyAlignment="1">
      <alignment horizontal="center" vertical="center"/>
    </xf>
    <xf numFmtId="170" fontId="10" fillId="3" borderId="0" xfId="318" applyNumberFormat="1" applyFont="1" applyFill="1" applyBorder="1" applyAlignment="1">
      <alignment horizontal="center" vertical="center"/>
    </xf>
    <xf numFmtId="7" fontId="9" fillId="0" borderId="0" xfId="152" applyNumberFormat="1" applyFont="1" applyBorder="1" applyAlignment="1">
      <alignment horizontal="center" vertical="center"/>
    </xf>
    <xf numFmtId="39" fontId="10" fillId="3" borderId="0" xfId="0" applyNumberFormat="1" applyFont="1" applyFill="1" applyBorder="1" applyAlignment="1">
      <alignment horizontal="left" vertical="center"/>
    </xf>
    <xf numFmtId="0" fontId="9" fillId="0" borderId="16" xfId="0" applyFont="1" applyBorder="1" applyAlignment="1" applyProtection="1">
      <alignment vertical="center"/>
    </xf>
    <xf numFmtId="164" fontId="26" fillId="0" borderId="0" xfId="152" applyNumberFormat="1" applyFont="1" applyBorder="1" applyAlignment="1" applyProtection="1">
      <alignment horizontal="center" vertical="center"/>
    </xf>
    <xf numFmtId="7" fontId="26" fillId="0" borderId="17" xfId="152" applyNumberFormat="1" applyFont="1" applyBorder="1" applyAlignment="1" applyProtection="1">
      <alignment horizontal="center" vertical="center"/>
    </xf>
    <xf numFmtId="164" fontId="26" fillId="0" borderId="0" xfId="0" applyNumberFormat="1" applyFont="1" applyBorder="1" applyAlignment="1">
      <alignment horizontal="center" vertical="center"/>
    </xf>
    <xf numFmtId="0" fontId="17" fillId="0" borderId="16" xfId="0" applyFont="1" applyBorder="1" applyAlignment="1" applyProtection="1">
      <alignment vertical="center"/>
    </xf>
    <xf numFmtId="7" fontId="28" fillId="0" borderId="17" xfId="152" applyNumberFormat="1" applyFont="1" applyBorder="1" applyAlignment="1" applyProtection="1">
      <alignment horizontal="center" vertical="center"/>
    </xf>
    <xf numFmtId="0" fontId="27" fillId="3" borderId="19" xfId="0" applyFont="1" applyFill="1" applyBorder="1" applyAlignment="1">
      <alignment vertical="center"/>
    </xf>
    <xf numFmtId="0" fontId="27" fillId="3" borderId="5" xfId="0" applyFont="1" applyFill="1" applyBorder="1" applyAlignment="1">
      <alignment vertical="center"/>
    </xf>
    <xf numFmtId="164" fontId="27" fillId="3" borderId="5" xfId="152" applyNumberFormat="1" applyFont="1" applyFill="1" applyBorder="1" applyAlignment="1" applyProtection="1">
      <alignment horizontal="center" vertical="center"/>
    </xf>
    <xf numFmtId="7" fontId="27" fillId="6" borderId="21" xfId="152" applyNumberFormat="1" applyFont="1" applyFill="1" applyBorder="1" applyAlignment="1" applyProtection="1">
      <alignment horizontal="center" vertical="center"/>
    </xf>
    <xf numFmtId="167" fontId="15" fillId="3" borderId="0" xfId="0" applyNumberFormat="1" applyFont="1" applyFill="1" applyBorder="1" applyAlignment="1">
      <alignment horizontal="center" vertical="center"/>
    </xf>
    <xf numFmtId="0" fontId="9" fillId="0" borderId="0" xfId="0" applyFont="1"/>
    <xf numFmtId="0" fontId="10" fillId="3" borderId="10" xfId="0" applyFont="1" applyFill="1" applyBorder="1" applyAlignment="1">
      <alignment horizontal="right"/>
    </xf>
    <xf numFmtId="0" fontId="10" fillId="3" borderId="7" xfId="0" applyFont="1" applyFill="1" applyBorder="1" applyAlignment="1">
      <alignment horizontal="center"/>
    </xf>
    <xf numFmtId="0" fontId="10" fillId="3" borderId="22" xfId="0" applyFont="1" applyFill="1" applyBorder="1" applyAlignment="1">
      <alignment horizontal="center"/>
    </xf>
    <xf numFmtId="0" fontId="9" fillId="0" borderId="16" xfId="0" applyFont="1" applyBorder="1" applyAlignment="1">
      <alignment horizontal="right" vertical="center"/>
    </xf>
    <xf numFmtId="0" fontId="9" fillId="0" borderId="23" xfId="0" applyFont="1" applyBorder="1" applyAlignment="1">
      <alignment horizontal="center" vertical="center" wrapText="1"/>
    </xf>
    <xf numFmtId="0" fontId="9" fillId="0" borderId="24" xfId="0" applyFont="1" applyBorder="1" applyAlignment="1">
      <alignment horizontal="center" vertical="center" wrapText="1"/>
    </xf>
    <xf numFmtId="0" fontId="11" fillId="0" borderId="0" xfId="0" applyFont="1" applyBorder="1" applyAlignment="1">
      <alignment horizontal="left"/>
    </xf>
    <xf numFmtId="0" fontId="11" fillId="0" borderId="16" xfId="0" applyFont="1" applyBorder="1" applyAlignment="1">
      <alignment horizontal="right"/>
    </xf>
    <xf numFmtId="170" fontId="11" fillId="0" borderId="0" xfId="318" applyNumberFormat="1" applyFont="1" applyBorder="1" applyAlignment="1">
      <alignment horizontal="center"/>
    </xf>
    <xf numFmtId="174" fontId="9" fillId="0" borderId="0" xfId="0" applyNumberFormat="1" applyFont="1"/>
    <xf numFmtId="0" fontId="10" fillId="0" borderId="16" xfId="0" applyFont="1" applyBorder="1" applyAlignment="1">
      <alignment horizontal="right"/>
    </xf>
    <xf numFmtId="174" fontId="10" fillId="0" borderId="0" xfId="0" applyNumberFormat="1" applyFont="1" applyBorder="1" applyAlignment="1">
      <alignment horizontal="center"/>
    </xf>
    <xf numFmtId="174" fontId="10" fillId="0" borderId="17" xfId="0" applyNumberFormat="1" applyFont="1" applyBorder="1" applyAlignment="1">
      <alignment horizontal="center"/>
    </xf>
    <xf numFmtId="170" fontId="11" fillId="0" borderId="17" xfId="318" applyNumberFormat="1" applyFont="1" applyBorder="1" applyAlignment="1">
      <alignment horizontal="center"/>
    </xf>
    <xf numFmtId="0" fontId="9" fillId="0" borderId="16" xfId="0" applyFont="1" applyBorder="1" applyAlignment="1">
      <alignment horizontal="right"/>
    </xf>
    <xf numFmtId="0" fontId="17" fillId="0" borderId="0" xfId="0" applyFont="1" applyBorder="1"/>
    <xf numFmtId="170" fontId="17" fillId="0" borderId="0" xfId="318" applyNumberFormat="1" applyFont="1" applyBorder="1" applyAlignment="1">
      <alignment horizontal="center"/>
    </xf>
    <xf numFmtId="0" fontId="9" fillId="0" borderId="17" xfId="0" applyFont="1" applyBorder="1"/>
    <xf numFmtId="0" fontId="9" fillId="0" borderId="16" xfId="0" applyFont="1" applyBorder="1"/>
    <xf numFmtId="0" fontId="9" fillId="0" borderId="0" xfId="0" applyFont="1" applyBorder="1" applyAlignment="1">
      <alignment horizontal="center"/>
    </xf>
    <xf numFmtId="174" fontId="9" fillId="0" borderId="0" xfId="0" applyNumberFormat="1" applyFont="1" applyBorder="1" applyAlignment="1">
      <alignment horizontal="center"/>
    </xf>
    <xf numFmtId="174" fontId="9" fillId="0" borderId="17" xfId="0" applyNumberFormat="1" applyFont="1" applyBorder="1" applyAlignment="1">
      <alignment horizontal="center"/>
    </xf>
    <xf numFmtId="37" fontId="17" fillId="0" borderId="16" xfId="0" applyNumberFormat="1" applyFont="1" applyBorder="1" applyAlignment="1">
      <alignment horizontal="right" vertical="center"/>
    </xf>
    <xf numFmtId="174" fontId="17" fillId="0" borderId="0" xfId="0" applyNumberFormat="1" applyFont="1" applyBorder="1" applyAlignment="1">
      <alignment horizontal="center"/>
    </xf>
    <xf numFmtId="174" fontId="17" fillId="0" borderId="17" xfId="0" applyNumberFormat="1" applyFont="1" applyBorder="1" applyAlignment="1">
      <alignment horizontal="center"/>
    </xf>
    <xf numFmtId="170" fontId="9" fillId="0" borderId="0" xfId="318" applyNumberFormat="1" applyFont="1" applyBorder="1" applyAlignment="1">
      <alignment horizontal="right"/>
    </xf>
    <xf numFmtId="170" fontId="15" fillId="0" borderId="0" xfId="318" applyNumberFormat="1" applyFont="1" applyBorder="1" applyAlignment="1">
      <alignment horizontal="center"/>
    </xf>
    <xf numFmtId="170" fontId="10" fillId="0" borderId="0" xfId="318" applyNumberFormat="1" applyFont="1" applyBorder="1" applyAlignment="1">
      <alignment horizontal="center"/>
    </xf>
    <xf numFmtId="170" fontId="15" fillId="0" borderId="17" xfId="318" applyNumberFormat="1" applyFont="1" applyBorder="1" applyAlignment="1">
      <alignment horizontal="center"/>
    </xf>
    <xf numFmtId="0" fontId="10" fillId="0" borderId="19" xfId="0" applyFont="1" applyBorder="1" applyAlignment="1">
      <alignment horizontal="right"/>
    </xf>
    <xf numFmtId="0" fontId="9" fillId="0" borderId="5" xfId="0" applyFont="1" applyBorder="1"/>
    <xf numFmtId="0" fontId="9" fillId="0" borderId="21" xfId="0" applyFont="1" applyBorder="1"/>
    <xf numFmtId="0" fontId="9" fillId="0" borderId="0" xfId="0" applyFont="1" applyBorder="1" applyAlignment="1">
      <alignment horizontal="right"/>
    </xf>
    <xf numFmtId="170" fontId="8" fillId="0" borderId="0" xfId="318" applyNumberFormat="1" applyFont="1" applyBorder="1" applyAlignment="1">
      <alignment horizontal="center"/>
    </xf>
    <xf numFmtId="167" fontId="8" fillId="0" borderId="0" xfId="0" applyNumberFormat="1" applyFont="1" applyBorder="1" applyAlignment="1">
      <alignment horizontal="center" vertical="center"/>
    </xf>
    <xf numFmtId="0" fontId="10" fillId="3" borderId="14" xfId="0" applyFont="1" applyFill="1" applyBorder="1" applyAlignment="1">
      <alignment horizontal="right"/>
    </xf>
    <xf numFmtId="176" fontId="10" fillId="3" borderId="9" xfId="0" applyNumberFormat="1" applyFont="1" applyFill="1" applyBorder="1" applyAlignment="1">
      <alignment horizontal="center"/>
    </xf>
    <xf numFmtId="176" fontId="10" fillId="3" borderId="15" xfId="0" applyNumberFormat="1" applyFont="1" applyFill="1" applyBorder="1" applyAlignment="1">
      <alignment horizontal="center"/>
    </xf>
    <xf numFmtId="0" fontId="11" fillId="3" borderId="19" xfId="0" applyFont="1" applyFill="1" applyBorder="1" applyAlignment="1">
      <alignment horizontal="right"/>
    </xf>
    <xf numFmtId="170" fontId="11" fillId="3" borderId="5" xfId="318" applyNumberFormat="1" applyFont="1" applyFill="1" applyBorder="1" applyAlignment="1">
      <alignment horizontal="center"/>
    </xf>
    <xf numFmtId="170" fontId="11" fillId="3" borderId="21" xfId="318" applyNumberFormat="1" applyFont="1" applyFill="1" applyBorder="1" applyAlignment="1">
      <alignment horizontal="center"/>
    </xf>
    <xf numFmtId="0" fontId="10" fillId="3" borderId="14" xfId="0" applyFont="1" applyFill="1" applyBorder="1" applyAlignment="1">
      <alignment horizontal="center" vertical="center" wrapText="1"/>
    </xf>
    <xf numFmtId="176" fontId="10" fillId="6" borderId="15" xfId="0" applyNumberFormat="1" applyFont="1" applyFill="1" applyBorder="1" applyAlignment="1">
      <alignment horizontal="center" vertical="center"/>
    </xf>
    <xf numFmtId="0" fontId="11" fillId="3" borderId="19" xfId="0" applyFont="1" applyFill="1" applyBorder="1" applyAlignment="1">
      <alignment horizontal="center" vertical="center" wrapText="1"/>
    </xf>
    <xf numFmtId="170" fontId="11" fillId="6" borderId="21" xfId="318" applyNumberFormat="1" applyFont="1" applyFill="1" applyBorder="1" applyAlignment="1">
      <alignment horizontal="center" vertical="center"/>
    </xf>
    <xf numFmtId="169" fontId="27" fillId="0" borderId="0" xfId="116" applyNumberFormat="1" applyFont="1" applyAlignment="1" applyProtection="1">
      <alignment horizontal="center" vertical="center"/>
    </xf>
    <xf numFmtId="0" fontId="24" fillId="0" borderId="14" xfId="0" applyFont="1" applyBorder="1" applyAlignment="1" applyProtection="1">
      <alignment vertical="center"/>
    </xf>
    <xf numFmtId="0" fontId="24" fillId="0" borderId="9" xfId="0" applyFont="1" applyBorder="1" applyAlignment="1" applyProtection="1">
      <alignment vertical="center"/>
    </xf>
    <xf numFmtId="0" fontId="25" fillId="0" borderId="9" xfId="0" applyFont="1" applyBorder="1" applyAlignment="1" applyProtection="1">
      <alignment vertical="center"/>
    </xf>
    <xf numFmtId="0" fontId="9" fillId="0" borderId="9" xfId="0" applyFont="1" applyBorder="1" applyAlignment="1">
      <alignment vertical="center"/>
    </xf>
    <xf numFmtId="172" fontId="9" fillId="0" borderId="9" xfId="0" applyNumberFormat="1" applyFont="1" applyBorder="1" applyAlignment="1">
      <alignment vertical="center"/>
    </xf>
    <xf numFmtId="0" fontId="9" fillId="0" borderId="15" xfId="0" applyFont="1" applyBorder="1" applyAlignment="1">
      <alignment vertical="center"/>
    </xf>
    <xf numFmtId="15" fontId="11" fillId="3" borderId="16" xfId="0" applyNumberFormat="1" applyFont="1" applyFill="1" applyBorder="1" applyAlignment="1">
      <alignment vertical="center"/>
    </xf>
    <xf numFmtId="177" fontId="10" fillId="3" borderId="0" xfId="0" applyNumberFormat="1" applyFont="1" applyFill="1" applyBorder="1" applyAlignment="1">
      <alignment horizontal="right" vertical="center"/>
    </xf>
    <xf numFmtId="177" fontId="10" fillId="3" borderId="17" xfId="0" applyNumberFormat="1" applyFont="1" applyFill="1" applyBorder="1" applyAlignment="1">
      <alignment horizontal="right" vertical="center"/>
    </xf>
    <xf numFmtId="37" fontId="26" fillId="0" borderId="16" xfId="0" applyNumberFormat="1" applyFont="1" applyBorder="1" applyAlignment="1">
      <alignment vertical="center"/>
    </xf>
    <xf numFmtId="0" fontId="26" fillId="0" borderId="16" xfId="0" applyFont="1" applyBorder="1" applyAlignment="1">
      <alignment vertical="center"/>
    </xf>
    <xf numFmtId="164" fontId="17" fillId="0" borderId="0" xfId="0" applyNumberFormat="1" applyFont="1" applyBorder="1" applyAlignment="1">
      <alignment horizontal="right" vertical="center"/>
    </xf>
    <xf numFmtId="37" fontId="27" fillId="3" borderId="16" xfId="0" applyNumberFormat="1" applyFont="1" applyFill="1" applyBorder="1" applyAlignment="1">
      <alignment vertical="center"/>
    </xf>
    <xf numFmtId="0" fontId="27" fillId="3" borderId="0" xfId="0" applyFont="1" applyFill="1" applyBorder="1" applyAlignment="1">
      <alignment vertical="center"/>
    </xf>
    <xf numFmtId="164" fontId="27" fillId="3" borderId="0" xfId="0" applyNumberFormat="1" applyFont="1" applyFill="1" applyBorder="1" applyAlignment="1">
      <alignment vertical="center"/>
    </xf>
    <xf numFmtId="164" fontId="27" fillId="3" borderId="17" xfId="0" applyNumberFormat="1" applyFont="1" applyFill="1" applyBorder="1" applyAlignment="1">
      <alignment vertical="center"/>
    </xf>
    <xf numFmtId="0" fontId="25" fillId="3" borderId="16" xfId="0" applyFont="1" applyFill="1" applyBorder="1" applyAlignment="1">
      <alignment vertical="center"/>
    </xf>
    <xf numFmtId="170" fontId="24" fillId="3" borderId="0" xfId="318" applyNumberFormat="1" applyFont="1" applyFill="1" applyBorder="1" applyAlignment="1">
      <alignment vertical="center"/>
    </xf>
    <xf numFmtId="170" fontId="39" fillId="3" borderId="0" xfId="318" applyNumberFormat="1" applyFont="1" applyFill="1" applyBorder="1" applyAlignment="1">
      <alignment vertical="center"/>
    </xf>
    <xf numFmtId="0" fontId="18" fillId="0" borderId="14" xfId="0" applyFont="1" applyBorder="1" applyAlignment="1" applyProtection="1">
      <alignment vertical="center"/>
    </xf>
    <xf numFmtId="0" fontId="25" fillId="0" borderId="9" xfId="0" applyFont="1" applyBorder="1" applyAlignment="1">
      <alignment vertical="center"/>
    </xf>
    <xf numFmtId="9" fontId="25" fillId="0" borderId="9" xfId="318" applyFont="1" applyFill="1" applyBorder="1" applyAlignment="1">
      <alignment vertical="center"/>
    </xf>
    <xf numFmtId="0" fontId="26" fillId="0" borderId="9" xfId="0" applyFont="1" applyBorder="1" applyAlignment="1">
      <alignment vertical="center"/>
    </xf>
    <xf numFmtId="9" fontId="26" fillId="0" borderId="9" xfId="0" applyNumberFormat="1" applyFont="1" applyBorder="1" applyAlignment="1">
      <alignment vertical="center"/>
    </xf>
    <xf numFmtId="0" fontId="18" fillId="3" borderId="9" xfId="0" applyFont="1" applyFill="1" applyBorder="1" applyAlignment="1" applyProtection="1">
      <alignment vertical="center"/>
    </xf>
    <xf numFmtId="169" fontId="26" fillId="3" borderId="9" xfId="116" applyNumberFormat="1" applyFont="1" applyFill="1" applyBorder="1" applyAlignment="1" applyProtection="1">
      <alignment vertical="center"/>
    </xf>
    <xf numFmtId="169" fontId="27" fillId="3" borderId="9" xfId="116" applyNumberFormat="1" applyFont="1" applyFill="1" applyBorder="1" applyAlignment="1" applyProtection="1">
      <alignment horizontal="center" vertical="center"/>
    </xf>
    <xf numFmtId="169" fontId="26" fillId="3" borderId="15" xfId="116" applyNumberFormat="1" applyFont="1" applyFill="1" applyBorder="1" applyAlignment="1" applyProtection="1">
      <alignment vertical="center"/>
    </xf>
    <xf numFmtId="0" fontId="18" fillId="3" borderId="16" xfId="0" applyFont="1" applyFill="1" applyBorder="1" applyAlignment="1" applyProtection="1">
      <alignment vertical="center"/>
    </xf>
    <xf numFmtId="0" fontId="18" fillId="3" borderId="0" xfId="0" applyFont="1" applyFill="1" applyBorder="1" applyAlignment="1" applyProtection="1">
      <alignment vertical="center"/>
    </xf>
    <xf numFmtId="169" fontId="10" fillId="3" borderId="0" xfId="116" applyNumberFormat="1" applyFont="1" applyFill="1" applyBorder="1" applyAlignment="1" applyProtection="1">
      <alignment horizontal="center" vertical="center"/>
    </xf>
    <xf numFmtId="9" fontId="26" fillId="0" borderId="0" xfId="0" applyNumberFormat="1" applyFont="1" applyBorder="1" applyAlignment="1">
      <alignment vertical="center"/>
    </xf>
    <xf numFmtId="7" fontId="19" fillId="0" borderId="25" xfId="152" applyNumberFormat="1" applyFont="1" applyBorder="1" applyAlignment="1" applyProtection="1">
      <alignment horizontal="right" vertical="center"/>
    </xf>
    <xf numFmtId="167" fontId="27" fillId="0" borderId="3" xfId="116" applyNumberFormat="1" applyFont="1" applyBorder="1" applyAlignment="1" applyProtection="1">
      <alignment horizontal="center" vertical="center"/>
    </xf>
    <xf numFmtId="167" fontId="27" fillId="3" borderId="3" xfId="116" applyNumberFormat="1" applyFont="1" applyFill="1" applyBorder="1" applyAlignment="1" applyProtection="1">
      <alignment horizontal="center" vertical="center"/>
    </xf>
    <xf numFmtId="167" fontId="27" fillId="0" borderId="26" xfId="116" applyNumberFormat="1" applyFont="1" applyBorder="1" applyAlignment="1" applyProtection="1">
      <alignment horizontal="center" vertical="center"/>
    </xf>
    <xf numFmtId="164" fontId="26" fillId="0" borderId="0" xfId="152" applyNumberFormat="1" applyFont="1" applyBorder="1" applyAlignment="1">
      <alignment horizontal="center" vertical="center"/>
    </xf>
    <xf numFmtId="0" fontId="28" fillId="0" borderId="16" xfId="0" applyFont="1" applyBorder="1" applyAlignment="1">
      <alignment vertical="center"/>
    </xf>
    <xf numFmtId="164" fontId="28" fillId="0" borderId="0" xfId="0" applyNumberFormat="1" applyFont="1" applyBorder="1" applyAlignment="1">
      <alignment horizontal="center" vertical="center"/>
    </xf>
    <xf numFmtId="170" fontId="10" fillId="0" borderId="27" xfId="0" applyNumberFormat="1" applyFont="1" applyBorder="1" applyAlignment="1" applyProtection="1">
      <alignment horizontal="center" vertical="center"/>
    </xf>
    <xf numFmtId="7" fontId="9" fillId="7" borderId="6" xfId="152" applyNumberFormat="1" applyFont="1" applyFill="1" applyBorder="1" applyAlignment="1" applyProtection="1">
      <alignment horizontal="center" vertical="center"/>
    </xf>
    <xf numFmtId="167" fontId="8" fillId="0" borderId="0" xfId="0" applyNumberFormat="1" applyFont="1" applyFill="1" applyBorder="1" applyAlignment="1">
      <alignment horizontal="center" vertical="center"/>
    </xf>
    <xf numFmtId="5" fontId="27" fillId="3" borderId="5" xfId="152" applyNumberFormat="1" applyFont="1" applyFill="1" applyBorder="1" applyAlignment="1">
      <alignment horizontal="center" vertical="center"/>
    </xf>
    <xf numFmtId="0" fontId="26" fillId="0" borderId="5" xfId="0" applyFont="1" applyBorder="1" applyAlignment="1">
      <alignment vertical="center"/>
    </xf>
    <xf numFmtId="170" fontId="8" fillId="0" borderId="0" xfId="0" applyNumberFormat="1" applyFont="1" applyBorder="1" applyAlignment="1">
      <alignment horizontal="center" vertical="center"/>
    </xf>
    <xf numFmtId="0" fontId="26" fillId="0" borderId="15" xfId="0" applyFont="1" applyBorder="1" applyAlignment="1">
      <alignment vertical="center"/>
    </xf>
    <xf numFmtId="169" fontId="10" fillId="3" borderId="17" xfId="116" applyNumberFormat="1" applyFont="1" applyFill="1" applyBorder="1" applyAlignment="1" applyProtection="1">
      <alignment horizontal="center" vertical="center"/>
    </xf>
    <xf numFmtId="0" fontId="28" fillId="0" borderId="0" xfId="0" applyFont="1" applyBorder="1" applyAlignment="1">
      <alignment vertical="center"/>
    </xf>
    <xf numFmtId="9" fontId="28" fillId="0" borderId="0" xfId="0" applyNumberFormat="1" applyFont="1" applyBorder="1" applyAlignment="1">
      <alignment vertical="center"/>
    </xf>
    <xf numFmtId="170" fontId="16" fillId="0" borderId="0" xfId="0" applyNumberFormat="1" applyFont="1" applyBorder="1" applyAlignment="1">
      <alignment horizontal="center" vertical="center"/>
    </xf>
    <xf numFmtId="170" fontId="10" fillId="3" borderId="27" xfId="0" applyNumberFormat="1" applyFont="1" applyFill="1" applyBorder="1" applyAlignment="1" applyProtection="1">
      <alignment horizontal="center" vertical="center"/>
    </xf>
    <xf numFmtId="170" fontId="26" fillId="0" borderId="0" xfId="0" applyNumberFormat="1" applyFont="1" applyBorder="1" applyAlignment="1">
      <alignment horizontal="center" vertical="center"/>
    </xf>
    <xf numFmtId="9" fontId="27" fillId="3" borderId="5" xfId="0" applyNumberFormat="1" applyFont="1" applyFill="1" applyBorder="1" applyAlignment="1">
      <alignment vertical="center"/>
    </xf>
    <xf numFmtId="170" fontId="27" fillId="3" borderId="5" xfId="0" applyNumberFormat="1" applyFont="1" applyFill="1" applyBorder="1" applyAlignment="1">
      <alignment horizontal="center" vertical="center"/>
    </xf>
    <xf numFmtId="170" fontId="10" fillId="0" borderId="28" xfId="0" applyNumberFormat="1" applyFont="1" applyBorder="1" applyAlignment="1" applyProtection="1">
      <alignment horizontal="center" vertical="center"/>
    </xf>
    <xf numFmtId="7" fontId="10" fillId="6" borderId="29" xfId="152" applyNumberFormat="1" applyFont="1" applyFill="1" applyBorder="1" applyAlignment="1">
      <alignment horizontal="center" vertical="center"/>
    </xf>
    <xf numFmtId="7" fontId="21" fillId="0" borderId="0" xfId="0" applyNumberFormat="1" applyFont="1" applyBorder="1" applyAlignment="1">
      <alignment horizontal="right"/>
    </xf>
    <xf numFmtId="7" fontId="21" fillId="3" borderId="0" xfId="0" applyNumberFormat="1" applyFont="1" applyFill="1" applyBorder="1" applyAlignment="1">
      <alignment horizontal="right"/>
    </xf>
    <xf numFmtId="37" fontId="10" fillId="3" borderId="3" xfId="0" applyNumberFormat="1" applyFont="1" applyFill="1" applyBorder="1" applyAlignment="1">
      <alignment horizontal="centerContinuous"/>
    </xf>
    <xf numFmtId="0" fontId="9" fillId="3" borderId="3" xfId="0" applyFont="1" applyFill="1" applyBorder="1" applyAlignment="1">
      <alignment horizontal="centerContinuous"/>
    </xf>
    <xf numFmtId="0" fontId="9" fillId="3" borderId="30" xfId="0" applyFont="1" applyFill="1" applyBorder="1" applyAlignment="1">
      <alignment horizontal="centerContinuous"/>
    </xf>
    <xf numFmtId="37" fontId="10" fillId="3" borderId="12" xfId="0" applyNumberFormat="1" applyFont="1" applyFill="1" applyBorder="1" applyAlignment="1">
      <alignment horizontal="center"/>
    </xf>
    <xf numFmtId="37" fontId="10" fillId="3" borderId="31" xfId="0" applyNumberFormat="1" applyFont="1" applyFill="1" applyBorder="1" applyAlignment="1">
      <alignment horizontal="center"/>
    </xf>
    <xf numFmtId="170" fontId="19" fillId="0" borderId="0" xfId="0" applyNumberFormat="1" applyFont="1" applyBorder="1" applyAlignment="1">
      <alignment vertical="center"/>
    </xf>
    <xf numFmtId="170" fontId="11" fillId="0" borderId="0" xfId="0" applyNumberFormat="1" applyFont="1" applyBorder="1" applyAlignment="1">
      <alignment horizontal="left" vertical="center"/>
    </xf>
    <xf numFmtId="170" fontId="11" fillId="3" borderId="0" xfId="0" applyNumberFormat="1" applyFont="1" applyFill="1" applyBorder="1" applyAlignment="1">
      <alignment vertical="center"/>
    </xf>
    <xf numFmtId="170" fontId="11" fillId="0" borderId="0" xfId="0" applyNumberFormat="1" applyFont="1" applyFill="1" applyBorder="1" applyAlignment="1">
      <alignment vertical="center"/>
    </xf>
    <xf numFmtId="170" fontId="11" fillId="0" borderId="0" xfId="0" applyNumberFormat="1" applyFont="1" applyBorder="1" applyAlignment="1">
      <alignment vertical="center"/>
    </xf>
    <xf numFmtId="170" fontId="25" fillId="0" borderId="0" xfId="318" applyNumberFormat="1" applyFont="1" applyBorder="1" applyAlignment="1">
      <alignment vertical="center"/>
    </xf>
    <xf numFmtId="170" fontId="10" fillId="3" borderId="0" xfId="318" applyNumberFormat="1" applyFont="1" applyFill="1" applyBorder="1" applyAlignment="1">
      <alignment vertical="center"/>
    </xf>
    <xf numFmtId="170" fontId="10" fillId="0" borderId="0" xfId="318" applyNumberFormat="1" applyFont="1" applyBorder="1" applyAlignment="1">
      <alignment vertical="center"/>
    </xf>
    <xf numFmtId="170" fontId="9" fillId="0" borderId="0" xfId="318" applyNumberFormat="1" applyFont="1" applyFill="1" applyBorder="1" applyAlignment="1">
      <alignment vertical="center"/>
    </xf>
    <xf numFmtId="170" fontId="25" fillId="3" borderId="0" xfId="318" applyNumberFormat="1" applyFont="1" applyFill="1" applyBorder="1" applyAlignment="1">
      <alignment vertical="center"/>
    </xf>
    <xf numFmtId="170" fontId="40" fillId="0" borderId="0" xfId="318" applyNumberFormat="1" applyFont="1" applyBorder="1" applyAlignment="1">
      <alignment vertical="center"/>
    </xf>
    <xf numFmtId="5" fontId="27" fillId="0" borderId="0" xfId="0" applyNumberFormat="1" applyFont="1" applyBorder="1" applyAlignment="1">
      <alignment vertical="center"/>
    </xf>
    <xf numFmtId="5" fontId="24" fillId="0" borderId="0" xfId="0" applyNumberFormat="1" applyFont="1" applyBorder="1" applyAlignment="1">
      <alignment vertical="center"/>
    </xf>
    <xf numFmtId="164" fontId="9" fillId="0" borderId="0" xfId="116" applyNumberFormat="1" applyFont="1" applyBorder="1" applyAlignment="1">
      <alignment vertical="center"/>
    </xf>
    <xf numFmtId="170" fontId="40" fillId="0" borderId="0" xfId="318" applyNumberFormat="1" applyFont="1" applyFill="1" applyBorder="1" applyAlignment="1">
      <alignment vertical="center"/>
    </xf>
    <xf numFmtId="170" fontId="19" fillId="0" borderId="0" xfId="318" applyNumberFormat="1" applyFont="1" applyFill="1" applyBorder="1" applyAlignment="1">
      <alignment vertical="center"/>
    </xf>
    <xf numFmtId="170" fontId="11" fillId="0" borderId="0" xfId="318" applyNumberFormat="1" applyFont="1" applyFill="1" applyBorder="1" applyAlignment="1">
      <alignment vertical="center"/>
    </xf>
    <xf numFmtId="164" fontId="8" fillId="0" borderId="0" xfId="0" applyNumberFormat="1" applyFont="1" applyFill="1" applyBorder="1" applyAlignment="1">
      <alignment vertical="center"/>
    </xf>
    <xf numFmtId="170" fontId="25" fillId="0" borderId="0" xfId="318" applyNumberFormat="1" applyFont="1" applyFill="1" applyBorder="1" applyAlignment="1">
      <alignment vertical="center"/>
    </xf>
    <xf numFmtId="174" fontId="23" fillId="0" borderId="0" xfId="318" applyNumberFormat="1" applyFont="1" applyBorder="1" applyAlignment="1">
      <alignment vertical="center"/>
    </xf>
    <xf numFmtId="5" fontId="16" fillId="0" borderId="0" xfId="0" applyNumberFormat="1" applyFont="1" applyBorder="1" applyAlignment="1">
      <alignment vertical="center"/>
    </xf>
    <xf numFmtId="5" fontId="30" fillId="0" borderId="0" xfId="0" applyNumberFormat="1" applyFont="1" applyBorder="1" applyAlignment="1">
      <alignment vertical="center"/>
    </xf>
    <xf numFmtId="170" fontId="16" fillId="0" borderId="0" xfId="318" applyNumberFormat="1" applyFont="1" applyBorder="1" applyAlignment="1">
      <alignment vertical="center"/>
    </xf>
    <xf numFmtId="164" fontId="31" fillId="3" borderId="0" xfId="0" applyNumberFormat="1" applyFont="1" applyFill="1" applyBorder="1" applyAlignment="1">
      <alignment vertical="center"/>
    </xf>
    <xf numFmtId="164" fontId="35" fillId="0" borderId="0" xfId="0" applyNumberFormat="1" applyFont="1" applyBorder="1" applyAlignment="1">
      <alignment vertical="center"/>
    </xf>
    <xf numFmtId="164" fontId="21" fillId="3" borderId="0" xfId="0" applyNumberFormat="1" applyFont="1" applyFill="1" applyBorder="1"/>
    <xf numFmtId="164" fontId="22" fillId="0" borderId="0" xfId="0" applyNumberFormat="1" applyFont="1" applyFill="1" applyBorder="1" applyAlignment="1">
      <alignment vertical="center"/>
    </xf>
    <xf numFmtId="164" fontId="35" fillId="3" borderId="0" xfId="0" applyNumberFormat="1" applyFont="1" applyFill="1" applyBorder="1" applyAlignment="1">
      <alignment vertical="center"/>
    </xf>
    <xf numFmtId="164" fontId="36" fillId="0" borderId="0" xfId="0" applyNumberFormat="1" applyFont="1" applyBorder="1" applyAlignment="1">
      <alignment horizontal="right" vertical="center"/>
    </xf>
    <xf numFmtId="164" fontId="37" fillId="0" borderId="0" xfId="0" applyNumberFormat="1" applyFont="1" applyBorder="1" applyAlignment="1">
      <alignment vertical="center"/>
    </xf>
    <xf numFmtId="164" fontId="21" fillId="3" borderId="0" xfId="0" applyNumberFormat="1" applyFont="1" applyFill="1" applyBorder="1" applyAlignment="1">
      <alignment horizontal="right" vertical="center"/>
    </xf>
    <xf numFmtId="164" fontId="22" fillId="3" borderId="0" xfId="0" applyNumberFormat="1" applyFont="1" applyFill="1" applyBorder="1" applyAlignment="1">
      <alignment horizontal="right" vertical="center"/>
    </xf>
    <xf numFmtId="170" fontId="25" fillId="0" borderId="0" xfId="0" applyNumberFormat="1" applyFont="1" applyBorder="1" applyAlignment="1">
      <alignment vertical="center"/>
    </xf>
    <xf numFmtId="5" fontId="27" fillId="3" borderId="0" xfId="0" applyNumberFormat="1" applyFont="1" applyFill="1" applyBorder="1" applyAlignment="1">
      <alignment vertical="center"/>
    </xf>
    <xf numFmtId="5" fontId="20" fillId="3" borderId="0" xfId="0" applyNumberFormat="1" applyFont="1" applyFill="1" applyBorder="1" applyAlignment="1">
      <alignment vertical="center"/>
    </xf>
    <xf numFmtId="174" fontId="21" fillId="0" borderId="0" xfId="0" applyNumberFormat="1" applyFont="1" applyBorder="1" applyAlignment="1">
      <alignment horizontal="right"/>
    </xf>
    <xf numFmtId="174" fontId="21" fillId="3" borderId="0" xfId="0" applyNumberFormat="1" applyFont="1" applyFill="1" applyBorder="1" applyAlignment="1">
      <alignment horizontal="right"/>
    </xf>
    <xf numFmtId="0" fontId="9" fillId="0" borderId="35" xfId="0" applyFont="1" applyBorder="1" applyAlignment="1">
      <alignment horizontal="center" vertical="center" wrapText="1"/>
    </xf>
    <xf numFmtId="174" fontId="21" fillId="0" borderId="0" xfId="0" applyNumberFormat="1" applyFont="1" applyFill="1" applyBorder="1" applyAlignment="1">
      <alignment vertical="center"/>
    </xf>
    <xf numFmtId="174" fontId="21" fillId="0" borderId="0" xfId="0" applyNumberFormat="1" applyFont="1" applyFill="1" applyBorder="1" applyAlignment="1">
      <alignment horizontal="right"/>
    </xf>
    <xf numFmtId="7" fontId="21" fillId="0" borderId="0" xfId="0" applyNumberFormat="1" applyFont="1" applyFill="1" applyBorder="1" applyAlignment="1">
      <alignment vertical="center"/>
    </xf>
    <xf numFmtId="7" fontId="21" fillId="0" borderId="0" xfId="0" applyNumberFormat="1" applyFont="1" applyFill="1" applyBorder="1" applyAlignment="1">
      <alignment horizontal="right"/>
    </xf>
    <xf numFmtId="0" fontId="9" fillId="0" borderId="35" xfId="0" applyFont="1" applyFill="1" applyBorder="1" applyAlignment="1">
      <alignment horizontal="center" vertical="center" wrapText="1"/>
    </xf>
    <xf numFmtId="0" fontId="9" fillId="0" borderId="36" xfId="0" applyFont="1" applyFill="1" applyBorder="1" applyAlignment="1">
      <alignment horizontal="center" vertical="center" wrapText="1"/>
    </xf>
    <xf numFmtId="37" fontId="26" fillId="0" borderId="16" xfId="0" applyNumberFormat="1" applyFont="1" applyFill="1" applyBorder="1" applyAlignment="1">
      <alignment vertical="center"/>
    </xf>
    <xf numFmtId="0" fontId="26" fillId="0" borderId="0" xfId="0" applyFont="1" applyFill="1" applyBorder="1" applyAlignment="1">
      <alignment vertical="center"/>
    </xf>
    <xf numFmtId="37" fontId="23" fillId="0" borderId="0" xfId="0" applyNumberFormat="1" applyFont="1" applyBorder="1" applyAlignment="1">
      <alignment horizontal="right" vertical="center"/>
    </xf>
    <xf numFmtId="170" fontId="23" fillId="0" borderId="0" xfId="318" applyNumberFormat="1" applyFont="1" applyBorder="1" applyAlignment="1">
      <alignment vertical="center"/>
    </xf>
    <xf numFmtId="0" fontId="10" fillId="0" borderId="13" xfId="0" applyFont="1" applyFill="1" applyBorder="1" applyAlignment="1">
      <alignment vertical="center"/>
    </xf>
    <xf numFmtId="164" fontId="9" fillId="0" borderId="0" xfId="0" quotePrefix="1" applyNumberFormat="1" applyFont="1" applyFill="1" applyBorder="1"/>
    <xf numFmtId="164" fontId="9" fillId="0" borderId="0" xfId="0" quotePrefix="1" applyNumberFormat="1" applyFont="1" applyFill="1" applyBorder="1" applyAlignment="1">
      <alignment vertical="center"/>
    </xf>
    <xf numFmtId="7" fontId="10" fillId="3" borderId="0" xfId="152" applyNumberFormat="1" applyFont="1" applyFill="1" applyBorder="1"/>
    <xf numFmtId="7" fontId="9" fillId="0" borderId="0" xfId="0" applyNumberFormat="1" applyFont="1" applyBorder="1"/>
    <xf numFmtId="7" fontId="8" fillId="0" borderId="0" xfId="0" applyNumberFormat="1" applyFont="1" applyBorder="1"/>
    <xf numFmtId="7" fontId="10" fillId="3" borderId="0" xfId="0" applyNumberFormat="1" applyFont="1" applyFill="1" applyBorder="1"/>
    <xf numFmtId="7" fontId="11" fillId="0" borderId="0" xfId="0" applyNumberFormat="1" applyFont="1" applyBorder="1" applyAlignment="1">
      <alignment vertical="center"/>
    </xf>
    <xf numFmtId="7" fontId="19" fillId="0" borderId="0" xfId="0" applyNumberFormat="1" applyFont="1" applyBorder="1" applyAlignment="1">
      <alignment vertical="center"/>
    </xf>
    <xf numFmtId="7" fontId="10" fillId="3" borderId="0" xfId="0" applyNumberFormat="1" applyFont="1" applyFill="1" applyBorder="1" applyAlignment="1">
      <alignment vertical="center"/>
    </xf>
    <xf numFmtId="10" fontId="20" fillId="0" borderId="0" xfId="318" applyNumberFormat="1" applyFont="1" applyBorder="1" applyAlignment="1">
      <alignment vertical="center"/>
    </xf>
    <xf numFmtId="10" fontId="8" fillId="0" borderId="0" xfId="318" applyNumberFormat="1" applyFont="1" applyFill="1" applyBorder="1" applyAlignment="1">
      <alignment vertical="center"/>
    </xf>
    <xf numFmtId="164" fontId="20" fillId="3" borderId="0" xfId="0" applyNumberFormat="1" applyFont="1" applyFill="1" applyBorder="1"/>
    <xf numFmtId="164" fontId="32" fillId="0" borderId="0" xfId="0" applyNumberFormat="1" applyFont="1" applyFill="1" applyBorder="1" applyAlignment="1">
      <alignment vertical="center"/>
    </xf>
    <xf numFmtId="9" fontId="13" fillId="3" borderId="0" xfId="318" applyFont="1" applyFill="1" applyBorder="1" applyAlignment="1">
      <alignment horizontal="right" vertical="center"/>
    </xf>
    <xf numFmtId="5" fontId="44" fillId="0" borderId="0" xfId="0" applyNumberFormat="1" applyFont="1" applyBorder="1" applyAlignment="1">
      <alignment vertical="center"/>
    </xf>
    <xf numFmtId="9" fontId="43" fillId="0" borderId="0" xfId="318" applyFont="1" applyBorder="1" applyAlignment="1">
      <alignment vertical="center"/>
    </xf>
    <xf numFmtId="170" fontId="20" fillId="0" borderId="0" xfId="0" applyNumberFormat="1" applyFont="1" applyBorder="1" applyAlignment="1">
      <alignment vertical="center"/>
    </xf>
    <xf numFmtId="7" fontId="35" fillId="3" borderId="0" xfId="152" applyNumberFormat="1" applyFont="1" applyFill="1" applyBorder="1" applyAlignment="1">
      <alignment vertical="center"/>
    </xf>
    <xf numFmtId="9" fontId="19" fillId="0" borderId="0" xfId="318" applyFont="1" applyFill="1" applyBorder="1" applyAlignment="1">
      <alignment horizontal="right" vertical="center"/>
    </xf>
    <xf numFmtId="1" fontId="16" fillId="0" borderId="0" xfId="0" applyNumberFormat="1" applyFont="1" applyBorder="1" applyAlignment="1">
      <alignment horizontal="right" vertical="center"/>
    </xf>
    <xf numFmtId="170" fontId="18" fillId="3" borderId="21" xfId="318" applyNumberFormat="1" applyFont="1" applyFill="1" applyBorder="1" applyAlignment="1">
      <alignment vertical="center"/>
    </xf>
    <xf numFmtId="164" fontId="21" fillId="0" borderId="0" xfId="0" applyNumberFormat="1" applyFont="1" applyFill="1" applyBorder="1" applyAlignment="1">
      <alignment vertical="center"/>
    </xf>
    <xf numFmtId="8" fontId="9" fillId="0" borderId="0" xfId="0" applyNumberFormat="1" applyFont="1" applyAlignment="1">
      <alignment horizontal="center" vertical="center"/>
    </xf>
    <xf numFmtId="164" fontId="10" fillId="0" borderId="0" xfId="116" applyNumberFormat="1" applyFont="1" applyFill="1" applyBorder="1" applyAlignment="1">
      <alignment vertical="center"/>
    </xf>
    <xf numFmtId="9" fontId="31" fillId="0" borderId="0" xfId="318" applyFont="1" applyFill="1" applyBorder="1" applyAlignment="1">
      <alignment horizontal="right" vertical="center"/>
    </xf>
    <xf numFmtId="9" fontId="26" fillId="0" borderId="0" xfId="318" applyFont="1" applyBorder="1" applyAlignment="1">
      <alignment vertical="center"/>
    </xf>
    <xf numFmtId="37" fontId="9" fillId="0" borderId="0" xfId="0" applyNumberFormat="1" applyFont="1" applyFill="1" applyBorder="1"/>
    <xf numFmtId="168" fontId="9" fillId="0" borderId="0" xfId="0" applyNumberFormat="1" applyFont="1" applyBorder="1" applyAlignment="1">
      <alignment vertical="center"/>
    </xf>
    <xf numFmtId="170" fontId="15" fillId="0" borderId="0" xfId="318" applyNumberFormat="1" applyFont="1" applyBorder="1" applyAlignment="1">
      <alignment vertical="center"/>
    </xf>
    <xf numFmtId="164" fontId="45" fillId="3" borderId="0" xfId="0" applyNumberFormat="1" applyFont="1" applyFill="1" applyBorder="1" applyAlignment="1">
      <alignment vertical="center"/>
    </xf>
    <xf numFmtId="164" fontId="13" fillId="3" borderId="0" xfId="0" applyNumberFormat="1" applyFont="1" applyFill="1" applyBorder="1" applyAlignment="1">
      <alignment horizontal="right" vertical="center"/>
    </xf>
    <xf numFmtId="164" fontId="45" fillId="3" borderId="0" xfId="0" applyNumberFormat="1" applyFont="1" applyFill="1" applyBorder="1" applyAlignment="1">
      <alignment horizontal="right" vertical="center"/>
    </xf>
    <xf numFmtId="164" fontId="13" fillId="3" borderId="0" xfId="0" applyNumberFormat="1" applyFont="1" applyFill="1" applyBorder="1" applyAlignment="1">
      <alignment vertical="center"/>
    </xf>
    <xf numFmtId="0" fontId="23" fillId="0" borderId="0" xfId="0" applyFont="1" applyFill="1" applyAlignment="1">
      <alignment horizontal="center"/>
    </xf>
    <xf numFmtId="170" fontId="18" fillId="3" borderId="5" xfId="318" applyNumberFormat="1" applyFont="1" applyFill="1" applyBorder="1" applyAlignment="1">
      <alignment vertical="center"/>
    </xf>
    <xf numFmtId="0" fontId="9" fillId="0" borderId="36" xfId="0" applyFont="1" applyBorder="1" applyAlignment="1">
      <alignment horizontal="center" vertical="center" wrapText="1"/>
    </xf>
    <xf numFmtId="170" fontId="40" fillId="0" borderId="0" xfId="0" applyNumberFormat="1" applyFont="1" applyBorder="1" applyAlignment="1">
      <alignment vertical="center"/>
    </xf>
    <xf numFmtId="7" fontId="9" fillId="7" borderId="37" xfId="152" applyNumberFormat="1" applyFont="1" applyFill="1" applyBorder="1" applyAlignment="1" applyProtection="1">
      <alignment horizontal="center" vertical="center"/>
    </xf>
    <xf numFmtId="7" fontId="9" fillId="7" borderId="38" xfId="152" applyNumberFormat="1" applyFont="1" applyFill="1" applyBorder="1" applyAlignment="1" applyProtection="1">
      <alignment horizontal="center" vertical="center"/>
    </xf>
    <xf numFmtId="7" fontId="9" fillId="7" borderId="39" xfId="152" applyNumberFormat="1" applyFont="1" applyFill="1" applyBorder="1" applyAlignment="1" applyProtection="1">
      <alignment horizontal="center" vertical="center"/>
    </xf>
    <xf numFmtId="7" fontId="9" fillId="7" borderId="35" xfId="152" applyNumberFormat="1" applyFont="1" applyFill="1" applyBorder="1" applyAlignment="1" applyProtection="1">
      <alignment horizontal="center" vertical="center"/>
    </xf>
    <xf numFmtId="7" fontId="10" fillId="7" borderId="29" xfId="152" applyNumberFormat="1" applyFont="1" applyFill="1" applyBorder="1" applyAlignment="1" applyProtection="1">
      <alignment horizontal="center" vertical="center"/>
    </xf>
    <xf numFmtId="170" fontId="38" fillId="0" borderId="0" xfId="0" applyNumberFormat="1" applyFont="1" applyFill="1" applyAlignment="1">
      <alignment horizontal="center"/>
    </xf>
    <xf numFmtId="164" fontId="26" fillId="0" borderId="0" xfId="0" applyNumberFormat="1" applyFont="1" applyFill="1" applyBorder="1" applyAlignment="1">
      <alignment vertical="center"/>
    </xf>
    <xf numFmtId="0" fontId="11" fillId="3" borderId="25" xfId="0" applyFont="1" applyFill="1" applyBorder="1" applyAlignment="1"/>
    <xf numFmtId="0" fontId="11" fillId="3" borderId="40" xfId="0" applyFont="1" applyFill="1" applyBorder="1" applyAlignment="1"/>
    <xf numFmtId="164" fontId="27" fillId="0" borderId="0" xfId="0" applyNumberFormat="1" applyFont="1" applyFill="1" applyBorder="1" applyAlignment="1">
      <alignment vertical="center"/>
    </xf>
    <xf numFmtId="164" fontId="20" fillId="3" borderId="0" xfId="0" applyNumberFormat="1" applyFont="1" applyFill="1" applyBorder="1" applyAlignment="1">
      <alignment vertical="center"/>
    </xf>
    <xf numFmtId="170" fontId="27" fillId="0" borderId="0" xfId="318" applyNumberFormat="1" applyFont="1" applyFill="1" applyBorder="1" applyAlignment="1">
      <alignment vertical="center"/>
    </xf>
    <xf numFmtId="170" fontId="21" fillId="0" borderId="0" xfId="318" applyNumberFormat="1" applyFont="1" applyFill="1" applyBorder="1" applyAlignment="1">
      <alignment vertical="center"/>
    </xf>
    <xf numFmtId="164" fontId="10" fillId="3" borderId="0" xfId="0" applyNumberFormat="1" applyFont="1" applyFill="1" applyBorder="1" applyAlignment="1">
      <alignment horizontal="left" vertical="center" indent="1"/>
    </xf>
    <xf numFmtId="9" fontId="8" fillId="0" borderId="0" xfId="318" applyFont="1" applyBorder="1" applyAlignment="1">
      <alignment vertical="center"/>
    </xf>
    <xf numFmtId="164" fontId="19" fillId="3" borderId="0" xfId="0" applyNumberFormat="1" applyFont="1" applyFill="1" applyBorder="1" applyAlignment="1">
      <alignment vertical="center"/>
    </xf>
    <xf numFmtId="164" fontId="25" fillId="3" borderId="0" xfId="0" applyNumberFormat="1" applyFont="1" applyFill="1" applyBorder="1" applyAlignment="1">
      <alignment vertical="center"/>
    </xf>
    <xf numFmtId="164" fontId="40" fillId="0" borderId="0" xfId="0" applyNumberFormat="1" applyFont="1" applyBorder="1" applyAlignment="1">
      <alignment vertical="center"/>
    </xf>
    <xf numFmtId="164" fontId="19" fillId="0" borderId="0" xfId="0" applyNumberFormat="1" applyFont="1" applyFill="1" applyBorder="1" applyAlignment="1">
      <alignment vertical="center"/>
    </xf>
    <xf numFmtId="164" fontId="46" fillId="0" borderId="0" xfId="0" applyNumberFormat="1" applyFont="1" applyBorder="1" applyAlignment="1">
      <alignment vertical="center"/>
    </xf>
    <xf numFmtId="170" fontId="47" fillId="0" borderId="0" xfId="318" applyNumberFormat="1" applyFont="1" applyBorder="1" applyAlignment="1">
      <alignment vertical="center"/>
    </xf>
    <xf numFmtId="164" fontId="24" fillId="0" borderId="0" xfId="0" applyNumberFormat="1" applyFont="1" applyBorder="1" applyAlignment="1">
      <alignment vertical="center"/>
    </xf>
    <xf numFmtId="164" fontId="40" fillId="3" borderId="0" xfId="0" applyNumberFormat="1" applyFont="1" applyFill="1" applyBorder="1" applyAlignment="1">
      <alignment vertical="center"/>
    </xf>
    <xf numFmtId="170" fontId="31" fillId="0" borderId="0" xfId="318" applyNumberFormat="1" applyFont="1" applyFill="1" applyBorder="1" applyAlignment="1">
      <alignment vertical="center"/>
    </xf>
    <xf numFmtId="164" fontId="48" fillId="0" borderId="0" xfId="0" applyNumberFormat="1" applyFont="1" applyBorder="1" applyAlignment="1">
      <alignment vertical="center"/>
    </xf>
    <xf numFmtId="164" fontId="15" fillId="0" borderId="0" xfId="0" applyNumberFormat="1" applyFont="1" applyFill="1" applyBorder="1" applyAlignment="1">
      <alignment vertical="center"/>
    </xf>
    <xf numFmtId="164" fontId="49" fillId="0" borderId="0" xfId="0" applyNumberFormat="1" applyFont="1" applyFill="1" applyBorder="1" applyAlignment="1">
      <alignment vertical="center"/>
    </xf>
    <xf numFmtId="164" fontId="35" fillId="0" borderId="0" xfId="0" applyNumberFormat="1" applyFont="1" applyFill="1" applyBorder="1" applyAlignment="1">
      <alignment vertical="center"/>
    </xf>
    <xf numFmtId="164" fontId="23" fillId="0" borderId="0" xfId="0" applyNumberFormat="1" applyFont="1" applyBorder="1" applyAlignment="1">
      <alignment vertical="center"/>
    </xf>
    <xf numFmtId="170" fontId="23" fillId="0" borderId="0" xfId="318" applyNumberFormat="1" applyFont="1" applyFill="1" applyBorder="1" applyAlignment="1">
      <alignment vertical="center"/>
    </xf>
    <xf numFmtId="164" fontId="23" fillId="0" borderId="0" xfId="0" applyNumberFormat="1" applyFont="1" applyFill="1" applyBorder="1" applyAlignment="1">
      <alignment vertical="center"/>
    </xf>
    <xf numFmtId="164" fontId="9" fillId="0" borderId="0" xfId="0" applyNumberFormat="1" applyFont="1" applyFill="1" applyBorder="1"/>
    <xf numFmtId="164" fontId="20" fillId="0" borderId="0" xfId="0" applyNumberFormat="1" applyFont="1" applyFill="1" applyBorder="1"/>
    <xf numFmtId="7" fontId="18" fillId="3" borderId="0" xfId="152" applyNumberFormat="1" applyFont="1" applyFill="1" applyBorder="1" applyAlignment="1">
      <alignment vertical="center"/>
    </xf>
    <xf numFmtId="170" fontId="11" fillId="3" borderId="0" xfId="0" applyNumberFormat="1" applyFont="1" applyFill="1" applyBorder="1" applyAlignment="1">
      <alignment horizontal="right" vertical="center"/>
    </xf>
    <xf numFmtId="0" fontId="9" fillId="0" borderId="0" xfId="0" applyFont="1" applyFill="1"/>
    <xf numFmtId="174" fontId="9" fillId="0" borderId="0" xfId="0" applyNumberFormat="1" applyFont="1" applyFill="1"/>
    <xf numFmtId="14" fontId="9" fillId="0" borderId="0" xfId="0" applyNumberFormat="1" applyFont="1" applyBorder="1" applyAlignment="1">
      <alignment vertical="center"/>
    </xf>
    <xf numFmtId="170" fontId="11" fillId="3" borderId="0" xfId="318" applyNumberFormat="1" applyFont="1" applyFill="1" applyBorder="1" applyAlignment="1">
      <alignment horizontal="right" vertical="center"/>
    </xf>
    <xf numFmtId="10" fontId="9" fillId="0" borderId="0" xfId="0" applyNumberFormat="1" applyFont="1" applyAlignment="1">
      <alignment horizontal="center" vertical="center"/>
    </xf>
    <xf numFmtId="164" fontId="21" fillId="0" borderId="0" xfId="0" applyNumberFormat="1" applyFont="1" applyFill="1" applyBorder="1"/>
    <xf numFmtId="37" fontId="10" fillId="3" borderId="30" xfId="0" applyNumberFormat="1" applyFont="1" applyFill="1" applyBorder="1" applyAlignment="1">
      <alignment horizontal="centerContinuous"/>
    </xf>
    <xf numFmtId="170" fontId="11" fillId="0" borderId="0" xfId="318" applyNumberFormat="1" applyFont="1" applyBorder="1" applyAlignment="1">
      <alignment horizontal="right" vertical="center"/>
    </xf>
    <xf numFmtId="170" fontId="25" fillId="0" borderId="0" xfId="318" applyNumberFormat="1" applyFont="1" applyBorder="1" applyAlignment="1">
      <alignment horizontal="right" vertical="center"/>
    </xf>
    <xf numFmtId="0" fontId="0" fillId="0" borderId="0" xfId="0" applyBorder="1"/>
    <xf numFmtId="37" fontId="32" fillId="0" borderId="0" xfId="0" applyNumberFormat="1" applyFont="1" applyBorder="1" applyAlignment="1">
      <alignment vertical="center"/>
    </xf>
    <xf numFmtId="0" fontId="11" fillId="0" borderId="0" xfId="0" applyFont="1" applyBorder="1"/>
    <xf numFmtId="170" fontId="11" fillId="0" borderId="0" xfId="318" applyNumberFormat="1" applyFont="1" applyBorder="1" applyAlignment="1">
      <alignment horizontal="right"/>
    </xf>
    <xf numFmtId="170" fontId="19" fillId="0" borderId="0" xfId="318" applyNumberFormat="1" applyFont="1" applyBorder="1"/>
    <xf numFmtId="170" fontId="11" fillId="0" borderId="0" xfId="318" applyNumberFormat="1" applyFont="1" applyBorder="1"/>
    <xf numFmtId="0" fontId="9" fillId="3" borderId="0" xfId="0" applyFont="1" applyFill="1" applyBorder="1"/>
    <xf numFmtId="0" fontId="11" fillId="3" borderId="0" xfId="0" applyFont="1" applyFill="1" applyBorder="1" applyAlignment="1">
      <alignment horizontal="right"/>
    </xf>
    <xf numFmtId="170" fontId="8" fillId="0" borderId="0" xfId="318" applyNumberFormat="1" applyFont="1" applyBorder="1"/>
    <xf numFmtId="170" fontId="9" fillId="3" borderId="0" xfId="318" applyNumberFormat="1" applyFont="1" applyFill="1" applyBorder="1"/>
    <xf numFmtId="164" fontId="8" fillId="0" borderId="0" xfId="0" applyNumberFormat="1" applyFont="1" applyBorder="1"/>
    <xf numFmtId="170" fontId="47" fillId="0" borderId="0" xfId="318" applyNumberFormat="1" applyFont="1" applyBorder="1"/>
    <xf numFmtId="175" fontId="32" fillId="0" borderId="0" xfId="0" applyNumberFormat="1" applyFont="1" applyBorder="1" applyAlignment="1">
      <alignment vertical="center"/>
    </xf>
    <xf numFmtId="175" fontId="9" fillId="0" borderId="0" xfId="0" applyNumberFormat="1" applyFont="1" applyBorder="1"/>
    <xf numFmtId="175" fontId="9" fillId="3" borderId="0" xfId="0" applyNumberFormat="1" applyFont="1" applyFill="1" applyBorder="1"/>
    <xf numFmtId="170" fontId="32" fillId="0" borderId="0" xfId="318" applyNumberFormat="1" applyFont="1" applyBorder="1" applyAlignment="1">
      <alignment vertical="center"/>
    </xf>
    <xf numFmtId="0" fontId="10" fillId="3" borderId="0" xfId="0" applyFont="1" applyFill="1" applyBorder="1"/>
    <xf numFmtId="0" fontId="0" fillId="3" borderId="0" xfId="0" applyFill="1" applyBorder="1"/>
    <xf numFmtId="170" fontId="9" fillId="3" borderId="0" xfId="0" applyNumberFormat="1" applyFont="1" applyFill="1" applyBorder="1"/>
    <xf numFmtId="175" fontId="9" fillId="0" borderId="0" xfId="0" applyNumberFormat="1" applyFont="1" applyBorder="1" applyAlignment="1">
      <alignment vertical="center"/>
    </xf>
    <xf numFmtId="0" fontId="10" fillId="0" borderId="0" xfId="0" applyFont="1" applyBorder="1"/>
    <xf numFmtId="0" fontId="11" fillId="3" borderId="0" xfId="0" applyFont="1" applyFill="1" applyBorder="1"/>
    <xf numFmtId="39" fontId="8" fillId="0" borderId="0" xfId="0" applyNumberFormat="1" applyFont="1" applyBorder="1"/>
    <xf numFmtId="170" fontId="8" fillId="0" borderId="0" xfId="318" applyNumberFormat="1" applyFont="1" applyFill="1" applyBorder="1" applyAlignment="1">
      <alignment vertical="center"/>
    </xf>
    <xf numFmtId="168" fontId="10" fillId="3" borderId="0" xfId="0" applyNumberFormat="1" applyFont="1" applyFill="1" applyBorder="1" applyAlignment="1">
      <alignment vertical="center"/>
    </xf>
    <xf numFmtId="37" fontId="21" fillId="0" borderId="0" xfId="0" applyNumberFormat="1" applyFont="1" applyBorder="1"/>
    <xf numFmtId="164" fontId="50" fillId="0" borderId="0" xfId="0" applyNumberFormat="1" applyFont="1" applyFill="1" applyBorder="1" applyAlignment="1">
      <alignment vertical="center"/>
    </xf>
    <xf numFmtId="39" fontId="26" fillId="0" borderId="0" xfId="0" applyNumberFormat="1" applyFont="1" applyBorder="1" applyAlignment="1">
      <alignment vertical="center"/>
    </xf>
    <xf numFmtId="164" fontId="10" fillId="3" borderId="0" xfId="0" applyNumberFormat="1" applyFont="1" applyFill="1" applyBorder="1" applyAlignment="1">
      <alignment horizontal="right" vertical="center"/>
    </xf>
    <xf numFmtId="164" fontId="11" fillId="3" borderId="0" xfId="0" applyNumberFormat="1" applyFont="1" applyFill="1" applyBorder="1" applyAlignment="1">
      <alignment horizontal="right" vertical="center"/>
    </xf>
    <xf numFmtId="9" fontId="11" fillId="3" borderId="0" xfId="318" applyFont="1" applyFill="1" applyBorder="1" applyAlignment="1">
      <alignment vertical="center"/>
    </xf>
    <xf numFmtId="9" fontId="9" fillId="0" borderId="0" xfId="318" applyFont="1" applyAlignment="1">
      <alignment horizontal="center" vertical="center"/>
    </xf>
    <xf numFmtId="179" fontId="9" fillId="0" borderId="0" xfId="0" applyNumberFormat="1" applyFont="1" applyBorder="1" applyAlignment="1">
      <alignment vertical="center"/>
    </xf>
    <xf numFmtId="164" fontId="47" fillId="38" borderId="0" xfId="0" applyNumberFormat="1" applyFont="1" applyFill="1" applyBorder="1" applyAlignment="1">
      <alignment horizontal="right" vertical="center"/>
    </xf>
    <xf numFmtId="10" fontId="9" fillId="0" borderId="0" xfId="318" applyNumberFormat="1" applyFont="1" applyFill="1" applyBorder="1" applyAlignment="1">
      <alignment vertical="center"/>
    </xf>
    <xf numFmtId="6" fontId="9" fillId="0" borderId="0" xfId="0" applyNumberFormat="1" applyFont="1" applyAlignment="1">
      <alignment horizontal="center" vertical="center"/>
    </xf>
    <xf numFmtId="164" fontId="21" fillId="38" borderId="0" xfId="0" applyNumberFormat="1" applyFont="1" applyFill="1" applyBorder="1" applyAlignment="1">
      <alignment vertical="center"/>
    </xf>
    <xf numFmtId="167" fontId="9" fillId="0" borderId="0" xfId="0" applyNumberFormat="1" applyFont="1" applyFill="1" applyBorder="1" applyAlignment="1">
      <alignment horizontal="center"/>
    </xf>
    <xf numFmtId="170" fontId="19" fillId="0" borderId="0" xfId="318" applyNumberFormat="1" applyFont="1" applyBorder="1" applyAlignment="1">
      <alignment horizontal="right"/>
    </xf>
    <xf numFmtId="170" fontId="19" fillId="0" borderId="0" xfId="318" applyNumberFormat="1" applyFont="1" applyFill="1" applyBorder="1" applyAlignment="1">
      <alignment horizontal="right"/>
    </xf>
    <xf numFmtId="170" fontId="47" fillId="0" borderId="0" xfId="318" applyNumberFormat="1" applyFont="1" applyBorder="1" applyAlignment="1">
      <alignment horizontal="right" vertical="center"/>
    </xf>
    <xf numFmtId="170" fontId="47" fillId="38" borderId="0" xfId="318" applyNumberFormat="1" applyFont="1" applyFill="1" applyBorder="1" applyAlignment="1">
      <alignment horizontal="right" vertical="center"/>
    </xf>
    <xf numFmtId="170" fontId="9" fillId="0" borderId="0" xfId="318" applyNumberFormat="1" applyFont="1" applyAlignment="1">
      <alignment horizontal="center" vertical="center"/>
    </xf>
    <xf numFmtId="170" fontId="9" fillId="0" borderId="0" xfId="0" applyNumberFormat="1" applyFont="1" applyAlignment="1">
      <alignment horizontal="center" vertical="center"/>
    </xf>
    <xf numFmtId="178" fontId="9" fillId="0" borderId="0" xfId="0" applyNumberFormat="1" applyFont="1" applyBorder="1" applyAlignment="1">
      <alignment vertical="center"/>
    </xf>
    <xf numFmtId="170" fontId="31" fillId="38" borderId="0" xfId="318" applyNumberFormat="1" applyFont="1" applyFill="1" applyBorder="1" applyAlignment="1">
      <alignment vertical="center"/>
    </xf>
    <xf numFmtId="37" fontId="28" fillId="0" borderId="0" xfId="0" applyNumberFormat="1" applyFont="1" applyBorder="1" applyAlignment="1">
      <alignment vertical="center"/>
    </xf>
    <xf numFmtId="37" fontId="8" fillId="38" borderId="0" xfId="0" applyNumberFormat="1" applyFont="1" applyFill="1" applyBorder="1" applyAlignment="1">
      <alignment vertical="center"/>
    </xf>
    <xf numFmtId="170" fontId="11" fillId="38" borderId="0" xfId="318" applyNumberFormat="1" applyFont="1" applyFill="1" applyBorder="1" applyAlignment="1">
      <alignment vertical="center"/>
    </xf>
    <xf numFmtId="164" fontId="11" fillId="0" borderId="0" xfId="318" applyNumberFormat="1" applyFont="1" applyBorder="1" applyAlignment="1">
      <alignment vertical="center"/>
    </xf>
    <xf numFmtId="164" fontId="28" fillId="0" borderId="0" xfId="0" applyNumberFormat="1" applyFont="1" applyFill="1" applyBorder="1" applyAlignment="1">
      <alignment vertical="center"/>
    </xf>
    <xf numFmtId="164" fontId="112" fillId="0" borderId="0" xfId="0" applyNumberFormat="1" applyFont="1" applyFill="1" applyBorder="1" applyAlignment="1">
      <alignment vertical="center"/>
    </xf>
    <xf numFmtId="170" fontId="47" fillId="0" borderId="0" xfId="318" applyNumberFormat="1" applyFont="1" applyFill="1" applyBorder="1" applyAlignment="1">
      <alignment vertical="center"/>
    </xf>
    <xf numFmtId="9" fontId="9" fillId="0" borderId="0" xfId="318" applyNumberFormat="1" applyFont="1" applyFill="1" applyBorder="1" applyAlignment="1">
      <alignment vertical="center"/>
    </xf>
    <xf numFmtId="180" fontId="8" fillId="38" borderId="0" xfId="116" applyNumberFormat="1" applyFont="1" applyFill="1" applyBorder="1" applyAlignment="1">
      <alignment horizontal="right"/>
    </xf>
    <xf numFmtId="168" fontId="12" fillId="0" borderId="0" xfId="0" applyNumberFormat="1" applyFont="1" applyBorder="1" applyAlignment="1">
      <alignment vertical="center"/>
    </xf>
    <xf numFmtId="170" fontId="9" fillId="0" borderId="0" xfId="318" applyNumberFormat="1" applyFont="1" applyBorder="1"/>
    <xf numFmtId="39" fontId="9" fillId="38" borderId="0" xfId="0" applyNumberFormat="1" applyFont="1" applyFill="1" applyBorder="1"/>
    <xf numFmtId="170" fontId="11" fillId="38" borderId="0" xfId="318" applyNumberFormat="1" applyFont="1" applyFill="1" applyBorder="1"/>
    <xf numFmtId="164" fontId="10" fillId="38" borderId="0" xfId="0" applyNumberFormat="1" applyFont="1" applyFill="1" applyBorder="1" applyAlignment="1">
      <alignment vertical="center"/>
    </xf>
    <xf numFmtId="37" fontId="15" fillId="38" borderId="0" xfId="0" applyNumberFormat="1" applyFont="1" applyFill="1" applyBorder="1" applyAlignment="1">
      <alignment vertical="center"/>
    </xf>
    <xf numFmtId="37" fontId="27" fillId="38" borderId="0" xfId="0" applyNumberFormat="1" applyFont="1" applyFill="1" applyBorder="1" applyAlignment="1">
      <alignment vertical="center"/>
    </xf>
    <xf numFmtId="37" fontId="34" fillId="38" borderId="0" xfId="0" applyNumberFormat="1" applyFont="1" applyFill="1" applyBorder="1" applyAlignment="1">
      <alignment horizontal="right" vertical="center"/>
    </xf>
    <xf numFmtId="164" fontId="27" fillId="38" borderId="0" xfId="0" applyNumberFormat="1" applyFont="1" applyFill="1" applyBorder="1" applyAlignment="1">
      <alignment vertical="center"/>
    </xf>
    <xf numFmtId="164" fontId="11" fillId="38" borderId="0" xfId="0" applyNumberFormat="1" applyFont="1" applyFill="1" applyBorder="1" applyAlignment="1">
      <alignment vertical="center"/>
    </xf>
    <xf numFmtId="37" fontId="26" fillId="38" borderId="0" xfId="0" applyNumberFormat="1" applyFont="1" applyFill="1" applyBorder="1" applyAlignment="1">
      <alignment vertical="center"/>
    </xf>
    <xf numFmtId="181" fontId="9" fillId="0" borderId="0" xfId="0" applyNumberFormat="1" applyFont="1" applyAlignment="1">
      <alignment horizontal="center" vertical="center"/>
    </xf>
    <xf numFmtId="181" fontId="9" fillId="0" borderId="0" xfId="0" applyNumberFormat="1" applyFont="1" applyAlignment="1">
      <alignment vertical="center"/>
    </xf>
    <xf numFmtId="164" fontId="35" fillId="38" borderId="0" xfId="0" applyNumberFormat="1" applyFont="1" applyFill="1" applyBorder="1" applyAlignment="1">
      <alignment vertical="center"/>
    </xf>
    <xf numFmtId="164" fontId="22" fillId="38" borderId="0" xfId="0" applyNumberFormat="1" applyFont="1" applyFill="1" applyBorder="1" applyAlignment="1">
      <alignment vertical="center"/>
    </xf>
    <xf numFmtId="164" fontId="9" fillId="0" borderId="0" xfId="0" applyNumberFormat="1" applyFont="1" applyBorder="1"/>
    <xf numFmtId="7" fontId="9" fillId="39" borderId="4" xfId="0" applyNumberFormat="1" applyFont="1" applyFill="1" applyBorder="1" applyAlignment="1">
      <alignment horizontal="center"/>
    </xf>
    <xf numFmtId="164" fontId="26" fillId="39" borderId="0" xfId="0" applyNumberFormat="1" applyFont="1" applyFill="1" applyBorder="1" applyAlignment="1">
      <alignment vertical="center"/>
    </xf>
    <xf numFmtId="39" fontId="9" fillId="39" borderId="0" xfId="0" applyNumberFormat="1" applyFont="1" applyFill="1" applyBorder="1" applyAlignment="1">
      <alignment vertical="center"/>
    </xf>
    <xf numFmtId="164" fontId="9" fillId="38" borderId="0" xfId="0" applyNumberFormat="1" applyFont="1" applyFill="1" applyBorder="1" applyAlignment="1">
      <alignment horizontal="right" vertical="center"/>
    </xf>
    <xf numFmtId="37" fontId="13" fillId="38" borderId="0" xfId="0" applyNumberFormat="1" applyFont="1" applyFill="1" applyBorder="1" applyAlignment="1">
      <alignment horizontal="right" vertical="center"/>
    </xf>
    <xf numFmtId="174" fontId="9" fillId="0" borderId="0" xfId="0" applyNumberFormat="1" applyFont="1" applyAlignment="1">
      <alignment vertical="center"/>
    </xf>
    <xf numFmtId="39" fontId="9" fillId="0" borderId="0" xfId="0" applyNumberFormat="1" applyFont="1" applyFill="1" applyBorder="1"/>
    <xf numFmtId="174" fontId="9" fillId="0" borderId="0" xfId="0" applyNumberFormat="1" applyFont="1" applyBorder="1"/>
    <xf numFmtId="0" fontId="26" fillId="0" borderId="17" xfId="0" applyFont="1" applyBorder="1" applyAlignment="1">
      <alignment vertical="center"/>
    </xf>
    <xf numFmtId="0" fontId="9" fillId="38" borderId="0" xfId="0" applyFont="1" applyFill="1" applyBorder="1"/>
    <xf numFmtId="0" fontId="10" fillId="38" borderId="0" xfId="0" applyFont="1" applyFill="1" applyBorder="1"/>
    <xf numFmtId="164" fontId="25" fillId="0" borderId="0" xfId="0" applyNumberFormat="1" applyFont="1" applyBorder="1" applyAlignment="1">
      <alignment vertical="center"/>
    </xf>
    <xf numFmtId="170" fontId="25" fillId="38" borderId="0" xfId="318" applyNumberFormat="1" applyFont="1" applyFill="1" applyBorder="1" applyAlignment="1">
      <alignment vertical="center"/>
    </xf>
    <xf numFmtId="169" fontId="32" fillId="0" borderId="0" xfId="116" applyNumberFormat="1" applyFont="1" applyBorder="1"/>
    <xf numFmtId="164" fontId="23" fillId="38" borderId="0" xfId="0" applyNumberFormat="1" applyFont="1" applyFill="1" applyBorder="1" applyAlignment="1">
      <alignment vertical="center"/>
    </xf>
    <xf numFmtId="37" fontId="21" fillId="0" borderId="0" xfId="0" applyNumberFormat="1" applyFont="1" applyFill="1" applyBorder="1"/>
    <xf numFmtId="170" fontId="27" fillId="38" borderId="0" xfId="318" applyNumberFormat="1" applyFont="1" applyFill="1" applyBorder="1" applyAlignment="1">
      <alignment vertical="center"/>
    </xf>
    <xf numFmtId="164" fontId="8" fillId="38" borderId="0" xfId="0" applyNumberFormat="1" applyFont="1" applyFill="1" applyBorder="1" applyAlignment="1">
      <alignment vertical="center"/>
    </xf>
    <xf numFmtId="164" fontId="26" fillId="38" borderId="0" xfId="0" applyNumberFormat="1" applyFont="1" applyFill="1" applyBorder="1" applyAlignment="1">
      <alignment vertical="center"/>
    </xf>
    <xf numFmtId="164" fontId="20" fillId="38" borderId="0" xfId="0" applyNumberFormat="1" applyFont="1" applyFill="1" applyBorder="1" applyAlignment="1">
      <alignment vertical="center"/>
    </xf>
    <xf numFmtId="164" fontId="9" fillId="38" borderId="0" xfId="0" applyNumberFormat="1" applyFont="1" applyFill="1" applyBorder="1" applyAlignment="1">
      <alignment vertical="center"/>
    </xf>
    <xf numFmtId="164" fontId="25" fillId="38" borderId="0" xfId="0" applyNumberFormat="1" applyFont="1" applyFill="1" applyBorder="1" applyAlignment="1">
      <alignment vertical="center"/>
    </xf>
    <xf numFmtId="164" fontId="31" fillId="38" borderId="0" xfId="0" applyNumberFormat="1" applyFont="1" applyFill="1" applyBorder="1" applyAlignment="1">
      <alignment vertical="center"/>
    </xf>
    <xf numFmtId="180" fontId="9" fillId="0" borderId="0" xfId="116" applyNumberFormat="1" applyFont="1" applyBorder="1" applyAlignment="1">
      <alignment vertical="center"/>
    </xf>
    <xf numFmtId="164" fontId="9" fillId="39" borderId="0" xfId="0" applyNumberFormat="1" applyFont="1" applyFill="1" applyBorder="1" applyAlignment="1">
      <alignment vertical="center"/>
    </xf>
    <xf numFmtId="180" fontId="10" fillId="38" borderId="0" xfId="116" applyNumberFormat="1" applyFont="1" applyFill="1" applyBorder="1" applyAlignment="1">
      <alignment vertical="center"/>
    </xf>
    <xf numFmtId="37" fontId="9" fillId="38" borderId="0" xfId="0" applyNumberFormat="1" applyFont="1" applyFill="1" applyBorder="1" applyAlignment="1">
      <alignment vertical="center"/>
    </xf>
    <xf numFmtId="180" fontId="9" fillId="38" borderId="0" xfId="116" applyNumberFormat="1" applyFont="1" applyFill="1" applyBorder="1" applyAlignment="1">
      <alignment vertical="center"/>
    </xf>
    <xf numFmtId="164" fontId="10" fillId="38" borderId="0" xfId="116" applyNumberFormat="1" applyFont="1" applyFill="1" applyBorder="1" applyAlignment="1">
      <alignment vertical="center"/>
    </xf>
    <xf numFmtId="164" fontId="28" fillId="38" borderId="0" xfId="0" applyNumberFormat="1" applyFont="1" applyFill="1" applyBorder="1" applyAlignment="1">
      <alignment vertical="center"/>
    </xf>
    <xf numFmtId="5" fontId="26" fillId="38" borderId="0" xfId="0" applyNumberFormat="1" applyFont="1" applyFill="1" applyBorder="1" applyAlignment="1">
      <alignment vertical="center"/>
    </xf>
    <xf numFmtId="164" fontId="17" fillId="38" borderId="0" xfId="0" applyNumberFormat="1" applyFont="1" applyFill="1" applyBorder="1" applyAlignment="1">
      <alignment vertical="center"/>
    </xf>
    <xf numFmtId="170" fontId="11" fillId="38" borderId="0" xfId="318" applyNumberFormat="1" applyFont="1" applyFill="1" applyBorder="1" applyAlignment="1">
      <alignment horizontal="right" vertical="center"/>
    </xf>
    <xf numFmtId="170" fontId="25" fillId="38" borderId="0" xfId="318" applyNumberFormat="1" applyFont="1" applyFill="1" applyBorder="1" applyAlignment="1">
      <alignment horizontal="right" vertical="center"/>
    </xf>
    <xf numFmtId="37" fontId="28" fillId="38" borderId="0" xfId="0" applyNumberFormat="1" applyFont="1" applyFill="1" applyBorder="1" applyAlignment="1">
      <alignment vertical="center"/>
    </xf>
    <xf numFmtId="9" fontId="25" fillId="38" borderId="0" xfId="318" applyFont="1" applyFill="1" applyBorder="1" applyAlignment="1">
      <alignment vertical="center"/>
    </xf>
    <xf numFmtId="170" fontId="23" fillId="38" borderId="0" xfId="0" applyNumberFormat="1" applyFont="1" applyFill="1" applyBorder="1" applyAlignment="1">
      <alignment vertical="center"/>
    </xf>
    <xf numFmtId="5" fontId="21" fillId="38" borderId="0" xfId="0" applyNumberFormat="1" applyFont="1" applyFill="1" applyBorder="1" applyAlignment="1">
      <alignment vertical="center"/>
    </xf>
    <xf numFmtId="37" fontId="21" fillId="38" borderId="0" xfId="0" applyNumberFormat="1" applyFont="1" applyFill="1" applyBorder="1" applyAlignment="1">
      <alignment vertical="center"/>
    </xf>
    <xf numFmtId="170" fontId="11" fillId="38" borderId="0" xfId="0" applyNumberFormat="1" applyFont="1" applyFill="1" applyBorder="1" applyAlignment="1">
      <alignment vertical="center"/>
    </xf>
    <xf numFmtId="5" fontId="28" fillId="38" borderId="0" xfId="0" applyNumberFormat="1" applyFont="1" applyFill="1" applyBorder="1" applyAlignment="1">
      <alignment vertical="center"/>
    </xf>
    <xf numFmtId="180" fontId="32" fillId="0" borderId="0" xfId="116" applyNumberFormat="1" applyFont="1" applyBorder="1" applyAlignment="1">
      <alignment vertical="center"/>
    </xf>
    <xf numFmtId="14" fontId="10" fillId="39" borderId="0" xfId="0" applyNumberFormat="1" applyFont="1" applyFill="1" applyBorder="1" applyAlignment="1">
      <alignment horizontal="centerContinuous" vertical="center"/>
    </xf>
    <xf numFmtId="167" fontId="9" fillId="39" borderId="0" xfId="0" applyNumberFormat="1" applyFont="1" applyFill="1" applyBorder="1" applyAlignment="1">
      <alignment horizontal="center" vertical="center"/>
    </xf>
    <xf numFmtId="167" fontId="9" fillId="39" borderId="0" xfId="302" applyNumberFormat="1" applyFont="1" applyFill="1" applyBorder="1" applyAlignment="1">
      <alignment horizontal="center"/>
    </xf>
    <xf numFmtId="164" fontId="10" fillId="0" borderId="0" xfId="0" applyNumberFormat="1" applyFont="1" applyBorder="1" applyAlignment="1">
      <alignment horizontal="centerContinuous" vertical="center"/>
    </xf>
    <xf numFmtId="10" fontId="9" fillId="0" borderId="0" xfId="318" applyNumberFormat="1" applyFont="1"/>
    <xf numFmtId="37" fontId="113" fillId="0" borderId="0" xfId="0" applyNumberFormat="1" applyFont="1" applyBorder="1" applyAlignment="1">
      <alignment vertical="center"/>
    </xf>
    <xf numFmtId="39" fontId="10" fillId="0" borderId="0" xfId="0" applyNumberFormat="1" applyFont="1" applyFill="1" applyBorder="1" applyAlignment="1">
      <alignment horizontal="centerContinuous" vertical="center"/>
    </xf>
    <xf numFmtId="174" fontId="9" fillId="0" borderId="0" xfId="0" applyNumberFormat="1" applyFont="1" applyFill="1" applyBorder="1" applyAlignment="1">
      <alignment vertical="center"/>
    </xf>
    <xf numFmtId="169" fontId="9" fillId="0" borderId="0" xfId="116" applyNumberFormat="1" applyFont="1" applyBorder="1"/>
    <xf numFmtId="1" fontId="9" fillId="0" borderId="0" xfId="0" applyNumberFormat="1" applyFont="1" applyBorder="1"/>
    <xf numFmtId="43" fontId="11" fillId="3" borderId="0" xfId="116" applyFont="1" applyFill="1" applyBorder="1" applyAlignment="1">
      <alignment vertical="center"/>
    </xf>
    <xf numFmtId="0" fontId="9" fillId="38" borderId="0" xfId="0" applyFont="1" applyFill="1" applyBorder="1" applyAlignment="1">
      <alignment vertical="center"/>
    </xf>
    <xf numFmtId="170" fontId="27" fillId="3" borderId="14" xfId="318" applyNumberFormat="1" applyFont="1" applyFill="1" applyBorder="1" applyAlignment="1">
      <alignment vertical="center"/>
    </xf>
    <xf numFmtId="164" fontId="19" fillId="3" borderId="9" xfId="0" applyNumberFormat="1" applyFont="1" applyFill="1" applyBorder="1" applyAlignment="1">
      <alignment vertical="center"/>
    </xf>
    <xf numFmtId="164" fontId="25" fillId="3" borderId="9" xfId="0" applyNumberFormat="1" applyFont="1" applyFill="1" applyBorder="1" applyAlignment="1">
      <alignment vertical="center"/>
    </xf>
    <xf numFmtId="164" fontId="40" fillId="3" borderId="9" xfId="0" applyNumberFormat="1" applyFont="1" applyFill="1" applyBorder="1" applyAlignment="1">
      <alignment vertical="center"/>
    </xf>
    <xf numFmtId="164" fontId="31" fillId="3" borderId="9" xfId="0" applyNumberFormat="1" applyFont="1" applyFill="1" applyBorder="1" applyAlignment="1">
      <alignment vertical="center"/>
    </xf>
    <xf numFmtId="164" fontId="11" fillId="3" borderId="9" xfId="0" applyNumberFormat="1" applyFont="1" applyFill="1" applyBorder="1" applyAlignment="1">
      <alignment vertical="center"/>
    </xf>
    <xf numFmtId="170" fontId="11" fillId="3" borderId="9" xfId="318" applyNumberFormat="1" applyFont="1" applyFill="1" applyBorder="1" applyAlignment="1">
      <alignment vertical="center"/>
    </xf>
    <xf numFmtId="170" fontId="47" fillId="38" borderId="9" xfId="318" applyNumberFormat="1" applyFont="1" applyFill="1" applyBorder="1" applyAlignment="1">
      <alignment horizontal="right" vertical="center"/>
    </xf>
    <xf numFmtId="164" fontId="10" fillId="3" borderId="9" xfId="0" applyNumberFormat="1" applyFont="1" applyFill="1" applyBorder="1" applyAlignment="1">
      <alignment vertical="center"/>
    </xf>
    <xf numFmtId="180" fontId="10" fillId="3" borderId="9" xfId="116" applyNumberFormat="1" applyFont="1" applyFill="1" applyBorder="1" applyAlignment="1">
      <alignment vertical="center"/>
    </xf>
    <xf numFmtId="180" fontId="10" fillId="3" borderId="15" xfId="116" applyNumberFormat="1" applyFont="1" applyFill="1" applyBorder="1" applyAlignment="1">
      <alignment vertical="center"/>
    </xf>
    <xf numFmtId="170" fontId="25" fillId="3" borderId="16" xfId="318" applyNumberFormat="1" applyFont="1" applyFill="1" applyBorder="1" applyAlignment="1">
      <alignment vertical="center"/>
    </xf>
    <xf numFmtId="170" fontId="11" fillId="3" borderId="17" xfId="318" applyNumberFormat="1" applyFont="1" applyFill="1" applyBorder="1" applyAlignment="1">
      <alignment vertical="center"/>
    </xf>
    <xf numFmtId="170" fontId="27" fillId="3" borderId="16" xfId="318" applyNumberFormat="1" applyFont="1" applyFill="1" applyBorder="1" applyAlignment="1">
      <alignment vertical="center"/>
    </xf>
    <xf numFmtId="180" fontId="10" fillId="3" borderId="17" xfId="116" applyNumberFormat="1" applyFont="1" applyFill="1" applyBorder="1" applyAlignment="1">
      <alignment vertical="center"/>
    </xf>
    <xf numFmtId="170" fontId="25" fillId="3" borderId="19" xfId="318" applyNumberFormat="1" applyFont="1" applyFill="1" applyBorder="1" applyAlignment="1">
      <alignment vertical="center"/>
    </xf>
    <xf numFmtId="164" fontId="19" fillId="3" borderId="5" xfId="0" applyNumberFormat="1" applyFont="1" applyFill="1" applyBorder="1" applyAlignment="1">
      <alignment vertical="center"/>
    </xf>
    <xf numFmtId="164" fontId="25" fillId="3" borderId="5" xfId="0" applyNumberFormat="1" applyFont="1" applyFill="1" applyBorder="1" applyAlignment="1">
      <alignment vertical="center"/>
    </xf>
    <xf numFmtId="164" fontId="40" fillId="3" borderId="5" xfId="0" applyNumberFormat="1" applyFont="1" applyFill="1" applyBorder="1" applyAlignment="1">
      <alignment vertical="center"/>
    </xf>
    <xf numFmtId="164" fontId="31" fillId="3" borderId="5" xfId="0" applyNumberFormat="1" applyFont="1" applyFill="1" applyBorder="1" applyAlignment="1">
      <alignment vertical="center"/>
    </xf>
    <xf numFmtId="164" fontId="11" fillId="3" borderId="5" xfId="0" applyNumberFormat="1" applyFont="1" applyFill="1" applyBorder="1" applyAlignment="1">
      <alignment vertical="center"/>
    </xf>
    <xf numFmtId="170" fontId="11" fillId="3" borderId="5" xfId="318" applyNumberFormat="1" applyFont="1" applyFill="1" applyBorder="1" applyAlignment="1">
      <alignment vertical="center"/>
    </xf>
    <xf numFmtId="170" fontId="47" fillId="38" borderId="5" xfId="318" applyNumberFormat="1" applyFont="1" applyFill="1" applyBorder="1" applyAlignment="1">
      <alignment horizontal="right" vertical="center"/>
    </xf>
    <xf numFmtId="170" fontId="11" fillId="3" borderId="21" xfId="318" applyNumberFormat="1" applyFont="1" applyFill="1" applyBorder="1" applyAlignment="1">
      <alignment vertical="center"/>
    </xf>
    <xf numFmtId="164" fontId="10" fillId="3" borderId="17" xfId="116" applyNumberFormat="1" applyFont="1" applyFill="1" applyBorder="1" applyAlignment="1">
      <alignment vertical="center"/>
    </xf>
    <xf numFmtId="170" fontId="11" fillId="38" borderId="17" xfId="318" applyNumberFormat="1" applyFont="1" applyFill="1" applyBorder="1" applyAlignment="1">
      <alignment vertical="center"/>
    </xf>
    <xf numFmtId="180" fontId="10" fillId="38" borderId="9" xfId="116" applyNumberFormat="1" applyFont="1" applyFill="1" applyBorder="1"/>
    <xf numFmtId="164" fontId="49" fillId="38" borderId="0" xfId="116" applyNumberFormat="1" applyFont="1" applyFill="1" applyBorder="1" applyAlignment="1">
      <alignment vertical="center"/>
    </xf>
    <xf numFmtId="180" fontId="26" fillId="38" borderId="0" xfId="116" applyNumberFormat="1" applyFont="1" applyFill="1" applyBorder="1" applyAlignment="1">
      <alignment vertical="center"/>
    </xf>
    <xf numFmtId="180" fontId="26" fillId="0" borderId="0" xfId="116" applyNumberFormat="1" applyFont="1" applyBorder="1" applyAlignment="1">
      <alignment vertical="center"/>
    </xf>
    <xf numFmtId="164" fontId="26" fillId="38" borderId="0" xfId="116" applyNumberFormat="1" applyFont="1" applyFill="1" applyBorder="1" applyAlignment="1">
      <alignment vertical="center"/>
    </xf>
    <xf numFmtId="164" fontId="27" fillId="40" borderId="0" xfId="0" applyNumberFormat="1" applyFont="1" applyFill="1" applyBorder="1" applyAlignment="1">
      <alignment vertical="center"/>
    </xf>
    <xf numFmtId="164" fontId="32" fillId="0" borderId="0" xfId="116" applyNumberFormat="1" applyFont="1" applyBorder="1"/>
    <xf numFmtId="180" fontId="9" fillId="39" borderId="0" xfId="116" applyNumberFormat="1" applyFont="1" applyFill="1" applyBorder="1" applyAlignment="1">
      <alignment vertical="center"/>
    </xf>
    <xf numFmtId="164" fontId="21" fillId="39" borderId="0" xfId="0" applyNumberFormat="1" applyFont="1" applyFill="1" applyBorder="1" applyAlignment="1">
      <alignment vertical="center"/>
    </xf>
    <xf numFmtId="180" fontId="32" fillId="39" borderId="0" xfId="116" applyNumberFormat="1" applyFont="1" applyFill="1" applyBorder="1" applyAlignment="1">
      <alignment vertical="center"/>
    </xf>
    <xf numFmtId="164" fontId="21" fillId="40" borderId="0" xfId="0" applyNumberFormat="1" applyFont="1" applyFill="1" applyBorder="1" applyAlignment="1">
      <alignment vertical="center"/>
    </xf>
    <xf numFmtId="168" fontId="9" fillId="0" borderId="0" xfId="0" applyNumberFormat="1" applyFont="1" applyFill="1" applyBorder="1" applyAlignment="1">
      <alignment vertical="center"/>
    </xf>
    <xf numFmtId="164" fontId="9" fillId="38" borderId="0" xfId="116" applyNumberFormat="1" applyFont="1" applyFill="1" applyBorder="1"/>
    <xf numFmtId="170" fontId="11" fillId="38" borderId="0" xfId="318" applyNumberFormat="1" applyFont="1" applyFill="1" applyBorder="1" applyAlignment="1">
      <alignment vertical="center"/>
    </xf>
    <xf numFmtId="164" fontId="10" fillId="38" borderId="0" xfId="0" applyNumberFormat="1" applyFont="1" applyFill="1" applyBorder="1" applyAlignment="1">
      <alignment vertical="center"/>
    </xf>
    <xf numFmtId="170" fontId="25" fillId="38" borderId="0" xfId="318" applyNumberFormat="1" applyFont="1" applyFill="1" applyBorder="1" applyAlignment="1">
      <alignment vertical="center"/>
    </xf>
    <xf numFmtId="164" fontId="23" fillId="38" borderId="0" xfId="0" applyNumberFormat="1" applyFont="1" applyFill="1" applyBorder="1" applyAlignment="1">
      <alignment vertical="center"/>
    </xf>
    <xf numFmtId="164" fontId="9" fillId="39" borderId="0" xfId="0" applyNumberFormat="1" applyFont="1" applyFill="1" applyBorder="1" applyAlignment="1">
      <alignment vertical="center"/>
    </xf>
    <xf numFmtId="170" fontId="27" fillId="38" borderId="16" xfId="318" applyNumberFormat="1" applyFont="1" applyFill="1" applyBorder="1" applyAlignment="1">
      <alignment vertical="center"/>
    </xf>
    <xf numFmtId="37" fontId="8" fillId="38" borderId="9" xfId="0" applyNumberFormat="1" applyFont="1" applyFill="1" applyBorder="1" applyAlignment="1">
      <alignment vertical="center"/>
    </xf>
    <xf numFmtId="37" fontId="26" fillId="38" borderId="9" xfId="0" applyNumberFormat="1" applyFont="1" applyFill="1" applyBorder="1" applyAlignment="1">
      <alignment vertical="center"/>
    </xf>
    <xf numFmtId="37" fontId="34" fillId="38" borderId="9" xfId="0" applyNumberFormat="1" applyFont="1" applyFill="1" applyBorder="1" applyAlignment="1">
      <alignment horizontal="right" vertical="center"/>
    </xf>
    <xf numFmtId="170" fontId="11" fillId="38" borderId="9" xfId="318" applyNumberFormat="1" applyFont="1" applyFill="1" applyBorder="1" applyAlignment="1">
      <alignment vertical="center"/>
    </xf>
    <xf numFmtId="170" fontId="25" fillId="38" borderId="16" xfId="318" applyNumberFormat="1" applyFont="1" applyFill="1" applyBorder="1" applyAlignment="1">
      <alignment vertical="center"/>
    </xf>
    <xf numFmtId="170" fontId="25" fillId="38" borderId="19" xfId="318" applyNumberFormat="1" applyFont="1" applyFill="1" applyBorder="1" applyAlignment="1">
      <alignment vertical="center"/>
    </xf>
    <xf numFmtId="37" fontId="8" fillId="38" borderId="5" xfId="0" applyNumberFormat="1" applyFont="1" applyFill="1" applyBorder="1" applyAlignment="1">
      <alignment vertical="center"/>
    </xf>
    <xf numFmtId="37" fontId="26" fillId="38" borderId="5" xfId="0" applyNumberFormat="1" applyFont="1" applyFill="1" applyBorder="1" applyAlignment="1">
      <alignment vertical="center"/>
    </xf>
    <xf numFmtId="37" fontId="34" fillId="38" borderId="5" xfId="0" applyNumberFormat="1" applyFont="1" applyFill="1" applyBorder="1" applyAlignment="1">
      <alignment horizontal="right" vertical="center"/>
    </xf>
    <xf numFmtId="170" fontId="11" fillId="38" borderId="5" xfId="318" applyNumberFormat="1" applyFont="1" applyFill="1" applyBorder="1" applyAlignment="1">
      <alignment vertical="center"/>
    </xf>
    <xf numFmtId="170" fontId="11" fillId="38" borderId="21" xfId="318" applyNumberFormat="1" applyFont="1" applyFill="1" applyBorder="1" applyAlignment="1">
      <alignment vertical="center"/>
    </xf>
    <xf numFmtId="170" fontId="27" fillId="38" borderId="14" xfId="318" applyNumberFormat="1" applyFont="1" applyFill="1" applyBorder="1" applyAlignment="1">
      <alignment vertical="center"/>
    </xf>
    <xf numFmtId="170" fontId="47" fillId="38" borderId="0" xfId="318" applyNumberFormat="1" applyFont="1" applyFill="1" applyBorder="1"/>
    <xf numFmtId="180" fontId="49" fillId="38" borderId="9" xfId="116" applyNumberFormat="1" applyFont="1" applyFill="1" applyBorder="1" applyAlignment="1">
      <alignment vertical="center"/>
    </xf>
    <xf numFmtId="164" fontId="27" fillId="38" borderId="9" xfId="0" applyNumberFormat="1" applyFont="1" applyFill="1" applyBorder="1" applyAlignment="1">
      <alignment vertical="center"/>
    </xf>
    <xf numFmtId="164" fontId="10" fillId="3" borderId="15" xfId="0" applyNumberFormat="1" applyFont="1" applyFill="1" applyBorder="1" applyAlignment="1">
      <alignment vertical="center"/>
    </xf>
    <xf numFmtId="164" fontId="10" fillId="3" borderId="17" xfId="0" applyNumberFormat="1" applyFont="1" applyFill="1" applyBorder="1" applyAlignment="1">
      <alignment vertical="center"/>
    </xf>
    <xf numFmtId="0" fontId="9" fillId="3" borderId="5" xfId="0" applyFont="1" applyFill="1" applyBorder="1"/>
    <xf numFmtId="7" fontId="9" fillId="0" borderId="0" xfId="318" applyNumberFormat="1" applyFont="1" applyBorder="1" applyAlignment="1">
      <alignment vertical="center"/>
    </xf>
    <xf numFmtId="178" fontId="9" fillId="39" borderId="27" xfId="0" applyNumberFormat="1" applyFont="1" applyFill="1" applyBorder="1" applyAlignment="1">
      <alignment horizontal="center"/>
    </xf>
    <xf numFmtId="174" fontId="9" fillId="39" borderId="27" xfId="0" applyNumberFormat="1" applyFont="1" applyFill="1" applyBorder="1" applyAlignment="1">
      <alignment horizontal="center"/>
    </xf>
    <xf numFmtId="174" fontId="9" fillId="39" borderId="0" xfId="0" applyNumberFormat="1" applyFont="1" applyFill="1" applyBorder="1" applyAlignment="1">
      <alignment horizontal="center"/>
    </xf>
    <xf numFmtId="174" fontId="21" fillId="39" borderId="34" xfId="0" applyNumberFormat="1" applyFont="1" applyFill="1" applyBorder="1" applyAlignment="1">
      <alignment horizontal="center"/>
    </xf>
    <xf numFmtId="170" fontId="11" fillId="39" borderId="27" xfId="318" applyNumberFormat="1" applyFont="1" applyFill="1" applyBorder="1" applyAlignment="1">
      <alignment horizontal="center"/>
    </xf>
    <xf numFmtId="170" fontId="11" fillId="39" borderId="0" xfId="318" applyNumberFormat="1" applyFont="1" applyFill="1" applyBorder="1" applyAlignment="1">
      <alignment horizontal="center"/>
    </xf>
    <xf numFmtId="7" fontId="9" fillId="39" borderId="32" xfId="0" applyNumberFormat="1" applyFont="1" applyFill="1" applyBorder="1" applyAlignment="1">
      <alignment horizontal="center"/>
    </xf>
    <xf numFmtId="7" fontId="21" fillId="39" borderId="33" xfId="0" applyNumberFormat="1" applyFont="1" applyFill="1" applyBorder="1" applyAlignment="1">
      <alignment horizontal="center"/>
    </xf>
    <xf numFmtId="164" fontId="19" fillId="0" borderId="5" xfId="0" applyNumberFormat="1" applyFont="1" applyFill="1" applyBorder="1" applyAlignment="1">
      <alignment vertical="center"/>
    </xf>
    <xf numFmtId="170" fontId="26" fillId="0" borderId="0" xfId="318" applyNumberFormat="1" applyFont="1" applyBorder="1" applyAlignment="1">
      <alignment horizontal="center" vertical="center"/>
    </xf>
    <xf numFmtId="236" fontId="9" fillId="39" borderId="27" xfId="0" applyNumberFormat="1" applyFont="1" applyFill="1" applyBorder="1" applyAlignment="1">
      <alignment horizontal="center"/>
    </xf>
    <xf numFmtId="236" fontId="9" fillId="39" borderId="0" xfId="0" applyNumberFormat="1" applyFont="1" applyFill="1" applyBorder="1" applyAlignment="1">
      <alignment horizontal="center"/>
    </xf>
    <xf numFmtId="237" fontId="8" fillId="0" borderId="0" xfId="0" applyNumberFormat="1" applyFont="1" applyFill="1" applyBorder="1" applyAlignment="1">
      <alignment vertical="center"/>
    </xf>
    <xf numFmtId="0" fontId="11" fillId="38" borderId="0" xfId="318" applyNumberFormat="1" applyFont="1" applyFill="1" applyBorder="1" applyAlignment="1">
      <alignment vertical="center"/>
    </xf>
    <xf numFmtId="170" fontId="11" fillId="39" borderId="0" xfId="318" applyNumberFormat="1" applyFont="1" applyFill="1" applyBorder="1" applyAlignment="1">
      <alignment vertical="center"/>
    </xf>
    <xf numFmtId="164" fontId="10" fillId="38" borderId="9" xfId="116" applyNumberFormat="1" applyFont="1" applyFill="1" applyBorder="1" applyAlignment="1">
      <alignment vertical="center"/>
    </xf>
    <xf numFmtId="170" fontId="25" fillId="0" borderId="5" xfId="318" applyNumberFormat="1" applyFont="1" applyFill="1" applyBorder="1" applyAlignment="1">
      <alignment vertical="center"/>
    </xf>
    <xf numFmtId="174" fontId="9" fillId="39" borderId="27" xfId="0" applyNumberFormat="1" applyFont="1" applyFill="1" applyBorder="1" applyAlignment="1">
      <alignment horizontal="left"/>
    </xf>
    <xf numFmtId="174" fontId="21" fillId="39" borderId="34" xfId="0" applyNumberFormat="1" applyFont="1" applyFill="1" applyBorder="1"/>
    <xf numFmtId="174" fontId="11" fillId="39" borderId="27" xfId="0" applyNumberFormat="1" applyFont="1" applyFill="1" applyBorder="1" applyAlignment="1">
      <alignment horizontal="left"/>
    </xf>
    <xf numFmtId="174" fontId="20" fillId="39" borderId="34" xfId="0" applyNumberFormat="1" applyFont="1" applyFill="1" applyBorder="1" applyAlignment="1">
      <alignment horizontal="center"/>
    </xf>
    <xf numFmtId="174" fontId="11" fillId="39" borderId="34" xfId="0" applyNumberFormat="1" applyFont="1" applyFill="1" applyBorder="1" applyAlignment="1">
      <alignment horizontal="center"/>
    </xf>
    <xf numFmtId="0" fontId="9" fillId="39" borderId="32" xfId="0" applyFont="1" applyFill="1" applyBorder="1" applyAlignment="1">
      <alignment horizontal="left"/>
    </xf>
    <xf numFmtId="7" fontId="21" fillId="39" borderId="33" xfId="0" applyNumberFormat="1" applyFont="1" applyFill="1" applyBorder="1"/>
    <xf numFmtId="164" fontId="9" fillId="39" borderId="0" xfId="116" applyNumberFormat="1" applyFont="1" applyFill="1" applyBorder="1"/>
    <xf numFmtId="170" fontId="11" fillId="3" borderId="0" xfId="318" applyNumberFormat="1" applyFont="1" applyFill="1" applyBorder="1" applyAlignment="1">
      <alignment horizontal="right"/>
    </xf>
    <xf numFmtId="176" fontId="9" fillId="0" borderId="0" xfId="0" applyNumberFormat="1" applyFont="1"/>
    <xf numFmtId="7" fontId="9" fillId="39" borderId="27" xfId="0" applyNumberFormat="1" applyFont="1" applyFill="1" applyBorder="1" applyAlignment="1">
      <alignment horizontal="center"/>
    </xf>
    <xf numFmtId="7" fontId="9" fillId="39" borderId="0" xfId="0" applyNumberFormat="1" applyFont="1" applyFill="1" applyBorder="1" applyAlignment="1">
      <alignment horizontal="center"/>
    </xf>
    <xf numFmtId="164" fontId="15" fillId="38" borderId="0" xfId="0" applyNumberFormat="1" applyFont="1" applyFill="1" applyBorder="1"/>
    <xf numFmtId="0" fontId="9" fillId="0" borderId="0" xfId="0" quotePrefix="1" applyFont="1" applyBorder="1" applyAlignment="1">
      <alignment vertical="center"/>
    </xf>
    <xf numFmtId="180" fontId="10" fillId="3" borderId="0" xfId="116" applyNumberFormat="1" applyFont="1" applyFill="1" applyBorder="1" applyAlignment="1">
      <alignment vertical="center"/>
    </xf>
    <xf numFmtId="170" fontId="26" fillId="0" borderId="0" xfId="318" applyNumberFormat="1" applyFont="1" applyBorder="1" applyAlignment="1">
      <alignment vertical="center"/>
    </xf>
    <xf numFmtId="164" fontId="9" fillId="39" borderId="0" xfId="116" applyNumberFormat="1" applyFont="1" applyFill="1" applyBorder="1" applyAlignment="1">
      <alignment vertical="center"/>
    </xf>
    <xf numFmtId="37" fontId="9" fillId="39" borderId="0" xfId="0" applyNumberFormat="1" applyFont="1" applyFill="1" applyBorder="1" applyAlignment="1">
      <alignment vertical="center"/>
    </xf>
    <xf numFmtId="43" fontId="10" fillId="0" borderId="0" xfId="116" applyFont="1" applyBorder="1" applyAlignment="1">
      <alignment horizontal="centerContinuous" vertical="center"/>
    </xf>
    <xf numFmtId="170" fontId="25" fillId="39" borderId="0" xfId="318" applyNumberFormat="1" applyFont="1" applyFill="1" applyBorder="1" applyAlignment="1">
      <alignment vertical="center"/>
    </xf>
    <xf numFmtId="164" fontId="8" fillId="39" borderId="0" xfId="0" applyNumberFormat="1" applyFont="1" applyFill="1" applyBorder="1" applyAlignment="1">
      <alignment vertical="center"/>
    </xf>
    <xf numFmtId="164" fontId="20" fillId="39" borderId="0" xfId="0" applyNumberFormat="1" applyFont="1" applyFill="1" applyBorder="1" applyAlignment="1">
      <alignment vertical="center"/>
    </xf>
    <xf numFmtId="170" fontId="47" fillId="39" borderId="0" xfId="318" applyNumberFormat="1" applyFont="1" applyFill="1" applyBorder="1" applyAlignment="1">
      <alignment vertical="center"/>
    </xf>
    <xf numFmtId="43" fontId="9" fillId="0" borderId="0" xfId="116" applyNumberFormat="1" applyFont="1" applyBorder="1" applyAlignment="1">
      <alignment vertical="center"/>
    </xf>
    <xf numFmtId="164" fontId="27" fillId="39" borderId="0" xfId="0" applyNumberFormat="1" applyFont="1" applyFill="1" applyBorder="1" applyAlignment="1">
      <alignment vertical="center"/>
    </xf>
    <xf numFmtId="164" fontId="35" fillId="39" borderId="0" xfId="0" applyNumberFormat="1" applyFont="1" applyFill="1" applyBorder="1" applyAlignment="1">
      <alignment vertical="center"/>
    </xf>
    <xf numFmtId="180" fontId="9" fillId="0" borderId="0" xfId="318" applyNumberFormat="1" applyFont="1" applyFill="1" applyBorder="1" applyAlignment="1">
      <alignment vertical="center"/>
    </xf>
    <xf numFmtId="7" fontId="21" fillId="39" borderId="0" xfId="0" applyNumberFormat="1" applyFont="1" applyFill="1" applyBorder="1" applyAlignment="1">
      <alignment vertical="center"/>
    </xf>
    <xf numFmtId="7" fontId="9" fillId="39" borderId="0" xfId="152" applyNumberFormat="1" applyFont="1" applyFill="1" applyBorder="1" applyAlignment="1">
      <alignment vertical="center"/>
    </xf>
    <xf numFmtId="170" fontId="19" fillId="39" borderId="0" xfId="318" applyNumberFormat="1" applyFont="1" applyFill="1" applyBorder="1"/>
    <xf numFmtId="169" fontId="9" fillId="0" borderId="0" xfId="116" applyNumberFormat="1" applyFont="1" applyFill="1" applyBorder="1" applyAlignment="1">
      <alignment vertical="center"/>
    </xf>
    <xf numFmtId="239" fontId="9" fillId="0" borderId="0" xfId="0" applyNumberFormat="1" applyFont="1" applyBorder="1" applyAlignment="1">
      <alignment vertical="center"/>
    </xf>
    <xf numFmtId="0" fontId="0" fillId="0" borderId="0" xfId="0"/>
    <xf numFmtId="37" fontId="10" fillId="0" borderId="0" xfId="0" applyNumberFormat="1" applyFont="1" applyBorder="1" applyAlignment="1">
      <alignment horizontal="centerContinuous" vertical="center"/>
    </xf>
    <xf numFmtId="37" fontId="9" fillId="0" borderId="0" xfId="0" applyNumberFormat="1" applyFont="1" applyBorder="1" applyAlignment="1">
      <alignment vertical="center"/>
    </xf>
    <xf numFmtId="37" fontId="9" fillId="0" borderId="0" xfId="0" applyNumberFormat="1" applyFont="1" applyFill="1" applyBorder="1" applyAlignment="1">
      <alignment vertical="center"/>
    </xf>
    <xf numFmtId="39" fontId="9" fillId="0" borderId="0" xfId="0" applyNumberFormat="1" applyFont="1" applyFill="1" applyBorder="1" applyAlignment="1">
      <alignment vertical="center"/>
    </xf>
    <xf numFmtId="0" fontId="9" fillId="0" borderId="0" xfId="0" applyFont="1" applyBorder="1" applyAlignment="1">
      <alignment vertical="center"/>
    </xf>
    <xf numFmtId="164" fontId="9" fillId="0" borderId="0" xfId="0" applyNumberFormat="1" applyFont="1" applyFill="1" applyBorder="1" applyAlignment="1">
      <alignment vertical="center"/>
    </xf>
    <xf numFmtId="37" fontId="11" fillId="0" borderId="0" xfId="0" applyNumberFormat="1" applyFont="1" applyBorder="1" applyAlignment="1">
      <alignment vertical="center"/>
    </xf>
    <xf numFmtId="9" fontId="9" fillId="0" borderId="0" xfId="318" applyFont="1" applyBorder="1" applyAlignment="1">
      <alignment vertical="center"/>
    </xf>
    <xf numFmtId="164" fontId="32" fillId="0" borderId="0" xfId="0" applyNumberFormat="1" applyFont="1" applyBorder="1" applyAlignment="1">
      <alignment vertical="center"/>
    </xf>
    <xf numFmtId="174" fontId="9" fillId="0" borderId="0" xfId="0" applyNumberFormat="1" applyFont="1" applyBorder="1" applyAlignment="1">
      <alignment vertical="center"/>
    </xf>
    <xf numFmtId="164" fontId="8" fillId="0" borderId="0" xfId="0" applyNumberFormat="1" applyFont="1" applyFill="1" applyBorder="1" applyAlignment="1">
      <alignment vertical="center"/>
    </xf>
    <xf numFmtId="170" fontId="47" fillId="0" borderId="0" xfId="318" applyNumberFormat="1" applyFont="1" applyBorder="1" applyAlignment="1">
      <alignment vertical="center"/>
    </xf>
    <xf numFmtId="37" fontId="9" fillId="0" borderId="0" xfId="0" applyNumberFormat="1" applyFont="1" applyBorder="1" applyAlignment="1">
      <alignment horizontal="centerContinuous" vertical="center"/>
    </xf>
    <xf numFmtId="39" fontId="8" fillId="0" borderId="0" xfId="0" applyNumberFormat="1" applyFont="1" applyFill="1" applyBorder="1" applyAlignment="1">
      <alignment vertical="center"/>
    </xf>
    <xf numFmtId="9" fontId="9" fillId="39" borderId="0" xfId="318" applyFont="1" applyFill="1" applyBorder="1" applyAlignment="1">
      <alignment vertical="center"/>
    </xf>
    <xf numFmtId="43" fontId="9" fillId="0" borderId="0" xfId="116" applyFont="1" applyFill="1" applyBorder="1" applyAlignment="1">
      <alignment vertical="center"/>
    </xf>
    <xf numFmtId="236" fontId="9" fillId="0" borderId="0" xfId="0" applyNumberFormat="1" applyFont="1" applyBorder="1" applyAlignment="1">
      <alignment vertical="center"/>
    </xf>
    <xf numFmtId="164" fontId="10" fillId="38" borderId="0" xfId="0" applyNumberFormat="1" applyFont="1" applyFill="1" applyBorder="1"/>
    <xf numFmtId="170" fontId="116" fillId="38" borderId="0" xfId="318" applyNumberFormat="1" applyFont="1" applyFill="1" applyBorder="1" applyAlignment="1">
      <alignment horizontal="right" vertical="center"/>
    </xf>
    <xf numFmtId="170" fontId="18" fillId="38" borderId="0" xfId="318" applyNumberFormat="1" applyFont="1" applyFill="1" applyBorder="1" applyAlignment="1">
      <alignment vertical="center"/>
    </xf>
    <xf numFmtId="164" fontId="24" fillId="38" borderId="0" xfId="0" applyNumberFormat="1" applyFont="1" applyFill="1" applyBorder="1" applyAlignment="1">
      <alignment vertical="center"/>
    </xf>
    <xf numFmtId="164" fontId="19" fillId="38" borderId="0" xfId="0" applyNumberFormat="1" applyFont="1" applyFill="1" applyBorder="1" applyAlignment="1">
      <alignment vertical="center"/>
    </xf>
    <xf numFmtId="174" fontId="32" fillId="0" borderId="0" xfId="318" applyNumberFormat="1" applyFont="1" applyBorder="1" applyAlignment="1">
      <alignment vertical="center"/>
    </xf>
    <xf numFmtId="164" fontId="32" fillId="0" borderId="0" xfId="116" applyNumberFormat="1" applyFont="1" applyBorder="1" applyAlignment="1">
      <alignment vertical="center"/>
    </xf>
    <xf numFmtId="164" fontId="46" fillId="38" borderId="0" xfId="0" applyNumberFormat="1" applyFont="1" applyFill="1" applyBorder="1" applyAlignment="1">
      <alignment vertical="center"/>
    </xf>
    <xf numFmtId="164" fontId="39" fillId="38" borderId="0" xfId="0" applyNumberFormat="1" applyFont="1" applyFill="1" applyBorder="1" applyAlignment="1">
      <alignment vertical="center"/>
    </xf>
    <xf numFmtId="39" fontId="9" fillId="0" borderId="0" xfId="0" applyNumberFormat="1" applyFont="1" applyBorder="1"/>
    <xf numFmtId="37" fontId="9" fillId="0" borderId="0" xfId="0" applyNumberFormat="1" applyFont="1" applyFill="1" applyBorder="1" applyAlignment="1">
      <alignment horizontal="left" vertical="center"/>
    </xf>
    <xf numFmtId="165" fontId="18" fillId="0" borderId="0" xfId="0" applyNumberFormat="1" applyFont="1" applyFill="1" applyBorder="1" applyAlignment="1">
      <alignment vertical="center"/>
    </xf>
    <xf numFmtId="165" fontId="18" fillId="0" borderId="0" xfId="0" applyNumberFormat="1" applyFont="1" applyFill="1" applyBorder="1" applyAlignment="1">
      <alignment horizontal="center" vertical="center"/>
    </xf>
    <xf numFmtId="10" fontId="18" fillId="3" borderId="0" xfId="0" applyNumberFormat="1" applyFont="1" applyFill="1" applyBorder="1" applyAlignment="1">
      <alignment horizontal="right" vertical="center"/>
    </xf>
    <xf numFmtId="9" fontId="10" fillId="0" borderId="0" xfId="318" applyFont="1" applyBorder="1" applyAlignment="1">
      <alignment horizontal="centerContinuous" vertical="center"/>
    </xf>
    <xf numFmtId="164" fontId="26" fillId="0" borderId="0" xfId="116" applyNumberFormat="1" applyFont="1" applyBorder="1" applyAlignment="1">
      <alignment vertical="center"/>
    </xf>
    <xf numFmtId="9" fontId="11" fillId="0" borderId="0" xfId="318" applyNumberFormat="1" applyFont="1" applyFill="1" applyBorder="1" applyAlignment="1">
      <alignment vertical="center"/>
    </xf>
    <xf numFmtId="9" fontId="11" fillId="38" borderId="0" xfId="318" applyNumberFormat="1" applyFont="1" applyFill="1" applyBorder="1" applyAlignment="1">
      <alignment vertical="center"/>
    </xf>
    <xf numFmtId="9" fontId="11" fillId="38" borderId="0" xfId="318" applyFont="1" applyFill="1" applyBorder="1" applyAlignment="1">
      <alignment vertical="center"/>
    </xf>
    <xf numFmtId="9" fontId="11" fillId="0" borderId="0" xfId="318" applyFont="1" applyFill="1" applyBorder="1" applyAlignment="1">
      <alignment vertical="center"/>
    </xf>
    <xf numFmtId="7" fontId="9" fillId="7" borderId="49" xfId="152" applyNumberFormat="1" applyFont="1" applyFill="1" applyBorder="1" applyAlignment="1" applyProtection="1">
      <alignment horizontal="center" vertical="center"/>
    </xf>
    <xf numFmtId="7" fontId="9" fillId="7" borderId="23" xfId="152" applyNumberFormat="1" applyFont="1" applyFill="1" applyBorder="1" applyAlignment="1" applyProtection="1">
      <alignment horizontal="center" vertical="center"/>
    </xf>
    <xf numFmtId="7" fontId="9" fillId="7" borderId="24" xfId="152" applyNumberFormat="1" applyFont="1" applyFill="1" applyBorder="1" applyAlignment="1" applyProtection="1">
      <alignment horizontal="center" vertical="center"/>
    </xf>
    <xf numFmtId="9" fontId="24" fillId="3" borderId="0" xfId="318" applyNumberFormat="1" applyFont="1" applyFill="1" applyBorder="1" applyAlignment="1">
      <alignment vertical="center"/>
    </xf>
    <xf numFmtId="180" fontId="26" fillId="39" borderId="0" xfId="116" applyNumberFormat="1" applyFont="1" applyFill="1" applyBorder="1" applyAlignment="1">
      <alignment vertical="center"/>
    </xf>
    <xf numFmtId="9" fontId="10" fillId="0" borderId="0" xfId="318" applyFont="1" applyFill="1" applyBorder="1" applyAlignment="1">
      <alignment vertical="center"/>
    </xf>
    <xf numFmtId="180" fontId="9" fillId="0" borderId="0" xfId="116" applyNumberFormat="1" applyFont="1" applyFill="1" applyBorder="1" applyAlignment="1">
      <alignment vertical="center"/>
    </xf>
    <xf numFmtId="9" fontId="19" fillId="0" borderId="0" xfId="318" applyFont="1" applyFill="1" applyBorder="1" applyAlignment="1">
      <alignment vertical="center"/>
    </xf>
    <xf numFmtId="164" fontId="10" fillId="39" borderId="0" xfId="0" applyNumberFormat="1" applyFont="1" applyFill="1" applyBorder="1" applyAlignment="1">
      <alignment vertical="center"/>
    </xf>
    <xf numFmtId="37" fontId="21" fillId="0" borderId="0" xfId="0" applyNumberFormat="1" applyFont="1" applyFill="1" applyBorder="1" applyAlignment="1">
      <alignment vertical="center"/>
    </xf>
    <xf numFmtId="169" fontId="9" fillId="0" borderId="0" xfId="116" applyNumberFormat="1" applyFont="1" applyBorder="1" applyAlignment="1">
      <alignment vertical="center"/>
    </xf>
    <xf numFmtId="169" fontId="32" fillId="39" borderId="0" xfId="116" applyNumberFormat="1" applyFont="1" applyFill="1" applyBorder="1" applyAlignment="1">
      <alignment vertical="center"/>
    </xf>
    <xf numFmtId="164" fontId="19" fillId="39" borderId="0" xfId="0" applyNumberFormat="1" applyFont="1" applyFill="1" applyBorder="1" applyAlignment="1">
      <alignment vertical="center"/>
    </xf>
    <xf numFmtId="37" fontId="21" fillId="39" borderId="0" xfId="0" applyNumberFormat="1" applyFont="1" applyFill="1" applyBorder="1" applyAlignment="1">
      <alignment vertical="center"/>
    </xf>
    <xf numFmtId="169" fontId="9" fillId="39" borderId="0" xfId="116" applyNumberFormat="1" applyFont="1" applyFill="1" applyBorder="1" applyAlignment="1">
      <alignment vertical="center"/>
    </xf>
    <xf numFmtId="169" fontId="11" fillId="3" borderId="0" xfId="116" applyNumberFormat="1" applyFont="1" applyFill="1" applyBorder="1" applyAlignment="1">
      <alignment vertical="center"/>
    </xf>
    <xf numFmtId="169" fontId="9" fillId="3" borderId="0" xfId="116" applyNumberFormat="1" applyFont="1" applyFill="1" applyBorder="1" applyAlignment="1">
      <alignment vertical="center"/>
    </xf>
    <xf numFmtId="175" fontId="10" fillId="38" borderId="0" xfId="0" applyNumberFormat="1" applyFont="1" applyFill="1" applyBorder="1"/>
    <xf numFmtId="37" fontId="10" fillId="39" borderId="0" xfId="0" applyNumberFormat="1" applyFont="1" applyFill="1" applyBorder="1" applyAlignment="1">
      <alignment horizontal="right" vertical="center"/>
    </xf>
    <xf numFmtId="37" fontId="10" fillId="39" borderId="0" xfId="0" applyNumberFormat="1" applyFont="1" applyFill="1" applyBorder="1" applyAlignment="1">
      <alignment horizontal="centerContinuous" vertical="center"/>
    </xf>
    <xf numFmtId="39" fontId="10" fillId="39" borderId="0" xfId="0" applyNumberFormat="1" applyFont="1" applyFill="1" applyBorder="1" applyAlignment="1">
      <alignment horizontal="centerContinuous" vertical="center"/>
    </xf>
    <xf numFmtId="164" fontId="10" fillId="39" borderId="0" xfId="0" applyNumberFormat="1" applyFont="1" applyFill="1" applyBorder="1" applyAlignment="1">
      <alignment horizontal="centerContinuous" vertical="center"/>
    </xf>
    <xf numFmtId="37" fontId="11" fillId="39" borderId="0" xfId="0" applyNumberFormat="1" applyFont="1" applyFill="1" applyBorder="1" applyAlignment="1">
      <alignment vertical="center"/>
    </xf>
    <xf numFmtId="164" fontId="9" fillId="39" borderId="0" xfId="0" applyNumberFormat="1" applyFont="1" applyFill="1" applyBorder="1" applyAlignment="1">
      <alignment horizontal="center" vertical="center"/>
    </xf>
    <xf numFmtId="167" fontId="20" fillId="39" borderId="0" xfId="0" applyNumberFormat="1" applyFont="1" applyFill="1" applyBorder="1" applyAlignment="1">
      <alignment horizontal="center" vertical="center"/>
    </xf>
    <xf numFmtId="37" fontId="17" fillId="39" borderId="0" xfId="0" applyNumberFormat="1" applyFont="1" applyFill="1" applyBorder="1" applyAlignment="1">
      <alignment vertical="center"/>
    </xf>
    <xf numFmtId="37" fontId="9" fillId="39" borderId="0" xfId="0" applyNumberFormat="1" applyFont="1" applyFill="1" applyBorder="1" applyAlignment="1">
      <alignment horizontal="left" vertical="center"/>
    </xf>
    <xf numFmtId="7" fontId="9" fillId="39" borderId="0" xfId="0" applyNumberFormat="1" applyFont="1" applyFill="1" applyBorder="1" applyAlignment="1">
      <alignment vertical="center"/>
    </xf>
    <xf numFmtId="37" fontId="10" fillId="39" borderId="0" xfId="0" applyNumberFormat="1" applyFont="1" applyFill="1" applyBorder="1" applyAlignment="1">
      <alignment vertical="center"/>
    </xf>
    <xf numFmtId="37" fontId="10" fillId="39" borderId="0" xfId="0" quotePrefix="1" applyNumberFormat="1" applyFont="1" applyFill="1" applyBorder="1" applyAlignment="1">
      <alignment vertical="center"/>
    </xf>
    <xf numFmtId="164" fontId="17" fillId="39" borderId="0" xfId="0" applyNumberFormat="1" applyFont="1" applyFill="1" applyBorder="1" applyAlignment="1">
      <alignment vertical="center"/>
    </xf>
    <xf numFmtId="7" fontId="10" fillId="39" borderId="0" xfId="0" applyNumberFormat="1" applyFont="1" applyFill="1" applyBorder="1" applyAlignment="1">
      <alignment horizontal="center" vertical="center"/>
    </xf>
    <xf numFmtId="165" fontId="18" fillId="39" borderId="0" xfId="0" applyNumberFormat="1" applyFont="1" applyFill="1" applyBorder="1" applyAlignment="1">
      <alignment vertical="center"/>
    </xf>
    <xf numFmtId="165" fontId="18" fillId="39" borderId="0" xfId="0" applyNumberFormat="1" applyFont="1" applyFill="1" applyBorder="1" applyAlignment="1">
      <alignment horizontal="center" vertical="center"/>
    </xf>
    <xf numFmtId="9" fontId="8" fillId="0" borderId="0" xfId="318" applyNumberFormat="1" applyFont="1" applyFill="1" applyBorder="1" applyAlignment="1">
      <alignment vertical="center"/>
    </xf>
    <xf numFmtId="37" fontId="13" fillId="39" borderId="0" xfId="0" applyNumberFormat="1" applyFont="1" applyFill="1" applyBorder="1" applyAlignment="1">
      <alignment horizontal="right" vertical="center"/>
    </xf>
    <xf numFmtId="164" fontId="22" fillId="39" borderId="0" xfId="0" applyNumberFormat="1" applyFont="1" applyFill="1" applyBorder="1" applyAlignment="1">
      <alignment vertical="center"/>
    </xf>
    <xf numFmtId="37" fontId="10" fillId="39" borderId="0" xfId="0" applyNumberFormat="1" applyFont="1" applyFill="1" applyBorder="1" applyAlignment="1">
      <alignment horizontal="center" vertical="center"/>
    </xf>
    <xf numFmtId="240" fontId="9" fillId="0" borderId="0" xfId="116" applyNumberFormat="1" applyFont="1" applyFill="1" applyBorder="1" applyAlignment="1">
      <alignment vertical="center"/>
    </xf>
    <xf numFmtId="238" fontId="9" fillId="0" borderId="0" xfId="0" applyNumberFormat="1" applyFont="1" applyFill="1" applyBorder="1" applyAlignment="1">
      <alignment vertical="center"/>
    </xf>
    <xf numFmtId="168" fontId="9" fillId="0" borderId="0" xfId="0" applyNumberFormat="1" applyFont="1" applyBorder="1"/>
    <xf numFmtId="164" fontId="11" fillId="39" borderId="0" xfId="0" applyNumberFormat="1" applyFont="1" applyFill="1" applyBorder="1" applyAlignment="1">
      <alignment vertical="center"/>
    </xf>
    <xf numFmtId="7" fontId="10" fillId="39" borderId="0" xfId="152" applyNumberFormat="1" applyFont="1" applyFill="1" applyBorder="1" applyAlignment="1">
      <alignment vertical="center"/>
    </xf>
    <xf numFmtId="164" fontId="32" fillId="39" borderId="0" xfId="0" applyNumberFormat="1" applyFont="1" applyFill="1" applyBorder="1" applyAlignment="1">
      <alignment vertical="center"/>
    </xf>
    <xf numFmtId="37" fontId="10" fillId="38" borderId="0" xfId="0" applyNumberFormat="1" applyFont="1" applyFill="1" applyBorder="1" applyAlignment="1">
      <alignment vertical="center"/>
    </xf>
    <xf numFmtId="9" fontId="9" fillId="39" borderId="0" xfId="318" applyNumberFormat="1" applyFont="1" applyFill="1" applyBorder="1" applyAlignment="1">
      <alignment vertical="center"/>
    </xf>
    <xf numFmtId="164" fontId="8" fillId="0" borderId="0" xfId="0" applyNumberFormat="1" applyFont="1" applyFill="1" applyBorder="1"/>
    <xf numFmtId="164" fontId="16" fillId="0" borderId="0" xfId="0" applyNumberFormat="1" applyFont="1" applyFill="1" applyBorder="1"/>
    <xf numFmtId="164" fontId="16" fillId="39" borderId="0" xfId="0" applyNumberFormat="1" applyFont="1" applyFill="1" applyBorder="1" applyAlignment="1">
      <alignment vertical="center"/>
    </xf>
    <xf numFmtId="164" fontId="33" fillId="39" borderId="0" xfId="0" applyNumberFormat="1" applyFont="1" applyFill="1" applyBorder="1" applyAlignment="1">
      <alignment vertical="center"/>
    </xf>
    <xf numFmtId="238" fontId="8" fillId="0" borderId="0" xfId="0" applyNumberFormat="1" applyFont="1" applyBorder="1" applyAlignment="1">
      <alignment vertical="center"/>
    </xf>
    <xf numFmtId="39" fontId="11" fillId="0" borderId="0" xfId="0" applyNumberFormat="1" applyFont="1" applyBorder="1" applyAlignment="1">
      <alignment horizontal="right" vertical="center"/>
    </xf>
    <xf numFmtId="9" fontId="9" fillId="0" borderId="0" xfId="318" applyNumberFormat="1" applyFont="1" applyBorder="1" applyAlignment="1">
      <alignment vertical="center"/>
    </xf>
    <xf numFmtId="0" fontId="117" fillId="0" borderId="0" xfId="730" applyFill="1" applyBorder="1"/>
    <xf numFmtId="14" fontId="118" fillId="0" borderId="0" xfId="730" applyNumberFormat="1" applyFont="1" applyFill="1" applyBorder="1" applyAlignment="1">
      <alignment horizontal="center"/>
    </xf>
    <xf numFmtId="0" fontId="119" fillId="0" borderId="0" xfId="730" applyFont="1" applyFill="1" applyBorder="1" applyAlignment="1">
      <alignment horizontal="center"/>
    </xf>
    <xf numFmtId="14" fontId="117" fillId="0" borderId="0" xfId="730" applyNumberFormat="1" applyFill="1" applyBorder="1"/>
    <xf numFmtId="0" fontId="120" fillId="0" borderId="0" xfId="730" applyFont="1" applyFill="1" applyBorder="1"/>
    <xf numFmtId="0" fontId="120" fillId="0" borderId="50" xfId="730" applyFont="1" applyFill="1" applyBorder="1" applyAlignment="1">
      <alignment horizontal="center"/>
    </xf>
    <xf numFmtId="0" fontId="120" fillId="0" borderId="51" xfId="730" applyFont="1" applyFill="1" applyBorder="1" applyAlignment="1">
      <alignment horizontal="centerContinuous"/>
    </xf>
    <xf numFmtId="0" fontId="120" fillId="0" borderId="52" xfId="730" applyFont="1" applyFill="1" applyBorder="1" applyAlignment="1">
      <alignment horizontal="centerContinuous"/>
    </xf>
    <xf numFmtId="0" fontId="120" fillId="0" borderId="53" xfId="730" applyFont="1" applyFill="1" applyBorder="1" applyAlignment="1">
      <alignment horizontal="center"/>
    </xf>
    <xf numFmtId="0" fontId="120" fillId="0" borderId="0" xfId="730" applyFont="1" applyFill="1" applyBorder="1" applyAlignment="1">
      <alignment horizontal="center"/>
    </xf>
    <xf numFmtId="0" fontId="117" fillId="0" borderId="0" xfId="730" applyFont="1" applyFill="1" applyBorder="1"/>
    <xf numFmtId="0" fontId="120" fillId="0" borderId="0" xfId="730" applyFont="1" applyFill="1" applyBorder="1" applyAlignment="1">
      <alignment horizontal="centerContinuous"/>
    </xf>
    <xf numFmtId="0" fontId="120" fillId="0" borderId="4" xfId="730" applyFont="1" applyFill="1" applyBorder="1"/>
    <xf numFmtId="0" fontId="120" fillId="0" borderId="54" xfId="730" applyFont="1" applyFill="1" applyBorder="1" applyAlignment="1">
      <alignment horizontal="center"/>
    </xf>
    <xf numFmtId="241" fontId="120" fillId="0" borderId="4" xfId="730" applyNumberFormat="1" applyFont="1" applyFill="1" applyBorder="1" applyAlignment="1">
      <alignment horizontal="center"/>
    </xf>
    <xf numFmtId="241" fontId="120" fillId="0" borderId="55" xfId="730" applyNumberFormat="1" applyFont="1" applyFill="1" applyBorder="1" applyAlignment="1">
      <alignment horizontal="center"/>
    </xf>
    <xf numFmtId="0" fontId="120" fillId="0" borderId="56" xfId="730" applyFont="1" applyFill="1" applyBorder="1" applyAlignment="1">
      <alignment horizontal="center"/>
    </xf>
    <xf numFmtId="241" fontId="120" fillId="0" borderId="57" xfId="730" applyNumberFormat="1" applyFont="1" applyFill="1" applyBorder="1" applyAlignment="1">
      <alignment horizontal="center"/>
    </xf>
    <xf numFmtId="0" fontId="120" fillId="0" borderId="58" xfId="730" applyFont="1" applyFill="1" applyBorder="1" applyAlignment="1">
      <alignment horizontal="center"/>
    </xf>
    <xf numFmtId="0" fontId="120" fillId="0" borderId="8" xfId="730" applyFont="1" applyFill="1" applyBorder="1" applyAlignment="1">
      <alignment horizontal="center"/>
    </xf>
    <xf numFmtId="0" fontId="120" fillId="0" borderId="8" xfId="730" applyNumberFormat="1" applyFont="1" applyFill="1" applyBorder="1" applyAlignment="1">
      <alignment horizontal="center"/>
    </xf>
    <xf numFmtId="0" fontId="120" fillId="0" borderId="8" xfId="730" applyFont="1" applyFill="1" applyBorder="1" applyAlignment="1">
      <alignment horizontal="centerContinuous"/>
    </xf>
    <xf numFmtId="241" fontId="120" fillId="0" borderId="0" xfId="730" applyNumberFormat="1" applyFont="1" applyFill="1" applyBorder="1" applyAlignment="1">
      <alignment horizontal="center"/>
    </xf>
    <xf numFmtId="0" fontId="120" fillId="0" borderId="0" xfId="730" applyNumberFormat="1" applyFont="1" applyFill="1" applyBorder="1" applyAlignment="1">
      <alignment horizontal="center"/>
    </xf>
    <xf numFmtId="0" fontId="118" fillId="0" borderId="0" xfId="730" applyFont="1" applyFill="1" applyBorder="1" applyAlignment="1">
      <alignment horizontal="center"/>
    </xf>
    <xf numFmtId="176" fontId="117" fillId="0" borderId="0" xfId="730" applyNumberFormat="1" applyFont="1" applyFill="1" applyBorder="1"/>
    <xf numFmtId="5" fontId="117" fillId="0" borderId="0" xfId="730" applyNumberFormat="1" applyFont="1" applyFill="1" applyBorder="1"/>
    <xf numFmtId="242" fontId="117" fillId="0" borderId="0" xfId="730" applyNumberFormat="1" applyFont="1" applyFill="1" applyBorder="1" applyAlignment="1">
      <alignment horizontal="right"/>
    </xf>
    <xf numFmtId="243" fontId="117" fillId="0" borderId="0" xfId="730" applyNumberFormat="1" applyFont="1" applyFill="1" applyBorder="1" applyAlignment="1">
      <alignment horizontal="right"/>
    </xf>
    <xf numFmtId="0" fontId="117" fillId="0" borderId="0" xfId="731" applyFont="1" applyBorder="1"/>
    <xf numFmtId="14" fontId="117" fillId="0" borderId="0" xfId="730" applyNumberFormat="1" applyFont="1" applyFill="1" applyBorder="1"/>
    <xf numFmtId="176" fontId="117" fillId="0" borderId="0" xfId="730" applyNumberFormat="1" applyFont="1" applyFill="1" applyBorder="1" applyAlignment="1">
      <alignment horizontal="right"/>
    </xf>
    <xf numFmtId="175" fontId="117" fillId="0" borderId="0" xfId="730" applyNumberFormat="1" applyFont="1" applyFill="1" applyBorder="1" applyAlignment="1">
      <alignment horizontal="right"/>
    </xf>
    <xf numFmtId="1" fontId="117" fillId="0" borderId="0" xfId="730" applyNumberFormat="1" applyFont="1" applyFill="1" applyBorder="1" applyAlignment="1">
      <alignment horizontal="right"/>
    </xf>
    <xf numFmtId="0" fontId="121" fillId="0" borderId="0" xfId="730" applyFont="1" applyFill="1" applyBorder="1" applyAlignment="1">
      <alignment horizontal="center"/>
    </xf>
    <xf numFmtId="244" fontId="7" fillId="0" borderId="0" xfId="730" applyNumberFormat="1" applyFont="1" applyFill="1" applyBorder="1" applyAlignment="1">
      <alignment horizontal="center"/>
    </xf>
    <xf numFmtId="244" fontId="121" fillId="0" borderId="0" xfId="730" applyNumberFormat="1" applyFont="1" applyFill="1" applyBorder="1" applyAlignment="1">
      <alignment horizontal="center"/>
    </xf>
    <xf numFmtId="174" fontId="117" fillId="0" borderId="0" xfId="730" applyNumberFormat="1" applyFont="1" applyFill="1" applyBorder="1" applyAlignment="1">
      <alignment horizontal="center"/>
    </xf>
    <xf numFmtId="0" fontId="117" fillId="0" borderId="0" xfId="730" applyFont="1" applyFill="1" applyBorder="1" applyAlignment="1">
      <alignment horizontal="center"/>
    </xf>
    <xf numFmtId="0" fontId="117" fillId="0" borderId="0" xfId="731" applyFont="1" applyFill="1" applyBorder="1" applyAlignment="1">
      <alignment horizontal="center"/>
    </xf>
    <xf numFmtId="9" fontId="117" fillId="0" borderId="0" xfId="730" applyNumberFormat="1" applyFont="1" applyFill="1" applyBorder="1" applyAlignment="1">
      <alignment horizontal="center"/>
    </xf>
    <xf numFmtId="0" fontId="1" fillId="0" borderId="0" xfId="731" applyBorder="1"/>
    <xf numFmtId="7" fontId="117" fillId="0" borderId="0" xfId="730" applyNumberFormat="1" applyFill="1" applyBorder="1"/>
    <xf numFmtId="5" fontId="117" fillId="0" borderId="0" xfId="730" applyNumberFormat="1" applyFill="1" applyBorder="1"/>
    <xf numFmtId="242" fontId="117" fillId="0" borderId="0" xfId="730" applyNumberFormat="1" applyFill="1" applyBorder="1"/>
    <xf numFmtId="243" fontId="117" fillId="0" borderId="0" xfId="730" applyNumberFormat="1" applyFill="1" applyBorder="1"/>
    <xf numFmtId="245" fontId="117" fillId="0" borderId="0" xfId="730" applyNumberFormat="1" applyFill="1" applyBorder="1"/>
    <xf numFmtId="176" fontId="117" fillId="0" borderId="0" xfId="730" applyNumberFormat="1" applyFill="1" applyBorder="1"/>
    <xf numFmtId="0" fontId="117" fillId="0" borderId="0" xfId="730" applyFill="1" applyBorder="1" applyAlignment="1">
      <alignment horizontal="center"/>
    </xf>
    <xf numFmtId="9" fontId="117" fillId="0" borderId="0" xfId="730" applyNumberFormat="1" applyFill="1" applyBorder="1" applyAlignment="1">
      <alignment horizontal="center"/>
    </xf>
    <xf numFmtId="0" fontId="120" fillId="0" borderId="27" xfId="730" applyFont="1" applyFill="1" applyBorder="1"/>
    <xf numFmtId="246" fontId="120" fillId="0" borderId="0" xfId="730" applyNumberFormat="1" applyFont="1" applyFill="1" applyBorder="1"/>
    <xf numFmtId="5" fontId="120" fillId="0" borderId="0" xfId="730" applyNumberFormat="1" applyFont="1" applyFill="1" applyBorder="1"/>
    <xf numFmtId="242" fontId="120" fillId="0" borderId="0" xfId="730" applyNumberFormat="1" applyFont="1" applyFill="1" applyBorder="1"/>
    <xf numFmtId="243" fontId="120" fillId="0" borderId="0" xfId="730" applyNumberFormat="1" applyFont="1" applyFill="1" applyBorder="1"/>
    <xf numFmtId="243" fontId="120" fillId="0" borderId="34" xfId="730" applyNumberFormat="1" applyFont="1" applyFill="1" applyBorder="1"/>
    <xf numFmtId="0" fontId="120" fillId="0" borderId="32" xfId="730" applyFont="1" applyFill="1" applyBorder="1"/>
    <xf numFmtId="246" fontId="120" fillId="0" borderId="4" xfId="730" applyNumberFormat="1" applyFont="1" applyFill="1" applyBorder="1"/>
    <xf numFmtId="5" fontId="120" fillId="0" borderId="4" xfId="730" applyNumberFormat="1" applyFont="1" applyFill="1" applyBorder="1"/>
    <xf numFmtId="242" fontId="120" fillId="0" borderId="4" xfId="730" applyNumberFormat="1" applyFont="1" applyFill="1" applyBorder="1"/>
    <xf numFmtId="243" fontId="120" fillId="0" borderId="4" xfId="730" applyNumberFormat="1" applyFont="1" applyFill="1" applyBorder="1"/>
    <xf numFmtId="243" fontId="120" fillId="0" borderId="33" xfId="730" applyNumberFormat="1" applyFont="1" applyFill="1" applyBorder="1"/>
    <xf numFmtId="0" fontId="122" fillId="0" borderId="0" xfId="730" applyFont="1" applyFill="1" applyBorder="1"/>
    <xf numFmtId="242" fontId="123" fillId="42" borderId="0" xfId="730" applyNumberFormat="1" applyFont="1" applyFill="1" applyBorder="1" applyAlignment="1">
      <alignment horizontal="right"/>
    </xf>
    <xf numFmtId="176" fontId="117" fillId="0" borderId="0" xfId="730" applyNumberFormat="1" applyFill="1" applyBorder="1" applyAlignment="1">
      <alignment horizontal="right"/>
    </xf>
    <xf numFmtId="245" fontId="117" fillId="0" borderId="0" xfId="730" applyNumberFormat="1" applyFill="1" applyBorder="1" applyAlignment="1">
      <alignment horizontal="right"/>
    </xf>
    <xf numFmtId="0" fontId="117" fillId="0" borderId="0" xfId="730" applyFill="1" applyBorder="1" applyAlignment="1">
      <alignment horizontal="right"/>
    </xf>
    <xf numFmtId="174" fontId="117" fillId="0" borderId="0" xfId="730" applyNumberFormat="1" applyFill="1" applyBorder="1" applyAlignment="1">
      <alignment horizontal="center"/>
    </xf>
    <xf numFmtId="0" fontId="124" fillId="0" borderId="0" xfId="730" applyFont="1" applyFill="1" applyBorder="1" applyAlignment="1">
      <alignment horizontal="left" indent="1"/>
    </xf>
    <xf numFmtId="0" fontId="125" fillId="0" borderId="0" xfId="0" applyFont="1"/>
    <xf numFmtId="0" fontId="127" fillId="0" borderId="0" xfId="0" applyFont="1" applyAlignment="1"/>
    <xf numFmtId="0" fontId="125" fillId="0" borderId="0" xfId="0" applyFont="1" applyAlignment="1"/>
    <xf numFmtId="0" fontId="128" fillId="0" borderId="0" xfId="0" applyFont="1" applyAlignment="1"/>
    <xf numFmtId="0" fontId="126" fillId="0" borderId="0" xfId="0" applyFont="1" applyAlignment="1"/>
    <xf numFmtId="14" fontId="121" fillId="0" borderId="0" xfId="730" applyNumberFormat="1" applyFont="1" applyFill="1" applyBorder="1"/>
    <xf numFmtId="0" fontId="117" fillId="0" borderId="0" xfId="730" applyFill="1" applyBorder="1" applyAlignment="1">
      <alignment horizontal="left" indent="1"/>
    </xf>
    <xf numFmtId="170" fontId="117" fillId="0" borderId="0" xfId="318" applyNumberFormat="1" applyFont="1" applyFill="1" applyBorder="1"/>
    <xf numFmtId="0" fontId="118" fillId="0" borderId="0" xfId="730" applyFont="1" applyFill="1" applyBorder="1" applyAlignment="1">
      <alignment horizontal="left"/>
    </xf>
    <xf numFmtId="0" fontId="117" fillId="0" borderId="52" xfId="730" applyFill="1" applyBorder="1" applyAlignment="1">
      <alignment horizontal="left" indent="1"/>
    </xf>
    <xf numFmtId="0" fontId="117" fillId="0" borderId="52" xfId="730" applyFill="1" applyBorder="1"/>
    <xf numFmtId="170" fontId="117" fillId="0" borderId="52" xfId="318" applyNumberFormat="1" applyFont="1" applyFill="1" applyBorder="1"/>
    <xf numFmtId="0" fontId="122" fillId="0" borderId="25" xfId="730" applyFont="1" applyFill="1" applyBorder="1"/>
    <xf numFmtId="0" fontId="117" fillId="0" borderId="3" xfId="730" applyFill="1" applyBorder="1"/>
    <xf numFmtId="0" fontId="117" fillId="0" borderId="30" xfId="730" applyFill="1" applyBorder="1"/>
    <xf numFmtId="176" fontId="121" fillId="0" borderId="0" xfId="730" applyNumberFormat="1" applyFont="1" applyFill="1" applyBorder="1"/>
    <xf numFmtId="9" fontId="117" fillId="43" borderId="0" xfId="318" applyFont="1" applyFill="1" applyBorder="1"/>
    <xf numFmtId="242" fontId="123" fillId="0" borderId="0" xfId="730" applyNumberFormat="1" applyFont="1" applyFill="1" applyBorder="1" applyAlignment="1">
      <alignment horizontal="right"/>
    </xf>
    <xf numFmtId="14" fontId="0" fillId="0" borderId="0" xfId="0" applyNumberFormat="1"/>
    <xf numFmtId="14" fontId="125" fillId="0" borderId="0" xfId="0" applyNumberFormat="1" applyFont="1"/>
    <xf numFmtId="167" fontId="0" fillId="0" borderId="0" xfId="0" applyNumberFormat="1"/>
    <xf numFmtId="242" fontId="118" fillId="0" borderId="0" xfId="730" applyNumberFormat="1" applyFont="1" applyFill="1" applyBorder="1" applyAlignment="1">
      <alignment horizontal="right"/>
    </xf>
    <xf numFmtId="37" fontId="130" fillId="0" borderId="0" xfId="0" applyNumberFormat="1" applyFont="1" applyBorder="1" applyAlignment="1">
      <alignment vertical="center"/>
    </xf>
    <xf numFmtId="165" fontId="130" fillId="0" borderId="0" xfId="0" applyNumberFormat="1" applyFont="1" applyBorder="1" applyAlignment="1">
      <alignment horizontal="right" vertical="center"/>
    </xf>
    <xf numFmtId="37" fontId="132" fillId="0" borderId="0" xfId="0" applyNumberFormat="1" applyFont="1" applyBorder="1" applyAlignment="1">
      <alignment vertical="center"/>
    </xf>
    <xf numFmtId="37" fontId="129" fillId="0" borderId="0" xfId="0" applyNumberFormat="1" applyFont="1" applyBorder="1" applyAlignment="1">
      <alignment horizontal="right" vertical="center"/>
    </xf>
    <xf numFmtId="37" fontId="129" fillId="3" borderId="0" xfId="0" applyNumberFormat="1" applyFont="1" applyFill="1" applyBorder="1" applyAlignment="1">
      <alignment vertical="center"/>
    </xf>
    <xf numFmtId="37" fontId="129" fillId="3" borderId="0" xfId="0" applyNumberFormat="1" applyFont="1" applyFill="1" applyBorder="1" applyAlignment="1">
      <alignment horizontal="right" vertical="center"/>
    </xf>
    <xf numFmtId="7" fontId="130" fillId="0" borderId="0" xfId="0" applyNumberFormat="1" applyFont="1" applyFill="1" applyBorder="1" applyAlignment="1">
      <alignment horizontal="right" vertical="center"/>
    </xf>
    <xf numFmtId="164" fontId="130" fillId="0" borderId="0" xfId="0" applyNumberFormat="1" applyFont="1" applyBorder="1" applyAlignment="1">
      <alignment vertical="center"/>
    </xf>
    <xf numFmtId="164" fontId="133" fillId="0" borderId="0" xfId="0" applyNumberFormat="1" applyFont="1" applyBorder="1" applyAlignment="1">
      <alignment vertical="center"/>
    </xf>
    <xf numFmtId="164" fontId="129" fillId="0" borderId="0" xfId="0" applyNumberFormat="1" applyFont="1" applyBorder="1" applyAlignment="1">
      <alignment vertical="center"/>
    </xf>
    <xf numFmtId="37" fontId="129" fillId="0" borderId="0" xfId="0" applyNumberFormat="1" applyFont="1" applyFill="1" applyBorder="1" applyAlignment="1">
      <alignment horizontal="right" vertical="center"/>
    </xf>
    <xf numFmtId="37" fontId="130" fillId="0" borderId="25" xfId="0" applyNumberFormat="1" applyFont="1" applyBorder="1" applyAlignment="1">
      <alignment vertical="center"/>
    </xf>
    <xf numFmtId="164" fontId="130" fillId="0" borderId="3" xfId="0" applyNumberFormat="1" applyFont="1" applyBorder="1" applyAlignment="1">
      <alignment vertical="center"/>
    </xf>
    <xf numFmtId="37" fontId="132" fillId="0" borderId="27" xfId="0" applyNumberFormat="1" applyFont="1" applyBorder="1" applyAlignment="1">
      <alignment vertical="center"/>
    </xf>
    <xf numFmtId="164" fontId="135" fillId="0" borderId="0" xfId="0" applyNumberFormat="1" applyFont="1" applyBorder="1" applyAlignment="1">
      <alignment vertical="center"/>
    </xf>
    <xf numFmtId="37" fontId="135" fillId="0" borderId="0" xfId="0" applyNumberFormat="1" applyFont="1" applyBorder="1" applyAlignment="1">
      <alignment vertical="center"/>
    </xf>
    <xf numFmtId="164" fontId="135" fillId="0" borderId="0" xfId="0" applyNumberFormat="1" applyFont="1" applyBorder="1" applyAlignment="1">
      <alignment horizontal="right" vertical="center"/>
    </xf>
    <xf numFmtId="164" fontId="135" fillId="0" borderId="0" xfId="0" applyNumberFormat="1" applyFont="1" applyFill="1" applyBorder="1" applyAlignment="1">
      <alignment horizontal="right" vertical="center"/>
    </xf>
    <xf numFmtId="37" fontId="132" fillId="0" borderId="32" xfId="0" applyNumberFormat="1" applyFont="1" applyBorder="1" applyAlignment="1">
      <alignment vertical="center"/>
    </xf>
    <xf numFmtId="164" fontId="130" fillId="0" borderId="4" xfId="0" applyNumberFormat="1" applyFont="1" applyBorder="1" applyAlignment="1">
      <alignment vertical="center"/>
    </xf>
    <xf numFmtId="164" fontId="130" fillId="0" borderId="4" xfId="0" applyNumberFormat="1" applyFont="1" applyFill="1" applyBorder="1" applyAlignment="1">
      <alignment horizontal="right" vertical="center"/>
    </xf>
    <xf numFmtId="164" fontId="130" fillId="0" borderId="4" xfId="0" applyNumberFormat="1" applyFont="1" applyBorder="1" applyAlignment="1">
      <alignment horizontal="right" vertical="center"/>
    </xf>
    <xf numFmtId="164" fontId="136" fillId="39" borderId="4" xfId="0" quotePrefix="1" applyNumberFormat="1" applyFont="1" applyFill="1" applyBorder="1" applyAlignment="1">
      <alignment horizontal="right" vertical="center"/>
    </xf>
    <xf numFmtId="164" fontId="135" fillId="0" borderId="4" xfId="0" applyNumberFormat="1" applyFont="1" applyBorder="1" applyAlignment="1">
      <alignment vertical="center"/>
    </xf>
    <xf numFmtId="37" fontId="135" fillId="0" borderId="4" xfId="0" applyNumberFormat="1" applyFont="1" applyBorder="1" applyAlignment="1">
      <alignment vertical="center"/>
    </xf>
    <xf numFmtId="164" fontId="135" fillId="0" borderId="4" xfId="0" applyNumberFormat="1" applyFont="1" applyBorder="1" applyAlignment="1">
      <alignment horizontal="right" vertical="center"/>
    </xf>
    <xf numFmtId="164" fontId="135" fillId="0" borderId="4" xfId="0" applyNumberFormat="1" applyFont="1" applyFill="1" applyBorder="1" applyAlignment="1">
      <alignment horizontal="right" vertical="center"/>
    </xf>
    <xf numFmtId="164" fontId="130" fillId="0" borderId="0" xfId="0" applyNumberFormat="1" applyFont="1" applyFill="1" applyBorder="1" applyAlignment="1">
      <alignment horizontal="right" vertical="center"/>
    </xf>
    <xf numFmtId="164" fontId="130" fillId="0" borderId="0" xfId="0" applyNumberFormat="1" applyFont="1" applyBorder="1" applyAlignment="1">
      <alignment horizontal="right" vertical="center"/>
    </xf>
    <xf numFmtId="0" fontId="130" fillId="0" borderId="25" xfId="0" applyFont="1" applyFill="1" applyBorder="1" applyAlignment="1">
      <alignment vertical="center"/>
    </xf>
    <xf numFmtId="7" fontId="130" fillId="0" borderId="3" xfId="0" applyNumberFormat="1" applyFont="1" applyBorder="1" applyAlignment="1">
      <alignment vertical="center"/>
    </xf>
    <xf numFmtId="7" fontId="130" fillId="0" borderId="4" xfId="0" applyNumberFormat="1" applyFont="1" applyFill="1" applyBorder="1" applyAlignment="1">
      <alignment vertical="center"/>
    </xf>
    <xf numFmtId="7" fontId="130" fillId="0" borderId="0" xfId="0" applyNumberFormat="1" applyFont="1" applyBorder="1" applyAlignment="1">
      <alignment vertical="center"/>
    </xf>
    <xf numFmtId="39" fontId="130" fillId="0" borderId="0" xfId="0" applyNumberFormat="1" applyFont="1" applyFill="1" applyBorder="1" applyAlignment="1">
      <alignment vertical="center"/>
    </xf>
    <xf numFmtId="170" fontId="130" fillId="0" borderId="0" xfId="318" applyNumberFormat="1" applyFont="1" applyBorder="1" applyAlignment="1">
      <alignment horizontal="right" vertical="center"/>
    </xf>
    <xf numFmtId="167" fontId="130" fillId="0" borderId="0" xfId="0" applyNumberFormat="1" applyFont="1" applyBorder="1" applyAlignment="1">
      <alignment vertical="center"/>
    </xf>
    <xf numFmtId="167" fontId="130" fillId="0" borderId="0" xfId="0" applyNumberFormat="1" applyFont="1" applyBorder="1" applyAlignment="1">
      <alignment horizontal="right" vertical="center"/>
    </xf>
    <xf numFmtId="37" fontId="129" fillId="0" borderId="16" xfId="0" applyNumberFormat="1" applyFont="1" applyFill="1" applyBorder="1" applyAlignment="1">
      <alignment vertical="center"/>
    </xf>
    <xf numFmtId="37" fontId="129" fillId="0" borderId="17" xfId="0" applyNumberFormat="1" applyFont="1" applyFill="1" applyBorder="1" applyAlignment="1">
      <alignment horizontal="center" vertical="center"/>
    </xf>
    <xf numFmtId="37" fontId="129" fillId="0" borderId="0" xfId="0" applyNumberFormat="1" applyFont="1" applyFill="1" applyBorder="1" applyAlignment="1">
      <alignment horizontal="centerContinuous" vertical="center"/>
    </xf>
    <xf numFmtId="37" fontId="130" fillId="0" borderId="16" xfId="0" applyNumberFormat="1" applyFont="1" applyBorder="1" applyAlignment="1">
      <alignment vertical="center"/>
    </xf>
    <xf numFmtId="164" fontId="130" fillId="0" borderId="17" xfId="0" applyNumberFormat="1" applyFont="1" applyBorder="1" applyAlignment="1">
      <alignment horizontal="center" vertical="center"/>
    </xf>
    <xf numFmtId="167" fontId="130" fillId="0" borderId="0" xfId="0" applyNumberFormat="1" applyFont="1" applyBorder="1" applyAlignment="1">
      <alignment horizontal="center" vertical="center"/>
    </xf>
    <xf numFmtId="37" fontId="133" fillId="0" borderId="16" xfId="0" applyNumberFormat="1" applyFont="1" applyBorder="1" applyAlignment="1">
      <alignment vertical="center"/>
    </xf>
    <xf numFmtId="167" fontId="137" fillId="0" borderId="17" xfId="0" applyNumberFormat="1" applyFont="1" applyBorder="1" applyAlignment="1">
      <alignment horizontal="center" vertical="center"/>
    </xf>
    <xf numFmtId="170" fontId="130" fillId="0" borderId="17" xfId="318" applyNumberFormat="1" applyFont="1" applyBorder="1" applyAlignment="1">
      <alignment horizontal="center" vertical="center"/>
    </xf>
    <xf numFmtId="167" fontId="130" fillId="0" borderId="17" xfId="0" applyNumberFormat="1" applyFont="1" applyBorder="1" applyAlignment="1">
      <alignment horizontal="center" vertical="center"/>
    </xf>
    <xf numFmtId="164" fontId="133" fillId="0" borderId="17" xfId="0" applyNumberFormat="1" applyFont="1" applyBorder="1" applyAlignment="1">
      <alignment horizontal="center" vertical="center"/>
    </xf>
    <xf numFmtId="37" fontId="130" fillId="0" borderId="17" xfId="0" applyNumberFormat="1" applyFont="1" applyBorder="1" applyAlignment="1">
      <alignment horizontal="center" vertical="center"/>
    </xf>
    <xf numFmtId="37" fontId="129" fillId="3" borderId="16" xfId="0" applyNumberFormat="1" applyFont="1" applyFill="1" applyBorder="1" applyAlignment="1">
      <alignment vertical="center"/>
    </xf>
    <xf numFmtId="7" fontId="130" fillId="3" borderId="18" xfId="0" applyNumberFormat="1" applyFont="1" applyFill="1" applyBorder="1" applyAlignment="1">
      <alignment horizontal="center" vertical="center"/>
    </xf>
    <xf numFmtId="7" fontId="130" fillId="3" borderId="16" xfId="0" applyNumberFormat="1" applyFont="1" applyFill="1" applyBorder="1" applyAlignment="1">
      <alignment vertical="center"/>
    </xf>
    <xf numFmtId="7" fontId="129" fillId="6" borderId="18" xfId="0" applyNumberFormat="1" applyFont="1" applyFill="1" applyBorder="1" applyAlignment="1">
      <alignment horizontal="center" vertical="center"/>
    </xf>
    <xf numFmtId="37" fontId="131" fillId="3" borderId="19" xfId="0" applyNumberFormat="1" applyFont="1" applyFill="1" applyBorder="1" applyAlignment="1">
      <alignment vertical="center"/>
    </xf>
    <xf numFmtId="165" fontId="131" fillId="3" borderId="20" xfId="0" applyNumberFormat="1" applyFont="1" applyFill="1" applyBorder="1" applyAlignment="1">
      <alignment horizontal="center" vertical="center"/>
    </xf>
    <xf numFmtId="165" fontId="131" fillId="3" borderId="19" xfId="0" applyNumberFormat="1" applyFont="1" applyFill="1" applyBorder="1" applyAlignment="1">
      <alignment vertical="center"/>
    </xf>
    <xf numFmtId="165" fontId="131" fillId="6" borderId="20" xfId="0" applyNumberFormat="1" applyFont="1" applyFill="1" applyBorder="1" applyAlignment="1">
      <alignment horizontal="center" vertical="center"/>
    </xf>
    <xf numFmtId="171" fontId="130" fillId="0" borderId="0" xfId="0" applyNumberFormat="1" applyFont="1" applyBorder="1" applyAlignment="1">
      <alignment vertical="center"/>
    </xf>
    <xf numFmtId="170" fontId="129" fillId="3" borderId="0" xfId="318" applyNumberFormat="1" applyFont="1" applyFill="1" applyBorder="1" applyAlignment="1">
      <alignment horizontal="center" vertical="center"/>
    </xf>
    <xf numFmtId="7" fontId="130" fillId="0" borderId="0" xfId="152" applyNumberFormat="1" applyFont="1" applyBorder="1" applyAlignment="1">
      <alignment horizontal="center" vertical="center"/>
    </xf>
    <xf numFmtId="37" fontId="129" fillId="3" borderId="0" xfId="0" applyNumberFormat="1" applyFont="1" applyFill="1" applyBorder="1" applyAlignment="1">
      <alignment horizontal="center" vertical="center"/>
    </xf>
    <xf numFmtId="167" fontId="138" fillId="3" borderId="0" xfId="0" applyNumberFormat="1" applyFont="1" applyFill="1" applyBorder="1" applyAlignment="1">
      <alignment horizontal="center" vertical="center"/>
    </xf>
    <xf numFmtId="7" fontId="129" fillId="6" borderId="29" xfId="152" applyNumberFormat="1" applyFont="1" applyFill="1" applyBorder="1" applyAlignment="1">
      <alignment horizontal="center" vertical="center"/>
    </xf>
    <xf numFmtId="37" fontId="139" fillId="0" borderId="0" xfId="0" applyNumberFormat="1" applyFont="1" applyBorder="1" applyAlignment="1">
      <alignment vertical="center"/>
    </xf>
    <xf numFmtId="39" fontId="129" fillId="3" borderId="0" xfId="0" applyNumberFormat="1" applyFont="1" applyFill="1" applyBorder="1" applyAlignment="1">
      <alignment horizontal="left" vertical="center"/>
    </xf>
    <xf numFmtId="39" fontId="130" fillId="3" borderId="0" xfId="0" applyNumberFormat="1" applyFont="1" applyFill="1" applyBorder="1" applyAlignment="1">
      <alignment horizontal="right" vertical="center"/>
    </xf>
    <xf numFmtId="167" fontId="129" fillId="3" borderId="0" xfId="0" applyNumberFormat="1" applyFont="1" applyFill="1" applyBorder="1" applyAlignment="1">
      <alignment horizontal="right" vertical="center"/>
    </xf>
    <xf numFmtId="164" fontId="130" fillId="0" borderId="0" xfId="0" applyNumberFormat="1" applyFont="1" applyBorder="1" applyAlignment="1">
      <alignment horizontal="center" vertical="center"/>
    </xf>
    <xf numFmtId="167" fontId="137" fillId="0" borderId="0" xfId="0" applyNumberFormat="1" applyFont="1" applyBorder="1" applyAlignment="1">
      <alignment horizontal="center" vertical="center"/>
    </xf>
    <xf numFmtId="164" fontId="133" fillId="0" borderId="0" xfId="0" applyNumberFormat="1" applyFont="1" applyBorder="1" applyAlignment="1">
      <alignment horizontal="center" vertical="center"/>
    </xf>
    <xf numFmtId="37" fontId="130" fillId="0" borderId="0" xfId="0" applyNumberFormat="1" applyFont="1" applyBorder="1" applyAlignment="1">
      <alignment horizontal="center" vertical="center"/>
    </xf>
    <xf numFmtId="7" fontId="130" fillId="3" borderId="16" xfId="0" applyNumberFormat="1" applyFont="1" applyFill="1" applyBorder="1" applyAlignment="1">
      <alignment horizontal="center" vertical="center"/>
    </xf>
    <xf numFmtId="165" fontId="131" fillId="3" borderId="19" xfId="0" applyNumberFormat="1" applyFont="1" applyFill="1" applyBorder="1" applyAlignment="1">
      <alignment horizontal="center" vertical="center"/>
    </xf>
    <xf numFmtId="7" fontId="129" fillId="6" borderId="0" xfId="152" applyNumberFormat="1" applyFont="1" applyFill="1" applyBorder="1" applyAlignment="1">
      <alignment horizontal="center" vertical="center"/>
    </xf>
    <xf numFmtId="7" fontId="10" fillId="6" borderId="0" xfId="152" applyNumberFormat="1" applyFont="1" applyFill="1" applyBorder="1" applyAlignment="1">
      <alignment horizontal="center" vertical="center"/>
    </xf>
    <xf numFmtId="37" fontId="132" fillId="0" borderId="32" xfId="0" applyNumberFormat="1" applyFont="1" applyFill="1" applyBorder="1" applyAlignment="1">
      <alignment vertical="center"/>
    </xf>
    <xf numFmtId="7" fontId="135" fillId="0" borderId="4" xfId="0" applyNumberFormat="1" applyFont="1" applyFill="1" applyBorder="1" applyAlignment="1">
      <alignment vertical="center"/>
    </xf>
    <xf numFmtId="7" fontId="135" fillId="0" borderId="4" xfId="0" applyNumberFormat="1" applyFont="1" applyFill="1" applyBorder="1" applyAlignment="1">
      <alignment horizontal="right" vertical="center"/>
    </xf>
    <xf numFmtId="37" fontId="9" fillId="0" borderId="0" xfId="0" applyNumberFormat="1" applyFont="1" applyBorder="1" applyAlignment="1">
      <alignment horizontal="center" vertical="center"/>
    </xf>
    <xf numFmtId="165" fontId="130" fillId="0" borderId="0" xfId="0" applyNumberFormat="1" applyFont="1" applyBorder="1" applyAlignment="1">
      <alignment horizontal="center" vertical="center"/>
    </xf>
    <xf numFmtId="37" fontId="129" fillId="3" borderId="59" xfId="0" applyNumberFormat="1" applyFont="1" applyFill="1" applyBorder="1" applyAlignment="1">
      <alignment horizontal="center" vertical="center"/>
    </xf>
    <xf numFmtId="37" fontId="129" fillId="3" borderId="60" xfId="0" applyNumberFormat="1" applyFont="1" applyFill="1" applyBorder="1" applyAlignment="1">
      <alignment horizontal="center" vertical="center"/>
    </xf>
    <xf numFmtId="15" fontId="129" fillId="3" borderId="0" xfId="0" applyNumberFormat="1" applyFont="1" applyFill="1" applyBorder="1" applyAlignment="1">
      <alignment horizontal="center" vertical="center"/>
    </xf>
    <xf numFmtId="37" fontId="129" fillId="0" borderId="0" xfId="0" applyNumberFormat="1" applyFont="1" applyBorder="1" applyAlignment="1">
      <alignment horizontal="center" vertical="center"/>
    </xf>
    <xf numFmtId="37" fontId="129" fillId="41" borderId="59" xfId="0" applyNumberFormat="1" applyFont="1" applyFill="1" applyBorder="1" applyAlignment="1">
      <alignment horizontal="center" vertical="center"/>
    </xf>
    <xf numFmtId="37" fontId="129" fillId="41" borderId="60" xfId="0" applyNumberFormat="1" applyFont="1" applyFill="1" applyBorder="1" applyAlignment="1">
      <alignment horizontal="center" vertical="center"/>
    </xf>
    <xf numFmtId="7" fontId="130" fillId="0" borderId="0" xfId="0" applyNumberFormat="1" applyFont="1" applyFill="1" applyBorder="1" applyAlignment="1">
      <alignment horizontal="center" vertical="center"/>
    </xf>
    <xf numFmtId="7" fontId="130" fillId="41" borderId="59" xfId="0" applyNumberFormat="1" applyFont="1" applyFill="1" applyBorder="1" applyAlignment="1">
      <alignment horizontal="center" vertical="center"/>
    </xf>
    <xf numFmtId="7" fontId="130" fillId="41" borderId="60" xfId="0" applyNumberFormat="1" applyFont="1" applyFill="1" applyBorder="1" applyAlignment="1">
      <alignment horizontal="center" vertical="center"/>
    </xf>
    <xf numFmtId="164" fontId="133" fillId="41" borderId="59" xfId="0" applyNumberFormat="1" applyFont="1" applyFill="1" applyBorder="1" applyAlignment="1">
      <alignment horizontal="center" vertical="center"/>
    </xf>
    <xf numFmtId="164" fontId="133" fillId="41" borderId="60" xfId="0" applyNumberFormat="1" applyFont="1" applyFill="1" applyBorder="1" applyAlignment="1">
      <alignment horizontal="center" vertical="center"/>
    </xf>
    <xf numFmtId="164" fontId="129" fillId="0" borderId="0" xfId="0" applyNumberFormat="1" applyFont="1" applyBorder="1" applyAlignment="1">
      <alignment horizontal="center" vertical="center"/>
    </xf>
    <xf numFmtId="164" fontId="129" fillId="41" borderId="59" xfId="0" applyNumberFormat="1" applyFont="1" applyFill="1" applyBorder="1" applyAlignment="1">
      <alignment horizontal="center" vertical="center"/>
    </xf>
    <xf numFmtId="164" fontId="129" fillId="41" borderId="60" xfId="0" applyNumberFormat="1" applyFont="1" applyFill="1" applyBorder="1" applyAlignment="1">
      <alignment horizontal="center" vertical="center"/>
    </xf>
    <xf numFmtId="37" fontId="129" fillId="0" borderId="0" xfId="0" applyNumberFormat="1" applyFont="1" applyFill="1" applyBorder="1" applyAlignment="1">
      <alignment horizontal="center" vertical="center"/>
    </xf>
    <xf numFmtId="164" fontId="130" fillId="0" borderId="3" xfId="0" applyNumberFormat="1" applyFont="1" applyBorder="1" applyAlignment="1">
      <alignment horizontal="center" vertical="center"/>
    </xf>
    <xf numFmtId="164" fontId="130" fillId="41" borderId="61" xfId="0" applyNumberFormat="1" applyFont="1" applyFill="1" applyBorder="1" applyAlignment="1">
      <alignment horizontal="center" vertical="center"/>
    </xf>
    <xf numFmtId="164" fontId="130" fillId="41" borderId="62" xfId="0" applyNumberFormat="1" applyFont="1" applyFill="1" applyBorder="1" applyAlignment="1">
      <alignment horizontal="center" vertical="center"/>
    </xf>
    <xf numFmtId="165" fontId="132" fillId="0" borderId="30" xfId="0" applyNumberFormat="1" applyFont="1" applyBorder="1" applyAlignment="1">
      <alignment horizontal="center" vertical="center"/>
    </xf>
    <xf numFmtId="164" fontId="135" fillId="0" borderId="0" xfId="0" applyNumberFormat="1" applyFont="1" applyFill="1" applyBorder="1" applyAlignment="1">
      <alignment horizontal="center" vertical="center"/>
    </xf>
    <xf numFmtId="164" fontId="135" fillId="41" borderId="59" xfId="0" applyNumberFormat="1" applyFont="1" applyFill="1" applyBorder="1" applyAlignment="1">
      <alignment horizontal="center" vertical="center"/>
    </xf>
    <xf numFmtId="164" fontId="135" fillId="41" borderId="60" xfId="0" applyNumberFormat="1" applyFont="1" applyFill="1" applyBorder="1" applyAlignment="1">
      <alignment horizontal="center" vertical="center"/>
    </xf>
    <xf numFmtId="165" fontId="132" fillId="0" borderId="34" xfId="0" applyNumberFormat="1" applyFont="1" applyBorder="1" applyAlignment="1">
      <alignment horizontal="center" vertical="center"/>
    </xf>
    <xf numFmtId="164" fontId="136" fillId="39" borderId="4" xfId="0" quotePrefix="1" applyNumberFormat="1" applyFont="1" applyFill="1" applyBorder="1" applyAlignment="1">
      <alignment horizontal="center" vertical="center"/>
    </xf>
    <xf numFmtId="164" fontId="136" fillId="41" borderId="63" xfId="0" quotePrefix="1" applyNumberFormat="1" applyFont="1" applyFill="1" applyBorder="1" applyAlignment="1">
      <alignment horizontal="center" vertical="center"/>
    </xf>
    <xf numFmtId="164" fontId="136" fillId="41" borderId="64" xfId="0" quotePrefix="1" applyNumberFormat="1" applyFont="1" applyFill="1" applyBorder="1" applyAlignment="1">
      <alignment horizontal="center" vertical="center"/>
    </xf>
    <xf numFmtId="164" fontId="130" fillId="0" borderId="4" xfId="0" applyNumberFormat="1" applyFont="1" applyBorder="1" applyAlignment="1">
      <alignment horizontal="center" vertical="center"/>
    </xf>
    <xf numFmtId="164" fontId="132" fillId="0" borderId="33" xfId="0" applyNumberFormat="1" applyFont="1" applyBorder="1" applyAlignment="1">
      <alignment horizontal="center" vertical="center"/>
    </xf>
    <xf numFmtId="164" fontId="130" fillId="41" borderId="59" xfId="0" applyNumberFormat="1" applyFont="1" applyFill="1" applyBorder="1" applyAlignment="1">
      <alignment horizontal="center" vertical="center"/>
    </xf>
    <xf numFmtId="164" fontId="130" fillId="41" borderId="60" xfId="0" applyNumberFormat="1" applyFont="1" applyFill="1" applyBorder="1" applyAlignment="1">
      <alignment horizontal="center" vertical="center"/>
    </xf>
    <xf numFmtId="9" fontId="132" fillId="0" borderId="0" xfId="318" applyFont="1" applyBorder="1" applyAlignment="1">
      <alignment horizontal="center" vertical="center"/>
    </xf>
    <xf numFmtId="9" fontId="132" fillId="41" borderId="59" xfId="318" applyFont="1" applyFill="1" applyBorder="1" applyAlignment="1">
      <alignment horizontal="center" vertical="center"/>
    </xf>
    <xf numFmtId="9" fontId="132" fillId="41" borderId="60" xfId="318" applyFont="1" applyFill="1" applyBorder="1" applyAlignment="1">
      <alignment horizontal="center" vertical="center"/>
    </xf>
    <xf numFmtId="9" fontId="135" fillId="0" borderId="0" xfId="318" applyFont="1" applyFill="1" applyBorder="1" applyAlignment="1">
      <alignment horizontal="center" vertical="center"/>
    </xf>
    <xf numFmtId="9" fontId="135" fillId="41" borderId="59" xfId="318" applyFont="1" applyFill="1" applyBorder="1" applyAlignment="1">
      <alignment horizontal="center" vertical="center"/>
    </xf>
    <xf numFmtId="9" fontId="135" fillId="41" borderId="60" xfId="318" applyFont="1" applyFill="1" applyBorder="1" applyAlignment="1">
      <alignment horizontal="center" vertical="center"/>
    </xf>
    <xf numFmtId="9" fontId="136" fillId="41" borderId="63" xfId="318" quotePrefix="1" applyFont="1" applyFill="1" applyBorder="1" applyAlignment="1">
      <alignment horizontal="center" vertical="center"/>
    </xf>
    <xf numFmtId="9" fontId="136" fillId="41" borderId="64" xfId="318" quotePrefix="1" applyFont="1" applyFill="1" applyBorder="1" applyAlignment="1">
      <alignment horizontal="center" vertical="center"/>
    </xf>
    <xf numFmtId="9" fontId="136" fillId="39" borderId="4" xfId="318" quotePrefix="1" applyFont="1" applyFill="1" applyBorder="1" applyAlignment="1">
      <alignment horizontal="center" vertical="center"/>
    </xf>
    <xf numFmtId="164" fontId="135" fillId="0" borderId="4" xfId="0" applyNumberFormat="1" applyFont="1" applyFill="1" applyBorder="1" applyAlignment="1">
      <alignment horizontal="center" vertical="center"/>
    </xf>
    <xf numFmtId="164" fontId="136" fillId="41" borderId="63" xfId="0" applyNumberFormat="1" applyFont="1" applyFill="1" applyBorder="1" applyAlignment="1">
      <alignment horizontal="center" vertical="center"/>
    </xf>
    <xf numFmtId="164" fontId="136" fillId="0" borderId="4" xfId="0" quotePrefix="1" applyNumberFormat="1" applyFont="1" applyFill="1" applyBorder="1" applyAlignment="1">
      <alignment horizontal="center" vertical="center"/>
    </xf>
    <xf numFmtId="7" fontId="130" fillId="0" borderId="3" xfId="0" applyNumberFormat="1" applyFont="1" applyBorder="1" applyAlignment="1">
      <alignment horizontal="center" vertical="center"/>
    </xf>
    <xf numFmtId="7" fontId="130" fillId="41" borderId="61" xfId="0" applyNumberFormat="1" applyFont="1" applyFill="1" applyBorder="1" applyAlignment="1">
      <alignment horizontal="center" vertical="center"/>
    </xf>
    <xf numFmtId="7" fontId="130" fillId="41" borderId="62" xfId="0" applyNumberFormat="1" applyFont="1" applyFill="1" applyBorder="1" applyAlignment="1">
      <alignment horizontal="center" vertical="center"/>
    </xf>
    <xf numFmtId="7" fontId="135" fillId="0" borderId="4" xfId="0" applyNumberFormat="1" applyFont="1" applyFill="1" applyBorder="1" applyAlignment="1">
      <alignment horizontal="center" vertical="center"/>
    </xf>
    <xf numFmtId="7" fontId="135" fillId="41" borderId="63" xfId="0" applyNumberFormat="1" applyFont="1" applyFill="1" applyBorder="1" applyAlignment="1">
      <alignment horizontal="center" vertical="center"/>
    </xf>
    <xf numFmtId="7" fontId="135" fillId="41" borderId="64" xfId="0" applyNumberFormat="1" applyFont="1" applyFill="1" applyBorder="1" applyAlignment="1">
      <alignment horizontal="center" vertical="center"/>
    </xf>
    <xf numFmtId="165" fontId="132" fillId="0" borderId="33" xfId="0" applyNumberFormat="1" applyFont="1" applyBorder="1" applyAlignment="1">
      <alignment horizontal="center" vertical="center"/>
    </xf>
    <xf numFmtId="7" fontId="130" fillId="0" borderId="0" xfId="0" applyNumberFormat="1" applyFont="1" applyBorder="1" applyAlignment="1">
      <alignment horizontal="center" vertical="center"/>
    </xf>
    <xf numFmtId="39" fontId="130" fillId="0" borderId="0" xfId="0" applyNumberFormat="1" applyFont="1" applyFill="1" applyBorder="1" applyAlignment="1">
      <alignment horizontal="center" vertical="center"/>
    </xf>
    <xf numFmtId="39" fontId="130" fillId="41" borderId="59" xfId="0" applyNumberFormat="1" applyFont="1" applyFill="1" applyBorder="1" applyAlignment="1">
      <alignment horizontal="center" vertical="center"/>
    </xf>
    <xf numFmtId="39" fontId="130" fillId="41" borderId="60" xfId="0" applyNumberFormat="1" applyFont="1" applyFill="1" applyBorder="1" applyAlignment="1">
      <alignment horizontal="center" vertical="center"/>
    </xf>
    <xf numFmtId="37" fontId="132" fillId="0" borderId="0" xfId="0" applyNumberFormat="1" applyFont="1" applyBorder="1" applyAlignment="1">
      <alignment horizontal="center" vertical="center"/>
    </xf>
    <xf numFmtId="37" fontId="132" fillId="41" borderId="59" xfId="0" applyNumberFormat="1" applyFont="1" applyFill="1" applyBorder="1" applyAlignment="1">
      <alignment horizontal="center" vertical="center"/>
    </xf>
    <xf numFmtId="37" fontId="132" fillId="41" borderId="60" xfId="0" applyNumberFormat="1" applyFont="1" applyFill="1" applyBorder="1" applyAlignment="1">
      <alignment horizontal="center" vertical="center"/>
    </xf>
    <xf numFmtId="170" fontId="130" fillId="0" borderId="0" xfId="318" applyNumberFormat="1" applyFont="1" applyBorder="1" applyAlignment="1">
      <alignment horizontal="center" vertical="center"/>
    </xf>
    <xf numFmtId="170" fontId="130" fillId="41" borderId="59" xfId="318" applyNumberFormat="1" applyFont="1" applyFill="1" applyBorder="1" applyAlignment="1">
      <alignment horizontal="center" vertical="center"/>
    </xf>
    <xf numFmtId="170" fontId="130" fillId="41" borderId="60" xfId="318" applyNumberFormat="1" applyFont="1" applyFill="1" applyBorder="1" applyAlignment="1">
      <alignment horizontal="center" vertical="center"/>
    </xf>
    <xf numFmtId="167" fontId="130" fillId="41" borderId="59" xfId="0" applyNumberFormat="1" applyFont="1" applyFill="1" applyBorder="1" applyAlignment="1">
      <alignment horizontal="center" vertical="center"/>
    </xf>
    <xf numFmtId="167" fontId="130" fillId="41" borderId="60" xfId="0" applyNumberFormat="1" applyFont="1" applyFill="1" applyBorder="1" applyAlignment="1">
      <alignment horizontal="center" vertical="center"/>
    </xf>
    <xf numFmtId="167" fontId="130" fillId="41" borderId="0" xfId="0" applyNumberFormat="1" applyFont="1" applyFill="1" applyBorder="1" applyAlignment="1">
      <alignment horizontal="center" vertical="center"/>
    </xf>
    <xf numFmtId="170" fontId="130" fillId="41" borderId="0" xfId="318" applyNumberFormat="1" applyFont="1" applyFill="1" applyBorder="1" applyAlignment="1">
      <alignment horizontal="center" vertical="center"/>
    </xf>
    <xf numFmtId="15" fontId="129" fillId="0" borderId="16" xfId="0" applyNumberFormat="1" applyFont="1" applyFill="1" applyBorder="1" applyAlignment="1">
      <alignment horizontal="center" vertical="center"/>
    </xf>
    <xf numFmtId="15" fontId="129" fillId="0" borderId="17" xfId="0" applyNumberFormat="1" applyFont="1" applyFill="1" applyBorder="1" applyAlignment="1">
      <alignment horizontal="center" vertical="center"/>
    </xf>
    <xf numFmtId="37" fontId="130" fillId="0" borderId="16" xfId="0" applyNumberFormat="1" applyFont="1" applyBorder="1" applyAlignment="1">
      <alignment horizontal="center" vertical="center"/>
    </xf>
    <xf numFmtId="164" fontId="129" fillId="0" borderId="16" xfId="0" applyNumberFormat="1" applyFont="1" applyBorder="1" applyAlignment="1">
      <alignment horizontal="center" vertical="center"/>
    </xf>
    <xf numFmtId="37" fontId="129" fillId="0" borderId="17" xfId="0" applyNumberFormat="1" applyFont="1" applyBorder="1" applyAlignment="1">
      <alignment horizontal="center" vertical="center"/>
    </xf>
    <xf numFmtId="164" fontId="130" fillId="0" borderId="16" xfId="0" applyNumberFormat="1" applyFont="1" applyBorder="1" applyAlignment="1">
      <alignment horizontal="center" vertical="center"/>
    </xf>
    <xf numFmtId="7" fontId="129" fillId="3" borderId="16" xfId="0" applyNumberFormat="1" applyFont="1" applyFill="1" applyBorder="1" applyAlignment="1">
      <alignment horizontal="center" vertical="center"/>
    </xf>
    <xf numFmtId="37" fontId="130" fillId="3" borderId="0" xfId="0" applyNumberFormat="1" applyFont="1" applyFill="1" applyBorder="1" applyAlignment="1">
      <alignment horizontal="center" vertical="center"/>
    </xf>
    <xf numFmtId="0" fontId="9" fillId="0" borderId="0" xfId="0" applyFont="1" applyBorder="1" applyAlignment="1">
      <alignment horizontal="center" vertical="center"/>
    </xf>
    <xf numFmtId="15" fontId="10" fillId="3" borderId="0" xfId="0" applyNumberFormat="1" applyFont="1" applyFill="1" applyBorder="1" applyAlignment="1">
      <alignment horizontal="center" vertical="center"/>
    </xf>
    <xf numFmtId="164" fontId="9" fillId="0" borderId="0" xfId="0" applyNumberFormat="1" applyFont="1" applyBorder="1" applyAlignment="1">
      <alignment horizontal="center" vertical="center"/>
    </xf>
    <xf numFmtId="15" fontId="129" fillId="0" borderId="0" xfId="0" applyNumberFormat="1" applyFont="1" applyFill="1" applyBorder="1" applyAlignment="1">
      <alignment horizontal="center" vertical="center"/>
    </xf>
    <xf numFmtId="164" fontId="136" fillId="0" borderId="4" xfId="0" quotePrefix="1" applyNumberFormat="1" applyFont="1" applyBorder="1" applyAlignment="1">
      <alignment horizontal="center" vertical="center"/>
    </xf>
    <xf numFmtId="37" fontId="129" fillId="3" borderId="17" xfId="0" applyNumberFormat="1" applyFont="1" applyFill="1" applyBorder="1" applyAlignment="1">
      <alignment horizontal="center" vertical="center"/>
    </xf>
    <xf numFmtId="37" fontId="129" fillId="3" borderId="17" xfId="0" applyNumberFormat="1" applyFont="1" applyFill="1" applyBorder="1" applyAlignment="1">
      <alignment horizontal="centerContinuous" vertical="center"/>
    </xf>
    <xf numFmtId="37" fontId="129" fillId="3" borderId="16" xfId="0" applyNumberFormat="1" applyFont="1" applyFill="1" applyBorder="1" applyAlignment="1">
      <alignment horizontal="center" vertical="center"/>
    </xf>
    <xf numFmtId="15" fontId="129" fillId="3" borderId="16" xfId="0" applyNumberFormat="1" applyFont="1" applyFill="1" applyBorder="1" applyAlignment="1">
      <alignment horizontal="center" vertical="center"/>
    </xf>
    <xf numFmtId="15" fontId="129" fillId="3" borderId="17" xfId="0" applyNumberFormat="1" applyFont="1" applyFill="1" applyBorder="1" applyAlignment="1">
      <alignment horizontal="center" vertical="center"/>
    </xf>
    <xf numFmtId="37" fontId="129" fillId="0" borderId="25" xfId="0" applyNumberFormat="1" applyFont="1" applyBorder="1" applyAlignment="1">
      <alignment vertical="center"/>
    </xf>
    <xf numFmtId="37" fontId="130" fillId="0" borderId="3" xfId="0" applyNumberFormat="1" applyFont="1" applyBorder="1" applyAlignment="1">
      <alignment vertical="center"/>
    </xf>
    <xf numFmtId="165" fontId="130" fillId="0" borderId="3" xfId="0" applyNumberFormat="1" applyFont="1" applyBorder="1" applyAlignment="1">
      <alignment horizontal="center" vertical="center"/>
    </xf>
    <xf numFmtId="165" fontId="130" fillId="0" borderId="30" xfId="0" applyNumberFormat="1" applyFont="1" applyBorder="1" applyAlignment="1">
      <alignment horizontal="center" vertical="center"/>
    </xf>
    <xf numFmtId="37" fontId="131" fillId="0" borderId="27" xfId="0" applyNumberFormat="1" applyFont="1" applyBorder="1" applyAlignment="1">
      <alignment vertical="center"/>
    </xf>
    <xf numFmtId="165" fontId="130" fillId="0" borderId="34" xfId="0" applyNumberFormat="1" applyFont="1" applyBorder="1" applyAlignment="1">
      <alignment horizontal="center" vertical="center"/>
    </xf>
    <xf numFmtId="37" fontId="129" fillId="3" borderId="27" xfId="0" applyNumberFormat="1" applyFont="1" applyFill="1" applyBorder="1" applyAlignment="1">
      <alignment vertical="center"/>
    </xf>
    <xf numFmtId="15" fontId="129" fillId="3" borderId="34" xfId="0" applyNumberFormat="1" applyFont="1" applyFill="1" applyBorder="1" applyAlignment="1">
      <alignment horizontal="center" vertical="center"/>
    </xf>
    <xf numFmtId="37" fontId="130" fillId="0" borderId="27" xfId="0" applyNumberFormat="1" applyFont="1" applyBorder="1" applyAlignment="1">
      <alignment vertical="center"/>
    </xf>
    <xf numFmtId="37" fontId="129" fillId="0" borderId="34" xfId="0" applyNumberFormat="1" applyFont="1" applyBorder="1" applyAlignment="1">
      <alignment horizontal="center" vertical="center"/>
    </xf>
    <xf numFmtId="7" fontId="130" fillId="0" borderId="34" xfId="0" applyNumberFormat="1" applyFont="1" applyFill="1" applyBorder="1" applyAlignment="1">
      <alignment horizontal="center" vertical="center"/>
    </xf>
    <xf numFmtId="165" fontId="129" fillId="0" borderId="34" xfId="0" applyNumberFormat="1" applyFont="1" applyBorder="1" applyAlignment="1">
      <alignment horizontal="center" vertical="center"/>
    </xf>
    <xf numFmtId="37" fontId="129" fillId="0" borderId="27" xfId="0" applyNumberFormat="1" applyFont="1" applyBorder="1" applyAlignment="1">
      <alignment vertical="center"/>
    </xf>
    <xf numFmtId="37" fontId="133" fillId="0" borderId="27" xfId="0" applyNumberFormat="1" applyFont="1" applyBorder="1" applyAlignment="1">
      <alignment vertical="center"/>
    </xf>
    <xf numFmtId="165" fontId="134" fillId="0" borderId="34" xfId="0" applyNumberFormat="1" applyFont="1" applyBorder="1" applyAlignment="1">
      <alignment horizontal="center" vertical="center"/>
    </xf>
    <xf numFmtId="15" fontId="131" fillId="3" borderId="34" xfId="0" applyNumberFormat="1" applyFont="1" applyFill="1" applyBorder="1" applyAlignment="1">
      <alignment horizontal="center" vertical="center"/>
    </xf>
    <xf numFmtId="37" fontId="129" fillId="0" borderId="27" xfId="0" applyNumberFormat="1" applyFont="1" applyFill="1" applyBorder="1" applyAlignment="1">
      <alignment vertical="center"/>
    </xf>
    <xf numFmtId="165" fontId="129" fillId="0" borderId="34" xfId="0" applyNumberFormat="1" applyFont="1" applyFill="1" applyBorder="1" applyAlignment="1">
      <alignment horizontal="center" vertical="center"/>
    </xf>
    <xf numFmtId="37" fontId="130" fillId="40" borderId="27" xfId="0" applyNumberFormat="1" applyFont="1" applyFill="1" applyBorder="1" applyAlignment="1">
      <alignment vertical="center"/>
    </xf>
    <xf numFmtId="164" fontId="132" fillId="0" borderId="34" xfId="0" applyNumberFormat="1" applyFont="1" applyBorder="1" applyAlignment="1">
      <alignment horizontal="center" vertical="center"/>
    </xf>
    <xf numFmtId="0" fontId="130" fillId="0" borderId="27" xfId="0" applyFont="1" applyFill="1" applyBorder="1" applyAlignment="1">
      <alignment vertical="center"/>
    </xf>
    <xf numFmtId="37" fontId="130" fillId="0" borderId="27" xfId="0" applyNumberFormat="1" applyFont="1" applyFill="1" applyBorder="1" applyAlignment="1">
      <alignment vertical="center"/>
    </xf>
    <xf numFmtId="37" fontId="132" fillId="0" borderId="34" xfId="0" applyNumberFormat="1" applyFont="1" applyBorder="1" applyAlignment="1">
      <alignment horizontal="center" vertical="center"/>
    </xf>
    <xf numFmtId="0" fontId="130" fillId="0" borderId="27" xfId="0" applyFont="1" applyBorder="1" applyAlignment="1">
      <alignment vertical="center"/>
    </xf>
    <xf numFmtId="37" fontId="130" fillId="0" borderId="32" xfId="0" applyNumberFormat="1" applyFont="1" applyBorder="1" applyAlignment="1">
      <alignment vertical="center"/>
    </xf>
    <xf numFmtId="37" fontId="130" fillId="0" borderId="4" xfId="0" applyNumberFormat="1" applyFont="1" applyBorder="1" applyAlignment="1">
      <alignment vertical="center"/>
    </xf>
    <xf numFmtId="37" fontId="130" fillId="0" borderId="4" xfId="0" applyNumberFormat="1" applyFont="1" applyBorder="1" applyAlignment="1">
      <alignment horizontal="center" vertical="center"/>
    </xf>
    <xf numFmtId="37" fontId="130" fillId="41" borderId="4" xfId="0" applyNumberFormat="1" applyFont="1" applyFill="1" applyBorder="1" applyAlignment="1">
      <alignment horizontal="center" vertical="center"/>
    </xf>
    <xf numFmtId="37" fontId="130" fillId="0" borderId="33" xfId="0" applyNumberFormat="1" applyFont="1" applyBorder="1" applyAlignment="1">
      <alignment horizontal="center" vertical="center"/>
    </xf>
    <xf numFmtId="0" fontId="117" fillId="0" borderId="25" xfId="730" applyFill="1" applyBorder="1"/>
    <xf numFmtId="0" fontId="120" fillId="0" borderId="34" xfId="730" applyFont="1" applyFill="1" applyBorder="1" applyAlignment="1">
      <alignment horizontal="center"/>
    </xf>
    <xf numFmtId="0" fontId="120" fillId="0" borderId="65" xfId="730" applyFont="1" applyFill="1" applyBorder="1" applyAlignment="1">
      <alignment horizontal="center"/>
    </xf>
    <xf numFmtId="241" fontId="120" fillId="0" borderId="33" xfId="730" applyNumberFormat="1" applyFont="1" applyFill="1" applyBorder="1" applyAlignment="1">
      <alignment horizontal="center"/>
    </xf>
    <xf numFmtId="0" fontId="120" fillId="0" borderId="27" xfId="730" applyFont="1" applyFill="1" applyBorder="1" applyAlignment="1">
      <alignment horizontal="center"/>
    </xf>
    <xf numFmtId="241" fontId="120" fillId="0" borderId="34" xfId="730" applyNumberFormat="1" applyFont="1" applyFill="1" applyBorder="1" applyAlignment="1">
      <alignment horizontal="center"/>
    </xf>
    <xf numFmtId="0" fontId="118" fillId="0" borderId="27" xfId="730" applyFont="1" applyFill="1" applyBorder="1" applyAlignment="1">
      <alignment horizontal="center"/>
    </xf>
    <xf numFmtId="243" fontId="117" fillId="0" borderId="34" xfId="730" applyNumberFormat="1" applyFont="1" applyFill="1" applyBorder="1" applyAlignment="1">
      <alignment horizontal="right"/>
    </xf>
    <xf numFmtId="0" fontId="118" fillId="0" borderId="27" xfId="730" applyFont="1" applyFill="1" applyBorder="1"/>
    <xf numFmtId="243" fontId="117" fillId="0" borderId="34" xfId="730" applyNumberFormat="1" applyFill="1" applyBorder="1"/>
    <xf numFmtId="0" fontId="117" fillId="0" borderId="27" xfId="730" applyFill="1" applyBorder="1"/>
    <xf numFmtId="0" fontId="117" fillId="0" borderId="34" xfId="730" applyFill="1" applyBorder="1"/>
    <xf numFmtId="0" fontId="122" fillId="0" borderId="27" xfId="730" applyFont="1" applyFill="1" applyBorder="1"/>
    <xf numFmtId="0" fontId="118" fillId="0" borderId="32" xfId="730" applyFont="1" applyFill="1" applyBorder="1" applyAlignment="1">
      <alignment horizontal="center"/>
    </xf>
    <xf numFmtId="0" fontId="117" fillId="0" borderId="4" xfId="730" applyFont="1" applyFill="1" applyBorder="1"/>
    <xf numFmtId="176" fontId="117" fillId="0" borderId="4" xfId="730" applyNumberFormat="1" applyFont="1" applyFill="1" applyBorder="1"/>
    <xf numFmtId="5" fontId="117" fillId="0" borderId="4" xfId="730" applyNumberFormat="1" applyFont="1" applyFill="1" applyBorder="1"/>
    <xf numFmtId="242" fontId="117" fillId="0" borderId="4" xfId="730" applyNumberFormat="1" applyFont="1" applyFill="1" applyBorder="1" applyAlignment="1">
      <alignment horizontal="right"/>
    </xf>
    <xf numFmtId="243" fontId="117" fillId="0" borderId="4" xfId="730" applyNumberFormat="1" applyFont="1" applyFill="1" applyBorder="1" applyAlignment="1">
      <alignment horizontal="right"/>
    </xf>
    <xf numFmtId="243" fontId="117" fillId="0" borderId="33" xfId="730" applyNumberFormat="1" applyFont="1" applyFill="1" applyBorder="1" applyAlignment="1">
      <alignment horizontal="right"/>
    </xf>
    <xf numFmtId="0" fontId="27" fillId="3" borderId="14" xfId="0" applyFont="1" applyFill="1" applyBorder="1" applyAlignment="1">
      <alignment horizontal="center" vertical="center" textRotation="90" wrapText="1"/>
    </xf>
    <xf numFmtId="0" fontId="27" fillId="3" borderId="16" xfId="0" applyFont="1" applyFill="1" applyBorder="1" applyAlignment="1">
      <alignment horizontal="center" vertical="center" textRotation="90" wrapText="1"/>
    </xf>
    <xf numFmtId="0" fontId="27" fillId="3" borderId="19" xfId="0" applyFont="1" applyFill="1" applyBorder="1" applyAlignment="1">
      <alignment horizontal="center" vertical="center" textRotation="90" wrapText="1"/>
    </xf>
  </cellXfs>
  <cellStyles count="732">
    <cellStyle name="_%(SignOnly)" xfId="1" xr:uid="{00000000-0005-0000-0000-000000000000}"/>
    <cellStyle name="_%(SignSpaceOnly)" xfId="2" xr:uid="{00000000-0005-0000-0000-000001000000}"/>
    <cellStyle name="_Comma" xfId="3" xr:uid="{00000000-0005-0000-0000-000002000000}"/>
    <cellStyle name="_Currency" xfId="4" xr:uid="{00000000-0005-0000-0000-000003000000}"/>
    <cellStyle name="_CurrencySpace" xfId="5" xr:uid="{00000000-0005-0000-0000-000004000000}"/>
    <cellStyle name="_Euro" xfId="6" xr:uid="{00000000-0005-0000-0000-000005000000}"/>
    <cellStyle name="_Heading" xfId="7" xr:uid="{00000000-0005-0000-0000-000006000000}"/>
    <cellStyle name="_Heading_prestemp" xfId="8" xr:uid="{00000000-0005-0000-0000-000007000000}"/>
    <cellStyle name="_Heading_prestemp_1st Qtr PL FY07" xfId="9" xr:uid="{00000000-0005-0000-0000-000008000000}"/>
    <cellStyle name="_Heading_prestemp_Financial Statements" xfId="10" xr:uid="{00000000-0005-0000-0000-000009000000}"/>
    <cellStyle name="_Heading_prestemp_Financial Statementsvs1" xfId="11" xr:uid="{00000000-0005-0000-0000-00000A000000}"/>
    <cellStyle name="_Highlight" xfId="12" xr:uid="{00000000-0005-0000-0000-00000B000000}"/>
    <cellStyle name="_Multiple" xfId="13" xr:uid="{00000000-0005-0000-0000-00000C000000}"/>
    <cellStyle name="_MultipleSpace" xfId="14" xr:uid="{00000000-0005-0000-0000-00000D000000}"/>
    <cellStyle name="_SubHeading" xfId="15" xr:uid="{00000000-0005-0000-0000-00000E000000}"/>
    <cellStyle name="_SubHeading_prestemp" xfId="16" xr:uid="{00000000-0005-0000-0000-00000F000000}"/>
    <cellStyle name="_SubHeading_prestemp_1st Qtr PL FY07" xfId="17" xr:uid="{00000000-0005-0000-0000-000010000000}"/>
    <cellStyle name="_SubHeading_prestemp_Financial Statements" xfId="18" xr:uid="{00000000-0005-0000-0000-000011000000}"/>
    <cellStyle name="_SubHeading_prestemp_Financial Statementsvs1" xfId="19" xr:uid="{00000000-0005-0000-0000-000012000000}"/>
    <cellStyle name="_Table" xfId="20" xr:uid="{00000000-0005-0000-0000-000013000000}"/>
    <cellStyle name="_TableHead" xfId="21" xr:uid="{00000000-0005-0000-0000-000014000000}"/>
    <cellStyle name="_TableRowHead" xfId="22" xr:uid="{00000000-0005-0000-0000-000015000000}"/>
    <cellStyle name="_TableSuperHead" xfId="23" xr:uid="{00000000-0005-0000-0000-000016000000}"/>
    <cellStyle name="=C:\WINNT\SYSTEM32\COMMAND.COM" xfId="24" xr:uid="{00000000-0005-0000-0000-000017000000}"/>
    <cellStyle name="=C:\WINNT\SYSTEM32\COMMAND.COM 2" xfId="25" xr:uid="{00000000-0005-0000-0000-000018000000}"/>
    <cellStyle name="20% - Accent1" xfId="26" builtinId="30" customBuiltin="1"/>
    <cellStyle name="20% - Accent2" xfId="27" builtinId="34" customBuiltin="1"/>
    <cellStyle name="20% - Accent3" xfId="28" builtinId="38" customBuiltin="1"/>
    <cellStyle name="20% - Accent4" xfId="29" builtinId="42" customBuiltin="1"/>
    <cellStyle name="20% - Accent5" xfId="30" builtinId="46" customBuiltin="1"/>
    <cellStyle name="20% - Accent6" xfId="31" builtinId="50" customBuiltin="1"/>
    <cellStyle name="40% - Accent1" xfId="32" builtinId="31" customBuiltin="1"/>
    <cellStyle name="40% - Accent2" xfId="33" builtinId="35" customBuiltin="1"/>
    <cellStyle name="40% - Accent3" xfId="34" builtinId="39" customBuiltin="1"/>
    <cellStyle name="40% - Accent4" xfId="35" builtinId="43" customBuiltin="1"/>
    <cellStyle name="40% - Accent5" xfId="36" builtinId="47" customBuiltin="1"/>
    <cellStyle name="40% - Accent6" xfId="37" builtinId="51" customBuiltin="1"/>
    <cellStyle name="6-0" xfId="38" xr:uid="{00000000-0005-0000-0000-000025000000}"/>
    <cellStyle name="60% - Accent1" xfId="39" builtinId="32" customBuiltin="1"/>
    <cellStyle name="60% - Accent2" xfId="40" builtinId="36" customBuiltin="1"/>
    <cellStyle name="60% - Accent3" xfId="41" builtinId="40" customBuiltin="1"/>
    <cellStyle name="60% - Accent4" xfId="42" builtinId="44" customBuiltin="1"/>
    <cellStyle name="60% - Accent5" xfId="43" builtinId="48" customBuiltin="1"/>
    <cellStyle name="60% - Accent6" xfId="44" builtinId="52" customBuiltin="1"/>
    <cellStyle name="Accent1" xfId="45" builtinId="29" customBuiltin="1"/>
    <cellStyle name="Accent2" xfId="46" builtinId="33" customBuiltin="1"/>
    <cellStyle name="Accent3" xfId="47" builtinId="37" customBuiltin="1"/>
    <cellStyle name="Accent4" xfId="48" builtinId="41" customBuiltin="1"/>
    <cellStyle name="Accent5" xfId="49" builtinId="45" customBuiltin="1"/>
    <cellStyle name="Accent6" xfId="50" builtinId="49" customBuiltin="1"/>
    <cellStyle name="Bad" xfId="51" builtinId="27" customBuiltin="1"/>
    <cellStyle name="Bold12" xfId="52" xr:uid="{00000000-0005-0000-0000-000033000000}"/>
    <cellStyle name="BoldItal12" xfId="53" xr:uid="{00000000-0005-0000-0000-000034000000}"/>
    <cellStyle name="Border" xfId="54" xr:uid="{00000000-0005-0000-0000-000035000000}"/>
    <cellStyle name="Border 10" xfId="55" xr:uid="{00000000-0005-0000-0000-000036000000}"/>
    <cellStyle name="Border 10 2" xfId="371" xr:uid="{00000000-0005-0000-0000-000037000000}"/>
    <cellStyle name="Border 10 2 2" xfId="549" xr:uid="{00000000-0005-0000-0000-000038000000}"/>
    <cellStyle name="Border 10 3" xfId="460" xr:uid="{00000000-0005-0000-0000-000039000000}"/>
    <cellStyle name="Border 10 4" xfId="639" xr:uid="{00000000-0005-0000-0000-00003A000000}"/>
    <cellStyle name="Border 11" xfId="56" xr:uid="{00000000-0005-0000-0000-00003B000000}"/>
    <cellStyle name="Border 11 2" xfId="372" xr:uid="{00000000-0005-0000-0000-00003C000000}"/>
    <cellStyle name="Border 11 2 2" xfId="550" xr:uid="{00000000-0005-0000-0000-00003D000000}"/>
    <cellStyle name="Border 11 3" xfId="461" xr:uid="{00000000-0005-0000-0000-00003E000000}"/>
    <cellStyle name="Border 11 4" xfId="640" xr:uid="{00000000-0005-0000-0000-00003F000000}"/>
    <cellStyle name="Border 12" xfId="57" xr:uid="{00000000-0005-0000-0000-000040000000}"/>
    <cellStyle name="Border 12 2" xfId="373" xr:uid="{00000000-0005-0000-0000-000041000000}"/>
    <cellStyle name="Border 12 2 2" xfId="551" xr:uid="{00000000-0005-0000-0000-000042000000}"/>
    <cellStyle name="Border 12 3" xfId="462" xr:uid="{00000000-0005-0000-0000-000043000000}"/>
    <cellStyle name="Border 12 4" xfId="641" xr:uid="{00000000-0005-0000-0000-000044000000}"/>
    <cellStyle name="Border 13" xfId="58" xr:uid="{00000000-0005-0000-0000-000045000000}"/>
    <cellStyle name="Border 13 2" xfId="374" xr:uid="{00000000-0005-0000-0000-000046000000}"/>
    <cellStyle name="Border 13 2 2" xfId="552" xr:uid="{00000000-0005-0000-0000-000047000000}"/>
    <cellStyle name="Border 13 3" xfId="463" xr:uid="{00000000-0005-0000-0000-000048000000}"/>
    <cellStyle name="Border 13 4" xfId="642" xr:uid="{00000000-0005-0000-0000-000049000000}"/>
    <cellStyle name="Border 14" xfId="59" xr:uid="{00000000-0005-0000-0000-00004A000000}"/>
    <cellStyle name="Border 14 2" xfId="375" xr:uid="{00000000-0005-0000-0000-00004B000000}"/>
    <cellStyle name="Border 14 2 2" xfId="553" xr:uid="{00000000-0005-0000-0000-00004C000000}"/>
    <cellStyle name="Border 14 3" xfId="464" xr:uid="{00000000-0005-0000-0000-00004D000000}"/>
    <cellStyle name="Border 14 4" xfId="643" xr:uid="{00000000-0005-0000-0000-00004E000000}"/>
    <cellStyle name="Border 15" xfId="60" xr:uid="{00000000-0005-0000-0000-00004F000000}"/>
    <cellStyle name="Border 15 2" xfId="376" xr:uid="{00000000-0005-0000-0000-000050000000}"/>
    <cellStyle name="Border 15 2 2" xfId="554" xr:uid="{00000000-0005-0000-0000-000051000000}"/>
    <cellStyle name="Border 15 3" xfId="465" xr:uid="{00000000-0005-0000-0000-000052000000}"/>
    <cellStyle name="Border 15 4" xfId="644" xr:uid="{00000000-0005-0000-0000-000053000000}"/>
    <cellStyle name="Border 16" xfId="61" xr:uid="{00000000-0005-0000-0000-000054000000}"/>
    <cellStyle name="Border 16 2" xfId="377" xr:uid="{00000000-0005-0000-0000-000055000000}"/>
    <cellStyle name="Border 16 2 2" xfId="555" xr:uid="{00000000-0005-0000-0000-000056000000}"/>
    <cellStyle name="Border 16 3" xfId="466" xr:uid="{00000000-0005-0000-0000-000057000000}"/>
    <cellStyle name="Border 16 4" xfId="645" xr:uid="{00000000-0005-0000-0000-000058000000}"/>
    <cellStyle name="Border 17" xfId="62" xr:uid="{00000000-0005-0000-0000-000059000000}"/>
    <cellStyle name="Border 17 2" xfId="378" xr:uid="{00000000-0005-0000-0000-00005A000000}"/>
    <cellStyle name="Border 17 2 2" xfId="556" xr:uid="{00000000-0005-0000-0000-00005B000000}"/>
    <cellStyle name="Border 17 3" xfId="467" xr:uid="{00000000-0005-0000-0000-00005C000000}"/>
    <cellStyle name="Border 17 4" xfId="646" xr:uid="{00000000-0005-0000-0000-00005D000000}"/>
    <cellStyle name="Border 18" xfId="63" xr:uid="{00000000-0005-0000-0000-00005E000000}"/>
    <cellStyle name="Border 18 2" xfId="379" xr:uid="{00000000-0005-0000-0000-00005F000000}"/>
    <cellStyle name="Border 18 2 2" xfId="557" xr:uid="{00000000-0005-0000-0000-000060000000}"/>
    <cellStyle name="Border 18 3" xfId="468" xr:uid="{00000000-0005-0000-0000-000061000000}"/>
    <cellStyle name="Border 18 4" xfId="647" xr:uid="{00000000-0005-0000-0000-000062000000}"/>
    <cellStyle name="Border 19" xfId="64" xr:uid="{00000000-0005-0000-0000-000063000000}"/>
    <cellStyle name="Border 19 2" xfId="380" xr:uid="{00000000-0005-0000-0000-000064000000}"/>
    <cellStyle name="Border 19 2 2" xfId="558" xr:uid="{00000000-0005-0000-0000-000065000000}"/>
    <cellStyle name="Border 19 3" xfId="469" xr:uid="{00000000-0005-0000-0000-000066000000}"/>
    <cellStyle name="Border 19 4" xfId="648" xr:uid="{00000000-0005-0000-0000-000067000000}"/>
    <cellStyle name="Border 2" xfId="65" xr:uid="{00000000-0005-0000-0000-000068000000}"/>
    <cellStyle name="Border 20" xfId="66" xr:uid="{00000000-0005-0000-0000-000069000000}"/>
    <cellStyle name="Border 20 2" xfId="381" xr:uid="{00000000-0005-0000-0000-00006A000000}"/>
    <cellStyle name="Border 20 2 2" xfId="559" xr:uid="{00000000-0005-0000-0000-00006B000000}"/>
    <cellStyle name="Border 20 3" xfId="470" xr:uid="{00000000-0005-0000-0000-00006C000000}"/>
    <cellStyle name="Border 20 4" xfId="649" xr:uid="{00000000-0005-0000-0000-00006D000000}"/>
    <cellStyle name="Border 21" xfId="67" xr:uid="{00000000-0005-0000-0000-00006E000000}"/>
    <cellStyle name="Border 21 2" xfId="382" xr:uid="{00000000-0005-0000-0000-00006F000000}"/>
    <cellStyle name="Border 21 2 2" xfId="560" xr:uid="{00000000-0005-0000-0000-000070000000}"/>
    <cellStyle name="Border 21 3" xfId="471" xr:uid="{00000000-0005-0000-0000-000071000000}"/>
    <cellStyle name="Border 21 4" xfId="650" xr:uid="{00000000-0005-0000-0000-000072000000}"/>
    <cellStyle name="Border 22" xfId="68" xr:uid="{00000000-0005-0000-0000-000073000000}"/>
    <cellStyle name="Border 22 2" xfId="383" xr:uid="{00000000-0005-0000-0000-000074000000}"/>
    <cellStyle name="Border 22 2 2" xfId="561" xr:uid="{00000000-0005-0000-0000-000075000000}"/>
    <cellStyle name="Border 22 3" xfId="472" xr:uid="{00000000-0005-0000-0000-000076000000}"/>
    <cellStyle name="Border 22 4" xfId="651" xr:uid="{00000000-0005-0000-0000-000077000000}"/>
    <cellStyle name="Border 23" xfId="69" xr:uid="{00000000-0005-0000-0000-000078000000}"/>
    <cellStyle name="Border 23 2" xfId="384" xr:uid="{00000000-0005-0000-0000-000079000000}"/>
    <cellStyle name="Border 23 2 2" xfId="562" xr:uid="{00000000-0005-0000-0000-00007A000000}"/>
    <cellStyle name="Border 23 3" xfId="473" xr:uid="{00000000-0005-0000-0000-00007B000000}"/>
    <cellStyle name="Border 23 4" xfId="652" xr:uid="{00000000-0005-0000-0000-00007C000000}"/>
    <cellStyle name="Border 24" xfId="70" xr:uid="{00000000-0005-0000-0000-00007D000000}"/>
    <cellStyle name="Border 24 2" xfId="385" xr:uid="{00000000-0005-0000-0000-00007E000000}"/>
    <cellStyle name="Border 24 2 2" xfId="563" xr:uid="{00000000-0005-0000-0000-00007F000000}"/>
    <cellStyle name="Border 24 3" xfId="474" xr:uid="{00000000-0005-0000-0000-000080000000}"/>
    <cellStyle name="Border 24 4" xfId="653" xr:uid="{00000000-0005-0000-0000-000081000000}"/>
    <cellStyle name="Border 25" xfId="71" xr:uid="{00000000-0005-0000-0000-000082000000}"/>
    <cellStyle name="Border 25 2" xfId="386" xr:uid="{00000000-0005-0000-0000-000083000000}"/>
    <cellStyle name="Border 25 2 2" xfId="564" xr:uid="{00000000-0005-0000-0000-000084000000}"/>
    <cellStyle name="Border 25 3" xfId="475" xr:uid="{00000000-0005-0000-0000-000085000000}"/>
    <cellStyle name="Border 25 4" xfId="654" xr:uid="{00000000-0005-0000-0000-000086000000}"/>
    <cellStyle name="Border 26" xfId="72" xr:uid="{00000000-0005-0000-0000-000087000000}"/>
    <cellStyle name="Border 26 2" xfId="387" xr:uid="{00000000-0005-0000-0000-000088000000}"/>
    <cellStyle name="Border 26 2 2" xfId="565" xr:uid="{00000000-0005-0000-0000-000089000000}"/>
    <cellStyle name="Border 26 3" xfId="476" xr:uid="{00000000-0005-0000-0000-00008A000000}"/>
    <cellStyle name="Border 26 4" xfId="655" xr:uid="{00000000-0005-0000-0000-00008B000000}"/>
    <cellStyle name="Border 27" xfId="73" xr:uid="{00000000-0005-0000-0000-00008C000000}"/>
    <cellStyle name="Border 27 2" xfId="388" xr:uid="{00000000-0005-0000-0000-00008D000000}"/>
    <cellStyle name="Border 27 2 2" xfId="566" xr:uid="{00000000-0005-0000-0000-00008E000000}"/>
    <cellStyle name="Border 27 3" xfId="477" xr:uid="{00000000-0005-0000-0000-00008F000000}"/>
    <cellStyle name="Border 27 4" xfId="656" xr:uid="{00000000-0005-0000-0000-000090000000}"/>
    <cellStyle name="Border 28" xfId="74" xr:uid="{00000000-0005-0000-0000-000091000000}"/>
    <cellStyle name="Border 28 2" xfId="389" xr:uid="{00000000-0005-0000-0000-000092000000}"/>
    <cellStyle name="Border 28 2 2" xfId="567" xr:uid="{00000000-0005-0000-0000-000093000000}"/>
    <cellStyle name="Border 28 3" xfId="478" xr:uid="{00000000-0005-0000-0000-000094000000}"/>
    <cellStyle name="Border 28 4" xfId="657" xr:uid="{00000000-0005-0000-0000-000095000000}"/>
    <cellStyle name="Border 29" xfId="75" xr:uid="{00000000-0005-0000-0000-000096000000}"/>
    <cellStyle name="Border 29 2" xfId="390" xr:uid="{00000000-0005-0000-0000-000097000000}"/>
    <cellStyle name="Border 29 2 2" xfId="568" xr:uid="{00000000-0005-0000-0000-000098000000}"/>
    <cellStyle name="Border 29 3" xfId="479" xr:uid="{00000000-0005-0000-0000-000099000000}"/>
    <cellStyle name="Border 29 4" xfId="658" xr:uid="{00000000-0005-0000-0000-00009A000000}"/>
    <cellStyle name="Border 3" xfId="76" xr:uid="{00000000-0005-0000-0000-00009B000000}"/>
    <cellStyle name="Border 30" xfId="77" xr:uid="{00000000-0005-0000-0000-00009C000000}"/>
    <cellStyle name="Border 30 2" xfId="391" xr:uid="{00000000-0005-0000-0000-00009D000000}"/>
    <cellStyle name="Border 30 2 2" xfId="569" xr:uid="{00000000-0005-0000-0000-00009E000000}"/>
    <cellStyle name="Border 30 3" xfId="480" xr:uid="{00000000-0005-0000-0000-00009F000000}"/>
    <cellStyle name="Border 30 4" xfId="659" xr:uid="{00000000-0005-0000-0000-0000A0000000}"/>
    <cellStyle name="Border 31" xfId="78" xr:uid="{00000000-0005-0000-0000-0000A1000000}"/>
    <cellStyle name="Border 31 2" xfId="392" xr:uid="{00000000-0005-0000-0000-0000A2000000}"/>
    <cellStyle name="Border 31 2 2" xfId="570" xr:uid="{00000000-0005-0000-0000-0000A3000000}"/>
    <cellStyle name="Border 31 3" xfId="481" xr:uid="{00000000-0005-0000-0000-0000A4000000}"/>
    <cellStyle name="Border 31 4" xfId="660" xr:uid="{00000000-0005-0000-0000-0000A5000000}"/>
    <cellStyle name="Border 32" xfId="79" xr:uid="{00000000-0005-0000-0000-0000A6000000}"/>
    <cellStyle name="Border 32 2" xfId="393" xr:uid="{00000000-0005-0000-0000-0000A7000000}"/>
    <cellStyle name="Border 32 2 2" xfId="571" xr:uid="{00000000-0005-0000-0000-0000A8000000}"/>
    <cellStyle name="Border 32 3" xfId="482" xr:uid="{00000000-0005-0000-0000-0000A9000000}"/>
    <cellStyle name="Border 32 4" xfId="661" xr:uid="{00000000-0005-0000-0000-0000AA000000}"/>
    <cellStyle name="Border 33" xfId="80" xr:uid="{00000000-0005-0000-0000-0000AB000000}"/>
    <cellStyle name="Border 33 2" xfId="394" xr:uid="{00000000-0005-0000-0000-0000AC000000}"/>
    <cellStyle name="Border 33 2 2" xfId="572" xr:uid="{00000000-0005-0000-0000-0000AD000000}"/>
    <cellStyle name="Border 33 3" xfId="483" xr:uid="{00000000-0005-0000-0000-0000AE000000}"/>
    <cellStyle name="Border 33 4" xfId="662" xr:uid="{00000000-0005-0000-0000-0000AF000000}"/>
    <cellStyle name="Border 34" xfId="81" xr:uid="{00000000-0005-0000-0000-0000B0000000}"/>
    <cellStyle name="Border 34 2" xfId="395" xr:uid="{00000000-0005-0000-0000-0000B1000000}"/>
    <cellStyle name="Border 34 2 2" xfId="573" xr:uid="{00000000-0005-0000-0000-0000B2000000}"/>
    <cellStyle name="Border 34 3" xfId="484" xr:uid="{00000000-0005-0000-0000-0000B3000000}"/>
    <cellStyle name="Border 34 4" xfId="663" xr:uid="{00000000-0005-0000-0000-0000B4000000}"/>
    <cellStyle name="Border 35" xfId="82" xr:uid="{00000000-0005-0000-0000-0000B5000000}"/>
    <cellStyle name="Border 35 2" xfId="396" xr:uid="{00000000-0005-0000-0000-0000B6000000}"/>
    <cellStyle name="Border 35 2 2" xfId="574" xr:uid="{00000000-0005-0000-0000-0000B7000000}"/>
    <cellStyle name="Border 35 3" xfId="485" xr:uid="{00000000-0005-0000-0000-0000B8000000}"/>
    <cellStyle name="Border 35 4" xfId="664" xr:uid="{00000000-0005-0000-0000-0000B9000000}"/>
    <cellStyle name="Border 36" xfId="83" xr:uid="{00000000-0005-0000-0000-0000BA000000}"/>
    <cellStyle name="Border 36 2" xfId="397" xr:uid="{00000000-0005-0000-0000-0000BB000000}"/>
    <cellStyle name="Border 36 2 2" xfId="575" xr:uid="{00000000-0005-0000-0000-0000BC000000}"/>
    <cellStyle name="Border 36 3" xfId="486" xr:uid="{00000000-0005-0000-0000-0000BD000000}"/>
    <cellStyle name="Border 36 4" xfId="665" xr:uid="{00000000-0005-0000-0000-0000BE000000}"/>
    <cellStyle name="Border 37" xfId="84" xr:uid="{00000000-0005-0000-0000-0000BF000000}"/>
    <cellStyle name="Border 37 2" xfId="398" xr:uid="{00000000-0005-0000-0000-0000C0000000}"/>
    <cellStyle name="Border 37 2 2" xfId="576" xr:uid="{00000000-0005-0000-0000-0000C1000000}"/>
    <cellStyle name="Border 37 3" xfId="487" xr:uid="{00000000-0005-0000-0000-0000C2000000}"/>
    <cellStyle name="Border 37 4" xfId="666" xr:uid="{00000000-0005-0000-0000-0000C3000000}"/>
    <cellStyle name="Border 38" xfId="85" xr:uid="{00000000-0005-0000-0000-0000C4000000}"/>
    <cellStyle name="Border 38 2" xfId="399" xr:uid="{00000000-0005-0000-0000-0000C5000000}"/>
    <cellStyle name="Border 38 2 2" xfId="577" xr:uid="{00000000-0005-0000-0000-0000C6000000}"/>
    <cellStyle name="Border 38 3" xfId="488" xr:uid="{00000000-0005-0000-0000-0000C7000000}"/>
    <cellStyle name="Border 38 4" xfId="667" xr:uid="{00000000-0005-0000-0000-0000C8000000}"/>
    <cellStyle name="Border 39" xfId="86" xr:uid="{00000000-0005-0000-0000-0000C9000000}"/>
    <cellStyle name="Border 39 2" xfId="400" xr:uid="{00000000-0005-0000-0000-0000CA000000}"/>
    <cellStyle name="Border 39 2 2" xfId="578" xr:uid="{00000000-0005-0000-0000-0000CB000000}"/>
    <cellStyle name="Border 39 3" xfId="489" xr:uid="{00000000-0005-0000-0000-0000CC000000}"/>
    <cellStyle name="Border 39 4" xfId="668" xr:uid="{00000000-0005-0000-0000-0000CD000000}"/>
    <cellStyle name="Border 4" xfId="87" xr:uid="{00000000-0005-0000-0000-0000CE000000}"/>
    <cellStyle name="Border 40" xfId="88" xr:uid="{00000000-0005-0000-0000-0000CF000000}"/>
    <cellStyle name="Border 40 2" xfId="401" xr:uid="{00000000-0005-0000-0000-0000D0000000}"/>
    <cellStyle name="Border 40 2 2" xfId="579" xr:uid="{00000000-0005-0000-0000-0000D1000000}"/>
    <cellStyle name="Border 40 3" xfId="490" xr:uid="{00000000-0005-0000-0000-0000D2000000}"/>
    <cellStyle name="Border 40 4" xfId="669" xr:uid="{00000000-0005-0000-0000-0000D3000000}"/>
    <cellStyle name="Border 41" xfId="89" xr:uid="{00000000-0005-0000-0000-0000D4000000}"/>
    <cellStyle name="Border 41 2" xfId="402" xr:uid="{00000000-0005-0000-0000-0000D5000000}"/>
    <cellStyle name="Border 41 2 2" xfId="580" xr:uid="{00000000-0005-0000-0000-0000D6000000}"/>
    <cellStyle name="Border 41 3" xfId="491" xr:uid="{00000000-0005-0000-0000-0000D7000000}"/>
    <cellStyle name="Border 41 4" xfId="670" xr:uid="{00000000-0005-0000-0000-0000D8000000}"/>
    <cellStyle name="Border 42" xfId="90" xr:uid="{00000000-0005-0000-0000-0000D9000000}"/>
    <cellStyle name="Border 42 2" xfId="403" xr:uid="{00000000-0005-0000-0000-0000DA000000}"/>
    <cellStyle name="Border 42 2 2" xfId="581" xr:uid="{00000000-0005-0000-0000-0000DB000000}"/>
    <cellStyle name="Border 42 3" xfId="492" xr:uid="{00000000-0005-0000-0000-0000DC000000}"/>
    <cellStyle name="Border 42 4" xfId="671" xr:uid="{00000000-0005-0000-0000-0000DD000000}"/>
    <cellStyle name="Border 5" xfId="91" xr:uid="{00000000-0005-0000-0000-0000DE000000}"/>
    <cellStyle name="Border 6" xfId="92" xr:uid="{00000000-0005-0000-0000-0000DF000000}"/>
    <cellStyle name="Border 7" xfId="93" xr:uid="{00000000-0005-0000-0000-0000E0000000}"/>
    <cellStyle name="Border 8" xfId="94" xr:uid="{00000000-0005-0000-0000-0000E1000000}"/>
    <cellStyle name="Border 9" xfId="95" xr:uid="{00000000-0005-0000-0000-0000E2000000}"/>
    <cellStyle name="Border 9 2" xfId="404" xr:uid="{00000000-0005-0000-0000-0000E3000000}"/>
    <cellStyle name="Border 9 2 2" xfId="582" xr:uid="{00000000-0005-0000-0000-0000E4000000}"/>
    <cellStyle name="Border 9 3" xfId="493" xr:uid="{00000000-0005-0000-0000-0000E5000000}"/>
    <cellStyle name="Border 9 4" xfId="672" xr:uid="{00000000-0005-0000-0000-0000E6000000}"/>
    <cellStyle name="Calc Currency (0)" xfId="96" xr:uid="{00000000-0005-0000-0000-0000E7000000}"/>
    <cellStyle name="Calc Currency (0) 2" xfId="97" xr:uid="{00000000-0005-0000-0000-0000E8000000}"/>
    <cellStyle name="Calc Currency (2)" xfId="98" xr:uid="{00000000-0005-0000-0000-0000E9000000}"/>
    <cellStyle name="Calc Currency (2) 2" xfId="99" xr:uid="{00000000-0005-0000-0000-0000EA000000}"/>
    <cellStyle name="Calc Percent (0)" xfId="100" xr:uid="{00000000-0005-0000-0000-0000EB000000}"/>
    <cellStyle name="Calc Percent (0) 2" xfId="101" xr:uid="{00000000-0005-0000-0000-0000EC000000}"/>
    <cellStyle name="Calc Percent (1)" xfId="102" xr:uid="{00000000-0005-0000-0000-0000ED000000}"/>
    <cellStyle name="Calc Percent (1) 2" xfId="103" xr:uid="{00000000-0005-0000-0000-0000EE000000}"/>
    <cellStyle name="Calc Percent (2)" xfId="104" xr:uid="{00000000-0005-0000-0000-0000EF000000}"/>
    <cellStyle name="Calc Percent (2) 2" xfId="105" xr:uid="{00000000-0005-0000-0000-0000F0000000}"/>
    <cellStyle name="Calc Units (0)" xfId="106" xr:uid="{00000000-0005-0000-0000-0000F1000000}"/>
    <cellStyle name="Calc Units (0) 2" xfId="107" xr:uid="{00000000-0005-0000-0000-0000F2000000}"/>
    <cellStyle name="Calc Units (1)" xfId="108" xr:uid="{00000000-0005-0000-0000-0000F3000000}"/>
    <cellStyle name="Calc Units (1) 2" xfId="109" xr:uid="{00000000-0005-0000-0000-0000F4000000}"/>
    <cellStyle name="Calc Units (2)" xfId="110" xr:uid="{00000000-0005-0000-0000-0000F5000000}"/>
    <cellStyle name="Calc Units (2) 2" xfId="111" xr:uid="{00000000-0005-0000-0000-0000F6000000}"/>
    <cellStyle name="Calculation" xfId="112" builtinId="22" customBuiltin="1"/>
    <cellStyle name="Centered Heading" xfId="113" xr:uid="{00000000-0005-0000-0000-0000F8000000}"/>
    <cellStyle name="Check Cell" xfId="114" builtinId="23" customBuiltin="1"/>
    <cellStyle name="columns" xfId="115" xr:uid="{00000000-0005-0000-0000-0000FA000000}"/>
    <cellStyle name="Comma" xfId="116" builtinId="3"/>
    <cellStyle name="Comma  - Style1" xfId="117" xr:uid="{00000000-0005-0000-0000-0000FC000000}"/>
    <cellStyle name="Comma  - Style2" xfId="118" xr:uid="{00000000-0005-0000-0000-0000FD000000}"/>
    <cellStyle name="Comma  - Style3" xfId="119" xr:uid="{00000000-0005-0000-0000-0000FE000000}"/>
    <cellStyle name="Comma  - Style4" xfId="120" xr:uid="{00000000-0005-0000-0000-0000FF000000}"/>
    <cellStyle name="Comma  - Style5" xfId="121" xr:uid="{00000000-0005-0000-0000-000000010000}"/>
    <cellStyle name="Comma  - Style6" xfId="122" xr:uid="{00000000-0005-0000-0000-000001010000}"/>
    <cellStyle name="Comma  - Style7" xfId="123" xr:uid="{00000000-0005-0000-0000-000002010000}"/>
    <cellStyle name="Comma  - Style8" xfId="124" xr:uid="{00000000-0005-0000-0000-000003010000}"/>
    <cellStyle name="comma (0)" xfId="125" xr:uid="{00000000-0005-0000-0000-000004010000}"/>
    <cellStyle name="comma (0) 2" xfId="126" xr:uid="{00000000-0005-0000-0000-000005010000}"/>
    <cellStyle name="comma (0) 2 2" xfId="127" xr:uid="{00000000-0005-0000-0000-000006010000}"/>
    <cellStyle name="comma (0) 2 3" xfId="405" xr:uid="{00000000-0005-0000-0000-000007010000}"/>
    <cellStyle name="comma (0) 2 3 2" xfId="583" xr:uid="{00000000-0005-0000-0000-000008010000}"/>
    <cellStyle name="comma (0) 2 4" xfId="494" xr:uid="{00000000-0005-0000-0000-000009010000}"/>
    <cellStyle name="comma (0) 2 5" xfId="673" xr:uid="{00000000-0005-0000-0000-00000A010000}"/>
    <cellStyle name="comma (0) 3" xfId="128" xr:uid="{00000000-0005-0000-0000-00000B010000}"/>
    <cellStyle name="comma (0) 3 2" xfId="406" xr:uid="{00000000-0005-0000-0000-00000C010000}"/>
    <cellStyle name="comma (0) 3 2 2" xfId="584" xr:uid="{00000000-0005-0000-0000-00000D010000}"/>
    <cellStyle name="comma (0) 3 3" xfId="495" xr:uid="{00000000-0005-0000-0000-00000E010000}"/>
    <cellStyle name="comma (0) 3 4" xfId="674" xr:uid="{00000000-0005-0000-0000-00000F010000}"/>
    <cellStyle name="Comma [00]" xfId="129" xr:uid="{00000000-0005-0000-0000-000010010000}"/>
    <cellStyle name="Comma [00] 2" xfId="130" xr:uid="{00000000-0005-0000-0000-000011010000}"/>
    <cellStyle name="Comma 2" xfId="131" xr:uid="{00000000-0005-0000-0000-000012010000}"/>
    <cellStyle name="Comma 2 2" xfId="132" xr:uid="{00000000-0005-0000-0000-000013010000}"/>
    <cellStyle name="Comma 2 2 2" xfId="133" xr:uid="{00000000-0005-0000-0000-000014010000}"/>
    <cellStyle name="Comma 2 2 2 2" xfId="407" xr:uid="{00000000-0005-0000-0000-000015010000}"/>
    <cellStyle name="Comma 2 2 2 2 2" xfId="585" xr:uid="{00000000-0005-0000-0000-000016010000}"/>
    <cellStyle name="Comma 2 2 2 3" xfId="496" xr:uid="{00000000-0005-0000-0000-000017010000}"/>
    <cellStyle name="Comma 2 2 2 4" xfId="718" xr:uid="{00000000-0005-0000-0000-000018010000}"/>
    <cellStyle name="Comma 2 3" xfId="134" xr:uid="{00000000-0005-0000-0000-000019010000}"/>
    <cellStyle name="Comma 2 4" xfId="135" xr:uid="{00000000-0005-0000-0000-00001A010000}"/>
    <cellStyle name="Comma 2 5" xfId="136" xr:uid="{00000000-0005-0000-0000-00001B010000}"/>
    <cellStyle name="Comma 3" xfId="137" xr:uid="{00000000-0005-0000-0000-00001C010000}"/>
    <cellStyle name="Comma 3 2" xfId="138" xr:uid="{00000000-0005-0000-0000-00001D010000}"/>
    <cellStyle name="Comma 3 2 2" xfId="408" xr:uid="{00000000-0005-0000-0000-00001E010000}"/>
    <cellStyle name="Comma 3 2 2 2" xfId="586" xr:uid="{00000000-0005-0000-0000-00001F010000}"/>
    <cellStyle name="Comma 3 2 3" xfId="497" xr:uid="{00000000-0005-0000-0000-000020010000}"/>
    <cellStyle name="Comma 3 2 4" xfId="719" xr:uid="{00000000-0005-0000-0000-000021010000}"/>
    <cellStyle name="Comma 4" xfId="139" xr:uid="{00000000-0005-0000-0000-000022010000}"/>
    <cellStyle name="Comma 4 2" xfId="140" xr:uid="{00000000-0005-0000-0000-000023010000}"/>
    <cellStyle name="Comma 4 3" xfId="409" xr:uid="{00000000-0005-0000-0000-000024010000}"/>
    <cellStyle name="Comma 4 3 2" xfId="587" xr:uid="{00000000-0005-0000-0000-000025010000}"/>
    <cellStyle name="Comma 4 4" xfId="498" xr:uid="{00000000-0005-0000-0000-000026010000}"/>
    <cellStyle name="Comma 4 5" xfId="675" xr:uid="{00000000-0005-0000-0000-000027010000}"/>
    <cellStyle name="Comma 5" xfId="141" xr:uid="{00000000-0005-0000-0000-000028010000}"/>
    <cellStyle name="Comma 5 2" xfId="142" xr:uid="{00000000-0005-0000-0000-000029010000}"/>
    <cellStyle name="Comma 5 3" xfId="410" xr:uid="{00000000-0005-0000-0000-00002A010000}"/>
    <cellStyle name="Comma 5 3 2" xfId="588" xr:uid="{00000000-0005-0000-0000-00002B010000}"/>
    <cellStyle name="Comma 5 4" xfId="499" xr:uid="{00000000-0005-0000-0000-00002C010000}"/>
    <cellStyle name="Comma 5 5" xfId="676" xr:uid="{00000000-0005-0000-0000-00002D010000}"/>
    <cellStyle name="Comma 6" xfId="143" xr:uid="{00000000-0005-0000-0000-00002E010000}"/>
    <cellStyle name="Comma 6 2" xfId="411" xr:uid="{00000000-0005-0000-0000-00002F010000}"/>
    <cellStyle name="Comma 6 2 2" xfId="589" xr:uid="{00000000-0005-0000-0000-000030010000}"/>
    <cellStyle name="Comma 6 3" xfId="500" xr:uid="{00000000-0005-0000-0000-000031010000}"/>
    <cellStyle name="Comma 7" xfId="717" xr:uid="{00000000-0005-0000-0000-000032010000}"/>
    <cellStyle name="Comma Acctg" xfId="144" xr:uid="{00000000-0005-0000-0000-000033010000}"/>
    <cellStyle name="Comma Acctg 2" xfId="145" xr:uid="{00000000-0005-0000-0000-000034010000}"/>
    <cellStyle name="Comma Acctg 2 2" xfId="412" xr:uid="{00000000-0005-0000-0000-000035010000}"/>
    <cellStyle name="Comma Acctg 2 2 2" xfId="590" xr:uid="{00000000-0005-0000-0000-000036010000}"/>
    <cellStyle name="Comma Acctg 2 3" xfId="501" xr:uid="{00000000-0005-0000-0000-000037010000}"/>
    <cellStyle name="Comma Acctg 2 4" xfId="677" xr:uid="{00000000-0005-0000-0000-000038010000}"/>
    <cellStyle name="Comma0" xfId="146" xr:uid="{00000000-0005-0000-0000-000039010000}"/>
    <cellStyle name="Company Name" xfId="147" xr:uid="{00000000-0005-0000-0000-00003A010000}"/>
    <cellStyle name="Contracts" xfId="148" xr:uid="{00000000-0005-0000-0000-00003B010000}"/>
    <cellStyle name="CR Comma" xfId="149" xr:uid="{00000000-0005-0000-0000-00003C010000}"/>
    <cellStyle name="CR Currency" xfId="150" xr:uid="{00000000-0005-0000-0000-00003D010000}"/>
    <cellStyle name="curr" xfId="151" xr:uid="{00000000-0005-0000-0000-00003E010000}"/>
    <cellStyle name="Currency" xfId="152" builtinId="4"/>
    <cellStyle name="Currency [00]" xfId="153" xr:uid="{00000000-0005-0000-0000-000040010000}"/>
    <cellStyle name="Currency [00] 2" xfId="154" xr:uid="{00000000-0005-0000-0000-000041010000}"/>
    <cellStyle name="Currency 2" xfId="155" xr:uid="{00000000-0005-0000-0000-000042010000}"/>
    <cellStyle name="Currency 2 2" xfId="413" xr:uid="{00000000-0005-0000-0000-000043010000}"/>
    <cellStyle name="Currency 2 2 2" xfId="591" xr:uid="{00000000-0005-0000-0000-000044010000}"/>
    <cellStyle name="Currency 2 3" xfId="502" xr:uid="{00000000-0005-0000-0000-000045010000}"/>
    <cellStyle name="Currency 2 4" xfId="678" xr:uid="{00000000-0005-0000-0000-000046010000}"/>
    <cellStyle name="Currency 3" xfId="156" xr:uid="{00000000-0005-0000-0000-000047010000}"/>
    <cellStyle name="Currency 3 2" xfId="414" xr:uid="{00000000-0005-0000-0000-000048010000}"/>
    <cellStyle name="Currency 3 2 2" xfId="592" xr:uid="{00000000-0005-0000-0000-000049010000}"/>
    <cellStyle name="Currency 3 3" xfId="503" xr:uid="{00000000-0005-0000-0000-00004A010000}"/>
    <cellStyle name="Currency 4" xfId="726" xr:uid="{00000000-0005-0000-0000-00004B010000}"/>
    <cellStyle name="Currency Acctg" xfId="157" xr:uid="{00000000-0005-0000-0000-00004C010000}"/>
    <cellStyle name="Currency0" xfId="158" xr:uid="{00000000-0005-0000-0000-00004D010000}"/>
    <cellStyle name="Data" xfId="159" xr:uid="{00000000-0005-0000-0000-00004E010000}"/>
    <cellStyle name="Date" xfId="160" xr:uid="{00000000-0005-0000-0000-00004F010000}"/>
    <cellStyle name="Date Short" xfId="161" xr:uid="{00000000-0005-0000-0000-000050010000}"/>
    <cellStyle name="DateJoel" xfId="162" xr:uid="{00000000-0005-0000-0000-000051010000}"/>
    <cellStyle name="debbie" xfId="163" xr:uid="{00000000-0005-0000-0000-000052010000}"/>
    <cellStyle name="Dezimal [0]_laroux" xfId="164" xr:uid="{00000000-0005-0000-0000-000053010000}"/>
    <cellStyle name="Dezimal_laroux" xfId="165" xr:uid="{00000000-0005-0000-0000-000054010000}"/>
    <cellStyle name="Enter Currency (0)" xfId="166" xr:uid="{00000000-0005-0000-0000-000055010000}"/>
    <cellStyle name="Enter Currency (0) 2" xfId="167" xr:uid="{00000000-0005-0000-0000-000056010000}"/>
    <cellStyle name="Enter Currency (2)" xfId="168" xr:uid="{00000000-0005-0000-0000-000057010000}"/>
    <cellStyle name="Enter Currency (2) 2" xfId="169" xr:uid="{00000000-0005-0000-0000-000058010000}"/>
    <cellStyle name="Enter Units (0)" xfId="170" xr:uid="{00000000-0005-0000-0000-000059010000}"/>
    <cellStyle name="Enter Units (0) 2" xfId="171" xr:uid="{00000000-0005-0000-0000-00005A010000}"/>
    <cellStyle name="Enter Units (1)" xfId="172" xr:uid="{00000000-0005-0000-0000-00005B010000}"/>
    <cellStyle name="Enter Units (1) 2" xfId="173" xr:uid="{00000000-0005-0000-0000-00005C010000}"/>
    <cellStyle name="Enter Units (2)" xfId="174" xr:uid="{00000000-0005-0000-0000-00005D010000}"/>
    <cellStyle name="Enter Units (2) 2" xfId="175" xr:uid="{00000000-0005-0000-0000-00005E010000}"/>
    <cellStyle name="eps" xfId="176" xr:uid="{00000000-0005-0000-0000-00005F010000}"/>
    <cellStyle name="Euro" xfId="177" xr:uid="{00000000-0005-0000-0000-000060010000}"/>
    <cellStyle name="Explanatory Text" xfId="178" builtinId="53" customBuiltin="1"/>
    <cellStyle name="Good" xfId="179" builtinId="26" customBuiltin="1"/>
    <cellStyle name="Grey" xfId="180" xr:uid="{00000000-0005-0000-0000-000063010000}"/>
    <cellStyle name="Header1" xfId="181" xr:uid="{00000000-0005-0000-0000-000064010000}"/>
    <cellStyle name="Header2" xfId="182" xr:uid="{00000000-0005-0000-0000-000065010000}"/>
    <cellStyle name="Header2 10" xfId="183" xr:uid="{00000000-0005-0000-0000-000066010000}"/>
    <cellStyle name="Header2 10 2" xfId="415" xr:uid="{00000000-0005-0000-0000-000067010000}"/>
    <cellStyle name="Header2 10 2 2" xfId="593" xr:uid="{00000000-0005-0000-0000-000068010000}"/>
    <cellStyle name="Header2 10 3" xfId="504" xr:uid="{00000000-0005-0000-0000-000069010000}"/>
    <cellStyle name="Header2 10 4" xfId="679" xr:uid="{00000000-0005-0000-0000-00006A010000}"/>
    <cellStyle name="Header2 11" xfId="184" xr:uid="{00000000-0005-0000-0000-00006B010000}"/>
    <cellStyle name="Header2 11 2" xfId="416" xr:uid="{00000000-0005-0000-0000-00006C010000}"/>
    <cellStyle name="Header2 11 2 2" xfId="594" xr:uid="{00000000-0005-0000-0000-00006D010000}"/>
    <cellStyle name="Header2 11 3" xfId="505" xr:uid="{00000000-0005-0000-0000-00006E010000}"/>
    <cellStyle name="Header2 11 4" xfId="680" xr:uid="{00000000-0005-0000-0000-00006F010000}"/>
    <cellStyle name="Header2 12" xfId="185" xr:uid="{00000000-0005-0000-0000-000070010000}"/>
    <cellStyle name="Header2 12 2" xfId="417" xr:uid="{00000000-0005-0000-0000-000071010000}"/>
    <cellStyle name="Header2 12 2 2" xfId="595" xr:uid="{00000000-0005-0000-0000-000072010000}"/>
    <cellStyle name="Header2 12 3" xfId="506" xr:uid="{00000000-0005-0000-0000-000073010000}"/>
    <cellStyle name="Header2 12 4" xfId="681" xr:uid="{00000000-0005-0000-0000-000074010000}"/>
    <cellStyle name="Header2 13" xfId="186" xr:uid="{00000000-0005-0000-0000-000075010000}"/>
    <cellStyle name="Header2 13 2" xfId="418" xr:uid="{00000000-0005-0000-0000-000076010000}"/>
    <cellStyle name="Header2 13 2 2" xfId="596" xr:uid="{00000000-0005-0000-0000-000077010000}"/>
    <cellStyle name="Header2 13 3" xfId="507" xr:uid="{00000000-0005-0000-0000-000078010000}"/>
    <cellStyle name="Header2 13 4" xfId="682" xr:uid="{00000000-0005-0000-0000-000079010000}"/>
    <cellStyle name="Header2 14" xfId="187" xr:uid="{00000000-0005-0000-0000-00007A010000}"/>
    <cellStyle name="Header2 14 2" xfId="419" xr:uid="{00000000-0005-0000-0000-00007B010000}"/>
    <cellStyle name="Header2 14 2 2" xfId="597" xr:uid="{00000000-0005-0000-0000-00007C010000}"/>
    <cellStyle name="Header2 14 3" xfId="508" xr:uid="{00000000-0005-0000-0000-00007D010000}"/>
    <cellStyle name="Header2 14 4" xfId="683" xr:uid="{00000000-0005-0000-0000-00007E010000}"/>
    <cellStyle name="Header2 15" xfId="188" xr:uid="{00000000-0005-0000-0000-00007F010000}"/>
    <cellStyle name="Header2 15 2" xfId="420" xr:uid="{00000000-0005-0000-0000-000080010000}"/>
    <cellStyle name="Header2 15 2 2" xfId="598" xr:uid="{00000000-0005-0000-0000-000081010000}"/>
    <cellStyle name="Header2 15 3" xfId="509" xr:uid="{00000000-0005-0000-0000-000082010000}"/>
    <cellStyle name="Header2 15 4" xfId="684" xr:uid="{00000000-0005-0000-0000-000083010000}"/>
    <cellStyle name="Header2 16" xfId="189" xr:uid="{00000000-0005-0000-0000-000084010000}"/>
    <cellStyle name="Header2 16 2" xfId="421" xr:uid="{00000000-0005-0000-0000-000085010000}"/>
    <cellStyle name="Header2 16 2 2" xfId="599" xr:uid="{00000000-0005-0000-0000-000086010000}"/>
    <cellStyle name="Header2 16 3" xfId="510" xr:uid="{00000000-0005-0000-0000-000087010000}"/>
    <cellStyle name="Header2 16 4" xfId="685" xr:uid="{00000000-0005-0000-0000-000088010000}"/>
    <cellStyle name="Header2 17" xfId="190" xr:uid="{00000000-0005-0000-0000-000089010000}"/>
    <cellStyle name="Header2 17 2" xfId="422" xr:uid="{00000000-0005-0000-0000-00008A010000}"/>
    <cellStyle name="Header2 17 2 2" xfId="600" xr:uid="{00000000-0005-0000-0000-00008B010000}"/>
    <cellStyle name="Header2 17 3" xfId="511" xr:uid="{00000000-0005-0000-0000-00008C010000}"/>
    <cellStyle name="Header2 17 4" xfId="686" xr:uid="{00000000-0005-0000-0000-00008D010000}"/>
    <cellStyle name="Header2 18" xfId="191" xr:uid="{00000000-0005-0000-0000-00008E010000}"/>
    <cellStyle name="Header2 18 2" xfId="423" xr:uid="{00000000-0005-0000-0000-00008F010000}"/>
    <cellStyle name="Header2 18 2 2" xfId="601" xr:uid="{00000000-0005-0000-0000-000090010000}"/>
    <cellStyle name="Header2 18 3" xfId="512" xr:uid="{00000000-0005-0000-0000-000091010000}"/>
    <cellStyle name="Header2 18 4" xfId="687" xr:uid="{00000000-0005-0000-0000-000092010000}"/>
    <cellStyle name="Header2 19" xfId="192" xr:uid="{00000000-0005-0000-0000-000093010000}"/>
    <cellStyle name="Header2 19 2" xfId="424" xr:uid="{00000000-0005-0000-0000-000094010000}"/>
    <cellStyle name="Header2 19 2 2" xfId="602" xr:uid="{00000000-0005-0000-0000-000095010000}"/>
    <cellStyle name="Header2 19 3" xfId="513" xr:uid="{00000000-0005-0000-0000-000096010000}"/>
    <cellStyle name="Header2 19 4" xfId="688" xr:uid="{00000000-0005-0000-0000-000097010000}"/>
    <cellStyle name="Header2 2" xfId="193" xr:uid="{00000000-0005-0000-0000-000098010000}"/>
    <cellStyle name="Header2 20" xfId="194" xr:uid="{00000000-0005-0000-0000-000099010000}"/>
    <cellStyle name="Header2 20 2" xfId="425" xr:uid="{00000000-0005-0000-0000-00009A010000}"/>
    <cellStyle name="Header2 20 2 2" xfId="603" xr:uid="{00000000-0005-0000-0000-00009B010000}"/>
    <cellStyle name="Header2 20 3" xfId="514" xr:uid="{00000000-0005-0000-0000-00009C010000}"/>
    <cellStyle name="Header2 20 4" xfId="689" xr:uid="{00000000-0005-0000-0000-00009D010000}"/>
    <cellStyle name="Header2 21" xfId="195" xr:uid="{00000000-0005-0000-0000-00009E010000}"/>
    <cellStyle name="Header2 21 2" xfId="426" xr:uid="{00000000-0005-0000-0000-00009F010000}"/>
    <cellStyle name="Header2 21 2 2" xfId="604" xr:uid="{00000000-0005-0000-0000-0000A0010000}"/>
    <cellStyle name="Header2 21 3" xfId="515" xr:uid="{00000000-0005-0000-0000-0000A1010000}"/>
    <cellStyle name="Header2 21 4" xfId="690" xr:uid="{00000000-0005-0000-0000-0000A2010000}"/>
    <cellStyle name="Header2 22" xfId="196" xr:uid="{00000000-0005-0000-0000-0000A3010000}"/>
    <cellStyle name="Header2 22 2" xfId="427" xr:uid="{00000000-0005-0000-0000-0000A4010000}"/>
    <cellStyle name="Header2 22 2 2" xfId="605" xr:uid="{00000000-0005-0000-0000-0000A5010000}"/>
    <cellStyle name="Header2 22 3" xfId="516" xr:uid="{00000000-0005-0000-0000-0000A6010000}"/>
    <cellStyle name="Header2 22 4" xfId="691" xr:uid="{00000000-0005-0000-0000-0000A7010000}"/>
    <cellStyle name="Header2 23" xfId="197" xr:uid="{00000000-0005-0000-0000-0000A8010000}"/>
    <cellStyle name="Header2 23 2" xfId="428" xr:uid="{00000000-0005-0000-0000-0000A9010000}"/>
    <cellStyle name="Header2 23 2 2" xfId="606" xr:uid="{00000000-0005-0000-0000-0000AA010000}"/>
    <cellStyle name="Header2 23 3" xfId="517" xr:uid="{00000000-0005-0000-0000-0000AB010000}"/>
    <cellStyle name="Header2 23 4" xfId="692" xr:uid="{00000000-0005-0000-0000-0000AC010000}"/>
    <cellStyle name="Header2 24" xfId="198" xr:uid="{00000000-0005-0000-0000-0000AD010000}"/>
    <cellStyle name="Header2 24 2" xfId="429" xr:uid="{00000000-0005-0000-0000-0000AE010000}"/>
    <cellStyle name="Header2 24 2 2" xfId="607" xr:uid="{00000000-0005-0000-0000-0000AF010000}"/>
    <cellStyle name="Header2 24 3" xfId="518" xr:uid="{00000000-0005-0000-0000-0000B0010000}"/>
    <cellStyle name="Header2 24 4" xfId="693" xr:uid="{00000000-0005-0000-0000-0000B1010000}"/>
    <cellStyle name="Header2 25" xfId="199" xr:uid="{00000000-0005-0000-0000-0000B2010000}"/>
    <cellStyle name="Header2 25 2" xfId="430" xr:uid="{00000000-0005-0000-0000-0000B3010000}"/>
    <cellStyle name="Header2 25 2 2" xfId="608" xr:uid="{00000000-0005-0000-0000-0000B4010000}"/>
    <cellStyle name="Header2 25 3" xfId="519" xr:uid="{00000000-0005-0000-0000-0000B5010000}"/>
    <cellStyle name="Header2 25 4" xfId="694" xr:uid="{00000000-0005-0000-0000-0000B6010000}"/>
    <cellStyle name="Header2 26" xfId="200" xr:uid="{00000000-0005-0000-0000-0000B7010000}"/>
    <cellStyle name="Header2 26 2" xfId="431" xr:uid="{00000000-0005-0000-0000-0000B8010000}"/>
    <cellStyle name="Header2 26 2 2" xfId="609" xr:uid="{00000000-0005-0000-0000-0000B9010000}"/>
    <cellStyle name="Header2 26 3" xfId="520" xr:uid="{00000000-0005-0000-0000-0000BA010000}"/>
    <cellStyle name="Header2 26 4" xfId="695" xr:uid="{00000000-0005-0000-0000-0000BB010000}"/>
    <cellStyle name="Header2 27" xfId="201" xr:uid="{00000000-0005-0000-0000-0000BC010000}"/>
    <cellStyle name="Header2 27 2" xfId="432" xr:uid="{00000000-0005-0000-0000-0000BD010000}"/>
    <cellStyle name="Header2 27 2 2" xfId="610" xr:uid="{00000000-0005-0000-0000-0000BE010000}"/>
    <cellStyle name="Header2 27 3" xfId="521" xr:uid="{00000000-0005-0000-0000-0000BF010000}"/>
    <cellStyle name="Header2 27 4" xfId="696" xr:uid="{00000000-0005-0000-0000-0000C0010000}"/>
    <cellStyle name="Header2 28" xfId="202" xr:uid="{00000000-0005-0000-0000-0000C1010000}"/>
    <cellStyle name="Header2 28 2" xfId="433" xr:uid="{00000000-0005-0000-0000-0000C2010000}"/>
    <cellStyle name="Header2 28 2 2" xfId="611" xr:uid="{00000000-0005-0000-0000-0000C3010000}"/>
    <cellStyle name="Header2 28 3" xfId="522" xr:uid="{00000000-0005-0000-0000-0000C4010000}"/>
    <cellStyle name="Header2 28 4" xfId="697" xr:uid="{00000000-0005-0000-0000-0000C5010000}"/>
    <cellStyle name="Header2 29" xfId="203" xr:uid="{00000000-0005-0000-0000-0000C6010000}"/>
    <cellStyle name="Header2 29 2" xfId="434" xr:uid="{00000000-0005-0000-0000-0000C7010000}"/>
    <cellStyle name="Header2 29 2 2" xfId="612" xr:uid="{00000000-0005-0000-0000-0000C8010000}"/>
    <cellStyle name="Header2 29 3" xfId="523" xr:uid="{00000000-0005-0000-0000-0000C9010000}"/>
    <cellStyle name="Header2 29 4" xfId="698" xr:uid="{00000000-0005-0000-0000-0000CA010000}"/>
    <cellStyle name="Header2 3" xfId="204" xr:uid="{00000000-0005-0000-0000-0000CB010000}"/>
    <cellStyle name="Header2 30" xfId="205" xr:uid="{00000000-0005-0000-0000-0000CC010000}"/>
    <cellStyle name="Header2 30 2" xfId="435" xr:uid="{00000000-0005-0000-0000-0000CD010000}"/>
    <cellStyle name="Header2 30 2 2" xfId="613" xr:uid="{00000000-0005-0000-0000-0000CE010000}"/>
    <cellStyle name="Header2 30 3" xfId="524" xr:uid="{00000000-0005-0000-0000-0000CF010000}"/>
    <cellStyle name="Header2 30 4" xfId="699" xr:uid="{00000000-0005-0000-0000-0000D0010000}"/>
    <cellStyle name="Header2 31" xfId="206" xr:uid="{00000000-0005-0000-0000-0000D1010000}"/>
    <cellStyle name="Header2 31 2" xfId="436" xr:uid="{00000000-0005-0000-0000-0000D2010000}"/>
    <cellStyle name="Header2 31 2 2" xfId="614" xr:uid="{00000000-0005-0000-0000-0000D3010000}"/>
    <cellStyle name="Header2 31 3" xfId="525" xr:uid="{00000000-0005-0000-0000-0000D4010000}"/>
    <cellStyle name="Header2 31 4" xfId="700" xr:uid="{00000000-0005-0000-0000-0000D5010000}"/>
    <cellStyle name="Header2 32" xfId="207" xr:uid="{00000000-0005-0000-0000-0000D6010000}"/>
    <cellStyle name="Header2 32 2" xfId="437" xr:uid="{00000000-0005-0000-0000-0000D7010000}"/>
    <cellStyle name="Header2 32 2 2" xfId="615" xr:uid="{00000000-0005-0000-0000-0000D8010000}"/>
    <cellStyle name="Header2 32 3" xfId="526" xr:uid="{00000000-0005-0000-0000-0000D9010000}"/>
    <cellStyle name="Header2 32 4" xfId="701" xr:uid="{00000000-0005-0000-0000-0000DA010000}"/>
    <cellStyle name="Header2 33" xfId="208" xr:uid="{00000000-0005-0000-0000-0000DB010000}"/>
    <cellStyle name="Header2 33 2" xfId="438" xr:uid="{00000000-0005-0000-0000-0000DC010000}"/>
    <cellStyle name="Header2 33 2 2" xfId="616" xr:uid="{00000000-0005-0000-0000-0000DD010000}"/>
    <cellStyle name="Header2 33 3" xfId="527" xr:uid="{00000000-0005-0000-0000-0000DE010000}"/>
    <cellStyle name="Header2 33 4" xfId="702" xr:uid="{00000000-0005-0000-0000-0000DF010000}"/>
    <cellStyle name="Header2 34" xfId="209" xr:uid="{00000000-0005-0000-0000-0000E0010000}"/>
    <cellStyle name="Header2 34 2" xfId="439" xr:uid="{00000000-0005-0000-0000-0000E1010000}"/>
    <cellStyle name="Header2 34 2 2" xfId="617" xr:uid="{00000000-0005-0000-0000-0000E2010000}"/>
    <cellStyle name="Header2 34 3" xfId="528" xr:uid="{00000000-0005-0000-0000-0000E3010000}"/>
    <cellStyle name="Header2 34 4" xfId="703" xr:uid="{00000000-0005-0000-0000-0000E4010000}"/>
    <cellStyle name="Header2 35" xfId="210" xr:uid="{00000000-0005-0000-0000-0000E5010000}"/>
    <cellStyle name="Header2 35 2" xfId="440" xr:uid="{00000000-0005-0000-0000-0000E6010000}"/>
    <cellStyle name="Header2 35 2 2" xfId="618" xr:uid="{00000000-0005-0000-0000-0000E7010000}"/>
    <cellStyle name="Header2 35 3" xfId="529" xr:uid="{00000000-0005-0000-0000-0000E8010000}"/>
    <cellStyle name="Header2 35 4" xfId="704" xr:uid="{00000000-0005-0000-0000-0000E9010000}"/>
    <cellStyle name="Header2 36" xfId="211" xr:uid="{00000000-0005-0000-0000-0000EA010000}"/>
    <cellStyle name="Header2 36 2" xfId="441" xr:uid="{00000000-0005-0000-0000-0000EB010000}"/>
    <cellStyle name="Header2 36 2 2" xfId="619" xr:uid="{00000000-0005-0000-0000-0000EC010000}"/>
    <cellStyle name="Header2 36 3" xfId="530" xr:uid="{00000000-0005-0000-0000-0000ED010000}"/>
    <cellStyle name="Header2 36 4" xfId="705" xr:uid="{00000000-0005-0000-0000-0000EE010000}"/>
    <cellStyle name="Header2 37" xfId="212" xr:uid="{00000000-0005-0000-0000-0000EF010000}"/>
    <cellStyle name="Header2 37 2" xfId="442" xr:uid="{00000000-0005-0000-0000-0000F0010000}"/>
    <cellStyle name="Header2 37 2 2" xfId="620" xr:uid="{00000000-0005-0000-0000-0000F1010000}"/>
    <cellStyle name="Header2 37 3" xfId="531" xr:uid="{00000000-0005-0000-0000-0000F2010000}"/>
    <cellStyle name="Header2 37 4" xfId="706" xr:uid="{00000000-0005-0000-0000-0000F3010000}"/>
    <cellStyle name="Header2 38" xfId="213" xr:uid="{00000000-0005-0000-0000-0000F4010000}"/>
    <cellStyle name="Header2 38 2" xfId="443" xr:uid="{00000000-0005-0000-0000-0000F5010000}"/>
    <cellStyle name="Header2 38 2 2" xfId="621" xr:uid="{00000000-0005-0000-0000-0000F6010000}"/>
    <cellStyle name="Header2 38 3" xfId="532" xr:uid="{00000000-0005-0000-0000-0000F7010000}"/>
    <cellStyle name="Header2 38 4" xfId="707" xr:uid="{00000000-0005-0000-0000-0000F8010000}"/>
    <cellStyle name="Header2 39" xfId="214" xr:uid="{00000000-0005-0000-0000-0000F9010000}"/>
    <cellStyle name="Header2 39 2" xfId="444" xr:uid="{00000000-0005-0000-0000-0000FA010000}"/>
    <cellStyle name="Header2 39 2 2" xfId="622" xr:uid="{00000000-0005-0000-0000-0000FB010000}"/>
    <cellStyle name="Header2 39 3" xfId="533" xr:uid="{00000000-0005-0000-0000-0000FC010000}"/>
    <cellStyle name="Header2 39 4" xfId="708" xr:uid="{00000000-0005-0000-0000-0000FD010000}"/>
    <cellStyle name="Header2 4" xfId="215" xr:uid="{00000000-0005-0000-0000-0000FE010000}"/>
    <cellStyle name="Header2 40" xfId="216" xr:uid="{00000000-0005-0000-0000-0000FF010000}"/>
    <cellStyle name="Header2 40 2" xfId="445" xr:uid="{00000000-0005-0000-0000-000000020000}"/>
    <cellStyle name="Header2 40 2 2" xfId="623" xr:uid="{00000000-0005-0000-0000-000001020000}"/>
    <cellStyle name="Header2 40 3" xfId="534" xr:uid="{00000000-0005-0000-0000-000002020000}"/>
    <cellStyle name="Header2 40 4" xfId="709" xr:uid="{00000000-0005-0000-0000-000003020000}"/>
    <cellStyle name="Header2 41" xfId="217" xr:uid="{00000000-0005-0000-0000-000004020000}"/>
    <cellStyle name="Header2 41 2" xfId="446" xr:uid="{00000000-0005-0000-0000-000005020000}"/>
    <cellStyle name="Header2 41 2 2" xfId="624" xr:uid="{00000000-0005-0000-0000-000006020000}"/>
    <cellStyle name="Header2 41 3" xfId="535" xr:uid="{00000000-0005-0000-0000-000007020000}"/>
    <cellStyle name="Header2 41 4" xfId="710" xr:uid="{00000000-0005-0000-0000-000008020000}"/>
    <cellStyle name="Header2 42" xfId="218" xr:uid="{00000000-0005-0000-0000-000009020000}"/>
    <cellStyle name="Header2 42 2" xfId="447" xr:uid="{00000000-0005-0000-0000-00000A020000}"/>
    <cellStyle name="Header2 42 2 2" xfId="625" xr:uid="{00000000-0005-0000-0000-00000B020000}"/>
    <cellStyle name="Header2 42 3" xfId="536" xr:uid="{00000000-0005-0000-0000-00000C020000}"/>
    <cellStyle name="Header2 42 4" xfId="711" xr:uid="{00000000-0005-0000-0000-00000D020000}"/>
    <cellStyle name="Header2 5" xfId="219" xr:uid="{00000000-0005-0000-0000-00000E020000}"/>
    <cellStyle name="Header2 6" xfId="220" xr:uid="{00000000-0005-0000-0000-00000F020000}"/>
    <cellStyle name="Header2 7" xfId="221" xr:uid="{00000000-0005-0000-0000-000010020000}"/>
    <cellStyle name="Header2 8" xfId="222" xr:uid="{00000000-0005-0000-0000-000011020000}"/>
    <cellStyle name="Header2 9" xfId="223" xr:uid="{00000000-0005-0000-0000-000012020000}"/>
    <cellStyle name="Header2 9 2" xfId="448" xr:uid="{00000000-0005-0000-0000-000013020000}"/>
    <cellStyle name="Header2 9 2 2" xfId="626" xr:uid="{00000000-0005-0000-0000-000014020000}"/>
    <cellStyle name="Header2 9 3" xfId="537" xr:uid="{00000000-0005-0000-0000-000015020000}"/>
    <cellStyle name="Header2 9 4" xfId="712" xr:uid="{00000000-0005-0000-0000-000016020000}"/>
    <cellStyle name="Heading" xfId="224" xr:uid="{00000000-0005-0000-0000-000017020000}"/>
    <cellStyle name="Heading 1" xfId="225" builtinId="16" customBuiltin="1"/>
    <cellStyle name="Heading 1 2" xfId="226" xr:uid="{00000000-0005-0000-0000-000019020000}"/>
    <cellStyle name="Heading 1 3" xfId="227" xr:uid="{00000000-0005-0000-0000-00001A020000}"/>
    <cellStyle name="Heading 1 4" xfId="228" xr:uid="{00000000-0005-0000-0000-00001B020000}"/>
    <cellStyle name="Heading 2" xfId="229" builtinId="17" customBuiltin="1"/>
    <cellStyle name="Heading 2 2" xfId="230" xr:uid="{00000000-0005-0000-0000-00001D020000}"/>
    <cellStyle name="Heading 2 3" xfId="231" xr:uid="{00000000-0005-0000-0000-00001E020000}"/>
    <cellStyle name="Heading 2 4" xfId="232" xr:uid="{00000000-0005-0000-0000-00001F020000}"/>
    <cellStyle name="Heading 3" xfId="233" builtinId="18" customBuiltin="1"/>
    <cellStyle name="Heading 4" xfId="234" builtinId="19" customBuiltin="1"/>
    <cellStyle name="Heading No Underline" xfId="235" xr:uid="{00000000-0005-0000-0000-000022020000}"/>
    <cellStyle name="Heading With Underline" xfId="236" xr:uid="{00000000-0005-0000-0000-000023020000}"/>
    <cellStyle name="Hyperlink 2" xfId="237" xr:uid="{00000000-0005-0000-0000-000024020000}"/>
    <cellStyle name="Hyperlink 2 2" xfId="238" xr:uid="{00000000-0005-0000-0000-000025020000}"/>
    <cellStyle name="Hyperlink 2 2 2" xfId="239" xr:uid="{00000000-0005-0000-0000-000026020000}"/>
    <cellStyle name="Hyperlink 3" xfId="240" xr:uid="{00000000-0005-0000-0000-000027020000}"/>
    <cellStyle name="Hyperlink 4" xfId="241" xr:uid="{00000000-0005-0000-0000-000028020000}"/>
    <cellStyle name="Hyperlink 5" xfId="242" xr:uid="{00000000-0005-0000-0000-000029020000}"/>
    <cellStyle name="Input" xfId="243" builtinId="20" customBuiltin="1"/>
    <cellStyle name="Input [yellow]" xfId="244" xr:uid="{00000000-0005-0000-0000-00002B020000}"/>
    <cellStyle name="Link Currency (0)" xfId="245" xr:uid="{00000000-0005-0000-0000-00002C020000}"/>
    <cellStyle name="Link Currency (0) 2" xfId="246" xr:uid="{00000000-0005-0000-0000-00002D020000}"/>
    <cellStyle name="Link Currency (2)" xfId="247" xr:uid="{00000000-0005-0000-0000-00002E020000}"/>
    <cellStyle name="Link Currency (2) 2" xfId="248" xr:uid="{00000000-0005-0000-0000-00002F020000}"/>
    <cellStyle name="Link Units (0)" xfId="249" xr:uid="{00000000-0005-0000-0000-000030020000}"/>
    <cellStyle name="Link Units (0) 2" xfId="250" xr:uid="{00000000-0005-0000-0000-000031020000}"/>
    <cellStyle name="Link Units (1)" xfId="251" xr:uid="{00000000-0005-0000-0000-000032020000}"/>
    <cellStyle name="Link Units (1) 2" xfId="252" xr:uid="{00000000-0005-0000-0000-000033020000}"/>
    <cellStyle name="Link Units (2)" xfId="253" xr:uid="{00000000-0005-0000-0000-000034020000}"/>
    <cellStyle name="Link Units (2) 2" xfId="254" xr:uid="{00000000-0005-0000-0000-000035020000}"/>
    <cellStyle name="Linked Cell" xfId="255" builtinId="24" customBuiltin="1"/>
    <cellStyle name="Millares [0]_pldt" xfId="256" xr:uid="{00000000-0005-0000-0000-000037020000}"/>
    <cellStyle name="Millares_pldt" xfId="257" xr:uid="{00000000-0005-0000-0000-000038020000}"/>
    <cellStyle name="Milliers [0]_AR1194" xfId="258" xr:uid="{00000000-0005-0000-0000-000039020000}"/>
    <cellStyle name="Milliers_AR1194" xfId="259" xr:uid="{00000000-0005-0000-0000-00003A020000}"/>
    <cellStyle name="Moneda [0]_pldt" xfId="260" xr:uid="{00000000-0005-0000-0000-00003B020000}"/>
    <cellStyle name="Moneda_pldt" xfId="261" xr:uid="{00000000-0005-0000-0000-00003C020000}"/>
    <cellStyle name="Monétaire [0]_AR1194" xfId="262" xr:uid="{00000000-0005-0000-0000-00003D020000}"/>
    <cellStyle name="Monétaire_AR1194" xfId="263" xr:uid="{00000000-0005-0000-0000-00003E020000}"/>
    <cellStyle name="negativ" xfId="264" xr:uid="{00000000-0005-0000-0000-00003F020000}"/>
    <cellStyle name="Neutral" xfId="265" builtinId="28" customBuiltin="1"/>
    <cellStyle name="no dec" xfId="266" xr:uid="{00000000-0005-0000-0000-000041020000}"/>
    <cellStyle name="nodollars" xfId="267" xr:uid="{00000000-0005-0000-0000-000042020000}"/>
    <cellStyle name="nodollars 2" xfId="268" xr:uid="{00000000-0005-0000-0000-000043020000}"/>
    <cellStyle name="nodollars 2 2" xfId="449" xr:uid="{00000000-0005-0000-0000-000044020000}"/>
    <cellStyle name="nodollars 2 2 2" xfId="627" xr:uid="{00000000-0005-0000-0000-000045020000}"/>
    <cellStyle name="nodollars 2 3" xfId="538" xr:uid="{00000000-0005-0000-0000-000046020000}"/>
    <cellStyle name="nodollars 2 4" xfId="713" xr:uid="{00000000-0005-0000-0000-000047020000}"/>
    <cellStyle name="Normal" xfId="0" builtinId="0" customBuiltin="1"/>
    <cellStyle name="Normal - Style1" xfId="269" xr:uid="{00000000-0005-0000-0000-000049020000}"/>
    <cellStyle name="Normal - Style1 2" xfId="270" xr:uid="{00000000-0005-0000-0000-00004A020000}"/>
    <cellStyle name="Normal - Style2" xfId="271" xr:uid="{00000000-0005-0000-0000-00004B020000}"/>
    <cellStyle name="Normal - Style3" xfId="272" xr:uid="{00000000-0005-0000-0000-00004C020000}"/>
    <cellStyle name="Normal - Style4" xfId="273" xr:uid="{00000000-0005-0000-0000-00004D020000}"/>
    <cellStyle name="Normal - Style5" xfId="274" xr:uid="{00000000-0005-0000-0000-00004E020000}"/>
    <cellStyle name="Normal 10" xfId="275" xr:uid="{00000000-0005-0000-0000-00004F020000}"/>
    <cellStyle name="Normal 11" xfId="276" xr:uid="{00000000-0005-0000-0000-000050020000}"/>
    <cellStyle name="Normal 11 2" xfId="450" xr:uid="{00000000-0005-0000-0000-000051020000}"/>
    <cellStyle name="Normal 11 2 2" xfId="628" xr:uid="{00000000-0005-0000-0000-000052020000}"/>
    <cellStyle name="Normal 11 3" xfId="539" xr:uid="{00000000-0005-0000-0000-000053020000}"/>
    <cellStyle name="Normal 12" xfId="638" xr:uid="{00000000-0005-0000-0000-000054020000}"/>
    <cellStyle name="Normal 13" xfId="731" xr:uid="{17390E6C-203F-47F9-8E39-5A97F75F507E}"/>
    <cellStyle name="Normal 2" xfId="277" xr:uid="{00000000-0005-0000-0000-000055020000}"/>
    <cellStyle name="Normal 2 2" xfId="278" xr:uid="{00000000-0005-0000-0000-000056020000}"/>
    <cellStyle name="Normal 2 2 2" xfId="279" xr:uid="{00000000-0005-0000-0000-000057020000}"/>
    <cellStyle name="Normal 2 2 2 2" xfId="451" xr:uid="{00000000-0005-0000-0000-000058020000}"/>
    <cellStyle name="Normal 2 2 2 2 2" xfId="629" xr:uid="{00000000-0005-0000-0000-000059020000}"/>
    <cellStyle name="Normal 2 2 2 3" xfId="540" xr:uid="{00000000-0005-0000-0000-00005A020000}"/>
    <cellStyle name="Normal 2 2 2 4" xfId="714" xr:uid="{00000000-0005-0000-0000-00005B020000}"/>
    <cellStyle name="Normal 2 2 3" xfId="280" xr:uid="{00000000-0005-0000-0000-00005C020000}"/>
    <cellStyle name="Normal 2 3" xfId="281" xr:uid="{00000000-0005-0000-0000-00005D020000}"/>
    <cellStyle name="Normal 2 3 2" xfId="282" xr:uid="{00000000-0005-0000-0000-00005E020000}"/>
    <cellStyle name="Normal 2 4" xfId="283" xr:uid="{00000000-0005-0000-0000-00005F020000}"/>
    <cellStyle name="Normal 2 5" xfId="284" xr:uid="{00000000-0005-0000-0000-000060020000}"/>
    <cellStyle name="Normal 2 6" xfId="285" xr:uid="{00000000-0005-0000-0000-000061020000}"/>
    <cellStyle name="Normal 2 7" xfId="286" xr:uid="{00000000-0005-0000-0000-000062020000}"/>
    <cellStyle name="Normal 2 8" xfId="730" xr:uid="{14194A70-3463-4339-93C0-B40ECA10ACCC}"/>
    <cellStyle name="Normal 3" xfId="287" xr:uid="{00000000-0005-0000-0000-000063020000}"/>
    <cellStyle name="Normal 3 2" xfId="288" xr:uid="{00000000-0005-0000-0000-000064020000}"/>
    <cellStyle name="Normal 3 2 2" xfId="452" xr:uid="{00000000-0005-0000-0000-000065020000}"/>
    <cellStyle name="Normal 3 2 2 2" xfId="630" xr:uid="{00000000-0005-0000-0000-000066020000}"/>
    <cellStyle name="Normal 3 2 3" xfId="541" xr:uid="{00000000-0005-0000-0000-000067020000}"/>
    <cellStyle name="Normal 3 2 4" xfId="720" xr:uid="{00000000-0005-0000-0000-000068020000}"/>
    <cellStyle name="Normal 3 3" xfId="289" xr:uid="{00000000-0005-0000-0000-000069020000}"/>
    <cellStyle name="Normal 3 3 2" xfId="453" xr:uid="{00000000-0005-0000-0000-00006A020000}"/>
    <cellStyle name="Normal 3 3 2 2" xfId="631" xr:uid="{00000000-0005-0000-0000-00006B020000}"/>
    <cellStyle name="Normal 3 3 3" xfId="542" xr:uid="{00000000-0005-0000-0000-00006C020000}"/>
    <cellStyle name="Normal 3 3 4" xfId="721" xr:uid="{00000000-0005-0000-0000-00006D020000}"/>
    <cellStyle name="Normal 4" xfId="290" xr:uid="{00000000-0005-0000-0000-00006E020000}"/>
    <cellStyle name="Normal 5" xfId="291" xr:uid="{00000000-0005-0000-0000-00006F020000}"/>
    <cellStyle name="Normal 5 2" xfId="292" xr:uid="{00000000-0005-0000-0000-000070020000}"/>
    <cellStyle name="Normal 6" xfId="293" xr:uid="{00000000-0005-0000-0000-000071020000}"/>
    <cellStyle name="Normal 6 2" xfId="294" xr:uid="{00000000-0005-0000-0000-000072020000}"/>
    <cellStyle name="Normal 6 2 2" xfId="454" xr:uid="{00000000-0005-0000-0000-000073020000}"/>
    <cellStyle name="Normal 6 2 2 2" xfId="632" xr:uid="{00000000-0005-0000-0000-000074020000}"/>
    <cellStyle name="Normal 6 2 3" xfId="543" xr:uid="{00000000-0005-0000-0000-000075020000}"/>
    <cellStyle name="Normal 6 2 4" xfId="722" xr:uid="{00000000-0005-0000-0000-000076020000}"/>
    <cellStyle name="Normal 6 2 5" xfId="727" xr:uid="{00000000-0005-0000-0000-000077020000}"/>
    <cellStyle name="Normal 6 3" xfId="295" xr:uid="{00000000-0005-0000-0000-000078020000}"/>
    <cellStyle name="Normal 7" xfId="296" xr:uid="{00000000-0005-0000-0000-000079020000}"/>
    <cellStyle name="Normal 7 2" xfId="297" xr:uid="{00000000-0005-0000-0000-00007A020000}"/>
    <cellStyle name="Normal 7 2 2" xfId="456" xr:uid="{00000000-0005-0000-0000-00007B020000}"/>
    <cellStyle name="Normal 7 2 2 2" xfId="634" xr:uid="{00000000-0005-0000-0000-00007C020000}"/>
    <cellStyle name="Normal 7 2 2 3" xfId="729" xr:uid="{00000000-0005-0000-0000-00007D020000}"/>
    <cellStyle name="Normal 7 2 3" xfId="545" xr:uid="{00000000-0005-0000-0000-00007E020000}"/>
    <cellStyle name="Normal 7 2 4" xfId="723" xr:uid="{00000000-0005-0000-0000-00007F020000}"/>
    <cellStyle name="Normal 7 2 5" xfId="728" xr:uid="{00000000-0005-0000-0000-000080020000}"/>
    <cellStyle name="Normal 7 3" xfId="455" xr:uid="{00000000-0005-0000-0000-000081020000}"/>
    <cellStyle name="Normal 7 3 2" xfId="633" xr:uid="{00000000-0005-0000-0000-000082020000}"/>
    <cellStyle name="Normal 7 4" xfId="544" xr:uid="{00000000-0005-0000-0000-000083020000}"/>
    <cellStyle name="Normal 7 5" xfId="715" xr:uid="{00000000-0005-0000-0000-000084020000}"/>
    <cellStyle name="Normal 8" xfId="298" xr:uid="{00000000-0005-0000-0000-000085020000}"/>
    <cellStyle name="Normal 8 2" xfId="299" xr:uid="{00000000-0005-0000-0000-000086020000}"/>
    <cellStyle name="Normal 8 3" xfId="300" xr:uid="{00000000-0005-0000-0000-000087020000}"/>
    <cellStyle name="Normal 8 4" xfId="457" xr:uid="{00000000-0005-0000-0000-000088020000}"/>
    <cellStyle name="Normal 8 4 2" xfId="635" xr:uid="{00000000-0005-0000-0000-000089020000}"/>
    <cellStyle name="Normal 8 5" xfId="546" xr:uid="{00000000-0005-0000-0000-00008A020000}"/>
    <cellStyle name="Normal 8 6" xfId="716" xr:uid="{00000000-0005-0000-0000-00008B020000}"/>
    <cellStyle name="Normal 9" xfId="301" xr:uid="{00000000-0005-0000-0000-00008C020000}"/>
    <cellStyle name="Normal_Comps" xfId="302" xr:uid="{00000000-0005-0000-0000-00008D020000}"/>
    <cellStyle name="Number0DecimalStyle" xfId="303" xr:uid="{00000000-0005-0000-0000-00008E020000}"/>
    <cellStyle name="Number0DecimalStyle 2" xfId="304" xr:uid="{00000000-0005-0000-0000-00008F020000}"/>
    <cellStyle name="Number10DecimalStyle" xfId="305" xr:uid="{00000000-0005-0000-0000-000090020000}"/>
    <cellStyle name="Number1DecimalStyle" xfId="306" xr:uid="{00000000-0005-0000-0000-000091020000}"/>
    <cellStyle name="Number2DecimalStyle" xfId="307" xr:uid="{00000000-0005-0000-0000-000092020000}"/>
    <cellStyle name="Number2DecimalStyle 2" xfId="308" xr:uid="{00000000-0005-0000-0000-000093020000}"/>
    <cellStyle name="Number3DecimalStyle" xfId="309" xr:uid="{00000000-0005-0000-0000-000094020000}"/>
    <cellStyle name="Number4DecimalStyle" xfId="310" xr:uid="{00000000-0005-0000-0000-000095020000}"/>
    <cellStyle name="Number5DecimalStyle" xfId="311" xr:uid="{00000000-0005-0000-0000-000096020000}"/>
    <cellStyle name="Number6DecimalStyle" xfId="312" xr:uid="{00000000-0005-0000-0000-000097020000}"/>
    <cellStyle name="Number7DecimalStyle" xfId="313" xr:uid="{00000000-0005-0000-0000-000098020000}"/>
    <cellStyle name="Number8DecimalStyle" xfId="314" xr:uid="{00000000-0005-0000-0000-000099020000}"/>
    <cellStyle name="Number9DecimalStyle" xfId="315" xr:uid="{00000000-0005-0000-0000-00009A020000}"/>
    <cellStyle name="Output" xfId="316" builtinId="21" customBuiltin="1"/>
    <cellStyle name="over" xfId="317" xr:uid="{00000000-0005-0000-0000-00009C020000}"/>
    <cellStyle name="Percent" xfId="318" builtinId="5"/>
    <cellStyle name="percent (0)" xfId="319" xr:uid="{00000000-0005-0000-0000-00009E020000}"/>
    <cellStyle name="Percent [0]" xfId="320" xr:uid="{00000000-0005-0000-0000-00009F020000}"/>
    <cellStyle name="Percent [0] 2" xfId="321" xr:uid="{00000000-0005-0000-0000-0000A0020000}"/>
    <cellStyle name="Percent [00]" xfId="322" xr:uid="{00000000-0005-0000-0000-0000A1020000}"/>
    <cellStyle name="Percent [00] 2" xfId="323" xr:uid="{00000000-0005-0000-0000-0000A2020000}"/>
    <cellStyle name="Percent [2]" xfId="324" xr:uid="{00000000-0005-0000-0000-0000A3020000}"/>
    <cellStyle name="Percent 10" xfId="325" xr:uid="{00000000-0005-0000-0000-0000A4020000}"/>
    <cellStyle name="Percent 2" xfId="326" xr:uid="{00000000-0005-0000-0000-0000A5020000}"/>
    <cellStyle name="Percent 2 2" xfId="327" xr:uid="{00000000-0005-0000-0000-0000A6020000}"/>
    <cellStyle name="Percent 2 3" xfId="328" xr:uid="{00000000-0005-0000-0000-0000A7020000}"/>
    <cellStyle name="Percent 2 4" xfId="329" xr:uid="{00000000-0005-0000-0000-0000A8020000}"/>
    <cellStyle name="Percent 3" xfId="330" xr:uid="{00000000-0005-0000-0000-0000A9020000}"/>
    <cellStyle name="Percent 3 2" xfId="331" xr:uid="{00000000-0005-0000-0000-0000AA020000}"/>
    <cellStyle name="Percent 4" xfId="332" xr:uid="{00000000-0005-0000-0000-0000AB020000}"/>
    <cellStyle name="Percent 4 2" xfId="458" xr:uid="{00000000-0005-0000-0000-0000AC020000}"/>
    <cellStyle name="Percent 4 2 2" xfId="636" xr:uid="{00000000-0005-0000-0000-0000AD020000}"/>
    <cellStyle name="Percent 4 3" xfId="547" xr:uid="{00000000-0005-0000-0000-0000AE020000}"/>
    <cellStyle name="Percent 4 4" xfId="724" xr:uid="{00000000-0005-0000-0000-0000AF020000}"/>
    <cellStyle name="Percent 5" xfId="333" xr:uid="{00000000-0005-0000-0000-0000B0020000}"/>
    <cellStyle name="Percent 5 2" xfId="459" xr:uid="{00000000-0005-0000-0000-0000B1020000}"/>
    <cellStyle name="Percent 5 2 2" xfId="637" xr:uid="{00000000-0005-0000-0000-0000B2020000}"/>
    <cellStyle name="Percent 5 3" xfId="548" xr:uid="{00000000-0005-0000-0000-0000B3020000}"/>
    <cellStyle name="Percent 6" xfId="334" xr:uid="{00000000-0005-0000-0000-0000B4020000}"/>
    <cellStyle name="Percent 7" xfId="725" xr:uid="{00000000-0005-0000-0000-0000B5020000}"/>
    <cellStyle name="PERCENTAGE" xfId="335" xr:uid="{00000000-0005-0000-0000-0000B6020000}"/>
    <cellStyle name="posit" xfId="336" xr:uid="{00000000-0005-0000-0000-0000B7020000}"/>
    <cellStyle name="Powerpoint Style" xfId="337" xr:uid="{00000000-0005-0000-0000-0000B8020000}"/>
    <cellStyle name="PrePop Currency (0)" xfId="338" xr:uid="{00000000-0005-0000-0000-0000B9020000}"/>
    <cellStyle name="PrePop Currency (0) 2" xfId="339" xr:uid="{00000000-0005-0000-0000-0000BA020000}"/>
    <cellStyle name="PrePop Currency (2)" xfId="340" xr:uid="{00000000-0005-0000-0000-0000BB020000}"/>
    <cellStyle name="PrePop Currency (2) 2" xfId="341" xr:uid="{00000000-0005-0000-0000-0000BC020000}"/>
    <cellStyle name="PrePop Units (0)" xfId="342" xr:uid="{00000000-0005-0000-0000-0000BD020000}"/>
    <cellStyle name="PrePop Units (0) 2" xfId="343" xr:uid="{00000000-0005-0000-0000-0000BE020000}"/>
    <cellStyle name="PrePop Units (1)" xfId="344" xr:uid="{00000000-0005-0000-0000-0000BF020000}"/>
    <cellStyle name="PrePop Units (1) 2" xfId="345" xr:uid="{00000000-0005-0000-0000-0000C0020000}"/>
    <cellStyle name="PrePop Units (2)" xfId="346" xr:uid="{00000000-0005-0000-0000-0000C1020000}"/>
    <cellStyle name="PrePop Units (2) 2" xfId="347" xr:uid="{00000000-0005-0000-0000-0000C2020000}"/>
    <cellStyle name="SingleTopDoubleBott" xfId="348" xr:uid="{00000000-0005-0000-0000-0000C3020000}"/>
    <cellStyle name="Standard_A" xfId="349" xr:uid="{00000000-0005-0000-0000-0000C4020000}"/>
    <cellStyle name="Style 1" xfId="350" xr:uid="{00000000-0005-0000-0000-0000C5020000}"/>
    <cellStyle name="Style 2" xfId="351" xr:uid="{00000000-0005-0000-0000-0000C6020000}"/>
    <cellStyle name="Text Indent A" xfId="352" xr:uid="{00000000-0005-0000-0000-0000C7020000}"/>
    <cellStyle name="Text Indent B" xfId="353" xr:uid="{00000000-0005-0000-0000-0000C8020000}"/>
    <cellStyle name="Text Indent B 2" xfId="354" xr:uid="{00000000-0005-0000-0000-0000C9020000}"/>
    <cellStyle name="Text Indent C" xfId="355" xr:uid="{00000000-0005-0000-0000-0000CA020000}"/>
    <cellStyle name="Text Indent C 2" xfId="356" xr:uid="{00000000-0005-0000-0000-0000CB020000}"/>
    <cellStyle name="TextStyle" xfId="357" xr:uid="{00000000-0005-0000-0000-0000CC020000}"/>
    <cellStyle name="Tickmark" xfId="358" xr:uid="{00000000-0005-0000-0000-0000CD020000}"/>
    <cellStyle name="TimStyle" xfId="359" xr:uid="{00000000-0005-0000-0000-0000CE020000}"/>
    <cellStyle name="Total" xfId="360" builtinId="25" customBuiltin="1"/>
    <cellStyle name="Total 2" xfId="361" xr:uid="{00000000-0005-0000-0000-0000D0020000}"/>
    <cellStyle name="Total 3" xfId="362" xr:uid="{00000000-0005-0000-0000-0000D1020000}"/>
    <cellStyle name="Total 4" xfId="363" xr:uid="{00000000-0005-0000-0000-0000D2020000}"/>
    <cellStyle name="Underline" xfId="364" xr:uid="{00000000-0005-0000-0000-0000D3020000}"/>
    <cellStyle name="UnderlineDouble" xfId="365" xr:uid="{00000000-0005-0000-0000-0000D4020000}"/>
    <cellStyle name="Währung [0]_RESULTS" xfId="366" xr:uid="{00000000-0005-0000-0000-0000D5020000}"/>
    <cellStyle name="Währung_RESULTS" xfId="367" xr:uid="{00000000-0005-0000-0000-0000D6020000}"/>
    <cellStyle name="Warning Text" xfId="368" builtinId="11" customBuiltin="1"/>
    <cellStyle name="표준_BINV" xfId="369" xr:uid="{00000000-0005-0000-0000-0000D8020000}"/>
    <cellStyle name="標準_99B-05PE_IC2" xfId="370" xr:uid="{00000000-0005-0000-0000-0000D902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8000"/>
      <rgbColor rgb="00339966"/>
      <rgbColor rgb="0099CC00"/>
      <rgbColor rgb="00CCFFCC"/>
      <rgbColor rgb="00808080"/>
      <rgbColor rgb="00D9D9D9"/>
      <rgbColor rgb="00262626"/>
      <rgbColor rgb="004C4C4C"/>
      <rgbColor rgb="00000080"/>
      <rgbColor rgb="007979FF"/>
      <rgbColor rgb="00D9D9FF"/>
      <rgbColor rgb="001A1AFF"/>
      <rgbColor rgb="00808080"/>
      <rgbColor rgb="00D9D9D9"/>
      <rgbColor rgb="00262626"/>
      <rgbColor rgb="004C4C4C"/>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179.30529999999999</v>
        <stp/>
        <stp>##V3_BDHV12</stp>
        <stp>NOW EQUITY</stp>
        <stp>BS_SH_OUT</stp>
        <stp>11/29/2018</stp>
        <stp>11/29/2018</stp>
        <stp>[RAMP_11-29-2018 vWIC.xlsm]Current Comps!R11C92</stp>
        <stp>EQY_FUND_PER=Q</stp>
        <stp>days=a</stp>
        <stp>fill=p</stp>
        <tr r="CN11" s="35"/>
      </tp>
      <tp t="s">
        <v>12/2017</v>
        <stp/>
        <stp>##V3_BDPV12</stp>
        <stp>TTD EQUITY</stp>
        <stp>EQY_FISCAL_YR_END</stp>
        <stp>[RAMP_10-30-2018 vWIC.xlsm]Current Comps!R13C93</stp>
        <tr r="CO13" s="35"/>
      </tp>
      <tp>
        <v>343.37399999999997</v>
        <stp/>
        <stp>##V3_BDPV12</stp>
        <stp>OKTA Equity</stp>
        <stp>BS_MKT_SEC_OTHER_ST_INVEST</stp>
        <stp>[RAMP_11-29-2018 vWIC.xlsm]Current Comps!R14C25</stp>
        <stp>EQY_FUND_DT=20181129</stp>
        <stp>EQY_FUND_RELATIVE_PERIOD=-0FQ</stp>
        <tr r="Y14" s="35"/>
        <tr r="Y14" s="35"/>
      </tp>
      <tp>
        <v>-286.84410000000003</v>
        <stp/>
        <stp>##V3_BDHV12</stp>
        <stp>SPLK EQUITY</stp>
        <stp>TRAIL_12M_EST_COMP_NET_INC_ADJ</stp>
        <stp>11/29/2018</stp>
        <stp>11/29/2018</stp>
        <stp>[RAMP_11-29-2018 vWIC.xlsm]Current Comps!R10C44</stp>
        <stp>days=a</stp>
        <stp>fill=p</stp>
        <tr r="AR10" s="35"/>
      </tp>
      <tp>
        <v>0</v>
        <stp/>
        <stp>##V3_BDPV12</stp>
        <stp>CRM Equity</stp>
        <stp>BS_MINORITY_INT</stp>
        <stp>[RAMP_11-29-2018 vWIC.xlsm]Current Comps!R7C23</stp>
        <stp>EQY_FUND_DT=20181129</stp>
        <stp>EQY_FUND_RELATIVE_PERIOD=-0FQ</stp>
        <tr r="W7" s="35"/>
        <tr r="W7" s="35"/>
      </tp>
      <tp>
        <v>-987.21299999999997</v>
        <stp/>
        <stp>##V3_BDPV12</stp>
        <stp>NOW Equity</stp>
        <stp>BS_RETAIN_EARN</stp>
        <stp>[RAMP_11-29-2018 vWIC.xlsm]Current Comps!R11C27</stp>
        <stp>EQY_FUND_DT=20181129</stp>
        <stp>EQY_FUND_RELATIVE_PERIOD=-0FQ</stp>
        <tr r="AA11" s="35"/>
        <tr r="AA11" s="35"/>
      </tp>
      <tp>
        <v>0</v>
        <stp/>
        <stp>##V3_BDPV12</stp>
        <stp>SEND Equity</stp>
        <stp>BS_PFD_EQY</stp>
        <stp>[RAMP_11-29-2018 vWIC.xlsm]Current Comps!R20C22</stp>
        <stp>EQY_FUND_DT=20181129</stp>
        <stp>EQY_FUND_RELATIVE_PERIOD=-0FQ</stp>
        <tr r="V20" s="35"/>
        <tr r="V20" s="35"/>
      </tp>
      <tp t="s">
        <v>OKTA INC</v>
        <stp/>
        <stp>##V3_BDPV12</stp>
        <stp>OKTA EQUITY</stp>
        <stp>name</stp>
        <stp>[RAMP_10-30-2018 vWIC.xlsm]Current Comps!R112C2</stp>
        <tr r="B112" s="35"/>
      </tp>
      <tp>
        <v>-93.725999999999999</v>
        <stp/>
        <stp>##V3_BDHV12</stp>
        <stp>ZEN EQUITY</stp>
        <stp>TRAIL_12M_EST_COMP_NET_INC_ADJ</stp>
        <stp>11/29/2018</stp>
        <stp>11/29/2018</stp>
        <stp>[RAMP_11-29-2018 vWIC.xlsm]Current Comps!R15C44</stp>
        <stp>days=a</stp>
        <stp>fill=p</stp>
        <tr r="AR15" s="35"/>
      </tp>
      <tp>
        <v>-191.125</v>
        <stp/>
        <stp>##V3_BDHV12</stp>
        <stp>NOW EQUITY</stp>
        <stp>BEST_CAPEX</stp>
        <stp>11/29/2018</stp>
        <stp>11/29/2018</stp>
        <stp>[RAMP_11-29-2018 vWIC.xlsm]Current Comps!R11C60</stp>
        <stp>BEST_FPERIOD_OVERRIDE=18Y</stp>
        <stp>days=a</stp>
        <stp>fill=p</stp>
        <tr r="BH11" s="35"/>
      </tp>
      <tp t="s">
        <v>#N/A N/A</v>
        <stp/>
        <stp>##V3_BDHV12</stp>
        <stp>NOW EQUITY</stp>
        <stp>BEST_CAPEX</stp>
        <stp>11/29/2018</stp>
        <stp>11/29/2018</stp>
        <stp>[RAMP_11-29-2018 vWIC.xlsm]Current Comps!R11C63</stp>
        <stp>BEST_FPERIOD_OVERRIDE=21Y</stp>
        <stp>days=a</stp>
        <stp>fill=p</stp>
        <tr r="BK11" s="35"/>
      </tp>
      <tp>
        <v>-218.93700000000001</v>
        <stp/>
        <stp>##V3_BDHV12</stp>
        <stp>NOW EQUITY</stp>
        <stp>BEST_CAPEX</stp>
        <stp>11/29/2018</stp>
        <stp>11/29/2018</stp>
        <stp>[RAMP_11-29-2018 vWIC.xlsm]Current Comps!R11C61</stp>
        <stp>BEST_FPERIOD_OVERRIDE=19Y</stp>
        <stp>days=a</stp>
        <stp>fill=p</stp>
        <tr r="BI11" s="35"/>
      </tp>
      <tp>
        <v>-266.18200000000002</v>
        <stp/>
        <stp>##V3_BDHV12</stp>
        <stp>NOW EQUITY</stp>
        <stp>BEST_CAPEX</stp>
        <stp>11/29/2018</stp>
        <stp>11/29/2018</stp>
        <stp>[RAMP_11-29-2018 vWIC.xlsm]Current Comps!R11C62</stp>
        <stp>BEST_FPERIOD_OVERRIDE=20Y</stp>
        <stp>days=a</stp>
        <stp>fill=p</stp>
        <tr r="BJ11" s="35"/>
      </tp>
      <tp>
        <v>677.50799999999992</v>
        <stp/>
        <stp>##V3_BDPV12</stp>
        <stp>OKTA Equity</stp>
        <stp>BS_SH_CAP_AND_APIC</stp>
        <stp>[RAMP_11-29-2018 vWIC.xlsm]Current Comps!R14C26</stp>
        <stp>EQY_FUND_DT=20181129</stp>
        <stp>EQY_FUND_RELATIVE_PERIOD=-0FQ</stp>
        <tr r="Z14" s="35"/>
        <tr r="Z14" s="35"/>
      </tp>
      <tp>
        <v>0</v>
        <stp/>
        <stp>##V3_BDPV12</stp>
        <stp>SPLK Equity</stp>
        <stp>BS_PFD_EQY</stp>
        <stp>[RAMP_11-29-2018 vWIC.xlsm]Current Comps!R10C22</stp>
        <stp>EQY_FUND_DT=20181129</stp>
        <stp>EQY_FUND_RELATIVE_PERIOD=-0FQ</stp>
        <tr r="V10" s="35"/>
        <tr r="V10" s="35"/>
      </tp>
      <tp t="s">
        <v>ZENDESK INC</v>
        <stp/>
        <stp>##V3_BDPV12</stp>
        <stp>ZEN EQUITY</stp>
        <stp>name</stp>
        <stp>[RAMP_10-30-2018 vWIC.xlsm]Current Comps!R113C2</stp>
        <tr r="B113" s="35"/>
      </tp>
      <tp>
        <v>703.62900000000002</v>
        <stp/>
        <stp>##V3_BDPV12</stp>
        <stp>NOW Equity</stp>
        <stp>BS_CASH_NEAR_CASH_ITEM</stp>
        <stp>[RAMP_11-29-2018 vWIC.xlsm]Current Comps!R11C24</stp>
        <stp>EQY_FUND_DT=20181129</stp>
        <stp>EQY_FUND_RELATIVE_PERIOD=-0FQ</stp>
        <tr r="X11" s="35"/>
        <tr r="X11" s="35"/>
      </tp>
      <tp>
        <v>-41.411999999999999</v>
        <stp/>
        <stp>##V3_BDHV12</stp>
        <stp>YEXT EQUITY</stp>
        <stp>BEST_NET_INCOME</stp>
        <stp>11/29/2018</stp>
        <stp>11/29/2018</stp>
        <stp>[RAMP_11-29-2018 vWIC.xlsm]Current Comps!R16C46</stp>
        <stp>BEST_FPERIOD_OVERRIDE=19Y</stp>
        <stp>days=a</stp>
        <stp>fill=p</stp>
        <tr r="AT16" s="35"/>
      </tp>
      <tp>
        <v>-45.14</v>
        <stp/>
        <stp>##V3_BDHV12</stp>
        <stp>YEXT EQUITY</stp>
        <stp>BEST_NET_INCOME</stp>
        <stp>11/29/2018</stp>
        <stp>11/29/2018</stp>
        <stp>[RAMP_11-29-2018 vWIC.xlsm]Current Comps!R16C45</stp>
        <stp>BEST_FPERIOD_OVERRIDE=18Y</stp>
        <stp>days=a</stp>
        <stp>fill=p</stp>
        <tr r="AS16" s="35"/>
      </tp>
      <tp>
        <v>-39.375</v>
        <stp/>
        <stp>##V3_BDHV12</stp>
        <stp>YEXT EQUITY</stp>
        <stp>BEST_NET_INCOME</stp>
        <stp>11/29/2018</stp>
        <stp>11/29/2018</stp>
        <stp>[RAMP_11-29-2018 vWIC.xlsm]Current Comps!R16C47</stp>
        <stp>BEST_FPERIOD_OVERRIDE=20Y</stp>
        <stp>days=a</stp>
        <stp>fill=p</stp>
        <tr r="AU16" s="35"/>
      </tp>
      <tp>
        <v>-31.667000000000002</v>
        <stp/>
        <stp>##V3_BDHV12</stp>
        <stp>YEXT EQUITY</stp>
        <stp>BEST_NET_INCOME</stp>
        <stp>11/29/2018</stp>
        <stp>11/29/2018</stp>
        <stp>[RAMP_11-29-2018 vWIC.xlsm]Current Comps!R16C48</stp>
        <stp>BEST_FPERIOD_OVERRIDE=21Y</stp>
        <stp>days=a</stp>
        <stp>fill=p</stp>
        <tr r="AV16" s="35"/>
      </tp>
      <tp>
        <v>1.45</v>
        <stp/>
        <stp>##V3_BDHV12</stp>
        <stp>TTD EQUITY</stp>
        <stp>T12M_DIL_EPS_CONT_OPS</stp>
        <stp>11/29/2018</stp>
        <stp>11/29/2018</stp>
        <stp>[RAMP_11-29-2018 vWIC.xlsm]Current Comps!R13C49</stp>
        <stp>days=a</stp>
        <stp>fill=p</stp>
        <tr r="AW13" s="35"/>
      </tp>
      <tp>
        <v>-89.456999999999994</v>
        <stp/>
        <stp>##V3_BDHV12</stp>
        <stp>TWLO EQUITY</stp>
        <stp>TRAIL_12M_EST_COMP_NET_INC_ADJ</stp>
        <stp>11/29/2018</stp>
        <stp>11/29/2018</stp>
        <stp>[RAMP_11-29-2018 vWIC.xlsm]Current Comps!R19C44</stp>
        <stp>days=a</stp>
        <stp>fill=p</stp>
        <tr r="AR19" s="35"/>
      </tp>
      <tp>
        <v>361.82399999999996</v>
        <stp/>
        <stp>##V3_BDPV12</stp>
        <stp>YEXT Equity</stp>
        <stp>BS_SH_CAP_AND_APIC</stp>
        <stp>[RAMP_11-29-2018 vWIC.xlsm]Current Comps!R16C26</stp>
        <stp>EQY_FUND_DT=20181129</stp>
        <stp>EQY_FUND_RELATIVE_PERIOD=-0FQ</stp>
        <tr r="Z16" s="35"/>
        <tr r="Z16" s="35"/>
      </tp>
      <tp>
        <v>157.15799999999999</v>
        <stp/>
        <stp>##V3_BDPV12</stp>
        <stp>ZEN Equity</stp>
        <stp>BS_CASH_NEAR_CASH_ITEM</stp>
        <stp>[RAMP_11-29-2018 vWIC.xlsm]Current Comps!R15C24</stp>
        <stp>EQY_FUND_DT=20181129</stp>
        <stp>EQY_FUND_RELATIVE_PERIOD=-0FQ</stp>
        <tr r="X15" s="35"/>
        <tr r="X15" s="35"/>
      </tp>
      <tp>
        <v>39.232300000000002</v>
        <stp/>
        <stp>##V3_BDHV12</stp>
        <stp>HUBS EQUITY</stp>
        <stp>BS_SH_OUT</stp>
        <stp>11/29/2018</stp>
        <stp>11/29/2018</stp>
        <stp>[RAMP_11-29-2018 vWIC.xlsm]Current Comps!R17C92</stp>
        <stp>EQY_FUND_PER=Q</stp>
        <stp>days=a</stp>
        <stp>fill=p</stp>
        <tr r="CN17" s="35"/>
      </tp>
      <tp>
        <v>-29.928999999999998</v>
        <stp/>
        <stp>##V3_BDHV12</stp>
        <stp>SPLK EQUITY</stp>
        <stp>BEST_CAPEX</stp>
        <stp>11/29/2018</stp>
        <stp>11/29/2018</stp>
        <stp>[RAMP_11-29-2018 vWIC.xlsm]Current Comps!R10C62</stp>
        <stp>BEST_FPERIOD_OVERRIDE=20Y</stp>
        <stp>days=a</stp>
        <stp>fill=p</stp>
        <tr r="BJ10" s="35"/>
      </tp>
      <tp>
        <v>-23.376000000000001</v>
        <stp/>
        <stp>##V3_BDHV12</stp>
        <stp>SPLK EQUITY</stp>
        <stp>BEST_CAPEX</stp>
        <stp>11/29/2018</stp>
        <stp>11/29/2018</stp>
        <stp>[RAMP_11-29-2018 vWIC.xlsm]Current Comps!R10C61</stp>
        <stp>BEST_FPERIOD_OVERRIDE=19Y</stp>
        <stp>days=a</stp>
        <stp>fill=p</stp>
        <tr r="BI10" s="35"/>
      </tp>
      <tp>
        <v>-32.975000000000001</v>
        <stp/>
        <stp>##V3_BDHV12</stp>
        <stp>SPLK EQUITY</stp>
        <stp>BEST_CAPEX</stp>
        <stp>11/29/2018</stp>
        <stp>11/29/2018</stp>
        <stp>[RAMP_11-29-2018 vWIC.xlsm]Current Comps!R10C63</stp>
        <stp>BEST_FPERIOD_OVERRIDE=21Y</stp>
        <stp>days=a</stp>
        <stp>fill=p</stp>
        <tr r="BK10" s="35"/>
      </tp>
      <tp>
        <v>-19.878</v>
        <stp/>
        <stp>##V3_BDHV12</stp>
        <stp>SPLK EQUITY</stp>
        <stp>BEST_CAPEX</stp>
        <stp>11/29/2018</stp>
        <stp>11/29/2018</stp>
        <stp>[RAMP_11-29-2018 vWIC.xlsm]Current Comps!R10C60</stp>
        <stp>BEST_FPERIOD_OVERRIDE=18Y</stp>
        <stp>days=a</stp>
        <stp>fill=p</stp>
        <tr r="BH10" s="35"/>
      </tp>
      <tp>
        <v>324.19499999999999</v>
        <stp/>
        <stp>##V3_BDHV12</stp>
        <stp>OKTA EQUITY</stp>
        <stp>TRAIL_12M_NET_SALES</stp>
        <stp>11/29/2018</stp>
        <stp>11/29/2018</stp>
        <stp>[RAMP_11-29-2018 vWIC.xlsm]Current Comps!R14C29</stp>
        <stp>days=a</stp>
        <stp>fill=p</stp>
        <tr r="AC14" s="35"/>
      </tp>
      <tp>
        <v>-123.625</v>
        <stp/>
        <stp>##V3_BDHV12</stp>
        <stp>OKTA EQUITY</stp>
        <stp>TRAIL_12M_EST_COMP_NET_INC_ADJ</stp>
        <stp>11/29/2018</stp>
        <stp>11/29/2018</stp>
        <stp>[RAMP_11-29-2018 vWIC.xlsm]Current Comps!R14C44</stp>
        <stp>days=a</stp>
        <stp>fill=p</stp>
        <tr r="AR14" s="35"/>
      </tp>
      <tp>
        <v>2439.7449999999999</v>
        <stp/>
        <stp>##V3_BDHV12</stp>
        <stp>NOW EQUITY</stp>
        <stp>TRAIL_12M_NET_SALES</stp>
        <stp>11/29/2018</stp>
        <stp>11/29/2018</stp>
        <stp>[RAMP_11-29-2018 vWIC.xlsm]Current Comps!R11C29</stp>
        <stp>days=a</stp>
        <stp>fill=p</stp>
        <tr r="AC11" s="35"/>
      </tp>
      <tp>
        <v>419.47399999999999</v>
        <stp/>
        <stp>##V3_BDHV12</stp>
        <stp>TTD EQUITY</stp>
        <stp>TRAIL_12M_NET_SALES</stp>
        <stp>11/29/2018</stp>
        <stp>11/29/2018</stp>
        <stp>[RAMP_11-29-2018 vWIC.xlsm]Current Comps!R13C29</stp>
        <stp>days=a</stp>
        <stp>fill=p</stp>
        <tr r="AC13" s="35"/>
      </tp>
      <tp>
        <v>549.92700000000002</v>
        <stp/>
        <stp>##V3_BDHV12</stp>
        <stp>ZEN EQUITY</stp>
        <stp>TRAIL_12M_NET_SALES</stp>
        <stp>11/29/2018</stp>
        <stp>11/29/2018</stp>
        <stp>[RAMP_11-29-2018 vWIC.xlsm]Current Comps!R15C29</stp>
        <stp>days=a</stp>
        <stp>fill=p</stp>
        <tr r="AC15" s="35"/>
      </tp>
      <tp t="s">
        <v>TABLEAU SOFTWARE INC-CL A</v>
        <stp/>
        <stp>##V3_BDPV12</stp>
        <stp>DATA EQUITY</stp>
        <stp>name</stp>
        <stp>[RAMP_10-30-2018 vWIC.xlsm]Current Comps!R106C2</stp>
        <tr r="B106" s="35"/>
      </tp>
      <tp>
        <v>-67.772999999999996</v>
        <stp/>
        <stp>##V3_BDHV12</stp>
        <stp>OKTA EQUITY</stp>
        <stp>BEST_NET_INCOME</stp>
        <stp>11/29/2018</stp>
        <stp>11/29/2018</stp>
        <stp>[RAMP_11-29-2018 vWIC.xlsm]Current Comps!R14C45</stp>
        <stp>BEST_FPERIOD_OVERRIDE=18Y</stp>
        <stp>days=a</stp>
        <stp>fill=p</stp>
        <tr r="AS14" s="35"/>
      </tp>
      <tp>
        <v>-33.831000000000003</v>
        <stp/>
        <stp>##V3_BDHV12</stp>
        <stp>OKTA EQUITY</stp>
        <stp>BEST_NET_INCOME</stp>
        <stp>11/29/2018</stp>
        <stp>11/29/2018</stp>
        <stp>[RAMP_11-29-2018 vWIC.xlsm]Current Comps!R14C47</stp>
        <stp>BEST_FPERIOD_OVERRIDE=20Y</stp>
        <stp>days=a</stp>
        <stp>fill=p</stp>
        <tr r="AU14" s="35"/>
      </tp>
      <tp>
        <v>-50.515000000000001</v>
        <stp/>
        <stp>##V3_BDHV12</stp>
        <stp>OKTA EQUITY</stp>
        <stp>BEST_NET_INCOME</stp>
        <stp>11/29/2018</stp>
        <stp>11/29/2018</stp>
        <stp>[RAMP_11-29-2018 vWIC.xlsm]Current Comps!R14C46</stp>
        <stp>BEST_FPERIOD_OVERRIDE=19Y</stp>
        <stp>days=a</stp>
        <stp>fill=p</stp>
        <tr r="AT14" s="35"/>
      </tp>
      <tp>
        <v>-1.7149999999999999</v>
        <stp/>
        <stp>##V3_BDHV12</stp>
        <stp>OKTA EQUITY</stp>
        <stp>BEST_NET_INCOME</stp>
        <stp>11/29/2018</stp>
        <stp>11/29/2018</stp>
        <stp>[RAMP_11-29-2018 vWIC.xlsm]Current Comps!R14C48</stp>
        <stp>BEST_FPERIOD_OVERRIDE=21Y</stp>
        <stp>days=a</stp>
        <stp>fill=p</stp>
        <tr r="AV14" s="35"/>
      </tp>
      <tp>
        <v>93.969800000000006</v>
        <stp/>
        <stp>##V3_BDHV12</stp>
        <stp>TWLO EQUITY</stp>
        <stp>BS_SH_OUT</stp>
        <stp>11/29/2018</stp>
        <stp>11/29/2018</stp>
        <stp>[RAMP_11-29-2018 vWIC.xlsm]Current Comps!R19C92</stp>
        <stp>EQY_FUND_PER=Q</stp>
        <stp>days=a</stp>
        <stp>fill=p</stp>
        <tr r="CN19" s="35"/>
      </tp>
      <tp t="s">
        <v>TRADE DESK INC/THE -CLASS A</v>
        <stp/>
        <stp>##V3_BDPV12</stp>
        <stp>TTD EQUITY</stp>
        <stp>name</stp>
        <stp>[RAMP_10-30-2018 vWIC.xlsm]Current Comps!R110C2</stp>
        <tr r="B110" s="35"/>
      </tp>
      <tp>
        <v>1.492</v>
        <stp/>
        <stp>##V3_BDHV12</stp>
        <stp>WDAY EQUITY</stp>
        <stp>BEST_EPS</stp>
        <stp>11/29/2018</stp>
        <stp>11/29/2018</stp>
        <stp>[RAMP_11-29-2018 vWIC.xlsm]Current Comps!R9C52</stp>
        <stp>BEST_FPERIOD_OVERRIDE=20Y</stp>
        <stp>days=a</stp>
        <stp>fill=p</stp>
        <tr r="AZ9" s="35"/>
      </tp>
      <tp>
        <v>1.0649999999999999</v>
        <stp/>
        <stp>##V3_BDHV12</stp>
        <stp>WDAY EQUITY</stp>
        <stp>BEST_EPS</stp>
        <stp>11/29/2018</stp>
        <stp>11/29/2018</stp>
        <stp>[RAMP_11-29-2018 vWIC.xlsm]Current Comps!R9C51</stp>
        <stp>BEST_FPERIOD_OVERRIDE=19Y</stp>
        <stp>days=a</stp>
        <stp>fill=p</stp>
        <tr r="AY9" s="35"/>
      </tp>
      <tp>
        <v>2.0779999999999998</v>
        <stp/>
        <stp>##V3_BDHV12</stp>
        <stp>WDAY EQUITY</stp>
        <stp>BEST_EPS</stp>
        <stp>11/29/2018</stp>
        <stp>11/29/2018</stp>
        <stp>[RAMP_11-29-2018 vWIC.xlsm]Current Comps!R9C53</stp>
        <stp>BEST_FPERIOD_OVERRIDE=21Y</stp>
        <stp>days=a</stp>
        <stp>fill=p</stp>
        <tr r="BA9" s="35"/>
      </tp>
      <tp>
        <v>0.97699999999999998</v>
        <stp/>
        <stp>##V3_BDHV12</stp>
        <stp>WDAY EQUITY</stp>
        <stp>BEST_EPS</stp>
        <stp>11/29/2018</stp>
        <stp>11/29/2018</stp>
        <stp>[RAMP_11-29-2018 vWIC.xlsm]Current Comps!R9C50</stp>
        <stp>BEST_FPERIOD_OVERRIDE=18Y</stp>
        <stp>days=a</stp>
        <stp>fill=p</stp>
        <tr r="AX9" s="35"/>
      </tp>
      <tp>
        <v>-32.987000000000002</v>
        <stp/>
        <stp>##V3_BDHV12</stp>
        <stp>HUBS EQUITY</stp>
        <stp>BEST_CAPEX</stp>
        <stp>11/29/2018</stp>
        <stp>11/29/2018</stp>
        <stp>[RAMP_11-29-2018 vWIC.xlsm]Current Comps!R17C61</stp>
        <stp>BEST_FPERIOD_OVERRIDE=19Y</stp>
        <stp>days=a</stp>
        <stp>fill=p</stp>
        <tr r="BI17" s="35"/>
      </tp>
      <tp>
        <v>-39.875</v>
        <stp/>
        <stp>##V3_BDHV12</stp>
        <stp>HUBS EQUITY</stp>
        <stp>BEST_CAPEX</stp>
        <stp>11/29/2018</stp>
        <stp>11/29/2018</stp>
        <stp>[RAMP_11-29-2018 vWIC.xlsm]Current Comps!R17C62</stp>
        <stp>BEST_FPERIOD_OVERRIDE=20Y</stp>
        <stp>days=a</stp>
        <stp>fill=p</stp>
        <tr r="BJ17" s="35"/>
      </tp>
      <tp>
        <v>-23.05</v>
        <stp/>
        <stp>##V3_BDHV12</stp>
        <stp>HUBS EQUITY</stp>
        <stp>BEST_CAPEX</stp>
        <stp>11/29/2018</stp>
        <stp>11/29/2018</stp>
        <stp>[RAMP_11-29-2018 vWIC.xlsm]Current Comps!R17C60</stp>
        <stp>BEST_FPERIOD_OVERRIDE=18Y</stp>
        <stp>days=a</stp>
        <stp>fill=p</stp>
        <tr r="BH17" s="35"/>
      </tp>
      <tp t="s">
        <v>#N/A N/A</v>
        <stp/>
        <stp>##V3_BDHV12</stp>
        <stp>HUBS EQUITY</stp>
        <stp>BEST_CAPEX</stp>
        <stp>11/29/2018</stp>
        <stp>11/29/2018</stp>
        <stp>[RAMP_11-29-2018 vWIC.xlsm]Current Comps!R17C63</stp>
        <stp>BEST_FPERIOD_OVERRIDE=21Y</stp>
        <stp>days=a</stp>
        <stp>fill=p</stp>
        <tr r="BK17" s="35"/>
      </tp>
      <tp>
        <v>146.61150000000001</v>
        <stp/>
        <stp>##V3_BDHV12</stp>
        <stp>SPLK EQUITY</stp>
        <stp>BS_SH_OUT</stp>
        <stp>11/29/2018</stp>
        <stp>11/29/2018</stp>
        <stp>[RAMP_11-29-2018 vWIC.xlsm]Current Comps!R10C92</stp>
        <stp>EQY_FUND_PER=Q</stp>
        <stp>days=a</stp>
        <stp>fill=p</stp>
        <tr r="CN10" s="35"/>
      </tp>
      <tp>
        <v>77.664000000000001</v>
        <stp/>
        <stp>##V3_BDPV12</stp>
        <stp>YEXT Equity</stp>
        <stp>BS_MKT_SEC_OTHER_ST_INVEST</stp>
        <stp>[RAMP_11-29-2018 vWIC.xlsm]Current Comps!R16C25</stp>
        <stp>EQY_FUND_DT=20181129</stp>
        <stp>EQY_FUND_RELATIVE_PERIOD=-0FQ</stp>
        <tr r="Y16" s="35"/>
        <tr r="Y16" s="35"/>
      </tp>
      <tp t="s">
        <v>YEXT INC</v>
        <stp/>
        <stp>##V3_BDPV12</stp>
        <stp>YEXT EQUITY</stp>
        <stp>name</stp>
        <stp>[RAMP_10-30-2018 vWIC.xlsm]Current Comps!R114C2</stp>
        <tr r="B114" s="35"/>
      </tp>
      <tp>
        <v>-501.67499999999995</v>
        <stp/>
        <stp>##V3_BDPV12</stp>
        <stp>ZEN Equity</stp>
        <stp>BS_RETAIN_EARN</stp>
        <stp>[RAMP_11-29-2018 vWIC.xlsm]Current Comps!R15C27</stp>
        <stp>EQY_FUND_DT=20181129</stp>
        <stp>EQY_FUND_RELATIVE_PERIOD=-0FQ</stp>
        <tr r="AA15" s="35"/>
        <tr r="AA15" s="35"/>
      </tp>
      <tp>
        <v>475.49900000000002</v>
        <stp/>
        <stp>##V3_BDHV12</stp>
        <stp>HUBS EQUITY</stp>
        <stp>TRAIL_12M_NET_SALES</stp>
        <stp>11/29/2018</stp>
        <stp>11/29/2018</stp>
        <stp>[RAMP_11-29-2018 vWIC.xlsm]Current Comps!R17C29</stp>
        <stp>days=a</stp>
        <stp>fill=p</stp>
        <tr r="AC17" s="35"/>
      </tp>
      <tp>
        <v>-43.143000000000001</v>
        <stp/>
        <stp>##V3_BDHV12</stp>
        <stp>TWLO EQUITY</stp>
        <stp>BEST_CAPEX</stp>
        <stp>11/29/2018</stp>
        <stp>11/29/2018</stp>
        <stp>[RAMP_11-29-2018 vWIC.xlsm]Current Comps!R19C61</stp>
        <stp>BEST_FPERIOD_OVERRIDE=19Y</stp>
        <stp>days=a</stp>
        <stp>fill=p</stp>
        <tr r="BI19" s="35"/>
      </tp>
      <tp>
        <v>-7.9850000000000003</v>
        <stp/>
        <stp>##V3_BDHV12</stp>
        <stp>TWLO EQUITY</stp>
        <stp>BEST_CAPEX</stp>
        <stp>11/29/2018</stp>
        <stp>11/29/2018</stp>
        <stp>[RAMP_11-29-2018 vWIC.xlsm]Current Comps!R19C62</stp>
        <stp>BEST_FPERIOD_OVERRIDE=20Y</stp>
        <stp>days=a</stp>
        <stp>fill=p</stp>
        <tr r="BJ19" s="35"/>
      </tp>
      <tp>
        <v>-19.143000000000001</v>
        <stp/>
        <stp>##V3_BDHV12</stp>
        <stp>TWLO EQUITY</stp>
        <stp>BEST_CAPEX</stp>
        <stp>11/29/2018</stp>
        <stp>11/29/2018</stp>
        <stp>[RAMP_11-29-2018 vWIC.xlsm]Current Comps!R19C60</stp>
        <stp>BEST_FPERIOD_OVERRIDE=18Y</stp>
        <stp>days=a</stp>
        <stp>fill=p</stp>
        <tr r="BH19" s="35"/>
      </tp>
      <tp t="s">
        <v>#N/A N/A</v>
        <stp/>
        <stp>##V3_BDHV12</stp>
        <stp>TWLO EQUITY</stp>
        <stp>BEST_CAPEX</stp>
        <stp>11/29/2018</stp>
        <stp>11/29/2018</stp>
        <stp>[RAMP_11-29-2018 vWIC.xlsm]Current Comps!R19C63</stp>
        <stp>BEST_FPERIOD_OVERRIDE=21Y</stp>
        <stp>days=a</stp>
        <stp>fill=p</stp>
        <tr r="BK19" s="35"/>
      </tp>
      <tp t="s">
        <v>WORKDAY INC-CLASS A</v>
        <stp/>
        <stp>##V3_BDPV12</stp>
        <stp>WDAY EQUITY</stp>
        <stp>name</stp>
        <stp>[RAMP_10-30-2018 vWIC.xlsm]Current Comps!R107C2</stp>
        <tr r="B107" s="35"/>
      </tp>
      <tp t="s">
        <v>SENDGRID INC</v>
        <stp/>
        <stp>##V3_BDPV12</stp>
        <stp>SEND EQUITY</stp>
        <stp>name</stp>
        <stp>[RAMP_10-30-2018 vWIC.xlsm]Current Comps!R116C2</stp>
        <tr r="B116" s="35"/>
      </tp>
      <tp>
        <v>-1.5516000000000001</v>
        <stp/>
        <stp>##V3_BDHV12</stp>
        <stp>SEND EQUITY</stp>
        <stp>TRAIL_12M_EST_COMP_NET_INC_ADJ</stp>
        <stp>11/29/2018</stp>
        <stp>11/29/2018</stp>
        <stp>[RAMP_11-29-2018 vWIC.xlsm]Current Comps!R20C44</stp>
        <stp>days=a</stp>
        <stp>fill=p</stp>
        <tr r="AR20" s="35"/>
      </tp>
      <tp>
        <v>0</v>
        <stp/>
        <stp>##V3_BDPV12</stp>
        <stp>TWLO Equity</stp>
        <stp>BS_PFD_EQY</stp>
        <stp>[RAMP_11-29-2018 vWIC.xlsm]Current Comps!R19C22</stp>
        <stp>EQY_FUND_DT=20181129</stp>
        <stp>EQY_FUND_RELATIVE_PERIOD=-0FQ</stp>
        <tr r="V19" s="35"/>
        <tr r="V19" s="35"/>
      </tp>
      <tp>
        <v>0</v>
        <stp/>
        <stp>##V3_BDPV12</stp>
        <stp>HUBS Equity</stp>
        <stp>BS_PFD_EQY</stp>
        <stp>[RAMP_11-29-2018 vWIC.xlsm]Current Comps!R17C22</stp>
        <stp>EQY_FUND_DT=20181129</stp>
        <stp>EQY_FUND_RELATIVE_PERIOD=-0FQ</stp>
        <tr r="V17" s="35"/>
        <tr r="V17" s="35"/>
      </tp>
      <tp>
        <v>65.516000000000005</v>
        <stp/>
        <stp>##V3_BDHV12</stp>
        <stp>TTD EQUITY</stp>
        <stp>TRAIL_12M_EST_COMP_NET_INC_ADJ</stp>
        <stp>11/29/2018</stp>
        <stp>11/29/2018</stp>
        <stp>[RAMP_11-29-2018 vWIC.xlsm]Current Comps!R13C44</stp>
        <stp>days=a</stp>
        <stp>fill=p</stp>
        <tr r="AR13" s="35"/>
      </tp>
    </main>
    <main first="bloomberg.rtd">
      <tp>
        <v>771.42399999999998</v>
        <stp/>
        <stp>##V3_BDHV12</stp>
        <stp>RAMP EQUITY</stp>
        <stp>TRAIL_12M_NET_SALES</stp>
        <stp>11/29/2018</stp>
        <stp>11/29/2018</stp>
        <stp>[RAMP_11-29-2018 vWIC.xlsm]Current Comps!R44C29</stp>
        <stp>days=a</stp>
        <stp>fill=p</stp>
        <tr r="AC44" s="35"/>
      </tp>
      <tp>
        <v>771.42399999999998</v>
        <stp/>
        <stp>##V3_BDHV12</stp>
        <stp>RAMP EQUITY</stp>
        <stp>TRAIL_12M_NET_SALES</stp>
        <stp>11/29/2018</stp>
        <stp>11/29/2018</stp>
        <stp>[RAMP_11-29-2018 vWIC.xlsm]Current Comps!R47C29</stp>
        <stp>days=a</stp>
        <stp>fill=p</stp>
        <tr r="AC47" s="35"/>
      </tp>
      <tp>
        <v>771.42399999999998</v>
        <stp/>
        <stp>##V3_BDHV12</stp>
        <stp>RAMP EQUITY</stp>
        <stp>TRAIL_12M_NET_SALES</stp>
        <stp>11/29/2018</stp>
        <stp>11/29/2018</stp>
        <stp>[RAMP_11-29-2018 vWIC.xlsm]Current Comps!R41C29</stp>
        <stp>days=a</stp>
        <stp>fill=p</stp>
        <tr r="AC41" s="35"/>
      </tp>
      <tp t="s">
        <v>#N/A N/A</v>
        <stp/>
        <stp>##V3_BDHV12</stp>
        <stp>SEND EQUITY</stp>
        <stp>BEST_NET_INCOME</stp>
        <stp>11/29/2018</stp>
        <stp>11/29/2018</stp>
        <stp>[RAMP_11-29-2018 vWIC.xlsm]Current Comps!R20C48</stp>
        <stp>BEST_FPERIOD_OVERRIDE=21Y</stp>
        <stp>days=a</stp>
        <stp>fill=p</stp>
        <tr r="AV20" s="35"/>
      </tp>
      <tp>
        <v>11.6</v>
        <stp/>
        <stp>##V3_BDHV12</stp>
        <stp>SEND EQUITY</stp>
        <stp>BEST_NET_INCOME</stp>
        <stp>11/29/2018</stp>
        <stp>11/29/2018</stp>
        <stp>[RAMP_11-29-2018 vWIC.xlsm]Current Comps!R20C46</stp>
        <stp>BEST_FPERIOD_OVERRIDE=19Y</stp>
        <stp>days=a</stp>
        <stp>fill=p</stp>
        <tr r="AT20" s="35"/>
      </tp>
      <tp>
        <v>20.8</v>
        <stp/>
        <stp>##V3_BDHV12</stp>
        <stp>SEND EQUITY</stp>
        <stp>BEST_NET_INCOME</stp>
        <stp>11/29/2018</stp>
        <stp>11/29/2018</stp>
        <stp>[RAMP_11-29-2018 vWIC.xlsm]Current Comps!R20C47</stp>
        <stp>BEST_FPERIOD_OVERRIDE=20Y</stp>
        <stp>days=a</stp>
        <stp>fill=p</stp>
        <tr r="AU20" s="35"/>
      </tp>
      <tp>
        <v>8.8030000000000008</v>
        <stp/>
        <stp>##V3_BDHV12</stp>
        <stp>SEND EQUITY</stp>
        <stp>BEST_NET_INCOME</stp>
        <stp>11/29/2018</stp>
        <stp>11/29/2018</stp>
        <stp>[RAMP_11-29-2018 vWIC.xlsm]Current Comps!R20C45</stp>
        <stp>BEST_FPERIOD_OVERRIDE=18Y</stp>
        <stp>days=a</stp>
        <stp>fill=p</stp>
        <tr r="AS20" s="35"/>
      </tp>
      <tp>
        <v>-42.744</v>
        <stp/>
        <stp>##V3_BDHV12</stp>
        <stp>ZEN EQUITY</stp>
        <stp>BEST_CAPEX</stp>
        <stp>11/29/2018</stp>
        <stp>11/29/2018</stp>
        <stp>[RAMP_11-29-2018 vWIC.xlsm]Current Comps!R15C61</stp>
        <stp>BEST_FPERIOD_OVERRIDE=19Y</stp>
        <stp>days=a</stp>
        <stp>fill=p</stp>
        <tr r="BI15" s="35"/>
      </tp>
      <tp>
        <v>-49.767000000000003</v>
        <stp/>
        <stp>##V3_BDHV12</stp>
        <stp>ZEN EQUITY</stp>
        <stp>BEST_CAPEX</stp>
        <stp>11/29/2018</stp>
        <stp>11/29/2018</stp>
        <stp>[RAMP_11-29-2018 vWIC.xlsm]Current Comps!R15C62</stp>
        <stp>BEST_FPERIOD_OVERRIDE=20Y</stp>
        <stp>days=a</stp>
        <stp>fill=p</stp>
        <tr r="BJ15" s="35"/>
      </tp>
      <tp>
        <v>-39.232999999999997</v>
        <stp/>
        <stp>##V3_BDHV12</stp>
        <stp>ZEN EQUITY</stp>
        <stp>BEST_CAPEX</stp>
        <stp>11/29/2018</stp>
        <stp>11/29/2018</stp>
        <stp>[RAMP_11-29-2018 vWIC.xlsm]Current Comps!R15C60</stp>
        <stp>BEST_FPERIOD_OVERRIDE=18Y</stp>
        <stp>days=a</stp>
        <stp>fill=p</stp>
        <tr r="BH15" s="35"/>
      </tp>
      <tp t="s">
        <v>#N/A N/A</v>
        <stp/>
        <stp>##V3_BDHV12</stp>
        <stp>ZEN EQUITY</stp>
        <stp>BEST_CAPEX</stp>
        <stp>11/29/2018</stp>
        <stp>11/29/2018</stp>
        <stp>[RAMP_11-29-2018 vWIC.xlsm]Current Comps!R15C63</stp>
        <stp>BEST_FPERIOD_OVERRIDE=21Y</stp>
        <stp>days=a</stp>
        <stp>fill=p</stp>
        <tr r="BK15" s="35"/>
      </tp>
      <tp>
        <v>16.167000000000002</v>
        <stp/>
        <stp>##V3_BDHV12</stp>
        <stp>RAMP EQUITY</stp>
        <stp>BEST_NET_INCOME</stp>
        <stp>11/29/2018</stp>
        <stp>11/29/2018</stp>
        <stp>[RAMP_11-29-2018 vWIC.xlsm]Current Comps!R62C48</stp>
        <stp>BEST_FPERIOD_OVERRIDE=21Y</stp>
        <stp>days=a</stp>
        <stp>fill=p</stp>
        <tr r="AV62" s="35"/>
      </tp>
      <tp>
        <v>16.167000000000002</v>
        <stp/>
        <stp>##V3_BDHV12</stp>
        <stp>RAMP EQUITY</stp>
        <stp>BEST_NET_INCOME</stp>
        <stp>11/29/2018</stp>
        <stp>11/29/2018</stp>
        <stp>[RAMP_11-29-2018 vWIC.xlsm]Current Comps!R44C48</stp>
        <stp>BEST_FPERIOD_OVERRIDE=21Y</stp>
        <stp>days=a</stp>
        <stp>fill=p</stp>
        <tr r="AV44" s="35"/>
      </tp>
      <tp>
        <v>16.167000000000002</v>
        <stp/>
        <stp>##V3_BDHV12</stp>
        <stp>RAMP EQUITY</stp>
        <stp>BEST_NET_INCOME</stp>
        <stp>11/29/2018</stp>
        <stp>11/29/2018</stp>
        <stp>[RAMP_11-29-2018 vWIC.xlsm]Current Comps!R47C48</stp>
        <stp>BEST_FPERIOD_OVERRIDE=21Y</stp>
        <stp>days=a</stp>
        <stp>fill=p</stp>
        <tr r="AV47" s="35"/>
      </tp>
      <tp>
        <v>16.167000000000002</v>
        <stp/>
        <stp>##V3_BDHV12</stp>
        <stp>RAMP EQUITY</stp>
        <stp>BEST_NET_INCOME</stp>
        <stp>11/29/2018</stp>
        <stp>11/29/2018</stp>
        <stp>[RAMP_11-29-2018 vWIC.xlsm]Current Comps!R41C48</stp>
        <stp>BEST_FPERIOD_OVERRIDE=21Y</stp>
        <stp>days=a</stp>
        <stp>fill=p</stp>
        <tr r="AV41" s="35"/>
      </tp>
      <tp>
        <v>71.739999999999995</v>
        <stp/>
        <stp>##V3_BDHV12</stp>
        <stp>RAMP EQUITY</stp>
        <stp>BEST_NET_INCOME</stp>
        <stp>11/29/2018</stp>
        <stp>11/29/2018</stp>
        <stp>[RAMP_11-29-2018 vWIC.xlsm]Current Comps!R44C45</stp>
        <stp>BEST_FPERIOD_OVERRIDE=18Y</stp>
        <stp>days=a</stp>
        <stp>fill=p</stp>
        <tr r="AS44" s="35"/>
      </tp>
      <tp>
        <v>71.739999999999995</v>
        <stp/>
        <stp>##V3_BDHV12</stp>
        <stp>RAMP EQUITY</stp>
        <stp>BEST_NET_INCOME</stp>
        <stp>11/29/2018</stp>
        <stp>11/29/2018</stp>
        <stp>[RAMP_11-29-2018 vWIC.xlsm]Current Comps!R47C45</stp>
        <stp>BEST_FPERIOD_OVERRIDE=18Y</stp>
        <stp>days=a</stp>
        <stp>fill=p</stp>
        <tr r="AS47" s="35"/>
      </tp>
      <tp>
        <v>71.739999999999995</v>
        <stp/>
        <stp>##V3_BDHV12</stp>
        <stp>RAMP EQUITY</stp>
        <stp>BEST_NET_INCOME</stp>
        <stp>11/29/2018</stp>
        <stp>11/29/2018</stp>
        <stp>[RAMP_11-29-2018 vWIC.xlsm]Current Comps!R41C45</stp>
        <stp>BEST_FPERIOD_OVERRIDE=18Y</stp>
        <stp>days=a</stp>
        <stp>fill=p</stp>
        <tr r="AS41" s="35"/>
      </tp>
      <tp>
        <v>-38.78</v>
        <stp/>
        <stp>##V3_BDHV12</stp>
        <stp>RAMP EQUITY</stp>
        <stp>BEST_NET_INCOME</stp>
        <stp>11/29/2018</stp>
        <stp>11/29/2018</stp>
        <stp>[RAMP_11-29-2018 vWIC.xlsm]Current Comps!R62C46</stp>
        <stp>BEST_FPERIOD_OVERRIDE=19Y</stp>
        <stp>days=a</stp>
        <stp>fill=p</stp>
        <tr r="AT62" s="35"/>
      </tp>
      <tp>
        <v>-20.318000000000001</v>
        <stp/>
        <stp>##V3_BDHV12</stp>
        <stp>RAMP EQUITY</stp>
        <stp>BEST_NET_INCOME</stp>
        <stp>11/29/2018</stp>
        <stp>11/29/2018</stp>
        <stp>[RAMP_11-29-2018 vWIC.xlsm]Current Comps!R44C47</stp>
        <stp>BEST_FPERIOD_OVERRIDE=20Y</stp>
        <stp>days=a</stp>
        <stp>fill=p</stp>
        <tr r="AU44" s="35"/>
      </tp>
      <tp>
        <v>-20.318000000000001</v>
        <stp/>
        <stp>##V3_BDHV12</stp>
        <stp>RAMP EQUITY</stp>
        <stp>BEST_NET_INCOME</stp>
        <stp>11/29/2018</stp>
        <stp>11/29/2018</stp>
        <stp>[RAMP_11-29-2018 vWIC.xlsm]Current Comps!R47C47</stp>
        <stp>BEST_FPERIOD_OVERRIDE=20Y</stp>
        <stp>days=a</stp>
        <stp>fill=p</stp>
        <tr r="AU47" s="35"/>
      </tp>
      <tp>
        <v>-20.318000000000001</v>
        <stp/>
        <stp>##V3_BDHV12</stp>
        <stp>RAMP EQUITY</stp>
        <stp>BEST_NET_INCOME</stp>
        <stp>11/29/2018</stp>
        <stp>11/29/2018</stp>
        <stp>[RAMP_11-29-2018 vWIC.xlsm]Current Comps!R41C47</stp>
        <stp>BEST_FPERIOD_OVERRIDE=20Y</stp>
        <stp>days=a</stp>
        <stp>fill=p</stp>
        <tr r="AU41" s="35"/>
      </tp>
      <tp>
        <v>71.739999999999995</v>
        <stp/>
        <stp>##V3_BDHV12</stp>
        <stp>RAMP EQUITY</stp>
        <stp>BEST_NET_INCOME</stp>
        <stp>11/29/2018</stp>
        <stp>11/29/2018</stp>
        <stp>[RAMP_11-29-2018 vWIC.xlsm]Current Comps!R62C45</stp>
        <stp>BEST_FPERIOD_OVERRIDE=18Y</stp>
        <stp>days=a</stp>
        <stp>fill=p</stp>
        <tr r="AS62" s="35"/>
      </tp>
      <tp>
        <v>-38.78</v>
        <stp/>
        <stp>##V3_BDHV12</stp>
        <stp>RAMP EQUITY</stp>
        <stp>BEST_NET_INCOME</stp>
        <stp>11/29/2018</stp>
        <stp>11/29/2018</stp>
        <stp>[RAMP_11-29-2018 vWIC.xlsm]Current Comps!R44C46</stp>
        <stp>BEST_FPERIOD_OVERRIDE=19Y</stp>
        <stp>days=a</stp>
        <stp>fill=p</stp>
        <tr r="AT44" s="35"/>
      </tp>
      <tp>
        <v>-38.78</v>
        <stp/>
        <stp>##V3_BDHV12</stp>
        <stp>RAMP EQUITY</stp>
        <stp>BEST_NET_INCOME</stp>
        <stp>11/29/2018</stp>
        <stp>11/29/2018</stp>
        <stp>[RAMP_11-29-2018 vWIC.xlsm]Current Comps!R47C46</stp>
        <stp>BEST_FPERIOD_OVERRIDE=19Y</stp>
        <stp>days=a</stp>
        <stp>fill=p</stp>
        <tr r="AT47" s="35"/>
      </tp>
      <tp>
        <v>-38.78</v>
        <stp/>
        <stp>##V3_BDHV12</stp>
        <stp>RAMP EQUITY</stp>
        <stp>BEST_NET_INCOME</stp>
        <stp>11/29/2018</stp>
        <stp>11/29/2018</stp>
        <stp>[RAMP_11-29-2018 vWIC.xlsm]Current Comps!R41C46</stp>
        <stp>BEST_FPERIOD_OVERRIDE=19Y</stp>
        <stp>days=a</stp>
        <stp>fill=p</stp>
        <tr r="AT41" s="35"/>
      </tp>
      <tp>
        <v>-20.318000000000001</v>
        <stp/>
        <stp>##V3_BDHV12</stp>
        <stp>RAMP EQUITY</stp>
        <stp>BEST_NET_INCOME</stp>
        <stp>11/29/2018</stp>
        <stp>11/29/2018</stp>
        <stp>[RAMP_11-29-2018 vWIC.xlsm]Current Comps!R62C47</stp>
        <stp>BEST_FPERIOD_OVERRIDE=20Y</stp>
        <stp>days=a</stp>
        <stp>fill=p</stp>
        <tr r="AU62" s="35"/>
      </tp>
      <tp>
        <v>561.00099999999998</v>
        <stp/>
        <stp>##V3_BDHV12</stp>
        <stp>TWLO EQUITY</stp>
        <stp>TRAIL_12M_NET_SALES</stp>
        <stp>11/29/2018</stp>
        <stp>11/29/2018</stp>
        <stp>[RAMP_11-29-2018 vWIC.xlsm]Current Comps!R19C29</stp>
        <stp>days=a</stp>
        <stp>fill=p</stp>
        <tr r="AC19" s="35"/>
      </tp>
      <tp>
        <v>-20.25</v>
        <stp/>
        <stp>##V3_BDHV12</stp>
        <stp>OKTA EQUITY</stp>
        <stp>BEST_CAPEX</stp>
        <stp>11/29/2018</stp>
        <stp>11/29/2018</stp>
        <stp>[RAMP_11-29-2018 vWIC.xlsm]Current Comps!R14C61</stp>
        <stp>BEST_FPERIOD_OVERRIDE=19Y</stp>
        <stp>days=a</stp>
        <stp>fill=p</stp>
        <tr r="BI14" s="35"/>
      </tp>
      <tp>
        <v>-15.116</v>
        <stp/>
        <stp>##V3_BDHV12</stp>
        <stp>OKTA EQUITY</stp>
        <stp>BEST_CAPEX</stp>
        <stp>11/29/2018</stp>
        <stp>11/29/2018</stp>
        <stp>[RAMP_11-29-2018 vWIC.xlsm]Current Comps!R14C62</stp>
        <stp>BEST_FPERIOD_OVERRIDE=20Y</stp>
        <stp>days=a</stp>
        <stp>fill=p</stp>
        <tr r="BJ14" s="35"/>
      </tp>
      <tp>
        <v>-6.5120000000000005</v>
        <stp/>
        <stp>##V3_BDHV12</stp>
        <stp>OKTA EQUITY</stp>
        <stp>BEST_CAPEX</stp>
        <stp>11/29/2018</stp>
        <stp>11/29/2018</stp>
        <stp>[RAMP_11-29-2018 vWIC.xlsm]Current Comps!R14C60</stp>
        <stp>BEST_FPERIOD_OVERRIDE=18Y</stp>
        <stp>days=a</stp>
        <stp>fill=p</stp>
        <tr r="BH14" s="35"/>
      </tp>
      <tp>
        <v>-13.08</v>
        <stp/>
        <stp>##V3_BDHV12</stp>
        <stp>OKTA EQUITY</stp>
        <stp>BEST_CAPEX</stp>
        <stp>11/29/2018</stp>
        <stp>11/29/2018</stp>
        <stp>[RAMP_11-29-2018 vWIC.xlsm]Current Comps!R14C63</stp>
        <stp>BEST_FPERIOD_OVERRIDE=21Y</stp>
        <stp>days=a</stp>
        <stp>fill=p</stp>
        <tr r="BK14" s="35"/>
      </tp>
      <tp>
        <v>351.86700000000002</v>
        <stp/>
        <stp>##V3_BDHV12</stp>
        <stp>SPLK EQUITY</stp>
        <stp>BEST_NET_INCOME</stp>
        <stp>11/29/2018</stp>
        <stp>11/29/2018</stp>
        <stp>[RAMP_11-29-2018 vWIC.xlsm]Current Comps!R10C48</stp>
        <stp>BEST_FPERIOD_OVERRIDE=21Y</stp>
        <stp>days=a</stp>
        <stp>fill=p</stp>
        <tr r="AV10" s="35"/>
      </tp>
      <tp>
        <v>83.441999999999993</v>
        <stp/>
        <stp>##V3_BDHV12</stp>
        <stp>SPLK EQUITY</stp>
        <stp>BEST_NET_INCOME</stp>
        <stp>11/29/2018</stp>
        <stp>11/29/2018</stp>
        <stp>[RAMP_11-29-2018 vWIC.xlsm]Current Comps!R10C45</stp>
        <stp>BEST_FPERIOD_OVERRIDE=18Y</stp>
        <stp>days=a</stp>
        <stp>fill=p</stp>
        <tr r="AS10" s="35"/>
      </tp>
      <tp>
        <v>246.333</v>
        <stp/>
        <stp>##V3_BDHV12</stp>
        <stp>SPLK EQUITY</stp>
        <stp>BEST_NET_INCOME</stp>
        <stp>11/29/2018</stp>
        <stp>11/29/2018</stp>
        <stp>[RAMP_11-29-2018 vWIC.xlsm]Current Comps!R10C47</stp>
        <stp>BEST_FPERIOD_OVERRIDE=20Y</stp>
        <stp>days=a</stp>
        <stp>fill=p</stp>
        <tr r="AU10" s="35"/>
      </tp>
      <tp>
        <v>165.93299999999999</v>
        <stp/>
        <stp>##V3_BDHV12</stp>
        <stp>SPLK EQUITY</stp>
        <stp>BEST_NET_INCOME</stp>
        <stp>11/29/2018</stp>
        <stp>11/29/2018</stp>
        <stp>[RAMP_11-29-2018 vWIC.xlsm]Current Comps!R10C46</stp>
        <stp>BEST_FPERIOD_OVERRIDE=19Y</stp>
        <stp>days=a</stp>
        <stp>fill=p</stp>
        <tr r="AT10" s="35"/>
      </tp>
      <tp>
        <v>771.42399999999998</v>
        <stp/>
        <stp>##V3_BDHV12</stp>
        <stp>RAMP EQUITY</stp>
        <stp>TRAIL_12M_NET_SALES</stp>
        <stp>11/29/2018</stp>
        <stp>11/29/2018</stp>
        <stp>[RAMP_11-29-2018 vWIC.xlsm]Current Comps!R62C29</stp>
        <stp>days=a</stp>
        <stp>fill=p</stp>
        <tr r="AC62" s="35"/>
      </tp>
      <tp t="s">
        <v>#N/A N/A</v>
        <stp/>
        <stp>##V3_BDHV12</stp>
        <stp>TWLO EQUITY</stp>
        <stp>BEST_NET_INCOME</stp>
        <stp>11/29/2018</stp>
        <stp>11/29/2018</stp>
        <stp>[RAMP_11-29-2018 vWIC.xlsm]Current Comps!R19C48</stp>
        <stp>BEST_FPERIOD_OVERRIDE=21Y</stp>
        <stp>days=a</stp>
        <stp>fill=p</stp>
        <tr r="AV19" s="35"/>
      </tp>
      <tp>
        <v>16.545000000000002</v>
        <stp/>
        <stp>##V3_BDHV12</stp>
        <stp>TWLO EQUITY</stp>
        <stp>BEST_NET_INCOME</stp>
        <stp>11/29/2018</stp>
        <stp>11/29/2018</stp>
        <stp>[RAMP_11-29-2018 vWIC.xlsm]Current Comps!R19C46</stp>
        <stp>BEST_FPERIOD_OVERRIDE=19Y</stp>
        <stp>days=a</stp>
        <stp>fill=p</stp>
        <tr r="AT19" s="35"/>
      </tp>
      <tp>
        <v>36.189</v>
        <stp/>
        <stp>##V3_BDHV12</stp>
        <stp>TWLO EQUITY</stp>
        <stp>BEST_NET_INCOME</stp>
        <stp>11/29/2018</stp>
        <stp>11/29/2018</stp>
        <stp>[RAMP_11-29-2018 vWIC.xlsm]Current Comps!R19C47</stp>
        <stp>BEST_FPERIOD_OVERRIDE=20Y</stp>
        <stp>days=a</stp>
        <stp>fill=p</stp>
        <tr r="AU19" s="35"/>
      </tp>
      <tp>
        <v>9.1609999999999996</v>
        <stp/>
        <stp>##V3_BDHV12</stp>
        <stp>TWLO EQUITY</stp>
        <stp>BEST_NET_INCOME</stp>
        <stp>11/29/2018</stp>
        <stp>11/29/2018</stp>
        <stp>[RAMP_11-29-2018 vWIC.xlsm]Current Comps!R19C45</stp>
        <stp>BEST_FPERIOD_OVERRIDE=18Y</stp>
        <stp>days=a</stp>
        <stp>fill=p</stp>
        <tr r="AS19" s="35"/>
      </tp>
      <tp>
        <v>757.48899999999992</v>
        <stp/>
        <stp>##V3_BDPV12</stp>
        <stp>TWLO Equity</stp>
        <stp>BS_SH_CAP_AND_APIC</stp>
        <stp>[RAMP_11-29-2018 vWIC.xlsm]Current Comps!R19C26</stp>
        <stp>EQY_FUND_DT=20181129</stp>
        <stp>EQY_FUND_RELATIVE_PERIOD=-0FQ</stp>
        <tr r="Z19" s="35"/>
        <tr r="Z19" s="35"/>
      </tp>
      <tp>
        <v>563.07399999999996</v>
        <stp/>
        <stp>##V3_BDPV12</stp>
        <stp>HUBS Equity</stp>
        <stp>BS_SH_CAP_AND_APIC</stp>
        <stp>[RAMP_11-29-2018 vWIC.xlsm]Current Comps!R17C26</stp>
        <stp>EQY_FUND_DT=20181129</stp>
        <stp>EQY_FUND_RELATIVE_PERIOD=-0FQ</stp>
        <tr r="Z17" s="35"/>
        <tr r="Z17" s="35"/>
      </tp>
      <tp t="s">
        <v>12/2017</v>
        <stp/>
        <stp>##V3_BDPV12</stp>
        <stp>ZEN EQUITY</stp>
        <stp>EQY_FISCAL_YR_END</stp>
        <stp>[RAMP_10-30-2018 vWIC.xlsm]Current Comps!R15C93</stp>
        <tr r="CO15" s="35"/>
      </tp>
      <tp>
        <v>0</v>
        <stp/>
        <stp>##V3_BDPV12</stp>
        <stp>YEXT Equity</stp>
        <stp>BS_PFD_EQY</stp>
        <stp>[RAMP_11-29-2018 vWIC.xlsm]Current Comps!R16C22</stp>
        <stp>EQY_FUND_DT=20181129</stp>
        <stp>EQY_FUND_RELATIVE_PERIOD=-0FQ</stp>
        <tr r="V16" s="35"/>
        <tr r="V16" s="35"/>
      </tp>
      <tp>
        <v>105.9588</v>
        <stp/>
        <stp>##V3_BDHV12</stp>
        <stp>ZEN EQUITY</stp>
        <stp>BS_SH_OUT</stp>
        <stp>11/29/2018</stp>
        <stp>11/29/2018</stp>
        <stp>[RAMP_11-29-2018 vWIC.xlsm]Current Comps!R15C92</stp>
        <stp>EQY_FUND_PER=Q</stp>
        <stp>days=a</stp>
        <stp>fill=p</stp>
        <tr r="CN15" s="35"/>
      </tp>
      <tp>
        <v>1448.318</v>
        <stp/>
        <stp>##V3_BDHV12</stp>
        <stp>SPLK EQUITY</stp>
        <stp>TRAIL_12M_NET_SALES</stp>
        <stp>11/29/2018</stp>
        <stp>11/29/2018</stp>
        <stp>[RAMP_11-29-2018 vWIC.xlsm]Current Comps!R10C29</stp>
        <stp>days=a</stp>
        <stp>fill=p</stp>
        <tr r="AC10" s="35"/>
      </tp>
      <tp t="s">
        <v>SPLUNK INC</v>
        <stp/>
        <stp>##V3_BDPV12</stp>
        <stp>SPLK EQUITY</stp>
        <stp>name</stp>
        <stp>[RAMP_10-30-2018 vWIC.xlsm]Current Comps!R108C2</stp>
        <tr r="B108" s="35"/>
      </tp>
      <tp>
        <v>137.172</v>
        <stp/>
        <stp>##V3_BDHV12</stp>
        <stp>SEND EQUITY</stp>
        <stp>TRAIL_12M_NET_SALES</stp>
        <stp>11/29/2018</stp>
        <stp>11/29/2018</stp>
        <stp>[RAMP_11-29-2018 vWIC.xlsm]Current Comps!R20C29</stp>
        <stp>days=a</stp>
        <stp>fill=p</stp>
        <tr r="AC20" s="35"/>
      </tp>
      <tp>
        <v>-1.1448</v>
        <stp/>
        <stp>##V3_BDHV12</stp>
        <stp>ZEN EQUITY</stp>
        <stp>T12M_DIL_EPS_CONT_OPS</stp>
        <stp>11/29/2018</stp>
        <stp>11/29/2018</stp>
        <stp>[RAMP_11-29-2018 vWIC.xlsm]Current Comps!R15C49</stp>
        <stp>days=a</stp>
        <stp>fill=p</stp>
        <tr r="AW15" s="35"/>
      </tp>
      <tp>
        <v>108.994</v>
        <stp/>
        <stp>##V3_BDHV12</stp>
        <stp>OKTA EQUITY</stp>
        <stp>BS_SH_OUT</stp>
        <stp>11/29/2018</stp>
        <stp>11/29/2018</stp>
        <stp>[RAMP_11-29-2018 vWIC.xlsm]Current Comps!R14C92</stp>
        <stp>EQY_FUND_PER=Q</stp>
        <stp>days=a</stp>
        <stp>fill=p</stp>
        <tr r="CN14" s="35"/>
      </tp>
      <tp>
        <v>465.166</v>
        <stp/>
        <stp>##V3_BDPV12</stp>
        <stp>HUBS Equity</stp>
        <stp>BS_MKT_SEC_OTHER_ST_INVEST</stp>
        <stp>[RAMP_11-29-2018 vWIC.xlsm]Current Comps!R17C25</stp>
        <stp>EQY_FUND_DT=20181129</stp>
        <stp>EQY_FUND_RELATIVE_PERIOD=-0FQ</stp>
        <tr r="Y17" s="35"/>
        <tr r="Y17" s="35"/>
      </tp>
      <tp>
        <v>276.221</v>
        <stp/>
        <stp>##V3_BDPV12</stp>
        <stp>TWLO Equity</stp>
        <stp>BS_MKT_SEC_OTHER_ST_INVEST</stp>
        <stp>[RAMP_11-29-2018 vWIC.xlsm]Current Comps!R19C25</stp>
        <stp>EQY_FUND_DT=20181129</stp>
        <stp>EQY_FUND_RELATIVE_PERIOD=-0FQ</stp>
        <tr r="Y19" s="35"/>
        <tr r="Y19" s="35"/>
      </tp>
      <tp>
        <v>-15.55</v>
        <stp/>
        <stp>##V3_BDHV12</stp>
        <stp>RAMP EQUITY</stp>
        <stp>BEST_CAPEX</stp>
        <stp>11/29/2018</stp>
        <stp>11/29/2018</stp>
        <stp>[RAMP_11-29-2018 vWIC.xlsm]Current Comps!R41C62</stp>
        <stp>BEST_FPERIOD_OVERRIDE=20Y</stp>
        <stp>days=a</stp>
        <stp>fill=p</stp>
        <tr r="BJ41" s="35"/>
      </tp>
      <tp>
        <v>-15.55</v>
        <stp/>
        <stp>##V3_BDHV12</stp>
        <stp>RAMP EQUITY</stp>
        <stp>BEST_CAPEX</stp>
        <stp>11/29/2018</stp>
        <stp>11/29/2018</stp>
        <stp>[RAMP_11-29-2018 vWIC.xlsm]Current Comps!R47C62</stp>
        <stp>BEST_FPERIOD_OVERRIDE=20Y</stp>
        <stp>days=a</stp>
        <stp>fill=p</stp>
        <tr r="BJ47" s="35"/>
      </tp>
      <tp>
        <v>-15.55</v>
        <stp/>
        <stp>##V3_BDHV12</stp>
        <stp>RAMP EQUITY</stp>
        <stp>BEST_CAPEX</stp>
        <stp>11/29/2018</stp>
        <stp>11/29/2018</stp>
        <stp>[RAMP_11-29-2018 vWIC.xlsm]Current Comps!R44C62</stp>
        <stp>BEST_FPERIOD_OVERRIDE=20Y</stp>
        <stp>days=a</stp>
        <stp>fill=p</stp>
        <tr r="BJ44" s="35"/>
      </tp>
      <tp>
        <v>-12.05</v>
        <stp/>
        <stp>##V3_BDHV12</stp>
        <stp>RAMP EQUITY</stp>
        <stp>BEST_CAPEX</stp>
        <stp>11/29/2018</stp>
        <stp>11/29/2018</stp>
        <stp>[RAMP_11-29-2018 vWIC.xlsm]Current Comps!R41C61</stp>
        <stp>BEST_FPERIOD_OVERRIDE=19Y</stp>
        <stp>days=a</stp>
        <stp>fill=p</stp>
        <tr r="BI41" s="35"/>
      </tp>
      <tp>
        <v>-12.05</v>
        <stp/>
        <stp>##V3_BDHV12</stp>
        <stp>RAMP EQUITY</stp>
        <stp>BEST_CAPEX</stp>
        <stp>11/29/2018</stp>
        <stp>11/29/2018</stp>
        <stp>[RAMP_11-29-2018 vWIC.xlsm]Current Comps!R47C61</stp>
        <stp>BEST_FPERIOD_OVERRIDE=19Y</stp>
        <stp>days=a</stp>
        <stp>fill=p</stp>
        <tr r="BI47" s="35"/>
      </tp>
      <tp>
        <v>-12.05</v>
        <stp/>
        <stp>##V3_BDHV12</stp>
        <stp>RAMP EQUITY</stp>
        <stp>BEST_CAPEX</stp>
        <stp>11/29/2018</stp>
        <stp>11/29/2018</stp>
        <stp>[RAMP_11-29-2018 vWIC.xlsm]Current Comps!R44C61</stp>
        <stp>BEST_FPERIOD_OVERRIDE=19Y</stp>
        <stp>days=a</stp>
        <stp>fill=p</stp>
        <tr r="BI44" s="35"/>
      </tp>
      <tp>
        <v>-18.75</v>
        <stp/>
        <stp>##V3_BDHV12</stp>
        <stp>RAMP EQUITY</stp>
        <stp>BEST_CAPEX</stp>
        <stp>11/29/2018</stp>
        <stp>11/29/2018</stp>
        <stp>[RAMP_11-29-2018 vWIC.xlsm]Current Comps!R41C63</stp>
        <stp>BEST_FPERIOD_OVERRIDE=21Y</stp>
        <stp>days=a</stp>
        <stp>fill=p</stp>
        <tr r="BK41" s="35"/>
      </tp>
      <tp>
        <v>-18.75</v>
        <stp/>
        <stp>##V3_BDHV12</stp>
        <stp>RAMP EQUITY</stp>
        <stp>BEST_CAPEX</stp>
        <stp>11/29/2018</stp>
        <stp>11/29/2018</stp>
        <stp>[RAMP_11-29-2018 vWIC.xlsm]Current Comps!R47C63</stp>
        <stp>BEST_FPERIOD_OVERRIDE=21Y</stp>
        <stp>days=a</stp>
        <stp>fill=p</stp>
        <tr r="BK47" s="35"/>
      </tp>
      <tp>
        <v>-18.75</v>
        <stp/>
        <stp>##V3_BDHV12</stp>
        <stp>RAMP EQUITY</stp>
        <stp>BEST_CAPEX</stp>
        <stp>11/29/2018</stp>
        <stp>11/29/2018</stp>
        <stp>[RAMP_11-29-2018 vWIC.xlsm]Current Comps!R44C63</stp>
        <stp>BEST_FPERIOD_OVERRIDE=21Y</stp>
        <stp>days=a</stp>
        <stp>fill=p</stp>
        <tr r="BK44" s="35"/>
      </tp>
      <tp>
        <v>-41.85</v>
        <stp/>
        <stp>##V3_BDHV12</stp>
        <stp>RAMP EQUITY</stp>
        <stp>BEST_CAPEX</stp>
        <stp>11/29/2018</stp>
        <stp>11/29/2018</stp>
        <stp>[RAMP_11-29-2018 vWIC.xlsm]Current Comps!R41C60</stp>
        <stp>BEST_FPERIOD_OVERRIDE=18Y</stp>
        <stp>days=a</stp>
        <stp>fill=p</stp>
        <tr r="BH41" s="35"/>
      </tp>
      <tp>
        <v>-41.85</v>
        <stp/>
        <stp>##V3_BDHV12</stp>
        <stp>RAMP EQUITY</stp>
        <stp>BEST_CAPEX</stp>
        <stp>11/29/2018</stp>
        <stp>11/29/2018</stp>
        <stp>[RAMP_11-29-2018 vWIC.xlsm]Current Comps!R47C60</stp>
        <stp>BEST_FPERIOD_OVERRIDE=18Y</stp>
        <stp>days=a</stp>
        <stp>fill=p</stp>
        <tr r="BH47" s="35"/>
      </tp>
      <tp>
        <v>-41.85</v>
        <stp/>
        <stp>##V3_BDHV12</stp>
        <stp>RAMP EQUITY</stp>
        <stp>BEST_CAPEX</stp>
        <stp>11/29/2018</stp>
        <stp>11/29/2018</stp>
        <stp>[RAMP_11-29-2018 vWIC.xlsm]Current Comps!R44C60</stp>
        <stp>BEST_FPERIOD_OVERRIDE=18Y</stp>
        <stp>days=a</stp>
        <stp>fill=p</stp>
        <tr r="BH44" s="35"/>
      </tp>
      <tp>
        <v>-15.55</v>
        <stp/>
        <stp>##V3_BDHV12</stp>
        <stp>RAMP EQUITY</stp>
        <stp>BEST_CAPEX</stp>
        <stp>11/29/2018</stp>
        <stp>11/29/2018</stp>
        <stp>[RAMP_11-29-2018 vWIC.xlsm]Current Comps!R62C62</stp>
        <stp>BEST_FPERIOD_OVERRIDE=20Y</stp>
        <stp>days=a</stp>
        <stp>fill=p</stp>
        <tr r="BJ62" s="35"/>
      </tp>
      <tp>
        <v>-12.05</v>
        <stp/>
        <stp>##V3_BDHV12</stp>
        <stp>RAMP EQUITY</stp>
        <stp>BEST_CAPEX</stp>
        <stp>11/29/2018</stp>
        <stp>11/29/2018</stp>
        <stp>[RAMP_11-29-2018 vWIC.xlsm]Current Comps!R62C61</stp>
        <stp>BEST_FPERIOD_OVERRIDE=19Y</stp>
        <stp>days=a</stp>
        <stp>fill=p</stp>
        <tr r="BI62" s="35"/>
      </tp>
      <tp>
        <v>-18.75</v>
        <stp/>
        <stp>##V3_BDHV12</stp>
        <stp>RAMP EQUITY</stp>
        <stp>BEST_CAPEX</stp>
        <stp>11/29/2018</stp>
        <stp>11/29/2018</stp>
        <stp>[RAMP_11-29-2018 vWIC.xlsm]Current Comps!R62C63</stp>
        <stp>BEST_FPERIOD_OVERRIDE=21Y</stp>
        <stp>days=a</stp>
        <stp>fill=p</stp>
        <tr r="BK62" s="35"/>
      </tp>
      <tp>
        <v>-41.85</v>
        <stp/>
        <stp>##V3_BDHV12</stp>
        <stp>RAMP EQUITY</stp>
        <stp>BEST_CAPEX</stp>
        <stp>11/29/2018</stp>
        <stp>11/29/2018</stp>
        <stp>[RAMP_11-29-2018 vWIC.xlsm]Current Comps!R62C60</stp>
        <stp>BEST_FPERIOD_OVERRIDE=18Y</stp>
        <stp>days=a</stp>
        <stp>fill=p</stp>
        <tr r="BH62" s="35"/>
      </tp>
      <tp>
        <v>251.345</v>
        <stp/>
        <stp>##V3_BDPV12</stp>
        <stp>SEND Equity</stp>
        <stp>BS_SH_CAP_AND_APIC</stp>
        <stp>[RAMP_11-29-2018 vWIC.xlsm]Current Comps!R20C26</stp>
        <stp>EQY_FUND_DT=20181129</stp>
        <stp>EQY_FUND_RELATIVE_PERIOD=-0FQ</stp>
        <tr r="Z20" s="35"/>
        <tr r="Z20" s="35"/>
      </tp>
      <tp t="s">
        <v>SERVICENOW INC</v>
        <stp/>
        <stp>##V3_BDPV12</stp>
        <stp>NOW EQUITY</stp>
        <stp>name</stp>
        <stp>[RAMP_10-30-2018 vWIC.xlsm]Current Comps!R109C2</stp>
        <tr r="B109" s="35"/>
      </tp>
      <tp>
        <v>98.460899999999995</v>
        <stp/>
        <stp>##V3_BDHV12</stp>
        <stp>YEXT EQUITY</stp>
        <stp>BS_SH_OUT</stp>
        <stp>11/29/2018</stp>
        <stp>11/29/2018</stp>
        <stp>[RAMP_11-29-2018 vWIC.xlsm]Current Comps!R16C92</stp>
        <stp>EQY_FUND_PER=Q</stp>
        <stp>days=a</stp>
        <stp>fill=p</stp>
        <tr r="CN16" s="35"/>
      </tp>
      <tp>
        <v>47.049100000000003</v>
        <stp/>
        <stp>##V3_BDHV12</stp>
        <stp>SEND EQUITY</stp>
        <stp>BS_SH_OUT</stp>
        <stp>11/29/2018</stp>
        <stp>11/29/2018</stp>
        <stp>[RAMP_11-29-2018 vWIC.xlsm]Current Comps!R20C92</stp>
        <stp>EQY_FUND_PER=Q</stp>
        <stp>days=a</stp>
        <stp>fill=p</stp>
        <tr r="CN20" s="35"/>
      </tp>
      <tp t="s">
        <v>12/2017</v>
        <stp/>
        <stp>##V3_BDPV12</stp>
        <stp>NOW EQUITY</stp>
        <stp>EQY_FISCAL_YR_END</stp>
        <stp>[RAMP_10-30-2018 vWIC.xlsm]Current Comps!R11C93</stp>
        <tr r="CO11" s="35"/>
      </tp>
      <tp t="s">
        <v>SALESFORCE.COM INC</v>
        <stp/>
        <stp>##V3_BDPV12</stp>
        <stp>CRM EQUITY</stp>
        <stp>name</stp>
        <stp>[RAMP_10-30-2018 vWIC.xlsm]Current Comps!R105C2</stp>
        <tr r="B105" s="35"/>
      </tp>
      <tp>
        <v>1291.45</v>
        <stp/>
        <stp>##V3_BDPV12</stp>
        <stp>RAMP Equity</stp>
        <stp>BS_SH_CAP_AND_APIC</stp>
        <stp>[RAMP_11-29-2018 vWIC.xlsm]Current Comps!R62C26</stp>
        <stp>EQY_FUND_DT=20181129</stp>
        <stp>EQY_FUND_RELATIVE_PERIOD=-0FQ</stp>
        <tr r="Z62" s="35"/>
        <tr r="Z62" s="35"/>
      </tp>
      <tp>
        <v>0</v>
        <stp/>
        <stp>##V3_BDPV12</stp>
        <stp>OKTA Equity</stp>
        <stp>BS_PFD_EQY</stp>
        <stp>[RAMP_11-29-2018 vWIC.xlsm]Current Comps!R14C22</stp>
        <stp>EQY_FUND_DT=20181129</stp>
        <stp>EQY_FUND_RELATIVE_PERIOD=-0FQ</stp>
        <tr r="V14" s="35"/>
        <tr r="V14" s="35"/>
      </tp>
      <tp>
        <v>2328.0309999999999</v>
        <stp/>
        <stp>##V3_BDPV12</stp>
        <stp>SPLK Equity</stp>
        <stp>BS_SH_CAP_AND_APIC</stp>
        <stp>[RAMP_11-29-2018 vWIC.xlsm]Current Comps!R10C26</stp>
        <stp>EQY_FUND_DT=20181129</stp>
        <stp>EQY_FUND_RELATIVE_PERIOD=-0FQ</stp>
        <tr r="Z10" s="35"/>
        <tr r="Z10" s="35"/>
      </tp>
      <tp>
        <v>1291.45</v>
        <stp/>
        <stp>##V3_BDPV12</stp>
        <stp>RAMP Equity</stp>
        <stp>BS_SH_CAP_AND_APIC</stp>
        <stp>[RAMP_11-29-2018 vWIC.xlsm]Current Comps!R41C26</stp>
        <stp>EQY_FUND_DT=20181129</stp>
        <stp>EQY_FUND_RELATIVE_PERIOD=-0FQ</stp>
        <tr r="Z41" s="35"/>
        <tr r="Z41" s="35"/>
      </tp>
    </main>
    <main first="bloomberg.rtd">
      <tp>
        <v>43.185000000000002</v>
        <stp/>
        <stp>##V3_BDHV12</stp>
        <stp>TTD EQUITY</stp>
        <stp>BS_SH_OUT</stp>
        <stp>11/29/2018</stp>
        <stp>11/29/2018</stp>
        <stp>[RAMP_11-29-2018 vWIC.xlsm]Current Comps!R13C92</stp>
        <stp>EQY_FUND_PER=Q</stp>
        <stp>days=a</stp>
        <stp>fill=p</stp>
        <tr r="CN13" s="35"/>
      </tp>
      <tp>
        <v>84.685000000000002</v>
        <stp/>
        <stp>##V3_BDPV12</stp>
        <stp>TTD Equity</stp>
        <stp>BS_RETAIN_EARN</stp>
        <stp>[RAMP_11-29-2018 vWIC.xlsm]Current Comps!R13C27</stp>
        <stp>EQY_FUND_DT=20181129</stp>
        <stp>EQY_FUND_RELATIVE_PERIOD=-0FQ</stp>
        <tr r="AA13" s="35"/>
        <tr r="AA13" s="35"/>
      </tp>
      <tp>
        <v>-60.537199999999999</v>
        <stp/>
        <stp>##V3_BDHV12</stp>
        <stp>HUBS EQUITY</stp>
        <stp>TRAIL_12M_EST_COMP_NET_INC_ADJ</stp>
        <stp>11/29/2018</stp>
        <stp>11/29/2018</stp>
        <stp>[RAMP_11-29-2018 vWIC.xlsm]Current Comps!R17C44</stp>
        <stp>days=a</stp>
        <stp>fill=p</stp>
        <tr r="AR17" s="35"/>
      </tp>
      <tp t="s">
        <v>TWILIO INC - A</v>
        <stp/>
        <stp>##V3_BDPV12</stp>
        <stp>TWLO EQUITY</stp>
        <stp>name</stp>
        <stp>[RAMP_10-30-2018 vWIC.xlsm]Current Comps!R111C2</stp>
        <tr r="B111" s="35"/>
      </tp>
      <tp>
        <v>-3.6749999999999998</v>
        <stp/>
        <stp>##V3_BDHV12</stp>
        <stp>YEXT EQUITY</stp>
        <stp>BEST_CAPEX</stp>
        <stp>11/29/2018</stp>
        <stp>11/29/2018</stp>
        <stp>[RAMP_11-29-2018 vWIC.xlsm]Current Comps!R16C60</stp>
        <stp>BEST_FPERIOD_OVERRIDE=18Y</stp>
        <stp>days=a</stp>
        <stp>fill=p</stp>
        <tr r="BH16" s="35"/>
      </tp>
      <tp>
        <v>-5.8</v>
        <stp/>
        <stp>##V3_BDHV12</stp>
        <stp>YEXT EQUITY</stp>
        <stp>BEST_CAPEX</stp>
        <stp>11/29/2018</stp>
        <stp>11/29/2018</stp>
        <stp>[RAMP_11-29-2018 vWIC.xlsm]Current Comps!R16C63</stp>
        <stp>BEST_FPERIOD_OVERRIDE=21Y</stp>
        <stp>days=a</stp>
        <stp>fill=p</stp>
        <tr r="BK16" s="35"/>
      </tp>
      <tp>
        <v>-5.72</v>
        <stp/>
        <stp>##V3_BDHV12</stp>
        <stp>YEXT EQUITY</stp>
        <stp>BEST_CAPEX</stp>
        <stp>11/29/2018</stp>
        <stp>11/29/2018</stp>
        <stp>[RAMP_11-29-2018 vWIC.xlsm]Current Comps!R16C61</stp>
        <stp>BEST_FPERIOD_OVERRIDE=19Y</stp>
        <stp>days=a</stp>
        <stp>fill=p</stp>
        <tr r="BI16" s="35"/>
      </tp>
      <tp>
        <v>-6.6970000000000001</v>
        <stp/>
        <stp>##V3_BDHV12</stp>
        <stp>YEXT EQUITY</stp>
        <stp>BEST_CAPEX</stp>
        <stp>11/29/2018</stp>
        <stp>11/29/2018</stp>
        <stp>[RAMP_11-29-2018 vWIC.xlsm]Current Comps!R16C62</stp>
        <stp>BEST_FPERIOD_OVERRIDE=20Y</stp>
        <stp>days=a</stp>
        <stp>fill=p</stp>
        <tr r="BJ16" s="35"/>
      </tp>
      <tp>
        <v>-0.33310000000000001</v>
        <stp/>
        <stp>##V3_BDHV12</stp>
        <stp>NOW EQUITY</stp>
        <stp>T12M_DIL_EPS_CONT_OPS</stp>
        <stp>11/29/2018</stp>
        <stp>11/29/2018</stp>
        <stp>[RAMP_11-29-2018 vWIC.xlsm]Current Comps!R11C49</stp>
        <stp>days=a</stp>
        <stp>fill=p</stp>
        <tr r="AW11" s="35"/>
      </tp>
      <tp t="s">
        <v>#N/A N/A</v>
        <stp/>
        <stp>##V3_BDHV12</stp>
        <stp>SEND EQUITY</stp>
        <stp>BEST_CAPEX</stp>
        <stp>11/29/2018</stp>
        <stp>11/29/2018</stp>
        <stp>[RAMP_11-29-2018 vWIC.xlsm]Current Comps!R20C62</stp>
        <stp>BEST_FPERIOD_OVERRIDE=20Y</stp>
        <stp>days=a</stp>
        <stp>fill=p</stp>
        <tr r="BJ20" s="35"/>
      </tp>
      <tp>
        <v>-8.5150000000000006</v>
        <stp/>
        <stp>##V3_BDHV12</stp>
        <stp>SEND EQUITY</stp>
        <stp>BEST_CAPEX</stp>
        <stp>11/29/2018</stp>
        <stp>11/29/2018</stp>
        <stp>[RAMP_11-29-2018 vWIC.xlsm]Current Comps!R20C61</stp>
        <stp>BEST_FPERIOD_OVERRIDE=19Y</stp>
        <stp>days=a</stp>
        <stp>fill=p</stp>
        <tr r="BI20" s="35"/>
      </tp>
      <tp t="s">
        <v>#N/A N/A</v>
        <stp/>
        <stp>##V3_BDHV12</stp>
        <stp>SEND EQUITY</stp>
        <stp>BEST_CAPEX</stp>
        <stp>11/29/2018</stp>
        <stp>11/29/2018</stp>
        <stp>[RAMP_11-29-2018 vWIC.xlsm]Current Comps!R20C63</stp>
        <stp>BEST_FPERIOD_OVERRIDE=21Y</stp>
        <stp>days=a</stp>
        <stp>fill=p</stp>
        <tr r="BK20" s="35"/>
      </tp>
      <tp>
        <v>-12.85</v>
        <stp/>
        <stp>##V3_BDHV12</stp>
        <stp>SEND EQUITY</stp>
        <stp>BEST_CAPEX</stp>
        <stp>11/29/2018</stp>
        <stp>11/29/2018</stp>
        <stp>[RAMP_11-29-2018 vWIC.xlsm]Current Comps!R20C60</stp>
        <stp>BEST_FPERIOD_OVERRIDE=18Y</stp>
        <stp>days=a</stp>
        <stp>fill=p</stp>
        <tr r="BH20" s="35"/>
      </tp>
      <tp>
        <v>-73.292000000000002</v>
        <stp/>
        <stp>##V3_BDHV12</stp>
        <stp>YEXT EQUITY</stp>
        <stp>TRAIL_12M_EST_COMP_NET_INC_ADJ</stp>
        <stp>11/29/2018</stp>
        <stp>11/29/2018</stp>
        <stp>[RAMP_11-29-2018 vWIC.xlsm]Current Comps!R16C44</stp>
        <stp>days=a</stp>
        <stp>fill=p</stp>
        <tr r="AR16" s="35"/>
      </tp>
      <tp>
        <v>1291.45</v>
        <stp/>
        <stp>##V3_BDPV12</stp>
        <stp>RAMP Equity</stp>
        <stp>BS_SH_CAP_AND_APIC</stp>
        <stp>[RAMP_11-29-2018 vWIC.xlsm]Current Comps!R47C26</stp>
        <stp>EQY_FUND_DT=20181129</stp>
        <stp>EQY_FUND_RELATIVE_PERIOD=-0FQ</stp>
        <tr r="Z47" s="35"/>
        <tr r="Z47" s="35"/>
      </tp>
      <tp>
        <v>-43.043599999999998</v>
        <stp/>
        <stp>##V3_BDHV12</stp>
        <stp>NOW EQUITY</stp>
        <stp>TRAIL_12M_EST_COMP_NET_INC_ADJ</stp>
        <stp>11/29/2018</stp>
        <stp>11/29/2018</stp>
        <stp>[RAMP_11-29-2018 vWIC.xlsm]Current Comps!R11C44</stp>
        <stp>days=a</stp>
        <stp>fill=p</stp>
        <tr r="AR11" s="35"/>
      </tp>
      <tp>
        <v>0</v>
        <stp/>
        <stp>##V3_BDPV12</stp>
        <stp>SEND Equity</stp>
        <stp>BS_MKT_SEC_OTHER_ST_INVEST</stp>
        <stp>[RAMP_11-29-2018 vWIC.xlsm]Current Comps!R20C25</stp>
        <stp>EQY_FUND_DT=20181129</stp>
        <stp>EQY_FUND_RELATIVE_PERIOD=-0FQ</stp>
        <tr r="Y20" s="35"/>
        <tr r="Y20" s="35"/>
      </tp>
      <tp>
        <v>50.189</v>
        <stp/>
        <stp>##V3_BDHV12</stp>
        <stp>HUBS EQUITY</stp>
        <stp>BEST_NET_INCOME</stp>
        <stp>11/29/2018</stp>
        <stp>11/29/2018</stp>
        <stp>[RAMP_11-29-2018 vWIC.xlsm]Current Comps!R17C46</stp>
        <stp>BEST_FPERIOD_OVERRIDE=19Y</stp>
        <stp>days=a</stp>
        <stp>fill=p</stp>
        <tr r="AT17" s="35"/>
      </tp>
      <tp>
        <v>76.135999999999996</v>
        <stp/>
        <stp>##V3_BDHV12</stp>
        <stp>HUBS EQUITY</stp>
        <stp>BEST_NET_INCOME</stp>
        <stp>11/29/2018</stp>
        <stp>11/29/2018</stp>
        <stp>[RAMP_11-29-2018 vWIC.xlsm]Current Comps!R17C47</stp>
        <stp>BEST_FPERIOD_OVERRIDE=20Y</stp>
        <stp>days=a</stp>
        <stp>fill=p</stp>
        <tr r="AU17" s="35"/>
      </tp>
      <tp>
        <v>33.700000000000003</v>
        <stp/>
        <stp>##V3_BDHV12</stp>
        <stp>HUBS EQUITY</stp>
        <stp>BEST_NET_INCOME</stp>
        <stp>11/29/2018</stp>
        <stp>11/29/2018</stp>
        <stp>[RAMP_11-29-2018 vWIC.xlsm]Current Comps!R17C45</stp>
        <stp>BEST_FPERIOD_OVERRIDE=18Y</stp>
        <stp>days=a</stp>
        <stp>fill=p</stp>
        <tr r="AS17" s="35"/>
      </tp>
      <tp>
        <v>63.2</v>
        <stp/>
        <stp>##V3_BDHV12</stp>
        <stp>HUBS EQUITY</stp>
        <stp>BEST_NET_INCOME</stp>
        <stp>11/29/2018</stp>
        <stp>11/29/2018</stp>
        <stp>[RAMP_11-29-2018 vWIC.xlsm]Current Comps!R17C48</stp>
        <stp>BEST_FPERIOD_OVERRIDE=21Y</stp>
        <stp>days=a</stp>
        <stp>fill=p</stp>
        <tr r="AV17" s="35"/>
      </tp>
      <tp>
        <v>77.705600000000004</v>
        <stp/>
        <stp>##V3_BDHV12</stp>
        <stp>RAMP EQUITY</stp>
        <stp>BS_SH_OUT</stp>
        <stp>11/29/2018</stp>
        <stp>11/29/2018</stp>
        <stp>[RAMP_11-29-2018 vWIC.xlsm]Current Comps!R41C92</stp>
        <stp>EQY_FUND_PER=Q</stp>
        <stp>days=a</stp>
        <stp>fill=p</stp>
        <tr r="CN41" s="35"/>
      </tp>
      <tp>
        <v>77.705600000000004</v>
        <stp/>
        <stp>##V3_BDHV12</stp>
        <stp>RAMP EQUITY</stp>
        <stp>BS_SH_OUT</stp>
        <stp>11/29/2018</stp>
        <stp>11/29/2018</stp>
        <stp>[RAMP_11-29-2018 vWIC.xlsm]Current Comps!R44C92</stp>
        <stp>EQY_FUND_PER=Q</stp>
        <stp>days=a</stp>
        <stp>fill=p</stp>
        <tr r="CN44" s="35"/>
      </tp>
      <tp>
        <v>77.705600000000004</v>
        <stp/>
        <stp>##V3_BDHV12</stp>
        <stp>RAMP EQUITY</stp>
        <stp>BS_SH_OUT</stp>
        <stp>11/29/2018</stp>
        <stp>11/29/2018</stp>
        <stp>[RAMP_11-29-2018 vWIC.xlsm]Current Comps!R47C92</stp>
        <stp>EQY_FUND_PER=Q</stp>
        <stp>days=a</stp>
        <stp>fill=p</stp>
        <tr r="CN47" s="35"/>
      </tp>
      <tp>
        <v>77.705600000000004</v>
        <stp/>
        <stp>##V3_BDHV12</stp>
        <stp>RAMP EQUITY</stp>
        <stp>BS_SH_OUT</stp>
        <stp>11/29/2018</stp>
        <stp>11/29/2018</stp>
        <stp>[RAMP_11-29-2018 vWIC.xlsm]Current Comps!R48C92</stp>
        <stp>EQY_FUND_PER=Q</stp>
        <stp>days=a</stp>
        <stp>fill=p</stp>
        <tr r="CN48" s="35"/>
      </tp>
      <tp>
        <v>77.705600000000004</v>
        <stp/>
        <stp>##V3_BDHV12</stp>
        <stp>RAMP EQUITY</stp>
        <stp>BS_SH_OUT</stp>
        <stp>11/29/2018</stp>
        <stp>11/29/2018</stp>
        <stp>[RAMP_11-29-2018 vWIC.xlsm]Current Comps!R49C92</stp>
        <stp>EQY_FUND_PER=Q</stp>
        <stp>days=a</stp>
        <stp>fill=p</stp>
        <tr r="CN49" s="35"/>
      </tp>
      <tp>
        <v>77.705600000000004</v>
        <stp/>
        <stp>##V3_BDHV12</stp>
        <stp>RAMP EQUITY</stp>
        <stp>BS_SH_OUT</stp>
        <stp>11/29/2018</stp>
        <stp>11/29/2018</stp>
        <stp>[RAMP_11-29-2018 vWIC.xlsm]Current Comps!R50C92</stp>
        <stp>EQY_FUND_PER=Q</stp>
        <stp>days=a</stp>
        <stp>fill=p</stp>
        <tr r="CN50" s="35"/>
      </tp>
      <tp>
        <v>77.705600000000004</v>
        <stp/>
        <stp>##V3_BDHV12</stp>
        <stp>RAMP EQUITY</stp>
        <stp>BS_SH_OUT</stp>
        <stp>11/29/2018</stp>
        <stp>11/29/2018</stp>
        <stp>[RAMP_11-29-2018 vWIC.xlsm]Current Comps!R51C92</stp>
        <stp>EQY_FUND_PER=Q</stp>
        <stp>days=a</stp>
        <stp>fill=p</stp>
        <tr r="CN51" s="35"/>
      </tp>
      <tp>
        <v>77.705600000000004</v>
        <stp/>
        <stp>##V3_BDHV12</stp>
        <stp>RAMP EQUITY</stp>
        <stp>BS_SH_OUT</stp>
        <stp>11/29/2018</stp>
        <stp>11/29/2018</stp>
        <stp>[RAMP_11-29-2018 vWIC.xlsm]Current Comps!R52C92</stp>
        <stp>EQY_FUND_PER=Q</stp>
        <stp>days=a</stp>
        <stp>fill=p</stp>
        <tr r="CN52" s="35"/>
      </tp>
      <tp>
        <v>77.705600000000004</v>
        <stp/>
        <stp>##V3_BDHV12</stp>
        <stp>RAMP EQUITY</stp>
        <stp>BS_SH_OUT</stp>
        <stp>11/29/2018</stp>
        <stp>11/29/2018</stp>
        <stp>[RAMP_11-29-2018 vWIC.xlsm]Current Comps!R53C92</stp>
        <stp>EQY_FUND_PER=Q</stp>
        <stp>days=a</stp>
        <stp>fill=p</stp>
        <tr r="CN53" s="35"/>
      </tp>
      <tp>
        <v>77.705600000000004</v>
        <stp/>
        <stp>##V3_BDHV12</stp>
        <stp>RAMP EQUITY</stp>
        <stp>BS_SH_OUT</stp>
        <stp>11/29/2018</stp>
        <stp>11/29/2018</stp>
        <stp>[RAMP_11-29-2018 vWIC.xlsm]Current Comps!R54C92</stp>
        <stp>EQY_FUND_PER=Q</stp>
        <stp>days=a</stp>
        <stp>fill=p</stp>
        <tr r="CN54" s="35"/>
      </tp>
      <tp>
        <v>77.705600000000004</v>
        <stp/>
        <stp>##V3_BDHV12</stp>
        <stp>RAMP EQUITY</stp>
        <stp>BS_SH_OUT</stp>
        <stp>11/29/2018</stp>
        <stp>11/29/2018</stp>
        <stp>[RAMP_11-29-2018 vWIC.xlsm]Current Comps!R55C92</stp>
        <stp>EQY_FUND_PER=Q</stp>
        <stp>days=a</stp>
        <stp>fill=p</stp>
        <tr r="CN55" s="35"/>
      </tp>
      <tp>
        <v>77.705600000000004</v>
        <stp/>
        <stp>##V3_BDHV12</stp>
        <stp>RAMP EQUITY</stp>
        <stp>BS_SH_OUT</stp>
        <stp>11/29/2018</stp>
        <stp>11/29/2018</stp>
        <stp>[RAMP_11-29-2018 vWIC.xlsm]Current Comps!R56C92</stp>
        <stp>EQY_FUND_PER=Q</stp>
        <stp>days=a</stp>
        <stp>fill=p</stp>
        <tr r="CN56" s="35"/>
      </tp>
      <tp>
        <v>77.705600000000004</v>
        <stp/>
        <stp>##V3_BDHV12</stp>
        <stp>RAMP EQUITY</stp>
        <stp>BS_SH_OUT</stp>
        <stp>11/29/2018</stp>
        <stp>11/29/2018</stp>
        <stp>[RAMP_11-29-2018 vWIC.xlsm]Current Comps!R57C92</stp>
        <stp>EQY_FUND_PER=Q</stp>
        <stp>days=a</stp>
        <stp>fill=p</stp>
        <tr r="CN57" s="35"/>
      </tp>
      <tp>
        <v>77.705600000000004</v>
        <stp/>
        <stp>##V3_BDHV12</stp>
        <stp>RAMP EQUITY</stp>
        <stp>BS_SH_OUT</stp>
        <stp>11/29/2018</stp>
        <stp>11/29/2018</stp>
        <stp>[RAMP_11-29-2018 vWIC.xlsm]Current Comps!R58C92</stp>
        <stp>EQY_FUND_PER=Q</stp>
        <stp>days=a</stp>
        <stp>fill=p</stp>
        <tr r="CN58" s="35"/>
      </tp>
      <tp>
        <v>77.705600000000004</v>
        <stp/>
        <stp>##V3_BDHV12</stp>
        <stp>RAMP EQUITY</stp>
        <stp>BS_SH_OUT</stp>
        <stp>11/29/2018</stp>
        <stp>11/29/2018</stp>
        <stp>[RAMP_11-29-2018 vWIC.xlsm]Current Comps!R59C92</stp>
        <stp>EQY_FUND_PER=Q</stp>
        <stp>days=a</stp>
        <stp>fill=p</stp>
        <tr r="CN59" s="35"/>
      </tp>
      <tp>
        <v>77.705600000000004</v>
        <stp/>
        <stp>##V3_BDHV12</stp>
        <stp>RAMP EQUITY</stp>
        <stp>BS_SH_OUT</stp>
        <stp>11/29/2018</stp>
        <stp>11/29/2018</stp>
        <stp>[RAMP_11-29-2018 vWIC.xlsm]Current Comps!R62C92</stp>
        <stp>EQY_FUND_PER=Q</stp>
        <stp>days=a</stp>
        <stp>fill=p</stp>
        <tr r="CN62" s="35"/>
      </tp>
      <tp>
        <v>77.705600000000004</v>
        <stp/>
        <stp>##V3_BDHV12</stp>
        <stp>RAMP EQUITY</stp>
        <stp>BS_SH_OUT</stp>
        <stp>11/29/2018</stp>
        <stp>11/29/2018</stp>
        <stp>[RAMP_11-29-2018 vWIC.xlsm]Current Comps!R63C92</stp>
        <stp>EQY_FUND_PER=Q</stp>
        <stp>days=a</stp>
        <stp>fill=p</stp>
        <tr r="CN63" s="35"/>
      </tp>
      <tp>
        <v>77.705600000000004</v>
        <stp/>
        <stp>##V3_BDHV12</stp>
        <stp>RAMP EQUITY</stp>
        <stp>BS_SH_OUT</stp>
        <stp>11/29/2018</stp>
        <stp>11/29/2018</stp>
        <stp>[RAMP_11-29-2018 vWIC.xlsm]Current Comps!R64C92</stp>
        <stp>EQY_FUND_PER=Q</stp>
        <stp>days=a</stp>
        <stp>fill=p</stp>
        <tr r="CN64" s="35"/>
      </tp>
      <tp>
        <v>77.705600000000004</v>
        <stp/>
        <stp>##V3_BDHV12</stp>
        <stp>RAMP EQUITY</stp>
        <stp>BS_SH_OUT</stp>
        <stp>11/29/2018</stp>
        <stp>11/29/2018</stp>
        <stp>[RAMP_11-29-2018 vWIC.xlsm]Current Comps!R65C92</stp>
        <stp>EQY_FUND_PER=Q</stp>
        <stp>days=a</stp>
        <stp>fill=p</stp>
        <tr r="CN65" s="35"/>
      </tp>
      <tp>
        <v>77.705600000000004</v>
        <stp/>
        <stp>##V3_BDHV12</stp>
        <stp>RAMP EQUITY</stp>
        <stp>BS_SH_OUT</stp>
        <stp>11/29/2018</stp>
        <stp>11/29/2018</stp>
        <stp>[RAMP_11-29-2018 vWIC.xlsm]Current Comps!R66C92</stp>
        <stp>EQY_FUND_PER=Q</stp>
        <stp>days=a</stp>
        <stp>fill=p</stp>
        <tr r="CN66" s="35"/>
      </tp>
      <tp>
        <v>77.705600000000004</v>
        <stp/>
        <stp>##V3_BDHV12</stp>
        <stp>RAMP EQUITY</stp>
        <stp>BS_SH_OUT</stp>
        <stp>11/29/2018</stp>
        <stp>11/29/2018</stp>
        <stp>[RAMP_11-29-2018 vWIC.xlsm]Current Comps!R67C92</stp>
        <stp>EQY_FUND_PER=Q</stp>
        <stp>days=a</stp>
        <stp>fill=p</stp>
        <tr r="CN67" s="35"/>
      </tp>
      <tp>
        <v>77.705600000000004</v>
        <stp/>
        <stp>##V3_BDHV12</stp>
        <stp>RAMP EQUITY</stp>
        <stp>BS_SH_OUT</stp>
        <stp>11/29/2018</stp>
        <stp>11/29/2018</stp>
        <stp>[RAMP_11-29-2018 vWIC.xlsm]Current Comps!R68C92</stp>
        <stp>EQY_FUND_PER=Q</stp>
        <stp>days=a</stp>
        <stp>fill=p</stp>
        <tr r="CN68" s="35"/>
      </tp>
      <tp>
        <v>77.705600000000004</v>
        <stp/>
        <stp>##V3_BDHV12</stp>
        <stp>RAMP EQUITY</stp>
        <stp>BS_SH_OUT</stp>
        <stp>11/29/2018</stp>
        <stp>11/29/2018</stp>
        <stp>[RAMP_11-29-2018 vWIC.xlsm]Current Comps!R69C92</stp>
        <stp>EQY_FUND_PER=Q</stp>
        <stp>days=a</stp>
        <stp>fill=p</stp>
        <tr r="CN69" s="35"/>
      </tp>
      <tp>
        <v>77.705600000000004</v>
        <stp/>
        <stp>##V3_BDHV12</stp>
        <stp>RAMP EQUITY</stp>
        <stp>BS_SH_OUT</stp>
        <stp>11/29/2018</stp>
        <stp>11/29/2018</stp>
        <stp>[RAMP_11-29-2018 vWIC.xlsm]Current Comps!R70C92</stp>
        <stp>EQY_FUND_PER=Q</stp>
        <stp>days=a</stp>
        <stp>fill=p</stp>
        <tr r="CN70" s="35"/>
      </tp>
      <tp>
        <v>77.705600000000004</v>
        <stp/>
        <stp>##V3_BDHV12</stp>
        <stp>RAMP EQUITY</stp>
        <stp>BS_SH_OUT</stp>
        <stp>11/29/2018</stp>
        <stp>11/29/2018</stp>
        <stp>[RAMP_11-29-2018 vWIC.xlsm]Current Comps!R71C92</stp>
        <stp>EQY_FUND_PER=Q</stp>
        <stp>days=a</stp>
        <stp>fill=p</stp>
        <tr r="CN71" s="35"/>
      </tp>
      <tp>
        <v>77.705600000000004</v>
        <stp/>
        <stp>##V3_BDHV12</stp>
        <stp>RAMP EQUITY</stp>
        <stp>BS_SH_OUT</stp>
        <stp>11/29/2018</stp>
        <stp>11/29/2018</stp>
        <stp>[RAMP_11-29-2018 vWIC.xlsm]Current Comps!R72C92</stp>
        <stp>EQY_FUND_PER=Q</stp>
        <stp>days=a</stp>
        <stp>fill=p</stp>
        <tr r="CN72" s="35"/>
      </tp>
      <tp>
        <v>77.705600000000004</v>
        <stp/>
        <stp>##V3_BDHV12</stp>
        <stp>RAMP EQUITY</stp>
        <stp>BS_SH_OUT</stp>
        <stp>11/29/2018</stp>
        <stp>11/29/2018</stp>
        <stp>[RAMP_11-29-2018 vWIC.xlsm]Current Comps!R73C92</stp>
        <stp>EQY_FUND_PER=Q</stp>
        <stp>days=a</stp>
        <stp>fill=p</stp>
        <tr r="CN73" s="35"/>
      </tp>
      <tp>
        <v>77.705600000000004</v>
        <stp/>
        <stp>##V3_BDHV12</stp>
        <stp>RAMP EQUITY</stp>
        <stp>BS_SH_OUT</stp>
        <stp>11/29/2018</stp>
        <stp>11/29/2018</stp>
        <stp>[RAMP_11-29-2018 vWIC.xlsm]Current Comps!R74C92</stp>
        <stp>EQY_FUND_PER=Q</stp>
        <stp>days=a</stp>
        <stp>fill=p</stp>
        <tr r="CN74" s="35"/>
      </tp>
      <tp>
        <v>0.46779999999999999</v>
        <stp/>
        <stp>##V3_BDHV12</stp>
        <stp>RAMP EQUITY</stp>
        <stp>TRAIL_12M_EST_COMP_NET_INC_ADJ</stp>
        <stp>11/29/2018</stp>
        <stp>11/29/2018</stp>
        <stp>[RAMP_11-29-2018 vWIC.xlsm]Current Comps!R47C44</stp>
        <stp>days=a</stp>
        <stp>fill=p</stp>
        <tr r="AR47" s="35"/>
      </tp>
      <tp>
        <v>0.46779999999999999</v>
        <stp/>
        <stp>##V3_BDHV12</stp>
        <stp>RAMP EQUITY</stp>
        <stp>TRAIL_12M_EST_COMP_NET_INC_ADJ</stp>
        <stp>11/29/2018</stp>
        <stp>11/29/2018</stp>
        <stp>[RAMP_11-29-2018 vWIC.xlsm]Current Comps!R44C44</stp>
        <stp>days=a</stp>
        <stp>fill=p</stp>
        <tr r="AR44" s="35"/>
      </tp>
      <tp>
        <v>0.46779999999999999</v>
        <stp/>
        <stp>##V3_BDHV12</stp>
        <stp>RAMP EQUITY</stp>
        <stp>TRAIL_12M_EST_COMP_NET_INC_ADJ</stp>
        <stp>11/29/2018</stp>
        <stp>11/29/2018</stp>
        <stp>[RAMP_11-29-2018 vWIC.xlsm]Current Comps!R41C44</stp>
        <stp>days=a</stp>
        <stp>fill=p</stp>
        <tr r="AR41" s="35"/>
      </tp>
      <tp t="s">
        <v>HUBSPOT INC</v>
        <stp/>
        <stp>##V3_BDPV12</stp>
        <stp>HUBS EQUITY</stp>
        <stp>name</stp>
        <stp>[RAMP_10-30-2018 vWIC.xlsm]Current Comps!R115C2</stp>
        <tr r="B115" s="35"/>
      </tp>
      <tp>
        <v>1.58</v>
        <stp/>
        <stp>##V3_BDHV12</stp>
        <stp>DATA EQUITY</stp>
        <stp>BEST_EPS</stp>
        <stp>11/29/2018</stp>
        <stp>11/29/2018</stp>
        <stp>[RAMP_11-29-2018 vWIC.xlsm]Current Comps!R8C53</stp>
        <stp>BEST_FPERIOD_OVERRIDE=21Y</stp>
        <stp>days=a</stp>
        <stp>fill=p</stp>
        <tr r="BA8" s="35"/>
      </tp>
      <tp>
        <v>-0.34899999999999998</v>
        <stp/>
        <stp>##V3_BDHV12</stp>
        <stp>DATA EQUITY</stp>
        <stp>BEST_EPS</stp>
        <stp>11/29/2018</stp>
        <stp>11/29/2018</stp>
        <stp>[RAMP_11-29-2018 vWIC.xlsm]Current Comps!R8C50</stp>
        <stp>BEST_FPERIOD_OVERRIDE=18Y</stp>
        <stp>days=a</stp>
        <stp>fill=p</stp>
        <tr r="AX8" s="35"/>
      </tp>
      <tp>
        <v>1.792</v>
        <stp/>
        <stp>##V3_BDHV12</stp>
        <stp>DATA EQUITY</stp>
        <stp>BEST_EPS</stp>
        <stp>11/29/2018</stp>
        <stp>11/29/2018</stp>
        <stp>[RAMP_11-29-2018 vWIC.xlsm]Current Comps!R8C52</stp>
        <stp>BEST_FPERIOD_OVERRIDE=20Y</stp>
        <stp>days=a</stp>
        <stp>fill=p</stp>
        <tr r="AZ8" s="35"/>
      </tp>
      <tp>
        <v>0.83099999999999996</v>
        <stp/>
        <stp>##V3_BDHV12</stp>
        <stp>DATA EQUITY</stp>
        <stp>BEST_EPS</stp>
        <stp>11/29/2018</stp>
        <stp>11/29/2018</stp>
        <stp>[RAMP_11-29-2018 vWIC.xlsm]Current Comps!R8C51</stp>
        <stp>BEST_FPERIOD_OVERRIDE=19Y</stp>
        <stp>days=a</stp>
        <stp>fill=p</stp>
        <tr r="AY8" s="35"/>
      </tp>
      <tp>
        <v>471.90199999999999</v>
        <stp/>
        <stp>##V3_BDPV12</stp>
        <stp>SPLK Equity</stp>
        <stp>BS_MKT_SEC_OTHER_ST_INVEST</stp>
        <stp>[RAMP_11-29-2018 vWIC.xlsm]Current Comps!R10C25</stp>
        <stp>EQY_FUND_DT=20181129</stp>
        <stp>EQY_FUND_RELATIVE_PERIOD=-0FQ</stp>
        <tr r="Y10" s="35"/>
        <tr r="Y10" s="35"/>
      </tp>
      <tp>
        <v>198.54300000000001</v>
        <stp/>
        <stp>##V3_BDHV12</stp>
        <stp>YEXT EQUITY</stp>
        <stp>TRAIL_12M_NET_SALES</stp>
        <stp>11/29/2018</stp>
        <stp>11/29/2018</stp>
        <stp>[RAMP_11-29-2018 vWIC.xlsm]Current Comps!R16C29</stp>
        <stp>days=a</stp>
        <stp>fill=p</stp>
        <tr r="AC16" s="35"/>
      </tp>
      <tp>
        <v>0.46779999999999999</v>
        <stp/>
        <stp>##V3_BDHV12</stp>
        <stp>RAMP EQUITY</stp>
        <stp>TRAIL_12M_EST_COMP_NET_INC_ADJ</stp>
        <stp>11/29/2018</stp>
        <stp>11/29/2018</stp>
        <stp>[RAMP_11-29-2018 vWIC.xlsm]Current Comps!R62C44</stp>
        <stp>days=a</stp>
        <stp>fill=p</stp>
        <tr r="AR62" s="35"/>
      </tp>
      <tp>
        <v>1291.45</v>
        <stp/>
        <stp>##V3_BDPV12</stp>
        <stp>RAMP Equity</stp>
        <stp>BS_SH_CAP_AND_APIC</stp>
        <stp>[RAMP_11-29-2018 vWIC.xlsm]Current Comps!R44C26</stp>
        <stp>EQY_FUND_DT=20181129</stp>
        <stp>EQY_FUND_RELATIVE_PERIOD=-0FQ</stp>
        <tr r="Z44" s="35"/>
        <tr r="Z44" s="35"/>
      </tp>
      <tp>
        <v>-22.728999999999999</v>
        <stp/>
        <stp>##V3_BDHV12</stp>
        <stp>TTD EQUITY</stp>
        <stp>BEST_CAPEX</stp>
        <stp>11/29/2018</stp>
        <stp>11/29/2018</stp>
        <stp>[RAMP_11-29-2018 vWIC.xlsm]Current Comps!R13C61</stp>
        <stp>BEST_FPERIOD_OVERRIDE=19Y</stp>
        <stp>days=a</stp>
        <stp>fill=p</stp>
        <tr r="BI13" s="35"/>
      </tp>
      <tp>
        <v>-27.7</v>
        <stp/>
        <stp>##V3_BDHV12</stp>
        <stp>TTD EQUITY</stp>
        <stp>BEST_CAPEX</stp>
        <stp>11/29/2018</stp>
        <stp>11/29/2018</stp>
        <stp>[RAMP_11-29-2018 vWIC.xlsm]Current Comps!R13C62</stp>
        <stp>BEST_FPERIOD_OVERRIDE=20Y</stp>
        <stp>days=a</stp>
        <stp>fill=p</stp>
        <tr r="BJ13" s="35"/>
      </tp>
      <tp>
        <v>-19.533000000000001</v>
        <stp/>
        <stp>##V3_BDHV12</stp>
        <stp>TTD EQUITY</stp>
        <stp>BEST_CAPEX</stp>
        <stp>11/29/2018</stp>
        <stp>11/29/2018</stp>
        <stp>[RAMP_11-29-2018 vWIC.xlsm]Current Comps!R13C60</stp>
        <stp>BEST_FPERIOD_OVERRIDE=18Y</stp>
        <stp>days=a</stp>
        <stp>fill=p</stp>
        <tr r="BH13" s="35"/>
      </tp>
      <tp>
        <v>-35.466999999999999</v>
        <stp/>
        <stp>##V3_BDHV12</stp>
        <stp>TTD EQUITY</stp>
        <stp>BEST_CAPEX</stp>
        <stp>11/29/2018</stp>
        <stp>11/29/2018</stp>
        <stp>[RAMP_11-29-2018 vWIC.xlsm]Current Comps!R13C63</stp>
        <stp>BEST_FPERIOD_OVERRIDE=21Y</stp>
        <stp>days=a</stp>
        <stp>fill=p</stp>
        <tr r="BK13" s="35"/>
      </tp>
      <tp>
        <v>166.34899999999999</v>
        <stp/>
        <stp>##V3_BDPV12</stp>
        <stp>TTD Equity</stp>
        <stp>BS_CASH_NEAR_CASH_ITEM</stp>
        <stp>[RAMP_11-29-2018 vWIC.xlsm]Current Comps!R13C24</stp>
        <stp>EQY_FUND_DT=20181129</stp>
        <stp>EQY_FUND_RELATIVE_PERIOD=-0FQ</stp>
        <tr r="X13" s="35"/>
        <tr r="X13" s="35"/>
      </tp>
    </main>
    <main first="bloomberg.rtd">
      <tp>
        <v>-5.24</v>
        <stp/>
        <stp>##V3_BDPV12</stp>
        <stp>RAMP EQUITY</stp>
        <stp>BEST EBITDA</stp>
        <stp>[RAMP_10-30-2018 vWIC.xlsm]Summary!R28C23</stp>
        <stp>BEST_FPERIOD_OVERRIDE=20Y</stp>
        <tr r="W28" s="1"/>
      </tp>
      <tp>
        <v>83.34</v>
        <stp/>
        <stp>##V3_BDHV12</stp>
        <stp>TWLO EQUITY</stp>
        <stp>last price</stp>
        <stp>11/12/2018</stp>
        <stp>11/12/2018</stp>
        <stp>[RAMP_10-30-2018 vWIC.xlsm]Current Comps!R93C5</stp>
        <tr r="E93" s="35"/>
      </tp>
      <tp>
        <v>-116.569</v>
        <stp/>
        <stp>##V3_BDHV12</stp>
        <stp>OKTA EQUITY</stp>
        <stp>TRAIL_12M_EBITDA</stp>
        <stp>11/29/2018</stp>
        <stp>11/29/2018</stp>
        <stp>[RAMP_11-29-2018 vWIC.xlsm]Current Comps!R14C34</stp>
        <stp>days=a</stp>
        <stp>fill=p</stp>
        <tr r="AH14" s="35"/>
      </tp>
      <tp t="s">
        <v>01/2018</v>
        <stp/>
        <stp>##V3_BDPV12</stp>
        <stp>CRM EQUITY</stp>
        <stp>EQY_FISCAL_YR_END</stp>
        <stp>[RAMP_10-30-2018 vWIC.xlsm]Current Comps!R7C93</stp>
        <tr r="CO7" s="35"/>
      </tp>
      <tp>
        <v>-54.767000000000003</v>
        <stp/>
        <stp>##V3_BDPV12</stp>
        <stp>RAMP EQUITY</stp>
        <stp>BEST EBITDA</stp>
        <stp>[RAMP_10-30-2018 vWIC.xlsm]Summary!R28C22</stp>
        <stp>BEST_FPERIOD_OVERRIDE=19Y</stp>
        <tr r="V28" s="1"/>
      </tp>
      <tp>
        <v>-95.075000000000003</v>
        <stp/>
        <stp>##V3_BDHV12</stp>
        <stp>ZEN EQUITY</stp>
        <stp>TRAIL_12M_EBITDA</stp>
        <stp>11/29/2018</stp>
        <stp>11/29/2018</stp>
        <stp>[RAMP_11-29-2018 vWIC.xlsm]Current Comps!R15C34</stp>
        <stp>days=a</stp>
        <stp>fill=p</stp>
        <tr r="AH15" s="35"/>
      </tp>
      <tp>
        <v>387.83300000000003</v>
        <stp/>
        <stp>##V3_BDHV12</stp>
        <stp>RAMP EQUITY</stp>
        <stp>BEST_Sales</stp>
        <stp>11/29/2018</stp>
        <stp>11/29/2018</stp>
        <stp>[RAMP_11-29-2018 vWIC.xlsm]Current Comps!R41C32</stp>
        <stp>BEST_FPERIOD_OVERRIDE=20Y</stp>
        <stp>days=a</stp>
        <stp>fill=p</stp>
        <tr r="AF41" s="35"/>
      </tp>
      <tp>
        <v>387.83300000000003</v>
        <stp/>
        <stp>##V3_BDHV12</stp>
        <stp>RAMP EQUITY</stp>
        <stp>BEST_Sales</stp>
        <stp>11/29/2018</stp>
        <stp>11/29/2018</stp>
        <stp>[RAMP_11-29-2018 vWIC.xlsm]Current Comps!R47C32</stp>
        <stp>BEST_FPERIOD_OVERRIDE=20Y</stp>
        <stp>days=a</stp>
        <stp>fill=p</stp>
        <tr r="AF47" s="35"/>
      </tp>
      <tp>
        <v>295</v>
        <stp/>
        <stp>##V3_BDHV12</stp>
        <stp>RAMP EQUITY</stp>
        <stp>BEST_Sales</stp>
        <stp>11/29/2018</stp>
        <stp>11/29/2018</stp>
        <stp>[RAMP_11-29-2018 vWIC.xlsm]Current Comps!R41C31</stp>
        <stp>BEST_FPERIOD_OVERRIDE=19Y</stp>
        <stp>days=a</stp>
        <stp>fill=p</stp>
        <tr r="AE41" s="35"/>
      </tp>
      <tp>
        <v>295</v>
        <stp/>
        <stp>##V3_BDHV12</stp>
        <stp>RAMP EQUITY</stp>
        <stp>BEST_Sales</stp>
        <stp>11/29/2018</stp>
        <stp>11/29/2018</stp>
        <stp>[RAMP_11-29-2018 vWIC.xlsm]Current Comps!R47C31</stp>
        <stp>BEST_FPERIOD_OVERRIDE=19Y</stp>
        <stp>days=a</stp>
        <stp>fill=p</stp>
        <tr r="AE47" s="35"/>
      </tp>
      <tp>
        <v>482.25</v>
        <stp/>
        <stp>##V3_BDHV12</stp>
        <stp>RAMP EQUITY</stp>
        <stp>BEST_Sales</stp>
        <stp>11/29/2018</stp>
        <stp>11/29/2018</stp>
        <stp>[RAMP_11-29-2018 vWIC.xlsm]Current Comps!R41C33</stp>
        <stp>BEST_FPERIOD_OVERRIDE=21Y</stp>
        <stp>days=a</stp>
        <stp>fill=p</stp>
        <tr r="AG41" s="35"/>
      </tp>
      <tp>
        <v>482.25</v>
        <stp/>
        <stp>##V3_BDHV12</stp>
        <stp>RAMP EQUITY</stp>
        <stp>BEST_Sales</stp>
        <stp>11/29/2018</stp>
        <stp>11/29/2018</stp>
        <stp>[RAMP_11-29-2018 vWIC.xlsm]Current Comps!R47C33</stp>
        <stp>BEST_FPERIOD_OVERRIDE=21Y</stp>
        <stp>days=a</stp>
        <stp>fill=p</stp>
        <tr r="AG47" s="35"/>
      </tp>
      <tp>
        <v>-130.089</v>
        <stp/>
        <stp>##V3_BDHV12</stp>
        <stp>DATA EQUITY</stp>
        <stp>TRAIL_12M_OPER_INC</stp>
        <stp>11/29/2018</stp>
        <stp>11/29/2018</stp>
        <stp>[RAMP_11-29-2018 vWIC.xlsm]Current Comps!R8C39</stp>
        <stp>days=a</stp>
        <stp>fill=p</stp>
        <tr r="AM8" s="35"/>
      </tp>
      <tp>
        <v>617.78599999999994</v>
        <stp/>
        <stp>##V3_BDHV12</stp>
        <stp>TTD EQUITY</stp>
        <stp>BEST_Sales</stp>
        <stp>11/29/2018</stp>
        <stp>11/29/2018</stp>
        <stp>[RAMP_11-29-2018 vWIC.xlsm]Current Comps!R13C31</stp>
        <stp>BEST_FPERIOD_OVERRIDE=19Y</stp>
        <stp>days=a</stp>
        <stp>fill=p</stp>
        <tr r="AE13" s="35"/>
      </tp>
      <tp>
        <v>784.5</v>
        <stp/>
        <stp>##V3_BDHV12</stp>
        <stp>TTD EQUITY</stp>
        <stp>BEST_Sales</stp>
        <stp>11/29/2018</stp>
        <stp>11/29/2018</stp>
        <stp>[RAMP_11-29-2018 vWIC.xlsm]Current Comps!R13C32</stp>
        <stp>BEST_FPERIOD_OVERRIDE=20Y</stp>
        <stp>days=a</stp>
        <stp>fill=p</stp>
        <tr r="AF13" s="35"/>
      </tp>
      <tp>
        <v>464.714</v>
        <stp/>
        <stp>##V3_BDHV12</stp>
        <stp>TTD EQUITY</stp>
        <stp>BEST_Sales</stp>
        <stp>11/29/2018</stp>
        <stp>11/29/2018</stp>
        <stp>[RAMP_11-29-2018 vWIC.xlsm]Current Comps!R13C30</stp>
        <stp>BEST_FPERIOD_OVERRIDE=18Y</stp>
        <stp>days=a</stp>
        <stp>fill=p</stp>
        <tr r="AD13" s="35"/>
      </tp>
      <tp>
        <v>991.2</v>
        <stp/>
        <stp>##V3_BDHV12</stp>
        <stp>TTD EQUITY</stp>
        <stp>BEST_Sales</stp>
        <stp>11/29/2018</stp>
        <stp>11/29/2018</stp>
        <stp>[RAMP_11-29-2018 vWIC.xlsm]Current Comps!R13C33</stp>
        <stp>BEST_FPERIOD_OVERRIDE=21Y</stp>
        <stp>days=a</stp>
        <stp>fill=p</stp>
        <tr r="AG13" s="35"/>
      </tp>
      <tp>
        <v>0</v>
        <stp/>
        <stp>##V3_BDPV12</stp>
        <stp>TWLO Equity</stp>
        <stp>BS_MINORITY_INT</stp>
        <stp>[RAMP_11-29-2018 vWIC.xlsm]Current Comps!R19C23</stp>
        <stp>EQY_FUND_DT=20181129</stp>
        <stp>EQY_FUND_RELATIVE_PERIOD=-0FQ</stp>
        <tr r="W19" s="35"/>
        <tr r="W19" s="35"/>
      </tp>
      <tp>
        <v>96.36</v>
        <stp/>
        <stp>##V3_BDHV12</stp>
        <stp>SPLK EQUITY</stp>
        <stp>last price</stp>
        <stp>11/12/2018</stp>
        <stp>11/12/2018</stp>
        <stp>[RAMP_10-30-2018 vWIC.xlsm]Current Comps!R90C5</stp>
        <tr r="E90" s="35"/>
      </tp>
      <tp>
        <v>0</v>
        <stp/>
        <stp>##V3_BDPV12</stp>
        <stp>OKTA Equity</stp>
        <stp>BS_MINORITY_INT</stp>
        <stp>[RAMP_11-29-2018 vWIC.xlsm]Current Comps!R14C23</stp>
        <stp>EQY_FUND_DT=20181129</stp>
        <stp>EQY_FUND_RELATIVE_PERIOD=-0FQ</stp>
        <tr r="W14" s="35"/>
        <tr r="W14" s="35"/>
      </tp>
      <tp>
        <v>-565.75900000000001</v>
        <stp/>
        <stp>##V3_BDHV12</stp>
        <stp>CRM EQUITY</stp>
        <stp>TRAIL_12M_CAP_EXPEND</stp>
        <stp>11/29/2018</stp>
        <stp>11/29/2018</stp>
        <stp>[RAMP_11-29-2018 vWIC.xlsm]Current Comps!R7C59</stp>
        <stp>days=a</stp>
        <stp>fill=p</stp>
        <tr r="BG7" s="35"/>
      </tp>
      <tp>
        <v>40.325000000000003</v>
        <stp/>
        <stp>##V3_BDPV12</stp>
        <stp>RAMP EQUITY</stp>
        <stp>BEST EBITDA</stp>
        <stp>[RAMP_10-30-2018 vWIC.xlsm]Summary!R28C24</stp>
        <stp>BEST_FPERIOD_OVERRIDE=21Y</stp>
        <tr r="X28" s="1"/>
      </tp>
      <tp>
        <v>170</v>
        <stp/>
        <stp>##V3_BDHV12</stp>
        <stp>YEXT EQUITY</stp>
        <stp>BEST_Sales</stp>
        <stp>11/29/2018</stp>
        <stp>11/29/2018</stp>
        <stp>[RAMP_11-29-2018 vWIC.xlsm]Current Comps!R16C30</stp>
        <stp>BEST_FPERIOD_OVERRIDE=18Y</stp>
        <stp>days=a</stp>
        <stp>fill=p</stp>
        <tr r="AD16" s="35"/>
      </tp>
      <tp>
        <v>383.57100000000003</v>
        <stp/>
        <stp>##V3_BDHV12</stp>
        <stp>YEXT EQUITY</stp>
        <stp>BEST_Sales</stp>
        <stp>11/29/2018</stp>
        <stp>11/29/2018</stp>
        <stp>[RAMP_11-29-2018 vWIC.xlsm]Current Comps!R16C33</stp>
        <stp>BEST_FPERIOD_OVERRIDE=21Y</stp>
        <stp>days=a</stp>
        <stp>fill=p</stp>
        <tr r="AG16" s="35"/>
      </tp>
      <tp>
        <v>227.75</v>
        <stp/>
        <stp>##V3_BDHV12</stp>
        <stp>YEXT EQUITY</stp>
        <stp>BEST_Sales</stp>
        <stp>11/29/2018</stp>
        <stp>11/29/2018</stp>
        <stp>[RAMP_11-29-2018 vWIC.xlsm]Current Comps!R16C31</stp>
        <stp>BEST_FPERIOD_OVERRIDE=19Y</stp>
        <stp>days=a</stp>
        <stp>fill=p</stp>
        <tr r="AE16" s="35"/>
      </tp>
      <tp>
        <v>300.25</v>
        <stp/>
        <stp>##V3_BDHV12</stp>
        <stp>YEXT EQUITY</stp>
        <stp>BEST_Sales</stp>
        <stp>11/29/2018</stp>
        <stp>11/29/2018</stp>
        <stp>[RAMP_11-29-2018 vWIC.xlsm]Current Comps!R16C32</stp>
        <stp>BEST_FPERIOD_OVERRIDE=20Y</stp>
        <stp>days=a</stp>
        <stp>fill=p</stp>
        <tr r="AF16" s="35"/>
      </tp>
      <tp>
        <v>221</v>
        <stp/>
        <stp>##V3_BDHV12</stp>
        <stp>SEND EQUITY</stp>
        <stp>BEST_Sales</stp>
        <stp>11/29/2018</stp>
        <stp>11/29/2018</stp>
        <stp>[RAMP_11-29-2018 vWIC.xlsm]Current Comps!R20C32</stp>
        <stp>BEST_FPERIOD_OVERRIDE=20Y</stp>
        <stp>days=a</stp>
        <stp>fill=p</stp>
        <tr r="AF20" s="35"/>
      </tp>
      <tp>
        <v>180.25</v>
        <stp/>
        <stp>##V3_BDHV12</stp>
        <stp>SEND EQUITY</stp>
        <stp>BEST_Sales</stp>
        <stp>11/29/2018</stp>
        <stp>11/29/2018</stp>
        <stp>[RAMP_11-29-2018 vWIC.xlsm]Current Comps!R20C31</stp>
        <stp>BEST_FPERIOD_OVERRIDE=19Y</stp>
        <stp>days=a</stp>
        <stp>fill=p</stp>
        <tr r="AE20" s="35"/>
      </tp>
      <tp t="s">
        <v>#N/A N/A</v>
        <stp/>
        <stp>##V3_BDHV12</stp>
        <stp>SEND EQUITY</stp>
        <stp>BEST_Sales</stp>
        <stp>11/29/2018</stp>
        <stp>11/29/2018</stp>
        <stp>[RAMP_11-29-2018 vWIC.xlsm]Current Comps!R20C33</stp>
        <stp>BEST_FPERIOD_OVERRIDE=21Y</stp>
        <stp>days=a</stp>
        <stp>fill=p</stp>
        <tr r="AG20" s="35"/>
      </tp>
      <tp>
        <v>144</v>
        <stp/>
        <stp>##V3_BDHV12</stp>
        <stp>SEND EQUITY</stp>
        <stp>BEST_Sales</stp>
        <stp>11/29/2018</stp>
        <stp>11/29/2018</stp>
        <stp>[RAMP_11-29-2018 vWIC.xlsm]Current Comps!R20C30</stp>
        <stp>BEST_FPERIOD_OVERRIDE=18Y</stp>
        <stp>days=a</stp>
        <stp>fill=p</stp>
        <tr r="AD20" s="35"/>
      </tp>
      <tp>
        <v>0</v>
        <stp/>
        <stp>##V3_BDPV12</stp>
        <stp>SEND Equity</stp>
        <stp>BS_MINORITY_INT</stp>
        <stp>[RAMP_11-29-2018 vWIC.xlsm]Current Comps!R20C23</stp>
        <stp>EQY_FUND_DT=20181129</stp>
        <stp>EQY_FUND_RELATIVE_PERIOD=-0FQ</stp>
        <tr r="W20" s="35"/>
        <tr r="W20" s="35"/>
      </tp>
      <tp>
        <v>0.63980000000000004</v>
        <stp/>
        <stp>##V3_BDHV12</stp>
        <stp>CRM EQUITY</stp>
        <stp>T12M_DIL_EPS_CONT_OPS</stp>
        <stp>11/29/2018</stp>
        <stp>11/29/2018</stp>
        <stp>[RAMP_11-29-2018 vWIC.xlsm]Current Comps!R7C49</stp>
        <stp>days=a</stp>
        <stp>fill=p</stp>
        <tr r="AW7" s="35"/>
      </tp>
      <tp>
        <v>0</v>
        <stp/>
        <stp>##V3_BDPV12</stp>
        <stp>SPLK Equity</stp>
        <stp>BS_MINORITY_INT</stp>
        <stp>[RAMP_11-29-2018 vWIC.xlsm]Current Comps!R10C23</stp>
        <stp>EQY_FUND_DT=20181129</stp>
        <stp>EQY_FUND_RELATIVE_PERIOD=-0FQ</stp>
        <tr r="W10" s="35"/>
        <tr r="W10" s="35"/>
      </tp>
      <tp>
        <v>-20.62</v>
        <stp/>
        <stp>##V3_BDPV12</stp>
        <stp>RAMP EQUITY</stp>
        <stp>BEST EBITDA</stp>
        <stp>[RAMP_10-30-2018 vWIC.xlsm]Summary!R28C21</stp>
        <stp>BEST_FPERIOD_OVERRIDE=19Q4</stp>
        <tr r="U28" s="1"/>
      </tp>
      <tp>
        <v>-20.56</v>
        <stp/>
        <stp>##V3_BDPV12</stp>
        <stp>RAMP EQUITY</stp>
        <stp>BEST EBITDA</stp>
        <stp>[RAMP_10-30-2018 vWIC.xlsm]Summary!R28C21</stp>
        <stp>BEST_FPERIOD_OVERRIDE=19Q3</stp>
        <tr r="U28" s="1"/>
      </tp>
      <tp>
        <v>133.1</v>
        <stp/>
        <stp>##V3_BDHV12</stp>
        <stp>WDAY EQUITY</stp>
        <stp>last price</stp>
        <stp>11/12/2018</stp>
        <stp>11/12/2018</stp>
        <stp>[RAMP_10-30-2018 vWIC.xlsm]Current Comps!R89C5</stp>
        <tr r="E89" s="35"/>
      </tp>
      <tp>
        <v>-2094.105</v>
        <stp/>
        <stp>##V3_BDPV12</stp>
        <stp>WDAY Equity</stp>
        <stp>BS_RETAIN_EARN</stp>
        <stp>[RAMP_11-29-2018 vWIC.xlsm]Current Comps!R9C27</stp>
        <stp>EQY_FUND_DT=20181129</stp>
        <stp>EQY_FUND_RELATIVE_PERIOD=-0FQ</stp>
        <tr r="AA9" s="35"/>
        <tr r="AA9" s="35"/>
      </tp>
      <tp>
        <v>374.846</v>
        <stp/>
        <stp>##V3_BDHV12</stp>
        <stp>OKTA EQUITY</stp>
        <stp>BEST_Sales</stp>
        <stp>11/29/2018</stp>
        <stp>11/29/2018</stp>
        <stp>[RAMP_11-29-2018 vWIC.xlsm]Current Comps!R14C31</stp>
        <stp>BEST_FPERIOD_OVERRIDE=19Y</stp>
        <stp>days=a</stp>
        <stp>fill=p</stp>
        <tr r="AE14" s="35"/>
      </tp>
      <tp>
        <v>498.53800000000001</v>
        <stp/>
        <stp>##V3_BDHV12</stp>
        <stp>OKTA EQUITY</stp>
        <stp>BEST_Sales</stp>
        <stp>11/29/2018</stp>
        <stp>11/29/2018</stp>
        <stp>[RAMP_11-29-2018 vWIC.xlsm]Current Comps!R14C32</stp>
        <stp>BEST_FPERIOD_OVERRIDE=20Y</stp>
        <stp>days=a</stp>
        <stp>fill=p</stp>
        <tr r="AF14" s="35"/>
      </tp>
      <tp>
        <v>259.83300000000003</v>
        <stp/>
        <stp>##V3_BDHV12</stp>
        <stp>OKTA EQUITY</stp>
        <stp>BEST_Sales</stp>
        <stp>11/29/2018</stp>
        <stp>11/29/2018</stp>
        <stp>[RAMP_11-29-2018 vWIC.xlsm]Current Comps!R14C30</stp>
        <stp>BEST_FPERIOD_OVERRIDE=18Y</stp>
        <stp>days=a</stp>
        <stp>fill=p</stp>
        <tr r="AD14" s="35"/>
      </tp>
      <tp>
        <v>622.4</v>
        <stp/>
        <stp>##V3_BDHV12</stp>
        <stp>OKTA EQUITY</stp>
        <stp>BEST_Sales</stp>
        <stp>11/29/2018</stp>
        <stp>11/29/2018</stp>
        <stp>[RAMP_11-29-2018 vWIC.xlsm]Current Comps!R14C33</stp>
        <stp>BEST_FPERIOD_OVERRIDE=21Y</stp>
        <stp>days=a</stp>
        <stp>fill=p</stp>
        <tr r="AG14" s="35"/>
      </tp>
      <tp>
        <v>17.89</v>
        <stp/>
        <stp>##V3_BDHV12</stp>
        <stp>YEXT EQUITY</stp>
        <stp>last price</stp>
        <stp>11/12/2018</stp>
        <stp>11/12/2018</stp>
        <stp>[RAMP_10-30-2018 vWIC.xlsm]Current Comps!R96C5</stp>
        <tr r="E96" s="35"/>
      </tp>
      <tp>
        <v>778.77800000000002</v>
        <stp/>
        <stp>##V3_BDHV12</stp>
        <stp>ZEN EQUITY</stp>
        <stp>BEST_Sales</stp>
        <stp>11/29/2018</stp>
        <stp>11/29/2018</stp>
        <stp>[RAMP_11-29-2018 vWIC.xlsm]Current Comps!R15C31</stp>
        <stp>BEST_FPERIOD_OVERRIDE=19Y</stp>
        <stp>days=a</stp>
        <stp>fill=p</stp>
        <tr r="AE15" s="35"/>
      </tp>
      <tp>
        <v>1014.308</v>
        <stp/>
        <stp>##V3_BDHV12</stp>
        <stp>ZEN EQUITY</stp>
        <stp>BEST_Sales</stp>
        <stp>11/29/2018</stp>
        <stp>11/29/2018</stp>
        <stp>[RAMP_11-29-2018 vWIC.xlsm]Current Comps!R15C32</stp>
        <stp>BEST_FPERIOD_OVERRIDE=20Y</stp>
        <stp>days=a</stp>
        <stp>fill=p</stp>
        <tr r="AF15" s="35"/>
      </tp>
      <tp>
        <v>592.11099999999999</v>
        <stp/>
        <stp>##V3_BDHV12</stp>
        <stp>ZEN EQUITY</stp>
        <stp>BEST_Sales</stp>
        <stp>11/29/2018</stp>
        <stp>11/29/2018</stp>
        <stp>[RAMP_11-29-2018 vWIC.xlsm]Current Comps!R15C30</stp>
        <stp>BEST_FPERIOD_OVERRIDE=18Y</stp>
        <stp>days=a</stp>
        <stp>fill=p</stp>
        <tr r="AD15" s="35"/>
      </tp>
      <tp t="s">
        <v>#N/A N/A</v>
        <stp/>
        <stp>##V3_BDHV12</stp>
        <stp>ZEN EQUITY</stp>
        <stp>BEST_Sales</stp>
        <stp>11/29/2018</stp>
        <stp>11/29/2018</stp>
        <stp>[RAMP_11-29-2018 vWIC.xlsm]Current Comps!R15C33</stp>
        <stp>BEST_FPERIOD_OVERRIDE=21Y</stp>
        <stp>days=a</stp>
        <stp>fill=p</stp>
        <tr r="AG15" s="35"/>
      </tp>
      <tp>
        <v>1693.7429999999999</v>
        <stp/>
        <stp>##V3_BDPV12</stp>
        <stp>WDAY Equity</stp>
        <stp>BS_CASH_NEAR_CASH_ITEM</stp>
        <stp>[RAMP_11-29-2018 vWIC.xlsm]Current Comps!R9C24</stp>
        <stp>EQY_FUND_DT=20181129</stp>
        <stp>EQY_FUND_RELATIVE_PERIOD=-0FQ</stp>
        <tr r="X9" s="35"/>
        <tr r="X9" s="35"/>
      </tp>
      <tp>
        <v>97.831999999999994</v>
        <stp/>
        <stp>##V3_BDHV12</stp>
        <stp>TTD EQUITY</stp>
        <stp>TRAIL_12M_EBITDA</stp>
        <stp>11/29/2018</stp>
        <stp>11/29/2018</stp>
        <stp>[RAMP_11-29-2018 vWIC.xlsm]Current Comps!R13C34</stp>
        <stp>days=a</stp>
        <stp>fill=p</stp>
        <tr r="AH13" s="35"/>
      </tp>
      <tp>
        <v>44.344000000000001</v>
        <stp/>
        <stp>##V3_BDHV12</stp>
        <stp>RAMP EQUITY</stp>
        <stp>TRAIL_12M_EBITDA</stp>
        <stp>11/29/2018</stp>
        <stp>11/29/2018</stp>
        <stp>[RAMP_11-29-2018 vWIC.xlsm]Current Comps!R62C34</stp>
        <stp>days=a</stp>
        <stp>fill=p</stp>
        <tr r="AH62" s="35"/>
      </tp>
      <tp>
        <v>3.7389999999999999</v>
        <stp/>
        <stp>##V3_BDHV12</stp>
        <stp>SEND EQUITY</stp>
        <stp>TRAIL_12M_EBITDA</stp>
        <stp>11/29/2018</stp>
        <stp>11/29/2018</stp>
        <stp>[RAMP_11-29-2018 vWIC.xlsm]Current Comps!R20C34</stp>
        <stp>days=a</stp>
        <stp>fill=p</stp>
        <tr r="AH20" s="35"/>
      </tp>
      <tp>
        <v>-330.34</v>
        <stp/>
        <stp>##V3_BDPV12</stp>
        <stp>DATA Equity</stp>
        <stp>BS_RETAIN_EARN</stp>
        <stp>[RAMP_11-29-2018 vWIC.xlsm]Current Comps!R8C27</stp>
        <stp>EQY_FUND_DT=20181129</stp>
        <stp>EQY_FUND_RELATIVE_PERIOD=-0FQ</stp>
        <tr r="AA8" s="35"/>
        <tr r="AA8" s="35"/>
      </tp>
      <tp>
        <v>40.21</v>
        <stp/>
        <stp>##V3_BDHV12</stp>
        <stp>SEND EQUITY</stp>
        <stp>last price</stp>
        <stp>11/12/2018</stp>
        <stp>11/12/2018</stp>
        <stp>[RAMP_10-30-2018 vWIC.xlsm]Current Comps!R98C5</stp>
        <tr r="E98" s="35"/>
      </tp>
      <tp>
        <v>0</v>
        <stp/>
        <stp>##V3_BDPV12</stp>
        <stp>NOW Equity</stp>
        <stp>BS_MINORITY_INT</stp>
        <stp>[RAMP_11-29-2018 vWIC.xlsm]Current Comps!R11C23</stp>
        <stp>EQY_FUND_DT=20181129</stp>
        <stp>EQY_FUND_RELATIVE_PERIOD=-0FQ</stp>
        <tr r="W11" s="35"/>
        <tr r="W11" s="35"/>
      </tp>
      <tp>
        <v>44.344000000000001</v>
        <stp/>
        <stp>##V3_BDHV12</stp>
        <stp>RAMP EQUITY</stp>
        <stp>TRAIL_12M_EBITDA</stp>
        <stp>11/29/2018</stp>
        <stp>11/29/2018</stp>
        <stp>[RAMP_11-29-2018 vWIC.xlsm]Current Comps!R44C34</stp>
        <stp>days=a</stp>
        <stp>fill=p</stp>
        <tr r="AH44" s="35"/>
      </tp>
      <tp>
        <v>44.344000000000001</v>
        <stp/>
        <stp>##V3_BDHV12</stp>
        <stp>RAMP EQUITY</stp>
        <stp>TRAIL_12M_EBITDA</stp>
        <stp>11/29/2018</stp>
        <stp>11/29/2018</stp>
        <stp>[RAMP_11-29-2018 vWIC.xlsm]Current Comps!R47C34</stp>
        <stp>days=a</stp>
        <stp>fill=p</stp>
        <tr r="AH47" s="35"/>
      </tp>
      <tp>
        <v>-32.627000000000002</v>
        <stp/>
        <stp>##V3_BDHV12</stp>
        <stp>DATA EQUITY</stp>
        <stp>TRAIL_12M_CAP_EXPEND</stp>
        <stp>11/29/2018</stp>
        <stp>11/29/2018</stp>
        <stp>[RAMP_11-29-2018 vWIC.xlsm]Current Comps!R8C59</stp>
        <stp>days=a</stp>
        <stp>fill=p</stp>
        <tr r="BG8" s="35"/>
      </tp>
      <tp>
        <v>44.344000000000001</v>
        <stp/>
        <stp>##V3_BDHV12</stp>
        <stp>RAMP EQUITY</stp>
        <stp>TRAIL_12M_EBITDA</stp>
        <stp>11/29/2018</stp>
        <stp>11/29/2018</stp>
        <stp>[RAMP_11-29-2018 vWIC.xlsm]Current Comps!R41C34</stp>
        <stp>days=a</stp>
        <stp>fill=p</stp>
        <tr r="AH41" s="35"/>
      </tp>
      <tp>
        <v>639.25400000000002</v>
        <stp/>
        <stp>##V3_BDPV12</stp>
        <stp>DATA Equity</stp>
        <stp>BS_CASH_NEAR_CASH_ITEM</stp>
        <stp>[RAMP_11-29-2018 vWIC.xlsm]Current Comps!R8C24</stp>
        <stp>EQY_FUND_DT=20181129</stp>
        <stp>EQY_FUND_RELATIVE_PERIOD=-0FQ</stp>
        <tr r="X8" s="35"/>
        <tr r="X8" s="35"/>
      </tp>
      <tp>
        <v>-0.125</v>
        <stp/>
        <stp>##V3_BDPV12</stp>
        <stp>RAMP EQUITY</stp>
        <stp>BEST EPS</stp>
        <stp>[RAMP_10-30-2018 vWIC.xlsm]Summary!R31C21</stp>
        <stp>BEST_FPERIOD_OVERRIDE=19Q3</stp>
        <tr r="U31" s="1"/>
      </tp>
      <tp>
        <v>-0.13200000000000001</v>
        <stp/>
        <stp>##V3_BDPV12</stp>
        <stp>RAMP EQUITY</stp>
        <stp>BEST EPS</stp>
        <stp>[RAMP_10-30-2018 vWIC.xlsm]Summary!R31C21</stp>
        <stp>BEST_FPERIOD_OVERRIDE=19Q4</stp>
        <tr r="U31" s="1"/>
      </tp>
      <tp>
        <v>-68.009</v>
        <stp/>
        <stp>##V3_BDHV12</stp>
        <stp>YEXT EQUITY</stp>
        <stp>TRAIL_12M_EBITDA</stp>
        <stp>11/29/2018</stp>
        <stp>11/29/2018</stp>
        <stp>[RAMP_11-29-2018 vWIC.xlsm]Current Comps!R16C34</stp>
        <stp>days=a</stp>
        <stp>fill=p</stp>
        <tr r="AH16" s="35"/>
      </tp>
      <tp>
        <v>2105</v>
        <stp/>
        <stp>##V3_BDPV12</stp>
        <stp>CRM Equity</stp>
        <stp>BS_CASH_NEAR_CASH_ITEM</stp>
        <stp>[RAMP_11-29-2018 vWIC.xlsm]Current Comps!R7C24</stp>
        <stp>EQY_FUND_DT=20181129</stp>
        <stp>EQY_FUND_RELATIVE_PERIOD=-0FQ</stp>
        <tr r="X7" s="35"/>
        <tr r="X7" s="35"/>
      </tp>
      <tp>
        <v>-17.13</v>
        <stp/>
        <stp>##V3_BDPV12</stp>
        <stp>RAMP EQUITY</stp>
        <stp>BEST EBIT</stp>
        <stp>[RAMP_10-30-2018 vWIC.xlsm]Summary!R25C24</stp>
        <stp>BEST_FPERIOD_OVERRIDE=21Y</stp>
        <tr r="X25" s="1"/>
      </tp>
      <tp>
        <v>2723.21</v>
        <stp/>
        <stp>##V3_BDPV12</stp>
        <stp>SPX INDEX</stp>
        <stp>last price</stp>
        <stp>[RAMP_11-29-2018 vWIC.xlsm]Current Comps!R104C5</stp>
        <tr r="E104" s="35"/>
      </tp>
      <tp t="s">
        <v>12/2017</v>
        <stp/>
        <stp>##V3_BDPV12</stp>
        <stp>DATA EQUITY</stp>
        <stp>EQY_FISCAL_YR_END</stp>
        <stp>[RAMP_10-30-2018 vWIC.xlsm]Current Comps!R8C93</stp>
        <tr r="CO8" s="35"/>
      </tp>
      <tp>
        <v>0</v>
        <stp/>
        <stp>##V3_BDPV12</stp>
        <stp>YEXT Equity</stp>
        <stp>BS_MINORITY_INT</stp>
        <stp>[RAMP_11-29-2018 vWIC.xlsm]Current Comps!R16C23</stp>
        <stp>EQY_FUND_DT=20181129</stp>
        <stp>EQY_FUND_RELATIVE_PERIOD=-0FQ</stp>
        <tr r="W16" s="35"/>
        <tr r="W16" s="35"/>
      </tp>
      <tp>
        <v>-321.64</v>
        <stp/>
        <stp>##V3_BDHV12</stp>
        <stp>WDAY EQUITY</stp>
        <stp>TRAIL_12M_OPER_INC</stp>
        <stp>11/29/2018</stp>
        <stp>11/29/2018</stp>
        <stp>[RAMP_11-29-2018 vWIC.xlsm]Current Comps!R9C39</stp>
        <stp>days=a</stp>
        <stp>fill=p</stp>
        <tr r="AM9" s="35"/>
      </tp>
      <tp>
        <v>75.42</v>
        <stp/>
        <stp>##V3_BDPV12</stp>
        <stp>RAMP EQUITY</stp>
        <stp>BEST SALES</stp>
        <stp>[RAMP_10-30-2018 vWIC.xlsm]Summary!R18C21</stp>
        <stp>BEST_FPERIOD_OVERRIDE=19Q3</stp>
        <tr r="U18" s="1"/>
      </tp>
      <tp>
        <v>78.3</v>
        <stp/>
        <stp>##V3_BDPV12</stp>
        <stp>RAMP EQUITY</stp>
        <stp>BEST SALES</stp>
        <stp>[RAMP_10-30-2018 vWIC.xlsm]Summary!R18C21</stp>
        <stp>BEST_FPERIOD_OVERRIDE=19Q4</stp>
        <tr r="U18" s="1"/>
      </tp>
      <tp>
        <v>2095.4380000000001</v>
        <stp/>
        <stp>##V3_BDHV12</stp>
        <stp>SPLK EQUITY</stp>
        <stp>BEST_Sales</stp>
        <stp>11/29/2018</stp>
        <stp>11/29/2018</stp>
        <stp>[RAMP_11-29-2018 vWIC.xlsm]Current Comps!R10C32</stp>
        <stp>BEST_FPERIOD_OVERRIDE=20Y</stp>
        <stp>days=a</stp>
        <stp>fill=p</stp>
        <tr r="AF10" s="35"/>
      </tp>
      <tp>
        <v>1687.433</v>
        <stp/>
        <stp>##V3_BDHV12</stp>
        <stp>SPLK EQUITY</stp>
        <stp>BEST_Sales</stp>
        <stp>11/29/2018</stp>
        <stp>11/29/2018</stp>
        <stp>[RAMP_11-29-2018 vWIC.xlsm]Current Comps!R10C31</stp>
        <stp>BEST_FPERIOD_OVERRIDE=19Y</stp>
        <stp>days=a</stp>
        <stp>fill=p</stp>
        <tr r="AE10" s="35"/>
      </tp>
      <tp>
        <v>2575.8820000000001</v>
        <stp/>
        <stp>##V3_BDHV12</stp>
        <stp>SPLK EQUITY</stp>
        <stp>BEST_Sales</stp>
        <stp>11/29/2018</stp>
        <stp>11/29/2018</stp>
        <stp>[RAMP_11-29-2018 vWIC.xlsm]Current Comps!R10C33</stp>
        <stp>BEST_FPERIOD_OVERRIDE=21Y</stp>
        <stp>days=a</stp>
        <stp>fill=p</stp>
        <tr r="AG10" s="35"/>
      </tp>
      <tp>
        <v>1241.7570000000001</v>
        <stp/>
        <stp>##V3_BDHV12</stp>
        <stp>SPLK EQUITY</stp>
        <stp>BEST_Sales</stp>
        <stp>11/29/2018</stp>
        <stp>11/29/2018</stp>
        <stp>[RAMP_11-29-2018 vWIC.xlsm]Current Comps!R10C30</stp>
        <stp>BEST_FPERIOD_OVERRIDE=18Y</stp>
        <stp>days=a</stp>
        <stp>fill=p</stp>
        <tr r="AD10" s="35"/>
      </tp>
      <tp>
        <v>1299</v>
        <stp/>
        <stp>##V3_BDPV12</stp>
        <stp>CRM Equity</stp>
        <stp>BS_RETAIN_EARN</stp>
        <stp>[RAMP_11-29-2018 vWIC.xlsm]Current Comps!R7C27</stp>
        <stp>EQY_FUND_DT=20181129</stp>
        <stp>EQY_FUND_RELATIVE_PERIOD=-0FQ</stp>
        <tr r="AA7" s="35"/>
        <tr r="AA7" s="35"/>
      </tp>
      <tp>
        <v>0</v>
        <stp/>
        <stp>##V3_BDPV12</stp>
        <stp>ZEN Equity</stp>
        <stp>BS_MINORITY_INT</stp>
        <stp>[RAMP_11-29-2018 vWIC.xlsm]Current Comps!R15C23</stp>
        <stp>EQY_FUND_DT=20181129</stp>
        <stp>EQY_FUND_RELATIVE_PERIOD=-0FQ</stp>
        <tr r="W15" s="35"/>
        <tr r="W15" s="35"/>
      </tp>
      <tp t="s">
        <v>01/2018</v>
        <stp/>
        <stp>##V3_BDPV12</stp>
        <stp>WDAY EQUITY</stp>
        <stp>EQY_FISCAL_YR_END</stp>
        <stp>[RAMP_10-30-2018 vWIC.xlsm]Current Comps!R9C93</stp>
        <tr r="CO9" s="35"/>
      </tp>
      <tp>
        <v>827.94399999999996</v>
        <stp/>
        <stp>##V3_BDHV12</stp>
        <stp>TWLO EQUITY</stp>
        <stp>BEST_Sales</stp>
        <stp>11/29/2018</stp>
        <stp>11/29/2018</stp>
        <stp>[RAMP_11-29-2018 vWIC.xlsm]Current Comps!R19C31</stp>
        <stp>BEST_FPERIOD_OVERRIDE=19Y</stp>
        <stp>days=a</stp>
        <stp>fill=p</stp>
        <tr r="AE19" s="35"/>
      </tp>
      <tp>
        <v>1062.2</v>
        <stp/>
        <stp>##V3_BDHV12</stp>
        <stp>TWLO EQUITY</stp>
        <stp>BEST_Sales</stp>
        <stp>11/29/2018</stp>
        <stp>11/29/2018</stp>
        <stp>[RAMP_11-29-2018 vWIC.xlsm]Current Comps!R19C32</stp>
        <stp>BEST_FPERIOD_OVERRIDE=20Y</stp>
        <stp>days=a</stp>
        <stp>fill=p</stp>
        <tr r="AF19" s="35"/>
      </tp>
      <tp>
        <v>629.66700000000003</v>
        <stp/>
        <stp>##V3_BDHV12</stp>
        <stp>TWLO EQUITY</stp>
        <stp>BEST_Sales</stp>
        <stp>11/29/2018</stp>
        <stp>11/29/2018</stp>
        <stp>[RAMP_11-29-2018 vWIC.xlsm]Current Comps!R19C30</stp>
        <stp>BEST_FPERIOD_OVERRIDE=18Y</stp>
        <stp>days=a</stp>
        <stp>fill=p</stp>
        <tr r="AD19" s="35"/>
      </tp>
      <tp>
        <v>1740</v>
        <stp/>
        <stp>##V3_BDHV12</stp>
        <stp>TWLO EQUITY</stp>
        <stp>BEST_Sales</stp>
        <stp>11/29/2018</stp>
        <stp>11/29/2018</stp>
        <stp>[RAMP_11-29-2018 vWIC.xlsm]Current Comps!R19C33</stp>
        <stp>BEST_FPERIOD_OVERRIDE=21Y</stp>
        <stp>days=a</stp>
        <stp>fill=p</stp>
        <tr r="AG19" s="35"/>
      </tp>
      <tp>
        <v>54.332999999999998</v>
        <stp/>
        <stp>##V3_BDPV12</stp>
        <stp>RAMP EQUITY</stp>
        <stp>BEST EBIT</stp>
        <stp>[RAMP_10-30-2018 vWIC.xlsm]Summary!R25C22</stp>
        <stp>BEST_FPERIOD_OVERRIDE=19Y</stp>
        <tr r="V25" s="1"/>
      </tp>
      <tp>
        <v>82.722999999999999</v>
        <stp/>
        <stp>##V3_BDHV12</stp>
        <stp>NOW EQUITY</stp>
        <stp>TRAIL_12M_EBITDA</stp>
        <stp>11/29/2018</stp>
        <stp>11/29/2018</stp>
        <stp>[RAMP_11-29-2018 vWIC.xlsm]Current Comps!R11C34</stp>
        <stp>days=a</stp>
        <stp>fill=p</stp>
        <tr r="AH11" s="35"/>
      </tp>
      <tp>
        <v>635.36800000000005</v>
        <stp/>
        <stp>##V3_BDHV12</stp>
        <stp>HUBS EQUITY</stp>
        <stp>BEST_Sales</stp>
        <stp>11/29/2018</stp>
        <stp>11/29/2018</stp>
        <stp>[RAMP_11-29-2018 vWIC.xlsm]Current Comps!R17C31</stp>
        <stp>BEST_FPERIOD_OVERRIDE=19Y</stp>
        <stp>days=a</stp>
        <stp>fill=p</stp>
        <tr r="AE17" s="35"/>
      </tp>
      <tp>
        <v>775.45500000000004</v>
        <stp/>
        <stp>##V3_BDHV12</stp>
        <stp>HUBS EQUITY</stp>
        <stp>BEST_Sales</stp>
        <stp>11/29/2018</stp>
        <stp>11/29/2018</stp>
        <stp>[RAMP_11-29-2018 vWIC.xlsm]Current Comps!R17C32</stp>
        <stp>BEST_FPERIOD_OVERRIDE=20Y</stp>
        <stp>days=a</stp>
        <stp>fill=p</stp>
        <tr r="AF17" s="35"/>
      </tp>
      <tp>
        <v>506.053</v>
        <stp/>
        <stp>##V3_BDHV12</stp>
        <stp>HUBS EQUITY</stp>
        <stp>BEST_Sales</stp>
        <stp>11/29/2018</stp>
        <stp>11/29/2018</stp>
        <stp>[RAMP_11-29-2018 vWIC.xlsm]Current Comps!R17C30</stp>
        <stp>BEST_FPERIOD_OVERRIDE=18Y</stp>
        <stp>days=a</stp>
        <stp>fill=p</stp>
        <tr r="AD17" s="35"/>
      </tp>
      <tp>
        <v>947.5</v>
        <stp/>
        <stp>##V3_BDHV12</stp>
        <stp>HUBS EQUITY</stp>
        <stp>BEST_Sales</stp>
        <stp>11/29/2018</stp>
        <stp>11/29/2018</stp>
        <stp>[RAMP_11-29-2018 vWIC.xlsm]Current Comps!R17C33</stp>
        <stp>BEST_FPERIOD_OVERRIDE=21Y</stp>
        <stp>days=a</stp>
        <stp>fill=p</stp>
        <tr r="AG17" s="35"/>
      </tp>
      <tp>
        <v>0</v>
        <stp/>
        <stp>##V3_BDPV12</stp>
        <stp>HUBS Equity</stp>
        <stp>BS_MINORITY_INT</stp>
        <stp>[RAMP_11-29-2018 vWIC.xlsm]Current Comps!R17C23</stp>
        <stp>EQY_FUND_DT=20181129</stp>
        <stp>EQY_FUND_RELATIVE_PERIOD=-0FQ</stp>
        <tr r="W17" s="35"/>
        <tr r="W17" s="35"/>
      </tp>
      <tp>
        <v>-21.150000000000002</v>
        <stp/>
        <stp>##V3_BDPV12</stp>
        <stp>RAMP EQUITY</stp>
        <stp>BEST EBIT</stp>
        <stp>[RAMP_10-30-2018 vWIC.xlsm]Summary!R25C23</stp>
        <stp>BEST_FPERIOD_OVERRIDE=20Y</stp>
        <tr r="W25" s="1"/>
      </tp>
      <tp>
        <v>-1.5</v>
        <stp/>
        <stp>##V3_BDHV12</stp>
        <stp>DATA EQUITY</stp>
        <stp>T12M_DIL_EPS_CONT_OPS</stp>
        <stp>11/29/2018</stp>
        <stp>11/29/2018</stp>
        <stp>[RAMP_11-29-2018 vWIC.xlsm]Current Comps!R8C49</stp>
        <stp>days=a</stp>
        <stp>fill=p</stp>
        <tr r="AW8" s="35"/>
      </tp>
      <tp>
        <v>110.93</v>
        <stp/>
        <stp>##V3_BDHV12</stp>
        <stp>TTD EQUITY</stp>
        <stp>last price</stp>
        <stp>11/12/2018</stp>
        <stp>11/12/2018</stp>
        <stp>[RAMP_10-30-2018 vWIC.xlsm]Current Comps!R92C5</stp>
        <tr r="E92" s="35"/>
      </tp>
      <tp>
        <v>129.16</v>
        <stp/>
        <stp>##V3_BDHV12</stp>
        <stp>HUBS EQUITY</stp>
        <stp>last price</stp>
        <stp>11/12/2018</stp>
        <stp>11/12/2018</stp>
        <stp>[RAMP_10-30-2018 vWIC.xlsm]Current Comps!R97C5</stp>
        <tr r="E97" s="35"/>
      </tp>
      <tp>
        <v>535.89499999999998</v>
        <stp/>
        <stp>##V3_BDHV12</stp>
        <stp>CRM EQUITY</stp>
        <stp>TRAIL_12M_EST_COMP_NET_INC_ADJ</stp>
        <stp>11/29/2018</stp>
        <stp>11/29/2018</stp>
        <stp>[RAMP_11-29-2018 vWIC.xlsm]Current Comps!R7C44</stp>
        <stp>days=a</stp>
        <stp>fill=p</stp>
        <tr r="AR7" s="35"/>
      </tp>
      <tp>
        <v>-255.48099999999999</v>
        <stp/>
        <stp>##V3_BDHV12</stp>
        <stp>SPLK EQUITY</stp>
        <stp>TRAIL_12M_EBITDA</stp>
        <stp>11/29/2018</stp>
        <stp>11/29/2018</stp>
        <stp>[RAMP_11-29-2018 vWIC.xlsm]Current Comps!R10C34</stp>
        <stp>days=a</stp>
        <stp>fill=p</stp>
        <tr r="AH10" s="35"/>
      </tp>
      <tp>
        <v>110.9</v>
        <stp/>
        <stp>##V3_BDHV12</stp>
        <stp>DATA EQUITY</stp>
        <stp>last price</stp>
        <stp>11/12/2018</stp>
        <stp>11/12/2018</stp>
        <stp>[RAMP_10-30-2018 vWIC.xlsm]Current Comps!R88C5</stp>
        <tr r="E88" s="35"/>
      </tp>
      <tp>
        <v>172.37</v>
        <stp/>
        <stp>##V3_BDHV12</stp>
        <stp>NOW EQUITY</stp>
        <stp>last price</stp>
        <stp>11/12/2018</stp>
        <stp>11/12/2018</stp>
        <stp>[RAMP_10-30-2018 vWIC.xlsm]Current Comps!R91C5</stp>
        <tr r="E91" s="35"/>
      </tp>
      <tp>
        <v>12374.05</v>
        <stp/>
        <stp>##V3_BDPV12</stp>
        <stp>NYA INDEX</stp>
        <stp>last price</stp>
        <stp>[RAMP_11-29-2018 vWIC.xlsm]Current Comps!R101C5</stp>
        <tr r="E101" s="35"/>
      </tp>
      <tp>
        <v>-1.5808</v>
        <stp/>
        <stp>##V3_BDHV12</stp>
        <stp>WDAY EQUITY</stp>
        <stp>T12M_DIL_EPS_CONT_OPS</stp>
        <stp>11/29/2018</stp>
        <stp>11/29/2018</stp>
        <stp>[RAMP_11-29-2018 vWIC.xlsm]Current Comps!R9C49</stp>
        <stp>days=a</stp>
        <stp>fill=p</stp>
        <tr r="AW9" s="35"/>
      </tp>
      <tp>
        <v>-174.62299999999999</v>
        <stp/>
        <stp>##V3_BDHV12</stp>
        <stp>WDAY EQUITY</stp>
        <stp>TRAIL_12M_CAP_EXPEND</stp>
        <stp>11/29/2018</stp>
        <stp>11/29/2018</stp>
        <stp>[RAMP_11-29-2018 vWIC.xlsm]Current Comps!R9C59</stp>
        <stp>days=a</stp>
        <stp>fill=p</stp>
        <tr r="BG9" s="35"/>
      </tp>
      <tp>
        <v>130.5</v>
        <stp/>
        <stp>##V3_BDHV12</stp>
        <stp>CRM EQUITY</stp>
        <stp>last price</stp>
        <stp>11/12/2018</stp>
        <stp>11/12/2018</stp>
        <stp>[RAMP_10-30-2018 vWIC.xlsm]Current Comps!R87C5</stp>
        <tr r="E87" s="35"/>
      </tp>
      <tp>
        <v>-67.861999999999995</v>
        <stp/>
        <stp>##V3_BDHV12</stp>
        <stp>TWLO EQUITY</stp>
        <stp>TRAIL_12M_EBITDA</stp>
        <stp>11/29/2018</stp>
        <stp>11/29/2018</stp>
        <stp>[RAMP_11-29-2018 vWIC.xlsm]Current Comps!R19C34</stp>
        <stp>days=a</stp>
        <stp>fill=p</stp>
        <tr r="AH19" s="35"/>
      </tp>
      <tp>
        <v>54.62</v>
        <stp/>
        <stp>##V3_BDHV12</stp>
        <stp>OKTA EQUITY</stp>
        <stp>last price</stp>
        <stp>11/12/2018</stp>
        <stp>11/12/2018</stp>
        <stp>[RAMP_10-30-2018 vWIC.xlsm]Current Comps!R94C5</stp>
        <tr r="E94" s="35"/>
      </tp>
      <tp>
        <v>2610.2069999999999</v>
        <stp/>
        <stp>##V3_BDHV12</stp>
        <stp>NOW EQUITY</stp>
        <stp>BEST_Sales</stp>
        <stp>11/29/2018</stp>
        <stp>11/29/2018</stp>
        <stp>[RAMP_11-29-2018 vWIC.xlsm]Current Comps!R11C30</stp>
        <stp>BEST_FPERIOD_OVERRIDE=18Y</stp>
        <stp>days=a</stp>
        <stp>fill=p</stp>
        <tr r="AD11" s="35"/>
      </tp>
      <tp>
        <v>5277</v>
        <stp/>
        <stp>##V3_BDHV12</stp>
        <stp>NOW EQUITY</stp>
        <stp>BEST_Sales</stp>
        <stp>11/29/2018</stp>
        <stp>11/29/2018</stp>
        <stp>[RAMP_11-29-2018 vWIC.xlsm]Current Comps!R11C33</stp>
        <stp>BEST_FPERIOD_OVERRIDE=21Y</stp>
        <stp>days=a</stp>
        <stp>fill=p</stp>
        <tr r="AG11" s="35"/>
      </tp>
      <tp>
        <v>3369.3670000000002</v>
        <stp/>
        <stp>##V3_BDHV12</stp>
        <stp>NOW EQUITY</stp>
        <stp>BEST_Sales</stp>
        <stp>11/29/2018</stp>
        <stp>11/29/2018</stp>
        <stp>[RAMP_11-29-2018 vWIC.xlsm]Current Comps!R11C31</stp>
        <stp>BEST_FPERIOD_OVERRIDE=19Y</stp>
        <stp>days=a</stp>
        <stp>fill=p</stp>
        <tr r="AE11" s="35"/>
      </tp>
      <tp>
        <v>4277.6499999999996</v>
        <stp/>
        <stp>##V3_BDHV12</stp>
        <stp>NOW EQUITY</stp>
        <stp>BEST_Sales</stp>
        <stp>11/29/2018</stp>
        <stp>11/29/2018</stp>
        <stp>[RAMP_11-29-2018 vWIC.xlsm]Current Comps!R11C32</stp>
        <stp>BEST_FPERIOD_OVERRIDE=20Y</stp>
        <stp>days=a</stp>
        <stp>fill=p</stp>
        <tr r="AF11" s="35"/>
      </tp>
      <tp>
        <v>0</v>
        <stp/>
        <stp>##V3_BDPV12</stp>
        <stp>TTD Equity</stp>
        <stp>BS_MINORITY_INT</stp>
        <stp>[RAMP_11-29-2018 vWIC.xlsm]Current Comps!R13C23</stp>
        <stp>EQY_FUND_DT=20181129</stp>
        <stp>EQY_FUND_RELATIVE_PERIOD=-0FQ</stp>
        <tr r="W13" s="35"/>
        <tr r="W13" s="35"/>
      </tp>
      <tp>
        <v>-28.657</v>
        <stp/>
        <stp>##V3_BDHV12</stp>
        <stp>HUBS EQUITY</stp>
        <stp>TRAIL_12M_EBITDA</stp>
        <stp>11/29/2018</stp>
        <stp>11/29/2018</stp>
        <stp>[RAMP_11-29-2018 vWIC.xlsm]Current Comps!R17C34</stp>
        <stp>days=a</stp>
        <stp>fill=p</stp>
        <tr r="AH17" s="35"/>
      </tp>
      <tp>
        <v>53.19</v>
        <stp/>
        <stp>##V3_BDHV12</stp>
        <stp>ZEN EQUITY</stp>
        <stp>last price</stp>
        <stp>11/12/2018</stp>
        <stp>11/12/2018</stp>
        <stp>[RAMP_10-30-2018 vWIC.xlsm]Current Comps!R95C5</stp>
        <tr r="E95" s="35"/>
      </tp>
      <tp>
        <v>76.739999999999995</v>
        <stp/>
        <stp>##V3_BDHV12</stp>
        <stp>WDAY EQUITY</stp>
        <stp>BEST_GROSS_MARGIN</stp>
        <stp>11/29/2018</stp>
        <stp>11/29/2018</stp>
        <stp>[RAMP_11-29-2018 vWIC.xlsm]Current Comps!R9C38</stp>
        <stp>BEST_FPERIOD_OVERRIDE=21Y</stp>
        <stp>days=a</stp>
        <stp>fill=p</stp>
        <tr r="AL9" s="35"/>
      </tp>
      <tp>
        <v>74.48</v>
        <stp/>
        <stp>##V3_BDHV12</stp>
        <stp>WDAY EQUITY</stp>
        <stp>BEST_GROSS_MARGIN</stp>
        <stp>11/29/2018</stp>
        <stp>11/29/2018</stp>
        <stp>[RAMP_11-29-2018 vWIC.xlsm]Current Comps!R9C36</stp>
        <stp>BEST_FPERIOD_OVERRIDE=19Y</stp>
        <stp>days=a</stp>
        <stp>fill=p</stp>
        <tr r="AJ9" s="35"/>
      </tp>
      <tp>
        <v>75.638000000000005</v>
        <stp/>
        <stp>##V3_BDHV12</stp>
        <stp>WDAY EQUITY</stp>
        <stp>BEST_GROSS_MARGIN</stp>
        <stp>11/29/2018</stp>
        <stp>11/29/2018</stp>
        <stp>[RAMP_11-29-2018 vWIC.xlsm]Current Comps!R9C37</stp>
        <stp>BEST_FPERIOD_OVERRIDE=20Y</stp>
        <stp>days=a</stp>
        <stp>fill=p</stp>
        <tr r="AK9" s="35"/>
      </tp>
      <tp>
        <v>73.932000000000002</v>
        <stp/>
        <stp>##V3_BDHV12</stp>
        <stp>WDAY EQUITY</stp>
        <stp>BEST_GROSS_MARGIN</stp>
        <stp>11/29/2018</stp>
        <stp>11/29/2018</stp>
        <stp>[RAMP_11-29-2018 vWIC.xlsm]Current Comps!R9C35</stp>
        <stp>BEST_FPERIOD_OVERRIDE=18Y</stp>
        <stp>days=a</stp>
        <stp>fill=p</stp>
        <tr r="AI9" s="35"/>
      </tp>
      <tp>
        <v>1.3</v>
        <stp/>
        <stp>##V3_BDHV12</stp>
        <stp>HUBS EQUITY</stp>
        <stp>BEST_EPS</stp>
        <stp>11/29/2018</stp>
        <stp>11/29/2018</stp>
        <stp>[RAMP_11-29-2018 vWIC.xlsm]Current Comps!R17C53</stp>
        <stp>BEST_FPERIOD_OVERRIDE=21Y</stp>
        <stp>days=a</stp>
        <stp>fill=p</stp>
        <tr r="BA17" s="35"/>
      </tp>
      <tp>
        <v>0.80200000000000005</v>
        <stp/>
        <stp>##V3_BDHV12</stp>
        <stp>HUBS EQUITY</stp>
        <stp>BEST_EPS</stp>
        <stp>11/29/2018</stp>
        <stp>11/29/2018</stp>
        <stp>[RAMP_11-29-2018 vWIC.xlsm]Current Comps!R17C50</stp>
        <stp>BEST_FPERIOD_OVERRIDE=18Y</stp>
        <stp>days=a</stp>
        <stp>fill=p</stp>
        <tr r="AX17" s="35"/>
      </tp>
      <tp>
        <v>1.6240000000000001</v>
        <stp/>
        <stp>##V3_BDHV12</stp>
        <stp>HUBS EQUITY</stp>
        <stp>BEST_EPS</stp>
        <stp>11/29/2018</stp>
        <stp>11/29/2018</stp>
        <stp>[RAMP_11-29-2018 vWIC.xlsm]Current Comps!R17C52</stp>
        <stp>BEST_FPERIOD_OVERRIDE=20Y</stp>
        <stp>days=a</stp>
        <stp>fill=p</stp>
        <tr r="AZ17" s="35"/>
      </tp>
      <tp>
        <v>1.1179999999999999</v>
        <stp/>
        <stp>##V3_BDHV12</stp>
        <stp>HUBS EQUITY</stp>
        <stp>BEST_EPS</stp>
        <stp>11/29/2018</stp>
        <stp>11/29/2018</stp>
        <stp>[RAMP_11-29-2018 vWIC.xlsm]Current Comps!R17C51</stp>
        <stp>BEST_FPERIOD_OVERRIDE=19Y</stp>
        <stp>days=a</stp>
        <stp>fill=p</stp>
        <tr r="AY17" s="35"/>
      </tp>
      <tp>
        <v>922.41099999999994</v>
        <stp/>
        <stp>##V3_BDPV12</stp>
        <stp>NOW Equity</stp>
        <stp>BS_MKT_SEC_OTHER_ST_INVEST</stp>
        <stp>[RAMP_11-29-2018 vWIC.xlsm]Current Comps!R11C25</stp>
        <stp>EQY_FUND_DT=20181129</stp>
        <stp>EQY_FUND_RELATIVE_PERIOD=-0FQ</stp>
        <tr r="Y11" s="35"/>
        <tr r="Y11" s="35"/>
      </tp>
      <tp>
        <v>67.25</v>
        <stp/>
        <stp>##V3_BDPV12</stp>
        <stp>RAMP EQUITY</stp>
        <stp>BEST GROSS MARGIN</stp>
        <stp>[RAMP_10-30-2018 vWIC.xlsm]Summary!R22C23</stp>
        <stp>BEST_FPERIOD_OVERRIDE=20Y</stp>
        <tr r="W22" s="1"/>
      </tp>
      <tp t="s">
        <v>TABLEAU SOFTWARE INC-CL A</v>
        <stp/>
        <stp>##V3_BDPV12</stp>
        <stp>DATA EQUITY</stp>
        <stp>name</stp>
        <stp>[RAMP_10-30-2018 vWIC.xlsm]Current Comps!R88C2</stp>
        <tr r="B88" s="35"/>
      </tp>
      <tp>
        <v>0</v>
        <stp/>
        <stp>##V3_BDPV12</stp>
        <stp>TTD Equity</stp>
        <stp>BS_PFD_EQY</stp>
        <stp>[RAMP_11-29-2018 vWIC.xlsm]Current Comps!R13C22</stp>
        <stp>EQY_FUND_DT=20181129</stp>
        <stp>EQY_FUND_RELATIVE_PERIOD=-0FQ</stp>
        <tr r="V13" s="35"/>
        <tr r="V13" s="35"/>
      </tp>
      <tp>
        <v>-432.363</v>
        <stp/>
        <stp>##V3_BDPV12</stp>
        <stp>OKTA Equity</stp>
        <stp>BS_RETAIN_EARN</stp>
        <stp>[RAMP_11-29-2018 vWIC.xlsm]Current Comps!R14C27</stp>
        <stp>EQY_FUND_DT=20181129</stp>
        <stp>EQY_FUND_RELATIVE_PERIOD=-0FQ</stp>
        <tr r="AA14" s="35"/>
        <tr r="AA14" s="35"/>
      </tp>
      <tp>
        <v>-300.053</v>
        <stp/>
        <stp>##V3_BDHV12</stp>
        <stp>SPLK EQUITY</stp>
        <stp>TRAIL_12M_OPER_INC</stp>
        <stp>11/29/2018</stp>
        <stp>11/29/2018</stp>
        <stp>[RAMP_11-29-2018 vWIC.xlsm]Current Comps!R10C39</stp>
        <stp>days=a</stp>
        <stp>fill=p</stp>
        <tr r="AM10" s="35"/>
      </tp>
      <tp>
        <v>-6.0900000000000003E-2</v>
        <stp/>
        <stp>##V3_BDHV12</stp>
        <stp>SEND EQUITY</stp>
        <stp>T12M_DIL_EPS_CONT_OPS</stp>
        <stp>11/29/2018</stp>
        <stp>11/29/2018</stp>
        <stp>[RAMP_11-29-2018 vWIC.xlsm]Current Comps!R20C49</stp>
        <stp>days=a</stp>
        <stp>fill=p</stp>
        <tr r="AW20" s="35"/>
      </tp>
      <tp t="s">
        <v>#N/A N/A</v>
        <stp/>
        <stp>##V3_BDHV12</stp>
        <stp>DATA EQUITY</stp>
        <stp>BEST_EBIT</stp>
        <stp>11/29/2018</stp>
        <stp>11/29/2018</stp>
        <stp>[RAMP_11-29-2018 vWIC.xlsm]Current Comps!R8C43</stp>
        <stp>BEST_FPERIOD_OVERRIDE=21Y</stp>
        <stp>days=a</stp>
        <stp>fill=p</stp>
        <tr r="AQ8" s="35"/>
      </tp>
      <tp>
        <v>-52.34</v>
        <stp/>
        <stp>##V3_BDHV12</stp>
        <stp>DATA EQUITY</stp>
        <stp>BEST_EBIT</stp>
        <stp>11/29/2018</stp>
        <stp>11/29/2018</stp>
        <stp>[RAMP_11-29-2018 vWIC.xlsm]Current Comps!R8C40</stp>
        <stp>BEST_FPERIOD_OVERRIDE=18Y</stp>
        <stp>days=a</stp>
        <stp>fill=p</stp>
        <tr r="AN8" s="35"/>
      </tp>
      <tp>
        <v>188.3</v>
        <stp/>
        <stp>##V3_BDHV12</stp>
        <stp>DATA EQUITY</stp>
        <stp>BEST_EBIT</stp>
        <stp>11/29/2018</stp>
        <stp>11/29/2018</stp>
        <stp>[RAMP_11-29-2018 vWIC.xlsm]Current Comps!R8C42</stp>
        <stp>BEST_FPERIOD_OVERRIDE=20Y</stp>
        <stp>days=a</stp>
        <stp>fill=p</stp>
        <tr r="AP8" s="35"/>
      </tp>
      <tp>
        <v>135.017</v>
        <stp/>
        <stp>##V3_BDHV12</stp>
        <stp>DATA EQUITY</stp>
        <stp>BEST_EBIT</stp>
        <stp>11/29/2018</stp>
        <stp>11/29/2018</stp>
        <stp>[RAMP_11-29-2018 vWIC.xlsm]Current Comps!R8C41</stp>
        <stp>BEST_FPERIOD_OVERRIDE=19Y</stp>
        <stp>days=a</stp>
        <stp>fill=p</stp>
        <tr r="AO8" s="35"/>
      </tp>
      <tp>
        <v>0</v>
        <stp/>
        <stp>##V3_BDPV12</stp>
        <stp>WDAY Equity</stp>
        <stp>BS_MINORITY_INT</stp>
        <stp>[RAMP_11-29-2018 vWIC.xlsm]Current Comps!R9C23</stp>
        <stp>EQY_FUND_DT=20181129</stp>
        <stp>EQY_FUND_RELATIVE_PERIOD=-0FQ</stp>
        <tr r="W9" s="35"/>
        <tr r="W9" s="35"/>
      </tp>
      <tp>
        <v>146</v>
        <stp/>
        <stp>##V3_BDHV12</stp>
        <stp>DATA EQUITY</stp>
        <stp>BEST_NET_INCOME</stp>
        <stp>11/29/2018</stp>
        <stp>11/29/2018</stp>
        <stp>[RAMP_11-29-2018 vWIC.xlsm]Current Comps!R8C48</stp>
        <stp>BEST_FPERIOD_OVERRIDE=21Y</stp>
        <stp>days=a</stp>
        <stp>fill=p</stp>
        <tr r="AV8" s="35"/>
      </tp>
      <tp>
        <v>77.036000000000001</v>
        <stp/>
        <stp>##V3_BDHV12</stp>
        <stp>DATA EQUITY</stp>
        <stp>BEST_NET_INCOME</stp>
        <stp>11/29/2018</stp>
        <stp>11/29/2018</stp>
        <stp>[RAMP_11-29-2018 vWIC.xlsm]Current Comps!R8C46</stp>
        <stp>BEST_FPERIOD_OVERRIDE=19Y</stp>
        <stp>days=a</stp>
        <stp>fill=p</stp>
        <tr r="AT8" s="35"/>
      </tp>
      <tp>
        <v>-28.911000000000001</v>
        <stp/>
        <stp>##V3_BDHV12</stp>
        <stp>DATA EQUITY</stp>
        <stp>BEST_NET_INCOME</stp>
        <stp>11/29/2018</stp>
        <stp>11/29/2018</stp>
        <stp>[RAMP_11-29-2018 vWIC.xlsm]Current Comps!R8C45</stp>
        <stp>BEST_FPERIOD_OVERRIDE=18Y</stp>
        <stp>days=a</stp>
        <stp>fill=p</stp>
        <tr r="AS8" s="35"/>
      </tp>
      <tp>
        <v>164.58</v>
        <stp/>
        <stp>##V3_BDHV12</stp>
        <stp>DATA EQUITY</stp>
        <stp>BEST_NET_INCOME</stp>
        <stp>11/29/2018</stp>
        <stp>11/29/2018</stp>
        <stp>[RAMP_11-29-2018 vWIC.xlsm]Current Comps!R8C47</stp>
        <stp>BEST_FPERIOD_OVERRIDE=20Y</stp>
        <stp>days=a</stp>
        <stp>fill=p</stp>
        <tr r="AU8" s="35"/>
      </tp>
      <tp>
        <v>59.667000000000002</v>
        <stp/>
        <stp>##V3_BDPV12</stp>
        <stp>RAMP EQUITY</stp>
        <stp>BEST GROSS MARGIN</stp>
        <stp>[RAMP_10-30-2018 vWIC.xlsm]Summary!R22C22</stp>
        <stp>BEST_FPERIOD_OVERRIDE=19Y</stp>
        <tr r="V22" s="1"/>
      </tp>
      <tp>
        <v>-2.2419000000000002</v>
        <stp/>
        <stp>##V3_BDHV12</stp>
        <stp>SPLK EQUITY</stp>
        <stp>T12M_DIL_EPS_CONT_OPS</stp>
        <stp>11/29/2018</stp>
        <stp>11/29/2018</stp>
        <stp>[RAMP_11-29-2018 vWIC.xlsm]Current Comps!R10C49</stp>
        <stp>days=a</stp>
        <stp>fill=p</stp>
        <tr r="AW10" s="35"/>
      </tp>
      <tp>
        <v>7200.8689999999997</v>
        <stp/>
        <stp>##V3_BDHV12</stp>
        <stp>CCMP INDEX</stp>
        <stp>last price</stp>
        <stp>11/12/2018</stp>
        <stp>11/12/2018</stp>
        <stp>[RAMP_10-30-2018 vWIC.xlsm]Current Comps!R84C5</stp>
        <tr r="E84" s="35"/>
      </tp>
      <tp>
        <v>-0.9425</v>
        <stp/>
        <stp>##V3_BDHV12</stp>
        <stp>TWLO EQUITY</stp>
        <stp>T12M_DIL_EPS_CONT_OPS</stp>
        <stp>11/29/2018</stp>
        <stp>11/29/2018</stp>
        <stp>[RAMP_11-29-2018 vWIC.xlsm]Current Comps!R19C49</stp>
        <stp>days=a</stp>
        <stp>fill=p</stp>
        <tr r="AW19" s="35"/>
      </tp>
      <tp>
        <v>-0.17</v>
        <stp/>
        <stp>##V3_BDHV12</stp>
        <stp>RAMP EQUITY</stp>
        <stp>BEST_EPS</stp>
        <stp>11/29/2018</stp>
        <stp>11/29/2018</stp>
        <stp>[RAMP_11-29-2018 vWIC.xlsm]Current Comps!R41C51</stp>
        <stp>BEST_FPERIOD_OVERRIDE=19Y</stp>
        <stp>days=a</stp>
        <stp>fill=p</stp>
        <tr r="AY41" s="35"/>
      </tp>
      <tp>
        <v>-0.17</v>
        <stp/>
        <stp>##V3_BDHV12</stp>
        <stp>RAMP EQUITY</stp>
        <stp>BEST_EPS</stp>
        <stp>11/29/2018</stp>
        <stp>11/29/2018</stp>
        <stp>[RAMP_11-29-2018 vWIC.xlsm]Current Comps!R44C51</stp>
        <stp>BEST_FPERIOD_OVERRIDE=19Y</stp>
        <stp>days=a</stp>
        <stp>fill=p</stp>
        <tr r="AY44" s="35"/>
      </tp>
      <tp>
        <v>-0.17</v>
        <stp/>
        <stp>##V3_BDHV12</stp>
        <stp>RAMP EQUITY</stp>
        <stp>BEST_EPS</stp>
        <stp>11/29/2018</stp>
        <stp>11/29/2018</stp>
        <stp>[RAMP_11-29-2018 vWIC.xlsm]Current Comps!R47C51</stp>
        <stp>BEST_FPERIOD_OVERRIDE=19Y</stp>
        <stp>days=a</stp>
        <stp>fill=p</stp>
        <tr r="AY47" s="35"/>
      </tp>
      <tp>
        <v>-0.127</v>
        <stp/>
        <stp>##V3_BDHV12</stp>
        <stp>RAMP EQUITY</stp>
        <stp>BEST_EPS</stp>
        <stp>11/29/2018</stp>
        <stp>11/29/2018</stp>
        <stp>[RAMP_11-29-2018 vWIC.xlsm]Current Comps!R41C52</stp>
        <stp>BEST_FPERIOD_OVERRIDE=20Y</stp>
        <stp>days=a</stp>
        <stp>fill=p</stp>
        <tr r="AZ41" s="35"/>
      </tp>
      <tp>
        <v>-0.127</v>
        <stp/>
        <stp>##V3_BDHV12</stp>
        <stp>RAMP EQUITY</stp>
        <stp>BEST_EPS</stp>
        <stp>11/29/2018</stp>
        <stp>11/29/2018</stp>
        <stp>[RAMP_11-29-2018 vWIC.xlsm]Current Comps!R44C52</stp>
        <stp>BEST_FPERIOD_OVERRIDE=20Y</stp>
        <stp>days=a</stp>
        <stp>fill=p</stp>
        <tr r="AZ44" s="35"/>
      </tp>
      <tp>
        <v>-0.127</v>
        <stp/>
        <stp>##V3_BDHV12</stp>
        <stp>RAMP EQUITY</stp>
        <stp>BEST_EPS</stp>
        <stp>11/29/2018</stp>
        <stp>11/29/2018</stp>
        <stp>[RAMP_11-29-2018 vWIC.xlsm]Current Comps!R47C52</stp>
        <stp>BEST_FPERIOD_OVERRIDE=20Y</stp>
        <stp>days=a</stp>
        <stp>fill=p</stp>
        <tr r="AZ47" s="35"/>
      </tp>
      <tp>
        <v>0.876</v>
        <stp/>
        <stp>##V3_BDHV12</stp>
        <stp>RAMP EQUITY</stp>
        <stp>BEST_EPS</stp>
        <stp>11/29/2018</stp>
        <stp>11/29/2018</stp>
        <stp>[RAMP_11-29-2018 vWIC.xlsm]Current Comps!R41C50</stp>
        <stp>BEST_FPERIOD_OVERRIDE=18Y</stp>
        <stp>days=a</stp>
        <stp>fill=p</stp>
        <tr r="AX41" s="35"/>
      </tp>
      <tp>
        <v>0.876</v>
        <stp/>
        <stp>##V3_BDHV12</stp>
        <stp>RAMP EQUITY</stp>
        <stp>BEST_EPS</stp>
        <stp>11/29/2018</stp>
        <stp>11/29/2018</stp>
        <stp>[RAMP_11-29-2018 vWIC.xlsm]Current Comps!R44C50</stp>
        <stp>BEST_FPERIOD_OVERRIDE=18Y</stp>
        <stp>days=a</stp>
        <stp>fill=p</stp>
        <tr r="AX44" s="35"/>
      </tp>
      <tp>
        <v>0.876</v>
        <stp/>
        <stp>##V3_BDHV12</stp>
        <stp>RAMP EQUITY</stp>
        <stp>BEST_EPS</stp>
        <stp>11/29/2018</stp>
        <stp>11/29/2018</stp>
        <stp>[RAMP_11-29-2018 vWIC.xlsm]Current Comps!R47C50</stp>
        <stp>BEST_FPERIOD_OVERRIDE=18Y</stp>
        <stp>days=a</stp>
        <stp>fill=p</stp>
        <tr r="AX47" s="35"/>
      </tp>
      <tp>
        <v>0.47299999999999998</v>
        <stp/>
        <stp>##V3_BDHV12</stp>
        <stp>RAMP EQUITY</stp>
        <stp>BEST_EPS</stp>
        <stp>11/29/2018</stp>
        <stp>11/29/2018</stp>
        <stp>[RAMP_11-29-2018 vWIC.xlsm]Current Comps!R41C53</stp>
        <stp>BEST_FPERIOD_OVERRIDE=21Y</stp>
        <stp>days=a</stp>
        <stp>fill=p</stp>
        <tr r="BA41" s="35"/>
      </tp>
      <tp>
        <v>0.47299999999999998</v>
        <stp/>
        <stp>##V3_BDHV12</stp>
        <stp>RAMP EQUITY</stp>
        <stp>BEST_EPS</stp>
        <stp>11/29/2018</stp>
        <stp>11/29/2018</stp>
        <stp>[RAMP_11-29-2018 vWIC.xlsm]Current Comps!R44C53</stp>
        <stp>BEST_FPERIOD_OVERRIDE=21Y</stp>
        <stp>days=a</stp>
        <stp>fill=p</stp>
        <tr r="BA44" s="35"/>
      </tp>
      <tp>
        <v>0.47299999999999998</v>
        <stp/>
        <stp>##V3_BDHV12</stp>
        <stp>RAMP EQUITY</stp>
        <stp>BEST_EPS</stp>
        <stp>11/29/2018</stp>
        <stp>11/29/2018</stp>
        <stp>[RAMP_11-29-2018 vWIC.xlsm]Current Comps!R47C53</stp>
        <stp>BEST_FPERIOD_OVERRIDE=21Y</stp>
        <stp>days=a</stp>
        <stp>fill=p</stp>
        <tr r="BA47" s="35"/>
      </tp>
      <tp>
        <v>-0.17</v>
        <stp/>
        <stp>##V3_BDHV12</stp>
        <stp>RAMP EQUITY</stp>
        <stp>BEST_EPS</stp>
        <stp>11/29/2018</stp>
        <stp>11/29/2018</stp>
        <stp>[RAMP_11-29-2018 vWIC.xlsm]Current Comps!R62C51</stp>
        <stp>BEST_FPERIOD_OVERRIDE=19Y</stp>
        <stp>days=a</stp>
        <stp>fill=p</stp>
        <tr r="AY62" s="35"/>
      </tp>
      <tp>
        <v>-0.127</v>
        <stp/>
        <stp>##V3_BDHV12</stp>
        <stp>RAMP EQUITY</stp>
        <stp>BEST_EPS</stp>
        <stp>11/29/2018</stp>
        <stp>11/29/2018</stp>
        <stp>[RAMP_11-29-2018 vWIC.xlsm]Current Comps!R62C52</stp>
        <stp>BEST_FPERIOD_OVERRIDE=20Y</stp>
        <stp>days=a</stp>
        <stp>fill=p</stp>
        <tr r="AZ62" s="35"/>
      </tp>
      <tp>
        <v>0.876</v>
        <stp/>
        <stp>##V3_BDHV12</stp>
        <stp>RAMP EQUITY</stp>
        <stp>BEST_EPS</stp>
        <stp>11/29/2018</stp>
        <stp>11/29/2018</stp>
        <stp>[RAMP_11-29-2018 vWIC.xlsm]Current Comps!R62C50</stp>
        <stp>BEST_FPERIOD_OVERRIDE=18Y</stp>
        <stp>days=a</stp>
        <stp>fill=p</stp>
        <tr r="AX62" s="35"/>
      </tp>
      <tp>
        <v>0.47299999999999998</v>
        <stp/>
        <stp>##V3_BDHV12</stp>
        <stp>RAMP EQUITY</stp>
        <stp>BEST_EPS</stp>
        <stp>11/29/2018</stp>
        <stp>11/29/2018</stp>
        <stp>[RAMP_11-29-2018 vWIC.xlsm]Current Comps!R62C53</stp>
        <stp>BEST_FPERIOD_OVERRIDE=21Y</stp>
        <stp>days=a</stp>
        <stp>fill=p</stp>
        <tr r="BA62" s="35"/>
      </tp>
      <tp t="s">
        <v>HUBSPOT INC</v>
        <stp/>
        <stp>##V3_BDPV12</stp>
        <stp>HUBS EQUITY</stp>
        <stp>name</stp>
        <stp>[RAMP_10-30-2018 vWIC.xlsm]Current Comps!R97C2</stp>
        <tr r="B97" s="35"/>
      </tp>
      <tp>
        <v>1.335</v>
        <stp/>
        <stp>##V3_BDHV12</stp>
        <stp>CRM EQUITY</stp>
        <stp>BEST_EPS</stp>
        <stp>11/29/2018</stp>
        <stp>11/29/2018</stp>
        <stp>[RAMP_11-29-2018 vWIC.xlsm]Current Comps!R7C50</stp>
        <stp>BEST_FPERIOD_OVERRIDE=18Y</stp>
        <stp>days=a</stp>
        <stp>fill=p</stp>
        <tr r="AX7" s="35"/>
      </tp>
      <tp>
        <v>3.45</v>
        <stp/>
        <stp>##V3_BDHV12</stp>
        <stp>CRM EQUITY</stp>
        <stp>BEST_EPS</stp>
        <stp>11/29/2018</stp>
        <stp>11/29/2018</stp>
        <stp>[RAMP_11-29-2018 vWIC.xlsm]Current Comps!R7C53</stp>
        <stp>BEST_FPERIOD_OVERRIDE=21Y</stp>
        <stp>days=a</stp>
        <stp>fill=p</stp>
        <tr r="BA7" s="35"/>
      </tp>
      <tp>
        <v>2.5339999999999998</v>
        <stp/>
        <stp>##V3_BDHV12</stp>
        <stp>CRM EQUITY</stp>
        <stp>BEST_EPS</stp>
        <stp>11/29/2018</stp>
        <stp>11/29/2018</stp>
        <stp>[RAMP_11-29-2018 vWIC.xlsm]Current Comps!R7C51</stp>
        <stp>BEST_FPERIOD_OVERRIDE=19Y</stp>
        <stp>days=a</stp>
        <stp>fill=p</stp>
        <tr r="AY7" s="35"/>
      </tp>
      <tp>
        <v>2.7349999999999999</v>
        <stp/>
        <stp>##V3_BDHV12</stp>
        <stp>CRM EQUITY</stp>
        <stp>BEST_EPS</stp>
        <stp>11/29/2018</stp>
        <stp>11/29/2018</stp>
        <stp>[RAMP_11-29-2018 vWIC.xlsm]Current Comps!R7C52</stp>
        <stp>BEST_FPERIOD_OVERRIDE=20Y</stp>
        <stp>days=a</stp>
        <stp>fill=p</stp>
        <tr r="AZ7" s="35"/>
      </tp>
      <tp>
        <v>2007.3969999999999</v>
        <stp/>
        <stp>##V3_BDPV12</stp>
        <stp>NOW Equity</stp>
        <stp>BS_SH_CAP_AND_APIC</stp>
        <stp>[RAMP_11-29-2018 vWIC.xlsm]Current Comps!R11C26</stp>
        <stp>EQY_FUND_DT=20181129</stp>
        <stp>EQY_FUND_RELATIVE_PERIOD=-0FQ</stp>
        <tr r="Z11" s="35"/>
        <tr r="Z11" s="35"/>
      </tp>
      <tp t="s">
        <v>12/2017</v>
        <stp/>
        <stp>##V3_BDPV12</stp>
        <stp>SEND EQUITY</stp>
        <stp>EQY_FISCAL_YR_END</stp>
        <stp>[RAMP_10-30-2018 vWIC.xlsm]Current Comps!R20C93</stp>
        <tr r="CO20" s="35"/>
      </tp>
      <tp>
        <v>192.88200000000001</v>
        <stp/>
        <stp>##V3_BDPV12</stp>
        <stp>OKTA Equity</stp>
        <stp>BS_CASH_NEAR_CASH_ITEM</stp>
        <stp>[RAMP_11-29-2018 vWIC.xlsm]Current Comps!R14C24</stp>
        <stp>EQY_FUND_DT=20181129</stp>
        <stp>EQY_FUND_RELATIVE_PERIOD=-0FQ</stp>
        <tr r="X14" s="35"/>
        <tr r="X14" s="35"/>
      </tp>
      <tp>
        <v>1.9400000000000001E-2</v>
        <stp/>
        <stp>##V3_BDHV12</stp>
        <stp>RAMP EQUITY</stp>
        <stp>T12M_DIL_EPS_CONT_OPS</stp>
        <stp>11/29/2018</stp>
        <stp>11/29/2018</stp>
        <stp>[RAMP_11-29-2018 vWIC.xlsm]Current Comps!R62C49</stp>
        <stp>days=a</stp>
        <stp>fill=p</stp>
        <tr r="AW62" s="35"/>
      </tp>
      <tp>
        <v>-91.465999999999994</v>
        <stp/>
        <stp>##V3_BDHV12</stp>
        <stp>TWLO EQUITY</stp>
        <stp>TRAIL_12M_OPER_INC</stp>
        <stp>11/29/2018</stp>
        <stp>11/29/2018</stp>
        <stp>[RAMP_11-29-2018 vWIC.xlsm]Current Comps!R19C39</stp>
        <stp>days=a</stp>
        <stp>fill=p</stp>
        <tr r="AM19" s="35"/>
      </tp>
      <tp>
        <v>217</v>
        <stp/>
        <stp>##V3_BDHV12</stp>
        <stp>WDAY EQUITY</stp>
        <stp>BS_SH_OUT</stp>
        <stp>11/29/2018</stp>
        <stp>11/29/2018</stp>
        <stp>[RAMP_11-29-2018 vWIC.xlsm]Current Comps!R9C92</stp>
        <stp>EQY_FUND_PER=Q</stp>
        <stp>days=a</stp>
        <stp>fill=p</stp>
        <tr r="CN9" s="35"/>
      </tp>
      <tp>
        <v>36.247</v>
        <stp/>
        <stp>##V3_BDHV12</stp>
        <stp>ZEN EQUITY</stp>
        <stp>BEST_NET_INCOME</stp>
        <stp>11/29/2018</stp>
        <stp>11/29/2018</stp>
        <stp>[RAMP_11-29-2018 vWIC.xlsm]Current Comps!R15C46</stp>
        <stp>BEST_FPERIOD_OVERRIDE=19Y</stp>
        <stp>days=a</stp>
        <stp>fill=p</stp>
        <tr r="AT15" s="35"/>
      </tp>
      <tp>
        <v>94.757999999999996</v>
        <stp/>
        <stp>##V3_BDHV12</stp>
        <stp>ZEN EQUITY</stp>
        <stp>BEST_NET_INCOME</stp>
        <stp>11/29/2018</stp>
        <stp>11/29/2018</stp>
        <stp>[RAMP_11-29-2018 vWIC.xlsm]Current Comps!R15C47</stp>
        <stp>BEST_FPERIOD_OVERRIDE=20Y</stp>
        <stp>days=a</stp>
        <stp>fill=p</stp>
        <tr r="AU15" s="35"/>
      </tp>
      <tp>
        <v>17.646999999999998</v>
        <stp/>
        <stp>##V3_BDHV12</stp>
        <stp>ZEN EQUITY</stp>
        <stp>BEST_NET_INCOME</stp>
        <stp>11/29/2018</stp>
        <stp>11/29/2018</stp>
        <stp>[RAMP_11-29-2018 vWIC.xlsm]Current Comps!R15C45</stp>
        <stp>BEST_FPERIOD_OVERRIDE=18Y</stp>
        <stp>days=a</stp>
        <stp>fill=p</stp>
        <tr r="AS15" s="35"/>
      </tp>
      <tp t="s">
        <v>#N/A N/A</v>
        <stp/>
        <stp>##V3_BDHV12</stp>
        <stp>ZEN EQUITY</stp>
        <stp>BEST_NET_INCOME</stp>
        <stp>11/29/2018</stp>
        <stp>11/29/2018</stp>
        <stp>[RAMP_11-29-2018 vWIC.xlsm]Current Comps!R15C48</stp>
        <stp>BEST_FPERIOD_OVERRIDE=21Y</stp>
        <stp>days=a</stp>
        <stp>fill=p</stp>
        <tr r="AV15" s="35"/>
      </tp>
      <tp t="s">
        <v>12/2017</v>
        <stp/>
        <stp>##V3_BDPV12</stp>
        <stp>TWLO EQUITY</stp>
        <stp>EQY_FISCAL_YR_END</stp>
        <stp>[RAMP_10-30-2018 vWIC.xlsm]Current Comps!R19C93</stp>
        <tr r="CO19" s="35"/>
      </tp>
      <tp t="s">
        <v>01/2018</v>
        <stp/>
        <stp>##V3_BDPV12</stp>
        <stp>SPLK EQUITY</stp>
        <stp>EQY_FISCAL_YR_END</stp>
        <stp>[RAMP_10-30-2018 vWIC.xlsm]Current Comps!R10C93</stp>
        <tr r="CO10" s="35"/>
      </tp>
      <tp>
        <v>1.9400000000000001E-2</v>
        <stp/>
        <stp>##V3_BDHV12</stp>
        <stp>RAMP EQUITY</stp>
        <stp>T12M_DIL_EPS_CONT_OPS</stp>
        <stp>11/29/2018</stp>
        <stp>11/29/2018</stp>
        <stp>[RAMP_11-29-2018 vWIC.xlsm]Current Comps!R47C49</stp>
        <stp>days=a</stp>
        <stp>fill=p</stp>
        <tr r="AW47" s="35"/>
      </tp>
      <tp>
        <v>1.9400000000000001E-2</v>
        <stp/>
        <stp>##V3_BDHV12</stp>
        <stp>RAMP EQUITY</stp>
        <stp>T12M_DIL_EPS_CONT_OPS</stp>
        <stp>11/29/2018</stp>
        <stp>11/29/2018</stp>
        <stp>[RAMP_11-29-2018 vWIC.xlsm]Current Comps!R44C49</stp>
        <stp>days=a</stp>
        <stp>fill=p</stp>
        <tr r="AW44" s="35"/>
      </tp>
      <tp>
        <v>1.9400000000000001E-2</v>
        <stp/>
        <stp>##V3_BDHV12</stp>
        <stp>RAMP EQUITY</stp>
        <stp>T12M_DIL_EPS_CONT_OPS</stp>
        <stp>11/29/2018</stp>
        <stp>11/29/2018</stp>
        <stp>[RAMP_11-29-2018 vWIC.xlsm]Current Comps!R41C49</stp>
        <stp>days=a</stp>
        <stp>fill=p</stp>
        <tr r="AW41" s="35"/>
      </tp>
      <tp>
        <v>25387.18</v>
        <stp/>
        <stp>##V3_BDHV12</stp>
        <stp>INDU INDEX</stp>
        <stp>last price</stp>
        <stp>11/12/2018</stp>
        <stp>11/12/2018</stp>
        <stp>[RAMP_10-30-2018 vWIC.xlsm]Current Comps!R85C5</stp>
        <tr r="E85" s="35"/>
      </tp>
      <tp>
        <v>-0.49399999999999999</v>
        <stp/>
        <stp>##V3_BDHV12</stp>
        <stp>YEXT EQUITY</stp>
        <stp>BEST_EPS</stp>
        <stp>11/29/2018</stp>
        <stp>11/29/2018</stp>
        <stp>[RAMP_11-29-2018 vWIC.xlsm]Current Comps!R16C50</stp>
        <stp>BEST_FPERIOD_OVERRIDE=18Y</stp>
        <stp>days=a</stp>
        <stp>fill=p</stp>
        <tr r="AX16" s="35"/>
      </tp>
      <tp>
        <v>-0.31900000000000001</v>
        <stp/>
        <stp>##V3_BDHV12</stp>
        <stp>YEXT EQUITY</stp>
        <stp>BEST_EPS</stp>
        <stp>11/29/2018</stp>
        <stp>11/29/2018</stp>
        <stp>[RAMP_11-29-2018 vWIC.xlsm]Current Comps!R16C53</stp>
        <stp>BEST_FPERIOD_OVERRIDE=21Y</stp>
        <stp>days=a</stp>
        <stp>fill=p</stp>
        <tr r="BA16" s="35"/>
      </tp>
      <tp>
        <v>-0.42</v>
        <stp/>
        <stp>##V3_BDHV12</stp>
        <stp>YEXT EQUITY</stp>
        <stp>BEST_EPS</stp>
        <stp>11/29/2018</stp>
        <stp>11/29/2018</stp>
        <stp>[RAMP_11-29-2018 vWIC.xlsm]Current Comps!R16C51</stp>
        <stp>BEST_FPERIOD_OVERRIDE=19Y</stp>
        <stp>days=a</stp>
        <stp>fill=p</stp>
        <tr r="AY16" s="35"/>
      </tp>
      <tp>
        <v>-0.38200000000000001</v>
        <stp/>
        <stp>##V3_BDHV12</stp>
        <stp>YEXT EQUITY</stp>
        <stp>BEST_EPS</stp>
        <stp>11/29/2018</stp>
        <stp>11/29/2018</stp>
        <stp>[RAMP_11-29-2018 vWIC.xlsm]Current Comps!R16C52</stp>
        <stp>BEST_FPERIOD_OVERRIDE=20Y</stp>
        <stp>days=a</stp>
        <stp>fill=p</stp>
        <tr r="AZ16" s="35"/>
      </tp>
      <tp>
        <v>4.2069999999999999</v>
        <stp/>
        <stp>##V3_BDHV12</stp>
        <stp>NOW EQUITY</stp>
        <stp>BEST_EPS</stp>
        <stp>11/29/2018</stp>
        <stp>11/29/2018</stp>
        <stp>[RAMP_11-29-2018 vWIC.xlsm]Current Comps!R11C52</stp>
        <stp>BEST_FPERIOD_OVERRIDE=20Y</stp>
        <stp>days=a</stp>
        <stp>fill=p</stp>
        <tr r="AZ11" s="35"/>
      </tp>
      <tp>
        <v>3.1349999999999998</v>
        <stp/>
        <stp>##V3_BDHV12</stp>
        <stp>NOW EQUITY</stp>
        <stp>BEST_EPS</stp>
        <stp>11/29/2018</stp>
        <stp>11/29/2018</stp>
        <stp>[RAMP_11-29-2018 vWIC.xlsm]Current Comps!R11C51</stp>
        <stp>BEST_FPERIOD_OVERRIDE=19Y</stp>
        <stp>days=a</stp>
        <stp>fill=p</stp>
        <tr r="AY11" s="35"/>
      </tp>
      <tp>
        <v>4.8600000000000003</v>
        <stp/>
        <stp>##V3_BDHV12</stp>
        <stp>NOW EQUITY</stp>
        <stp>BEST_EPS</stp>
        <stp>11/29/2018</stp>
        <stp>11/29/2018</stp>
        <stp>[RAMP_11-29-2018 vWIC.xlsm]Current Comps!R11C53</stp>
        <stp>BEST_FPERIOD_OVERRIDE=21Y</stp>
        <stp>days=a</stp>
        <stp>fill=p</stp>
        <tr r="BA11" s="35"/>
      </tp>
      <tp>
        <v>2.3639999999999999</v>
        <stp/>
        <stp>##V3_BDHV12</stp>
        <stp>NOW EQUITY</stp>
        <stp>BEST_EPS</stp>
        <stp>11/29/2018</stp>
        <stp>11/29/2018</stp>
        <stp>[RAMP_11-29-2018 vWIC.xlsm]Current Comps!R11C50</stp>
        <stp>BEST_FPERIOD_OVERRIDE=18Y</stp>
        <stp>days=a</stp>
        <stp>fill=p</stp>
        <tr r="AX11" s="35"/>
      </tp>
      <tp t="s">
        <v>03/2018</v>
        <stp/>
        <stp>##V3_BDPV12</stp>
        <stp>RAMP EQUITY</stp>
        <stp>EQY_FISCAL_YR_END</stp>
        <stp>[RAMP_10-30-2018 vWIC.xlsm]Current Comps!R73C93</stp>
        <tr r="CO73" s="35"/>
      </tp>
      <tp t="s">
        <v>03/2018</v>
        <stp/>
        <stp>##V3_BDPV12</stp>
        <stp>RAMP EQUITY</stp>
        <stp>EQY_FISCAL_YR_END</stp>
        <stp>[RAMP_10-30-2018 vWIC.xlsm]Current Comps!R72C93</stp>
        <tr r="CO72" s="35"/>
      </tp>
      <tp t="s">
        <v>03/2018</v>
        <stp/>
        <stp>##V3_BDPV12</stp>
        <stp>RAMP EQUITY</stp>
        <stp>EQY_FISCAL_YR_END</stp>
        <stp>[RAMP_10-30-2018 vWIC.xlsm]Current Comps!R71C93</stp>
        <tr r="CO71" s="35"/>
      </tp>
      <tp t="s">
        <v>03/2018</v>
        <stp/>
        <stp>##V3_BDPV12</stp>
        <stp>RAMP EQUITY</stp>
        <stp>EQY_FISCAL_YR_END</stp>
        <stp>[RAMP_10-30-2018 vWIC.xlsm]Current Comps!R70C93</stp>
        <tr r="CO70" s="35"/>
      </tp>
      <tp t="s">
        <v>03/2018</v>
        <stp/>
        <stp>##V3_BDPV12</stp>
        <stp>RAMP EQUITY</stp>
        <stp>EQY_FISCAL_YR_END</stp>
        <stp>[RAMP_10-30-2018 vWIC.xlsm]Current Comps!R74C93</stp>
        <tr r="CO74" s="35"/>
      </tp>
      <tp t="s">
        <v>03/2018</v>
        <stp/>
        <stp>##V3_BDPV12</stp>
        <stp>RAMP EQUITY</stp>
        <stp>EQY_FISCAL_YR_END</stp>
        <stp>[RAMP_10-30-2018 vWIC.xlsm]Current Comps!R63C93</stp>
        <tr r="CO63" s="35"/>
      </tp>
      <tp t="s">
        <v>03/2018</v>
        <stp/>
        <stp>##V3_BDPV12</stp>
        <stp>RAMP EQUITY</stp>
        <stp>EQY_FISCAL_YR_END</stp>
        <stp>[RAMP_10-30-2018 vWIC.xlsm]Current Comps!R62C93</stp>
        <tr r="CO62" s="35"/>
      </tp>
      <tp t="s">
        <v>03/2018</v>
        <stp/>
        <stp>##V3_BDPV12</stp>
        <stp>RAMP EQUITY</stp>
        <stp>EQY_FISCAL_YR_END</stp>
        <stp>[RAMP_10-30-2018 vWIC.xlsm]Current Comps!R67C93</stp>
        <tr r="CO67" s="35"/>
      </tp>
      <tp t="s">
        <v>03/2018</v>
        <stp/>
        <stp>##V3_BDPV12</stp>
        <stp>RAMP EQUITY</stp>
        <stp>EQY_FISCAL_YR_END</stp>
        <stp>[RAMP_10-30-2018 vWIC.xlsm]Current Comps!R66C93</stp>
        <tr r="CO66" s="35"/>
      </tp>
      <tp t="s">
        <v>03/2018</v>
        <stp/>
        <stp>##V3_BDPV12</stp>
        <stp>RAMP EQUITY</stp>
        <stp>EQY_FISCAL_YR_END</stp>
        <stp>[RAMP_10-30-2018 vWIC.xlsm]Current Comps!R65C93</stp>
        <tr r="CO65" s="35"/>
      </tp>
      <tp t="s">
        <v>03/2018</v>
        <stp/>
        <stp>##V3_BDPV12</stp>
        <stp>RAMP EQUITY</stp>
        <stp>EQY_FISCAL_YR_END</stp>
        <stp>[RAMP_10-30-2018 vWIC.xlsm]Current Comps!R64C93</stp>
        <tr r="CO64" s="35"/>
      </tp>
      <tp t="s">
        <v>03/2018</v>
        <stp/>
        <stp>##V3_BDPV12</stp>
        <stp>RAMP EQUITY</stp>
        <stp>EQY_FISCAL_YR_END</stp>
        <stp>[RAMP_10-30-2018 vWIC.xlsm]Current Comps!R69C93</stp>
        <tr r="CO69" s="35"/>
      </tp>
      <tp t="s">
        <v>03/2018</v>
        <stp/>
        <stp>##V3_BDPV12</stp>
        <stp>RAMP EQUITY</stp>
        <stp>EQY_FISCAL_YR_END</stp>
        <stp>[RAMP_10-30-2018 vWIC.xlsm]Current Comps!R68C93</stp>
        <tr r="CO68" s="35"/>
      </tp>
      <tp t="s">
        <v>03/2018</v>
        <stp/>
        <stp>##V3_BDPV12</stp>
        <stp>RAMP EQUITY</stp>
        <stp>EQY_FISCAL_YR_END</stp>
        <stp>[RAMP_10-30-2018 vWIC.xlsm]Current Comps!R53C93</stp>
        <tr r="CO53" s="35"/>
      </tp>
      <tp t="s">
        <v>03/2018</v>
        <stp/>
        <stp>##V3_BDPV12</stp>
        <stp>RAMP EQUITY</stp>
        <stp>EQY_FISCAL_YR_END</stp>
        <stp>[RAMP_10-30-2018 vWIC.xlsm]Current Comps!R52C93</stp>
        <tr r="CO52" s="35"/>
      </tp>
      <tp t="s">
        <v>03/2018</v>
        <stp/>
        <stp>##V3_BDPV12</stp>
        <stp>RAMP EQUITY</stp>
        <stp>EQY_FISCAL_YR_END</stp>
        <stp>[RAMP_10-30-2018 vWIC.xlsm]Current Comps!R51C93</stp>
        <tr r="CO51" s="35"/>
      </tp>
      <tp t="s">
        <v>03/2018</v>
        <stp/>
        <stp>##V3_BDPV12</stp>
        <stp>RAMP EQUITY</stp>
        <stp>EQY_FISCAL_YR_END</stp>
        <stp>[RAMP_10-30-2018 vWIC.xlsm]Current Comps!R50C93</stp>
        <tr r="CO50" s="35"/>
      </tp>
      <tp t="s">
        <v>03/2018</v>
        <stp/>
        <stp>##V3_BDPV12</stp>
        <stp>RAMP EQUITY</stp>
        <stp>EQY_FISCAL_YR_END</stp>
        <stp>[RAMP_10-30-2018 vWIC.xlsm]Current Comps!R57C93</stp>
        <tr r="CO57" s="35"/>
      </tp>
      <tp t="s">
        <v>03/2018</v>
        <stp/>
        <stp>##V3_BDPV12</stp>
        <stp>RAMP EQUITY</stp>
        <stp>EQY_FISCAL_YR_END</stp>
        <stp>[RAMP_10-30-2018 vWIC.xlsm]Current Comps!R56C93</stp>
        <tr r="CO56" s="35"/>
      </tp>
      <tp t="s">
        <v>03/2018</v>
        <stp/>
        <stp>##V3_BDPV12</stp>
        <stp>RAMP EQUITY</stp>
        <stp>EQY_FISCAL_YR_END</stp>
        <stp>[RAMP_10-30-2018 vWIC.xlsm]Current Comps!R55C93</stp>
        <tr r="CO55" s="35"/>
      </tp>
      <tp t="s">
        <v>03/2018</v>
        <stp/>
        <stp>##V3_BDPV12</stp>
        <stp>RAMP EQUITY</stp>
        <stp>EQY_FISCAL_YR_END</stp>
        <stp>[RAMP_10-30-2018 vWIC.xlsm]Current Comps!R54C93</stp>
        <tr r="CO54" s="35"/>
      </tp>
      <tp t="s">
        <v>03/2018</v>
        <stp/>
        <stp>##V3_BDPV12</stp>
        <stp>RAMP EQUITY</stp>
        <stp>EQY_FISCAL_YR_END</stp>
        <stp>[RAMP_10-30-2018 vWIC.xlsm]Current Comps!R59C93</stp>
        <tr r="CO59" s="35"/>
      </tp>
      <tp t="s">
        <v>03/2018</v>
        <stp/>
        <stp>##V3_BDPV12</stp>
        <stp>RAMP EQUITY</stp>
        <stp>EQY_FISCAL_YR_END</stp>
        <stp>[RAMP_10-30-2018 vWIC.xlsm]Current Comps!R58C93</stp>
        <tr r="CO58" s="35"/>
      </tp>
      <tp t="s">
        <v>03/2018</v>
        <stp/>
        <stp>##V3_BDPV12</stp>
        <stp>RAMP EQUITY</stp>
        <stp>EQY_FISCAL_YR_END</stp>
        <stp>[RAMP_10-30-2018 vWIC.xlsm]Current Comps!R41C93</stp>
        <tr r="CO41" s="35"/>
      </tp>
      <tp t="s">
        <v>03/2018</v>
        <stp/>
        <stp>##V3_BDPV12</stp>
        <stp>RAMP EQUITY</stp>
        <stp>EQY_FISCAL_YR_END</stp>
        <stp>[RAMP_10-30-2018 vWIC.xlsm]Current Comps!R47C93</stp>
        <tr r="CO47" s="35"/>
      </tp>
      <tp t="s">
        <v>03/2018</v>
        <stp/>
        <stp>##V3_BDPV12</stp>
        <stp>RAMP EQUITY</stp>
        <stp>EQY_FISCAL_YR_END</stp>
        <stp>[RAMP_10-30-2018 vWIC.xlsm]Current Comps!R44C93</stp>
        <tr r="CO44" s="35"/>
      </tp>
      <tp t="s">
        <v>03/2018</v>
        <stp/>
        <stp>##V3_BDPV12</stp>
        <stp>RAMP EQUITY</stp>
        <stp>EQY_FISCAL_YR_END</stp>
        <stp>[RAMP_10-30-2018 vWIC.xlsm]Current Comps!R49C93</stp>
        <tr r="CO49" s="35"/>
      </tp>
      <tp t="s">
        <v>03/2018</v>
        <stp/>
        <stp>##V3_BDPV12</stp>
        <stp>RAMP EQUITY</stp>
        <stp>EQY_FISCAL_YR_END</stp>
        <stp>[RAMP_10-30-2018 vWIC.xlsm]Current Comps!R48C93</stp>
        <tr r="CO48" s="35"/>
      </tp>
      <tp>
        <v>-129.93600000000001</v>
        <stp/>
        <stp>##V3_BDHV12</stp>
        <stp>ZEN EQUITY</stp>
        <stp>TRAIL_12M_OPER_INC</stp>
        <stp>11/29/2018</stp>
        <stp>11/29/2018</stp>
        <stp>[RAMP_11-29-2018 vWIC.xlsm]Current Comps!R15C39</stp>
        <stp>days=a</stp>
        <stp>fill=p</stp>
        <tr r="AM15" s="35"/>
      </tp>
      <tp>
        <v>254.43299999999999</v>
        <stp/>
        <stp>##V3_BDHV12</stp>
        <stp>WDAY EQUITY</stp>
        <stp>BEST_NET_INCOME</stp>
        <stp>11/29/2018</stp>
        <stp>11/29/2018</stp>
        <stp>[RAMP_11-29-2018 vWIC.xlsm]Current Comps!R9C46</stp>
        <stp>BEST_FPERIOD_OVERRIDE=19Y</stp>
        <stp>days=a</stp>
        <stp>fill=p</stp>
        <tr r="AT9" s="35"/>
      </tp>
      <tp>
        <v>225.03200000000001</v>
        <stp/>
        <stp>##V3_BDHV12</stp>
        <stp>WDAY EQUITY</stp>
        <stp>BEST_NET_INCOME</stp>
        <stp>11/29/2018</stp>
        <stp>11/29/2018</stp>
        <stp>[RAMP_11-29-2018 vWIC.xlsm]Current Comps!R9C45</stp>
        <stp>BEST_FPERIOD_OVERRIDE=18Y</stp>
        <stp>days=a</stp>
        <stp>fill=p</stp>
        <tr r="AS9" s="35"/>
      </tp>
      <tp>
        <v>377.36700000000002</v>
        <stp/>
        <stp>##V3_BDHV12</stp>
        <stp>WDAY EQUITY</stp>
        <stp>BEST_NET_INCOME</stp>
        <stp>11/29/2018</stp>
        <stp>11/29/2018</stp>
        <stp>[RAMP_11-29-2018 vWIC.xlsm]Current Comps!R9C47</stp>
        <stp>BEST_FPERIOD_OVERRIDE=20Y</stp>
        <stp>days=a</stp>
        <stp>fill=p</stp>
        <tr r="AU9" s="35"/>
      </tp>
      <tp>
        <v>559.42899999999997</v>
        <stp/>
        <stp>##V3_BDHV12</stp>
        <stp>WDAY EQUITY</stp>
        <stp>BEST_NET_INCOME</stp>
        <stp>11/29/2018</stp>
        <stp>11/29/2018</stp>
        <stp>[RAMP_11-29-2018 vWIC.xlsm]Current Comps!R9C48</stp>
        <stp>BEST_FPERIOD_OVERRIDE=21Y</stp>
        <stp>days=a</stp>
        <stp>fill=p</stp>
        <tr r="AV9" s="35"/>
      </tp>
      <tp>
        <v>74</v>
        <stp/>
        <stp>##V3_BDPV12</stp>
        <stp>RAMP EQUITY</stp>
        <stp>BEST GROSS MARGIN</stp>
        <stp>[RAMP_10-30-2018 vWIC.xlsm]Summary!R22C24</stp>
        <stp>BEST_FPERIOD_OVERRIDE=21Y</stp>
        <tr r="X22" s="1"/>
      </tp>
      <tp t="s">
        <v>OKTA INC</v>
        <stp/>
        <stp>##V3_BDPV12</stp>
        <stp>OKTA EQUITY</stp>
        <stp>name</stp>
        <stp>[RAMP_10-30-2018 vWIC.xlsm]Current Comps!R94C2</stp>
        <tr r="B94" s="35"/>
      </tp>
      <tp t="s">
        <v>12/2017</v>
        <stp/>
        <stp>##V3_BDPV12</stp>
        <stp>HUBS EQUITY</stp>
        <stp>EQY_FISCAL_YR_END</stp>
        <stp>[RAMP_10-30-2018 vWIC.xlsm]Current Comps!R17C93</stp>
        <tr r="CO17" s="35"/>
      </tp>
      <tp>
        <v>3461.5149999999999</v>
        <stp/>
        <stp>##V3_BDHV12</stp>
        <stp>WDAY EQUITY</stp>
        <stp>BEST_Sales</stp>
        <stp>11/29/2018</stp>
        <stp>11/29/2018</stp>
        <stp>[RAMP_11-29-2018 vWIC.xlsm]Current Comps!R9C32</stp>
        <stp>BEST_FPERIOD_OVERRIDE=20Y</stp>
        <stp>days=a</stp>
        <stp>fill=p</stp>
        <tr r="AF9" s="35"/>
      </tp>
      <tp>
        <v>2770.1819999999998</v>
        <stp/>
        <stp>##V3_BDHV12</stp>
        <stp>WDAY EQUITY</stp>
        <stp>BEST_Sales</stp>
        <stp>11/29/2018</stp>
        <stp>11/29/2018</stp>
        <stp>[RAMP_11-29-2018 vWIC.xlsm]Current Comps!R9C31</stp>
        <stp>BEST_FPERIOD_OVERRIDE=19Y</stp>
        <stp>days=a</stp>
        <stp>fill=p</stp>
        <tr r="AE9" s="35"/>
      </tp>
      <tp>
        <v>4232.5879999999997</v>
        <stp/>
        <stp>##V3_BDHV12</stp>
        <stp>WDAY EQUITY</stp>
        <stp>BEST_Sales</stp>
        <stp>11/29/2018</stp>
        <stp>11/29/2018</stp>
        <stp>[RAMP_11-29-2018 vWIC.xlsm]Current Comps!R9C33</stp>
        <stp>BEST_FPERIOD_OVERRIDE=21Y</stp>
        <stp>days=a</stp>
        <stp>fill=p</stp>
        <tr r="AG9" s="35"/>
      </tp>
      <tp>
        <v>2134.8440000000001</v>
        <stp/>
        <stp>##V3_BDHV12</stp>
        <stp>WDAY EQUITY</stp>
        <stp>BEST_Sales</stp>
        <stp>11/29/2018</stp>
        <stp>11/29/2018</stp>
        <stp>[RAMP_11-29-2018 vWIC.xlsm]Current Comps!R9C30</stp>
        <stp>BEST_FPERIOD_OVERRIDE=18Y</stp>
        <stp>days=a</stp>
        <stp>fill=p</stp>
        <tr r="AD9" s="35"/>
      </tp>
      <tp>
        <v>906.452</v>
        <stp/>
        <stp>##V3_BDPV12</stp>
        <stp>ZEN Equity</stp>
        <stp>BS_SH_CAP_AND_APIC</stp>
        <stp>[RAMP_11-29-2018 vWIC.xlsm]Current Comps!R15C26</stp>
        <stp>EQY_FUND_DT=20181129</stp>
        <stp>EQY_FUND_RELATIVE_PERIOD=-0FQ</stp>
        <tr r="Z15" s="35"/>
        <tr r="Z15" s="35"/>
      </tp>
      <tp>
        <v>263.762</v>
        <stp/>
        <stp>##V3_BDPV12</stp>
        <stp>OKTA Equity</stp>
        <stp>BS_LT_BORROW</stp>
        <stp>[RAMP_11-29-2018 vWIC.xlsm]Current Comps!R14C21</stp>
        <stp>EQY_FUND_DT=20181129</stp>
        <stp>EQY_FUND_RELATIVE_PERIOD=-0FQ</stp>
        <tr r="U14" s="35"/>
        <tr r="U14" s="35"/>
      </tp>
      <tp>
        <v>0</v>
        <stp/>
        <stp>##V3_BDPV12</stp>
        <stp>OKTA Equity</stp>
        <stp>BS_ST_BORROW</stp>
        <stp>[RAMP_11-29-2018 vWIC.xlsm]Current Comps!R14C20</stp>
        <stp>EQY_FUND_DT=20181129</stp>
        <stp>EQY_FUND_RELATIVE_PERIOD=-0FQ</stp>
        <tr r="T14" s="35"/>
        <tr r="T14" s="35"/>
      </tp>
      <tp>
        <v>47.155000000000001</v>
        <stp/>
        <stp>##V3_BDPV12</stp>
        <stp>YEXT Equity</stp>
        <stp>BS_CASH_NEAR_CASH_ITEM</stp>
        <stp>[RAMP_11-29-2018 vWIC.xlsm]Current Comps!R16C24</stp>
        <stp>EQY_FUND_DT=20181129</stp>
        <stp>EQY_FUND_RELATIVE_PERIOD=-0FQ</stp>
        <tr r="X16" s="35"/>
        <tr r="X16" s="35"/>
      </tp>
      <tp>
        <v>2726.22</v>
        <stp/>
        <stp>##V3_BDHV12</stp>
        <stp>SPX INDEX</stp>
        <stp>last price</stp>
        <stp>11/12/2018</stp>
        <stp>11/12/2018</stp>
        <stp>[RAMP_10-30-2018 vWIC.xlsm]Current Comps!R86C5</stp>
        <tr r="E86" s="35"/>
      </tp>
      <tp>
        <v>-123.98099999999999</v>
        <stp/>
        <stp>##V3_BDHV12</stp>
        <stp>OKTA EQUITY</stp>
        <stp>TRAIL_12M_OPER_INC</stp>
        <stp>11/29/2018</stp>
        <stp>11/29/2018</stp>
        <stp>[RAMP_11-29-2018 vWIC.xlsm]Current Comps!R14C39</stp>
        <stp>days=a</stp>
        <stp>fill=p</stp>
        <tr r="AM14" s="35"/>
      </tp>
      <tp>
        <v>608.40700000000004</v>
        <stp/>
        <stp>##V3_BDHV12</stp>
        <stp>NOW EQUITY</stp>
        <stp>BEST_NET_INCOME</stp>
        <stp>11/29/2018</stp>
        <stp>11/29/2018</stp>
        <stp>[RAMP_11-29-2018 vWIC.xlsm]Current Comps!R11C46</stp>
        <stp>BEST_FPERIOD_OVERRIDE=19Y</stp>
        <stp>days=a</stp>
        <stp>fill=p</stp>
        <tr r="AT11" s="35"/>
      </tp>
      <tp>
        <v>837.5</v>
        <stp/>
        <stp>##V3_BDHV12</stp>
        <stp>NOW EQUITY</stp>
        <stp>BEST_NET_INCOME</stp>
        <stp>11/29/2018</stp>
        <stp>11/29/2018</stp>
        <stp>[RAMP_11-29-2018 vWIC.xlsm]Current Comps!R11C47</stp>
        <stp>BEST_FPERIOD_OVERRIDE=20Y</stp>
        <stp>days=a</stp>
        <stp>fill=p</stp>
        <tr r="AU11" s="35"/>
      </tp>
      <tp>
        <v>444.48099999999999</v>
        <stp/>
        <stp>##V3_BDHV12</stp>
        <stp>NOW EQUITY</stp>
        <stp>BEST_NET_INCOME</stp>
        <stp>11/29/2018</stp>
        <stp>11/29/2018</stp>
        <stp>[RAMP_11-29-2018 vWIC.xlsm]Current Comps!R11C45</stp>
        <stp>BEST_FPERIOD_OVERRIDE=18Y</stp>
        <stp>days=a</stp>
        <stp>fill=p</stp>
        <tr r="AS11" s="35"/>
      </tp>
      <tp>
        <v>1033</v>
        <stp/>
        <stp>##V3_BDHV12</stp>
        <stp>NOW EQUITY</stp>
        <stp>BEST_NET_INCOME</stp>
        <stp>11/29/2018</stp>
        <stp>11/29/2018</stp>
        <stp>[RAMP_11-29-2018 vWIC.xlsm]Current Comps!R11C48</stp>
        <stp>BEST_FPERIOD_OVERRIDE=21Y</stp>
        <stp>days=a</stp>
        <stp>fill=p</stp>
        <tr r="AV11" s="35"/>
      </tp>
      <tp>
        <v>-1.6705000000000001</v>
        <stp/>
        <stp>##V3_BDHV12</stp>
        <stp>HUBS EQUITY</stp>
        <stp>T12M_DIL_EPS_CONT_OPS</stp>
        <stp>11/29/2018</stp>
        <stp>11/29/2018</stp>
        <stp>[RAMP_11-29-2018 vWIC.xlsm]Current Comps!R17C49</stp>
        <stp>days=a</stp>
        <stp>fill=p</stp>
        <tr r="AW17" s="35"/>
      </tp>
      <tp>
        <v>3644</v>
        <stp/>
        <stp>##V3_BDHV12</stp>
        <stp>CRM EQUITY</stp>
        <stp>BEST_EBIT</stp>
        <stp>11/29/2018</stp>
        <stp>11/29/2018</stp>
        <stp>[RAMP_11-29-2018 vWIC.xlsm]Current Comps!R7C43</stp>
        <stp>BEST_FPERIOD_OVERRIDE=21Y</stp>
        <stp>days=a</stp>
        <stp>fill=p</stp>
        <tr r="AQ7" s="35"/>
      </tp>
      <tp>
        <v>1526</v>
        <stp/>
        <stp>##V3_BDHV12</stp>
        <stp>CRM EQUITY</stp>
        <stp>BEST_EBIT</stp>
        <stp>11/29/2018</stp>
        <stp>11/29/2018</stp>
        <stp>[RAMP_11-29-2018 vWIC.xlsm]Current Comps!R7C40</stp>
        <stp>BEST_FPERIOD_OVERRIDE=18Y</stp>
        <stp>days=a</stp>
        <stp>fill=p</stp>
        <tr r="AN7" s="35"/>
      </tp>
      <tp>
        <v>2877.5</v>
        <stp/>
        <stp>##V3_BDHV12</stp>
        <stp>CRM EQUITY</stp>
        <stp>BEST_EBIT</stp>
        <stp>11/29/2018</stp>
        <stp>11/29/2018</stp>
        <stp>[RAMP_11-29-2018 vWIC.xlsm]Current Comps!R7C42</stp>
        <stp>BEST_FPERIOD_OVERRIDE=20Y</stp>
        <stp>days=a</stp>
        <stp>fill=p</stp>
        <tr r="AP7" s="35"/>
      </tp>
      <tp>
        <v>2248.4290000000001</v>
        <stp/>
        <stp>##V3_BDHV12</stp>
        <stp>CRM EQUITY</stp>
        <stp>BEST_EBIT</stp>
        <stp>11/29/2018</stp>
        <stp>11/29/2018</stp>
        <stp>[RAMP_11-29-2018 vWIC.xlsm]Current Comps!R7C41</stp>
        <stp>BEST_FPERIOD_OVERRIDE=19Y</stp>
        <stp>days=a</stp>
        <stp>fill=p</stp>
        <tr r="AO7" s="35"/>
      </tp>
      <tp>
        <v>87.673000000000002</v>
        <stp/>
        <stp>##V3_BDHV12</stp>
        <stp>TTD EQUITY</stp>
        <stp>TRAIL_12M_OPER_INC</stp>
        <stp>11/29/2018</stp>
        <stp>11/29/2018</stp>
        <stp>[RAMP_11-29-2018 vWIC.xlsm]Current Comps!R13C39</stp>
        <stp>days=a</stp>
        <stp>fill=p</stp>
        <tr r="AM13" s="35"/>
      </tp>
      <tp>
        <v>-7.016</v>
        <stp/>
        <stp>##V3_BDHV12</stp>
        <stp>SEND EQUITY</stp>
        <stp>TRAIL_12M_OPER_INC</stp>
        <stp>11/29/2018</stp>
        <stp>11/29/2018</stp>
        <stp>[RAMP_11-29-2018 vWIC.xlsm]Current Comps!R20C39</stp>
        <stp>days=a</stp>
        <stp>fill=p</stp>
        <tr r="AM20" s="35"/>
      </tp>
      <tp>
        <v>293.59800000000001</v>
        <stp/>
        <stp>##V3_BDPV12</stp>
        <stp>ZEN Equity</stp>
        <stp>BS_MKT_SEC_OTHER_ST_INVEST</stp>
        <stp>[RAMP_11-29-2018 vWIC.xlsm]Current Comps!R15C25</stp>
        <stp>EQY_FUND_DT=20181129</stp>
        <stp>EQY_FUND_RELATIVE_PERIOD=-0FQ</stp>
        <tr r="Y15" s="35"/>
        <tr r="Y15" s="35"/>
      </tp>
      <tp>
        <v>0</v>
        <stp/>
        <stp>##V3_BDPV12</stp>
        <stp>HUBS Equity</stp>
        <stp>BS_ST_BORROW</stp>
        <stp>[RAMP_11-29-2018 vWIC.xlsm]Current Comps!R17C20</stp>
        <stp>EQY_FUND_DT=20181129</stp>
        <stp>EQY_FUND_RELATIVE_PERIOD=-0FQ</stp>
        <tr r="T17" s="35"/>
        <tr r="T17" s="35"/>
      </tp>
      <tp>
        <v>313.55</v>
        <stp/>
        <stp>##V3_BDPV12</stp>
        <stp>HUBS Equity</stp>
        <stp>BS_LT_BORROW</stp>
        <stp>[RAMP_11-29-2018 vWIC.xlsm]Current Comps!R17C21</stp>
        <stp>EQY_FUND_DT=20181129</stp>
        <stp>EQY_FUND_RELATIVE_PERIOD=-0FQ</stp>
        <tr r="U17" s="35"/>
        <tr r="U17" s="35"/>
      </tp>
      <tp>
        <v>-286.21600000000001</v>
        <stp/>
        <stp>##V3_BDPV12</stp>
        <stp>YEXT Equity</stp>
        <stp>BS_RETAIN_EARN</stp>
        <stp>[RAMP_11-29-2018 vWIC.xlsm]Current Comps!R16C27</stp>
        <stp>EQY_FUND_DT=20181129</stp>
        <stp>EQY_FUND_RELATIVE_PERIOD=-0FQ</stp>
        <tr r="AA16" s="35"/>
        <tr r="AA16" s="35"/>
      </tp>
      <tp>
        <v>0</v>
        <stp/>
        <stp>##V3_BDPV12</stp>
        <stp>ZEN Equity</stp>
        <stp>BS_ST_BORROW</stp>
        <stp>[RAMP_11-29-2018 vWIC.xlsm]Current Comps!R15C20</stp>
        <stp>EQY_FUND_DT=20181129</stp>
        <stp>EQY_FUND_RELATIVE_PERIOD=-0FQ</stp>
        <tr r="T15" s="35"/>
        <tr r="T15" s="35"/>
      </tp>
      <tp>
        <v>452.07499999999999</v>
        <stp/>
        <stp>##V3_BDPV12</stp>
        <stp>ZEN Equity</stp>
        <stp>BS_LT_BORROW</stp>
        <stp>[RAMP_11-29-2018 vWIC.xlsm]Current Comps!R15C21</stp>
        <stp>EQY_FUND_DT=20181129</stp>
        <stp>EQY_FUND_RELATIVE_PERIOD=-0FQ</stp>
        <tr r="U15" s="35"/>
        <tr r="U15" s="35"/>
      </tp>
    </main>
    <main first="bloomberg.rtd">
      <tp>
        <v>0</v>
        <stp/>
        <stp>##V3_BDPV12</stp>
        <stp>RAMP Equity</stp>
        <stp>BS_ST_BORROW</stp>
        <stp>[RAMP_11-29-2018 vWIC.xlsm]Current Comps!R62C20</stp>
        <stp>EQY_FUND_DT=20181129</stp>
        <stp>EQY_FUND_RELATIVE_PERIOD=-0FQ</stp>
        <tr r="T62" s="35"/>
        <tr r="T62" s="35"/>
      </tp>
      <tp>
        <v>469.13200000000001</v>
        <stp/>
        <stp>##V3_BDPV12</stp>
        <stp>TWLO Equity</stp>
        <stp>BS_CASH_NEAR_CASH_ITEM</stp>
        <stp>[RAMP_11-29-2018 vWIC.xlsm]Current Comps!R19C24</stp>
        <stp>EQY_FUND_DT=20181129</stp>
        <stp>EQY_FUND_RELATIVE_PERIOD=-0FQ</stp>
        <tr r="X19" s="35"/>
        <tr r="X19" s="35"/>
      </tp>
      <tp>
        <v>96.122</v>
        <stp/>
        <stp>##V3_BDPV12</stp>
        <stp>HUBS Equity</stp>
        <stp>BS_CASH_NEAR_CASH_ITEM</stp>
        <stp>[RAMP_11-29-2018 vWIC.xlsm]Current Comps!R17C24</stp>
        <stp>EQY_FUND_DT=20181129</stp>
        <stp>EQY_FUND_RELATIVE_PERIOD=-0FQ</stp>
        <tr r="X17" s="35"/>
        <tr r="X17" s="35"/>
      </tp>
      <tp>
        <v>2218.444</v>
        <stp/>
        <stp>##V3_BDHV12</stp>
        <stp>CRM EQUITY</stp>
        <stp>BEST_NET_INCOME</stp>
        <stp>11/29/2018</stp>
        <stp>11/29/2018</stp>
        <stp>[RAMP_11-29-2018 vWIC.xlsm]Current Comps!R7C47</stp>
        <stp>BEST_FPERIOD_OVERRIDE=20Y</stp>
        <stp>days=a</stp>
        <stp>fill=p</stp>
        <tr r="AU7" s="35"/>
      </tp>
      <tp>
        <v>980.07899999999995</v>
        <stp/>
        <stp>##V3_BDHV12</stp>
        <stp>CRM EQUITY</stp>
        <stp>BEST_NET_INCOME</stp>
        <stp>11/29/2018</stp>
        <stp>11/29/2018</stp>
        <stp>[RAMP_11-29-2018 vWIC.xlsm]Current Comps!R7C45</stp>
        <stp>BEST_FPERIOD_OVERRIDE=18Y</stp>
        <stp>days=a</stp>
        <stp>fill=p</stp>
        <tr r="AS7" s="35"/>
      </tp>
      <tp>
        <v>2013.405</v>
        <stp/>
        <stp>##V3_BDHV12</stp>
        <stp>CRM EQUITY</stp>
        <stp>BEST_NET_INCOME</stp>
        <stp>11/29/2018</stp>
        <stp>11/29/2018</stp>
        <stp>[RAMP_11-29-2018 vWIC.xlsm]Current Comps!R7C46</stp>
        <stp>BEST_FPERIOD_OVERRIDE=19Y</stp>
        <stp>days=a</stp>
        <stp>fill=p</stp>
        <tr r="AT7" s="35"/>
      </tp>
      <tp>
        <v>2857.4</v>
        <stp/>
        <stp>##V3_BDHV12</stp>
        <stp>CRM EQUITY</stp>
        <stp>BEST_NET_INCOME</stp>
        <stp>11/29/2018</stp>
        <stp>11/29/2018</stp>
        <stp>[RAMP_11-29-2018 vWIC.xlsm]Current Comps!R7C48</stp>
        <stp>BEST_FPERIOD_OVERRIDE=21Y</stp>
        <stp>days=a</stp>
        <stp>fill=p</stp>
        <tr r="AV7" s="35"/>
      </tp>
      <tp>
        <v>-4.9000000000000002E-2</v>
        <stp/>
        <stp>##V3_BDHV12</stp>
        <stp>OKTA EQUITY</stp>
        <stp>BEST_EPS</stp>
        <stp>11/29/2018</stp>
        <stp>11/29/2018</stp>
        <stp>[RAMP_11-29-2018 vWIC.xlsm]Current Comps!R14C53</stp>
        <stp>BEST_FPERIOD_OVERRIDE=21Y</stp>
        <stp>days=a</stp>
        <stp>fill=p</stp>
        <tr r="BA14" s="35"/>
      </tp>
      <tp>
        <v>-0.82499999999999996</v>
        <stp/>
        <stp>##V3_BDHV12</stp>
        <stp>OKTA EQUITY</stp>
        <stp>BEST_EPS</stp>
        <stp>11/29/2018</stp>
        <stp>11/29/2018</stp>
        <stp>[RAMP_11-29-2018 vWIC.xlsm]Current Comps!R14C50</stp>
        <stp>BEST_FPERIOD_OVERRIDE=18Y</stp>
        <stp>days=a</stp>
        <stp>fill=p</stp>
        <tr r="AX14" s="35"/>
      </tp>
      <tp>
        <v>-0.29699999999999999</v>
        <stp/>
        <stp>##V3_BDHV12</stp>
        <stp>OKTA EQUITY</stp>
        <stp>BEST_EPS</stp>
        <stp>11/29/2018</stp>
        <stp>11/29/2018</stp>
        <stp>[RAMP_11-29-2018 vWIC.xlsm]Current Comps!R14C52</stp>
        <stp>BEST_FPERIOD_OVERRIDE=20Y</stp>
        <stp>days=a</stp>
        <stp>fill=p</stp>
        <tr r="AZ14" s="35"/>
      </tp>
      <tp>
        <v>-0.47099999999999997</v>
        <stp/>
        <stp>##V3_BDHV12</stp>
        <stp>OKTA EQUITY</stp>
        <stp>BEST_EPS</stp>
        <stp>11/29/2018</stp>
        <stp>11/29/2018</stp>
        <stp>[RAMP_11-29-2018 vWIC.xlsm]Current Comps!R14C51</stp>
        <stp>BEST_FPERIOD_OVERRIDE=19Y</stp>
        <stp>days=a</stp>
        <stp>fill=p</stp>
        <tr r="AY14" s="35"/>
      </tp>
      <tp t="s">
        <v>01/2018</v>
        <stp/>
        <stp>##V3_BDPV12</stp>
        <stp>YEXT EQUITY</stp>
        <stp>EQY_FISCAL_YR_END</stp>
        <stp>[RAMP_10-30-2018 vWIC.xlsm]Current Comps!R16C93</stp>
        <tr r="CO16" s="35"/>
      </tp>
      <tp>
        <v>10441.237999999999</v>
        <stp/>
        <stp>##V3_BDHV12</stp>
        <stp>CRM EQUITY</stp>
        <stp>BEST_Sales</stp>
        <stp>11/29/2018</stp>
        <stp>11/29/2018</stp>
        <stp>[RAMP_11-29-2018 vWIC.xlsm]Current Comps!R7C30</stp>
        <stp>BEST_FPERIOD_OVERRIDE=18Y</stp>
        <stp>days=a</stp>
        <stp>fill=p</stp>
        <tr r="AD7" s="35"/>
      </tp>
      <tp>
        <v>18868</v>
        <stp/>
        <stp>##V3_BDHV12</stp>
        <stp>CRM EQUITY</stp>
        <stp>BEST_Sales</stp>
        <stp>11/29/2018</stp>
        <stp>11/29/2018</stp>
        <stp>[RAMP_11-29-2018 vWIC.xlsm]Current Comps!R7C33</stp>
        <stp>BEST_FPERIOD_OVERRIDE=21Y</stp>
        <stp>days=a</stp>
        <stp>fill=p</stp>
        <tr r="AG7" s="35"/>
      </tp>
      <tp>
        <v>13239.923000000001</v>
        <stp/>
        <stp>##V3_BDHV12</stp>
        <stp>CRM EQUITY</stp>
        <stp>BEST_Sales</stp>
        <stp>11/29/2018</stp>
        <stp>11/29/2018</stp>
        <stp>[RAMP_11-29-2018 vWIC.xlsm]Current Comps!R7C31</stp>
        <stp>BEST_FPERIOD_OVERRIDE=19Y</stp>
        <stp>days=a</stp>
        <stp>fill=p</stp>
        <tr r="AE7" s="35"/>
      </tp>
      <tp>
        <v>15985.763000000001</v>
        <stp/>
        <stp>##V3_BDHV12</stp>
        <stp>CRM EQUITY</stp>
        <stp>BEST_Sales</stp>
        <stp>11/29/2018</stp>
        <stp>11/29/2018</stp>
        <stp>[RAMP_11-29-2018 vWIC.xlsm]Current Comps!R7C32</stp>
        <stp>BEST_FPERIOD_OVERRIDE=20Y</stp>
        <stp>days=a</stp>
        <stp>fill=p</stp>
        <tr r="AF7" s="35"/>
      </tp>
      <tp>
        <v>10.164999999999999</v>
        <stp/>
        <stp>##V3_BDPV12</stp>
        <stp>SEND Equity</stp>
        <stp>BS_LT_BORROW</stp>
        <stp>[RAMP_11-29-2018 vWIC.xlsm]Current Comps!R20C21</stp>
        <stp>EQY_FUND_DT=20181129</stp>
        <stp>EQY_FUND_RELATIVE_PERIOD=-0FQ</stp>
        <tr r="U20" s="35"/>
        <tr r="U20" s="35"/>
      </tp>
      <tp>
        <v>6.3969999999999994</v>
        <stp/>
        <stp>##V3_BDPV12</stp>
        <stp>SEND Equity</stp>
        <stp>BS_ST_BORROW</stp>
        <stp>[RAMP_11-29-2018 vWIC.xlsm]Current Comps!R20C20</stp>
        <stp>EQY_FUND_DT=20181129</stp>
        <stp>EQY_FUND_RELATIVE_PERIOD=-0FQ</stp>
        <tr r="T20" s="35"/>
        <tr r="T20" s="35"/>
      </tp>
    </main>
    <main first="bloomberg.rtd">
      <tp>
        <v>0</v>
        <stp/>
        <stp>##V3_BDPV12</stp>
        <stp>RAMP Equity</stp>
        <stp>BS_ST_BORROW</stp>
        <stp>[RAMP_11-29-2018 vWIC.xlsm]Current Comps!R41C20</stp>
        <stp>EQY_FUND_DT=20181129</stp>
        <stp>EQY_FUND_RELATIVE_PERIOD=-0FQ</stp>
        <tr r="T41" s="35"/>
        <tr r="T41" s="35"/>
      </tp>
    </main>
    <main first="bloomberg.rtd">
      <tp>
        <v>0</v>
        <stp/>
        <stp>##V3_BDPV12</stp>
        <stp>SPLK Equity</stp>
        <stp>BS_LT_BORROW</stp>
        <stp>[RAMP_11-29-2018 vWIC.xlsm]Current Comps!R10C21</stp>
        <stp>EQY_FUND_DT=20181129</stp>
        <stp>EQY_FUND_RELATIVE_PERIOD=-0FQ</stp>
        <tr r="U10" s="35"/>
        <tr r="U10" s="35"/>
      </tp>
      <tp>
        <v>0</v>
        <stp/>
        <stp>##V3_BDPV12</stp>
        <stp>SPLK Equity</stp>
        <stp>BS_ST_BORROW</stp>
        <stp>[RAMP_11-29-2018 vWIC.xlsm]Current Comps!R10C20</stp>
        <stp>EQY_FUND_DT=20181129</stp>
        <stp>EQY_FUND_RELATIVE_PERIOD=-0FQ</stp>
        <tr r="T10" s="35"/>
        <tr r="T10" s="35"/>
      </tp>
      <tp t="s">
        <v>WORKDAY INC-CLASS A</v>
        <stp/>
        <stp>##V3_BDPV12</stp>
        <stp>WDAY EQUITY</stp>
        <stp>name</stp>
        <stp>[RAMP_10-30-2018 vWIC.xlsm]Current Comps!R89C2</stp>
        <tr r="B89" s="35"/>
      </tp>
      <tp t="s">
        <v>YEXT INC</v>
        <stp/>
        <stp>##V3_BDPV12</stp>
        <stp>YEXT EQUITY</stp>
        <stp>name</stp>
        <stp>[RAMP_10-30-2018 vWIC.xlsm]Current Comps!R96C2</stp>
        <tr r="B96" s="35"/>
      </tp>
      <tp>
        <v>2.6920000000000002</v>
        <stp/>
        <stp>##V3_BDHV12</stp>
        <stp>TTD EQUITY</stp>
        <stp>BEST_EPS</stp>
        <stp>11/29/2018</stp>
        <stp>11/29/2018</stp>
        <stp>[RAMP_11-29-2018 vWIC.xlsm]Current Comps!R13C51</stp>
        <stp>BEST_FPERIOD_OVERRIDE=19Y</stp>
        <stp>days=a</stp>
        <stp>fill=p</stp>
        <tr r="AY13" s="35"/>
      </tp>
      <tp>
        <v>3.581</v>
        <stp/>
        <stp>##V3_BDHV12</stp>
        <stp>TTD EQUITY</stp>
        <stp>BEST_EPS</stp>
        <stp>11/29/2018</stp>
        <stp>11/29/2018</stp>
        <stp>[RAMP_11-29-2018 vWIC.xlsm]Current Comps!R13C52</stp>
        <stp>BEST_FPERIOD_OVERRIDE=20Y</stp>
        <stp>days=a</stp>
        <stp>fill=p</stp>
        <tr r="AZ13" s="35"/>
      </tp>
      <tp>
        <v>2.3490000000000002</v>
        <stp/>
        <stp>##V3_BDHV12</stp>
        <stp>TTD EQUITY</stp>
        <stp>BEST_EPS</stp>
        <stp>11/29/2018</stp>
        <stp>11/29/2018</stp>
        <stp>[RAMP_11-29-2018 vWIC.xlsm]Current Comps!R13C50</stp>
        <stp>BEST_FPERIOD_OVERRIDE=18Y</stp>
        <stp>days=a</stp>
        <stp>fill=p</stp>
        <tr r="AX13" s="35"/>
      </tp>
      <tp>
        <v>4.5600000000000005</v>
        <stp/>
        <stp>##V3_BDHV12</stp>
        <stp>TTD EQUITY</stp>
        <stp>BEST_EPS</stp>
        <stp>11/29/2018</stp>
        <stp>11/29/2018</stp>
        <stp>[RAMP_11-29-2018 vWIC.xlsm]Current Comps!R13C53</stp>
        <stp>BEST_FPERIOD_OVERRIDE=21Y</stp>
        <stp>days=a</stp>
        <stp>fill=p</stp>
        <tr r="BA13" s="35"/>
      </tp>
      <tp>
        <v>-323.13599999999997</v>
        <stp/>
        <stp>##V3_BDPV12</stp>
        <stp>TWLO Equity</stp>
        <stp>BS_RETAIN_EARN</stp>
        <stp>[RAMP_11-29-2018 vWIC.xlsm]Current Comps!R19C27</stp>
        <stp>EQY_FUND_DT=20181129</stp>
        <stp>EQY_FUND_RELATIVE_PERIOD=-0FQ</stp>
        <tr r="AA19" s="35"/>
        <tr r="AA19" s="35"/>
      </tp>
      <tp>
        <v>0</v>
        <stp/>
        <stp>##V3_BDPV12</stp>
        <stp>RAMP Equity</stp>
        <stp>BS_ST_BORROW</stp>
        <stp>[RAMP_11-29-2018 vWIC.xlsm]Current Comps!R47C20</stp>
        <stp>EQY_FUND_DT=20181129</stp>
        <stp>EQY_FUND_RELATIVE_PERIOD=-0FQ</stp>
        <tr r="T47" s="35"/>
        <tr r="T47" s="35"/>
      </tp>
      <tp>
        <v>653.63799999999992</v>
        <stp/>
        <stp>##V3_BDPV12</stp>
        <stp>NOW Equity</stp>
        <stp>BS_LT_BORROW</stp>
        <stp>[RAMP_11-29-2018 vWIC.xlsm]Current Comps!R11C21</stp>
        <stp>EQY_FUND_DT=20181129</stp>
        <stp>EQY_FUND_RELATIVE_PERIOD=-0FQ</stp>
        <tr r="U11" s="35"/>
        <tr r="U11" s="35"/>
      </tp>
      <tp>
        <v>160.97199999999998</v>
        <stp/>
        <stp>##V3_BDPV12</stp>
        <stp>NOW Equity</stp>
        <stp>BS_ST_BORROW</stp>
        <stp>[RAMP_11-29-2018 vWIC.xlsm]Current Comps!R11C20</stp>
        <stp>EQY_FUND_DT=20181129</stp>
        <stp>EQY_FUND_RELATIVE_PERIOD=-0FQ</stp>
        <tr r="T11" s="35"/>
        <tr r="T11" s="35"/>
      </tp>
      <tp>
        <v>-333.661</v>
        <stp/>
        <stp>##V3_BDPV12</stp>
        <stp>HUBS Equity</stp>
        <stp>BS_RETAIN_EARN</stp>
        <stp>[RAMP_11-29-2018 vWIC.xlsm]Current Comps!R17C27</stp>
        <stp>EQY_FUND_DT=20181129</stp>
        <stp>EQY_FUND_RELATIVE_PERIOD=-0FQ</stp>
        <tr r="AA17" s="35"/>
        <tr r="AA17" s="35"/>
      </tp>
    </main>
    <main first="bloomberg.rtd">
      <tp>
        <v>0</v>
        <stp/>
        <stp>##V3_BDPV12</stp>
        <stp>ZEN Equity</stp>
        <stp>BS_PFD_EQY</stp>
        <stp>[RAMP_11-29-2018 vWIC.xlsm]Current Comps!R15C22</stp>
        <stp>EQY_FUND_DT=20181129</stp>
        <stp>EQY_FUND_RELATIVE_PERIOD=-0FQ</stp>
        <tr r="V15" s="35"/>
        <tr r="V15" s="35"/>
      </tp>
      <tp>
        <v>0</v>
        <stp/>
        <stp>##V3_BDPV12</stp>
        <stp>DATA Equity</stp>
        <stp>BS_MINORITY_INT</stp>
        <stp>[RAMP_11-29-2018 vWIC.xlsm]Current Comps!R8C23</stp>
        <stp>EQY_FUND_DT=20181129</stp>
        <stp>EQY_FUND_RELATIVE_PERIOD=-0FQ</stp>
        <tr r="W8" s="35"/>
        <tr r="W8" s="35"/>
      </tp>
      <tp>
        <v>0</v>
        <stp/>
        <stp>##V3_BDPV12</stp>
        <stp>TTD Equity</stp>
        <stp>BS_ST_BORROW</stp>
        <stp>[RAMP_11-29-2018 vWIC.xlsm]Current Comps!R13C20</stp>
        <stp>EQY_FUND_DT=20181129</stp>
        <stp>EQY_FUND_RELATIVE_PERIOD=-0FQ</stp>
        <tr r="T13" s="35"/>
        <tr r="T13" s="35"/>
      </tp>
      <tp>
        <v>0</v>
        <stp/>
        <stp>##V3_BDPV12</stp>
        <stp>TTD Equity</stp>
        <stp>BS_LT_BORROW</stp>
        <stp>[RAMP_11-29-2018 vWIC.xlsm]Current Comps!R13C21</stp>
        <stp>EQY_FUND_DT=20181129</stp>
        <stp>EQY_FUND_RELATIVE_PERIOD=-0FQ</stp>
        <tr r="U13" s="35"/>
        <tr r="U13" s="35"/>
      </tp>
      <tp>
        <v>83.5471</v>
        <stp/>
        <stp>##V3_BDHV12</stp>
        <stp>DATA EQUITY</stp>
        <stp>BS_SH_OUT</stp>
        <stp>11/29/2018</stp>
        <stp>11/29/2018</stp>
        <stp>[RAMP_11-29-2018 vWIC.xlsm]Current Comps!R8C92</stp>
        <stp>EQY_FUND_PER=Q</stp>
        <stp>days=a</stp>
        <stp>fill=p</stp>
        <tr r="CN8" s="35"/>
      </tp>
      <tp>
        <v>-0.78</v>
        <stp/>
        <stp>##V3_BDHV12</stp>
        <stp>YEXT EQUITY</stp>
        <stp>T12M_DIL_EPS_CONT_OPS</stp>
        <stp>11/29/2018</stp>
        <stp>11/29/2018</stp>
        <stp>[RAMP_11-29-2018 vWIC.xlsm]Current Comps!R16C49</stp>
        <stp>days=a</stp>
        <stp>fill=p</stp>
        <tr r="AW16" s="35"/>
      </tp>
      <tp>
        <v>12343.51</v>
        <stp/>
        <stp>##V3_BDHV12</stp>
        <stp>NYA INDEX</stp>
        <stp>last price</stp>
        <stp>11/12/2018</stp>
        <stp>11/12/2018</stp>
        <stp>[RAMP_10-30-2018 vWIC.xlsm]Current Comps!R83C5</stp>
        <tr r="E83" s="35"/>
      </tp>
      <tp>
        <v>77.564999999999998</v>
        <stp/>
        <stp>##V3_BDHV12</stp>
        <stp>CRM EQUITY</stp>
        <stp>BEST_GROSS_MARGIN</stp>
        <stp>11/29/2018</stp>
        <stp>11/29/2018</stp>
        <stp>[RAMP_11-29-2018 vWIC.xlsm]Current Comps!R7C38</stp>
        <stp>BEST_FPERIOD_OVERRIDE=21Y</stp>
        <stp>days=a</stp>
        <stp>fill=p</stp>
        <tr r="AL7" s="35"/>
      </tp>
      <tp>
        <v>76.945999999999998</v>
        <stp/>
        <stp>##V3_BDHV12</stp>
        <stp>CRM EQUITY</stp>
        <stp>BEST_GROSS_MARGIN</stp>
        <stp>11/29/2018</stp>
        <stp>11/29/2018</stp>
        <stp>[RAMP_11-29-2018 vWIC.xlsm]Current Comps!R7C36</stp>
        <stp>BEST_FPERIOD_OVERRIDE=19Y</stp>
        <stp>days=a</stp>
        <stp>fill=p</stp>
        <tr r="AJ7" s="35"/>
      </tp>
      <tp>
        <v>76.152000000000001</v>
        <stp/>
        <stp>##V3_BDHV12</stp>
        <stp>CRM EQUITY</stp>
        <stp>BEST_GROSS_MARGIN</stp>
        <stp>11/29/2018</stp>
        <stp>11/29/2018</stp>
        <stp>[RAMP_11-29-2018 vWIC.xlsm]Current Comps!R7C35</stp>
        <stp>BEST_FPERIOD_OVERRIDE=18Y</stp>
        <stp>days=a</stp>
        <stp>fill=p</stp>
        <tr r="AI7" s="35"/>
      </tp>
      <tp>
        <v>77.17</v>
        <stp/>
        <stp>##V3_BDHV12</stp>
        <stp>CRM EQUITY</stp>
        <stp>BEST_GROSS_MARGIN</stp>
        <stp>11/29/2018</stp>
        <stp>11/29/2018</stp>
        <stp>[RAMP_11-29-2018 vWIC.xlsm]Current Comps!R7C37</stp>
        <stp>BEST_FPERIOD_OVERRIDE=20Y</stp>
        <stp>days=a</stp>
        <stp>fill=p</stp>
        <tr r="AK7" s="35"/>
      </tp>
      <tp>
        <v>128.85599999999999</v>
        <stp/>
        <stp>##V3_BDHV12</stp>
        <stp>TTD EQUITY</stp>
        <stp>BEST_NET_INCOME</stp>
        <stp>11/29/2018</stp>
        <stp>11/29/2018</stp>
        <stp>[RAMP_11-29-2018 vWIC.xlsm]Current Comps!R13C46</stp>
        <stp>BEST_FPERIOD_OVERRIDE=19Y</stp>
        <stp>days=a</stp>
        <stp>fill=p</stp>
        <tr r="AT13" s="35"/>
      </tp>
      <tp>
        <v>170.81299999999999</v>
        <stp/>
        <stp>##V3_BDHV12</stp>
        <stp>TTD EQUITY</stp>
        <stp>BEST_NET_INCOME</stp>
        <stp>11/29/2018</stp>
        <stp>11/29/2018</stp>
        <stp>[RAMP_11-29-2018 vWIC.xlsm]Current Comps!R13C47</stp>
        <stp>BEST_FPERIOD_OVERRIDE=20Y</stp>
        <stp>days=a</stp>
        <stp>fill=p</stp>
        <tr r="AU13" s="35"/>
      </tp>
      <tp>
        <v>112.25</v>
        <stp/>
        <stp>##V3_BDHV12</stp>
        <stp>TTD EQUITY</stp>
        <stp>BEST_NET_INCOME</stp>
        <stp>11/29/2018</stp>
        <stp>11/29/2018</stp>
        <stp>[RAMP_11-29-2018 vWIC.xlsm]Current Comps!R13C45</stp>
        <stp>BEST_FPERIOD_OVERRIDE=18Y</stp>
        <stp>days=a</stp>
        <stp>fill=p</stp>
        <tr r="AS13" s="35"/>
      </tp>
      <tp>
        <v>201</v>
        <stp/>
        <stp>##V3_BDHV12</stp>
        <stp>TTD EQUITY</stp>
        <stp>BEST_NET_INCOME</stp>
        <stp>11/29/2018</stp>
        <stp>11/29/2018</stp>
        <stp>[RAMP_11-29-2018 vWIC.xlsm]Current Comps!R13C48</stp>
        <stp>BEST_FPERIOD_OVERRIDE=21Y</stp>
        <stp>days=a</stp>
        <stp>fill=p</stp>
        <tr r="AV13" s="35"/>
      </tp>
      <tp>
        <v>0.21</v>
        <stp/>
        <stp>##V3_BDHV12</stp>
        <stp>SEND EQUITY</stp>
        <stp>BEST_EPS</stp>
        <stp>11/29/2018</stp>
        <stp>11/29/2018</stp>
        <stp>[RAMP_11-29-2018 vWIC.xlsm]Current Comps!R20C51</stp>
        <stp>BEST_FPERIOD_OVERRIDE=19Y</stp>
        <stp>days=a</stp>
        <stp>fill=p</stp>
        <tr r="AY20" s="35"/>
      </tp>
      <tp>
        <v>0.34</v>
        <stp/>
        <stp>##V3_BDHV12</stp>
        <stp>SEND EQUITY</stp>
        <stp>BEST_EPS</stp>
        <stp>11/29/2018</stp>
        <stp>11/29/2018</stp>
        <stp>[RAMP_11-29-2018 vWIC.xlsm]Current Comps!R20C52</stp>
        <stp>BEST_FPERIOD_OVERRIDE=20Y</stp>
        <stp>days=a</stp>
        <stp>fill=p</stp>
        <tr r="AZ20" s="35"/>
      </tp>
      <tp>
        <v>0.16200000000000001</v>
        <stp/>
        <stp>##V3_BDHV12</stp>
        <stp>SEND EQUITY</stp>
        <stp>BEST_EPS</stp>
        <stp>11/29/2018</stp>
        <stp>11/29/2018</stp>
        <stp>[RAMP_11-29-2018 vWIC.xlsm]Current Comps!R20C50</stp>
        <stp>BEST_FPERIOD_OVERRIDE=18Y</stp>
        <stp>days=a</stp>
        <stp>fill=p</stp>
        <tr r="AX20" s="35"/>
      </tp>
      <tp t="s">
        <v>#N/A N/A</v>
        <stp/>
        <stp>##V3_BDHV12</stp>
        <stp>SEND EQUITY</stp>
        <stp>BEST_EPS</stp>
        <stp>11/29/2018</stp>
        <stp>11/29/2018</stp>
        <stp>[RAMP_11-29-2018 vWIC.xlsm]Current Comps!R20C53</stp>
        <stp>BEST_FPERIOD_OVERRIDE=21Y</stp>
        <stp>days=a</stp>
        <stp>fill=p</stp>
        <tr r="BA20" s="35"/>
      </tp>
      <tp>
        <v>0</v>
        <stp/>
        <stp>##V3_BDPV12</stp>
        <stp>RAMP Equity</stp>
        <stp>BS_ST_BORROW</stp>
        <stp>[RAMP_11-29-2018 vWIC.xlsm]Current Comps!R44C20</stp>
        <stp>EQY_FUND_DT=20181129</stp>
        <stp>EQY_FUND_RELATIVE_PERIOD=-0FQ</stp>
        <tr r="T44" s="35"/>
        <tr r="T44" s="35"/>
      </tp>
      <tp t="s">
        <v>SENDGRID INC</v>
        <stp/>
        <stp>##V3_BDPV12</stp>
        <stp>SEND EQUITY</stp>
        <stp>name</stp>
        <stp>[RAMP_10-30-2018 vWIC.xlsm]Current Comps!R98C2</stp>
        <tr r="B98" s="35"/>
      </tp>
      <tp t="s">
        <v>#N/A N/A</v>
        <stp/>
        <stp>##V3_BDHV12</stp>
        <stp>DATA EQUITY</stp>
        <stp>BEST_GROSS_MARGIN</stp>
        <stp>11/29/2018</stp>
        <stp>11/29/2018</stp>
        <stp>[RAMP_11-29-2018 vWIC.xlsm]Current Comps!R8C38</stp>
        <stp>BEST_FPERIOD_OVERRIDE=21Y</stp>
        <stp>days=a</stp>
        <stp>fill=p</stp>
        <tr r="AL8" s="35"/>
      </tp>
      <tp>
        <v>88.346000000000004</v>
        <stp/>
        <stp>##V3_BDHV12</stp>
        <stp>DATA EQUITY</stp>
        <stp>BEST_GROSS_MARGIN</stp>
        <stp>11/29/2018</stp>
        <stp>11/29/2018</stp>
        <stp>[RAMP_11-29-2018 vWIC.xlsm]Current Comps!R8C36</stp>
        <stp>BEST_FPERIOD_OVERRIDE=19Y</stp>
        <stp>days=a</stp>
        <stp>fill=p</stp>
        <tr r="AJ8" s="35"/>
      </tp>
      <tp>
        <v>87.42</v>
        <stp/>
        <stp>##V3_BDHV12</stp>
        <stp>DATA EQUITY</stp>
        <stp>BEST_GROSS_MARGIN</stp>
        <stp>11/29/2018</stp>
        <stp>11/29/2018</stp>
        <stp>[RAMP_11-29-2018 vWIC.xlsm]Current Comps!R8C35</stp>
        <stp>BEST_FPERIOD_OVERRIDE=18Y</stp>
        <stp>days=a</stp>
        <stp>fill=p</stp>
        <tr r="AI8" s="35"/>
      </tp>
      <tp>
        <v>88.927000000000007</v>
        <stp/>
        <stp>##V3_BDHV12</stp>
        <stp>DATA EQUITY</stp>
        <stp>BEST_GROSS_MARGIN</stp>
        <stp>11/29/2018</stp>
        <stp>11/29/2018</stp>
        <stp>[RAMP_11-29-2018 vWIC.xlsm]Current Comps!R8C37</stp>
        <stp>BEST_FPERIOD_OVERRIDE=20Y</stp>
        <stp>days=a</stp>
        <stp>fill=p</stp>
        <tr r="AK8" s="35"/>
      </tp>
      <tp>
        <v>1.101</v>
        <stp/>
        <stp>##V3_BDHV12</stp>
        <stp>SPLK EQUITY</stp>
        <stp>BEST_EPS</stp>
        <stp>11/29/2018</stp>
        <stp>11/29/2018</stp>
        <stp>[RAMP_11-29-2018 vWIC.xlsm]Current Comps!R10C51</stp>
        <stp>BEST_FPERIOD_OVERRIDE=19Y</stp>
        <stp>days=a</stp>
        <stp>fill=p</stp>
        <tr r="AY10" s="35"/>
      </tp>
      <tp>
        <v>1.554</v>
        <stp/>
        <stp>##V3_BDHV12</stp>
        <stp>SPLK EQUITY</stp>
        <stp>BEST_EPS</stp>
        <stp>11/29/2018</stp>
        <stp>11/29/2018</stp>
        <stp>[RAMP_11-29-2018 vWIC.xlsm]Current Comps!R10C52</stp>
        <stp>BEST_FPERIOD_OVERRIDE=20Y</stp>
        <stp>days=a</stp>
        <stp>fill=p</stp>
        <tr r="AZ10" s="35"/>
      </tp>
      <tp>
        <v>0.58199999999999996</v>
        <stp/>
        <stp>##V3_BDHV12</stp>
        <stp>SPLK EQUITY</stp>
        <stp>BEST_EPS</stp>
        <stp>11/29/2018</stp>
        <stp>11/29/2018</stp>
        <stp>[RAMP_11-29-2018 vWIC.xlsm]Current Comps!R10C50</stp>
        <stp>BEST_FPERIOD_OVERRIDE=18Y</stp>
        <stp>days=a</stp>
        <stp>fill=p</stp>
        <tr r="AX10" s="35"/>
      </tp>
      <tp>
        <v>2.1080000000000001</v>
        <stp/>
        <stp>##V3_BDHV12</stp>
        <stp>SPLK EQUITY</stp>
        <stp>BEST_EPS</stp>
        <stp>11/29/2018</stp>
        <stp>11/29/2018</stp>
        <stp>[RAMP_11-29-2018 vWIC.xlsm]Current Comps!R10C53</stp>
        <stp>BEST_FPERIOD_OVERRIDE=21Y</stp>
        <stp>days=a</stp>
        <stp>fill=p</stp>
        <tr r="BA10" s="35"/>
      </tp>
      <tp>
        <v>0</v>
        <stp/>
        <stp>##V3_BDPV12</stp>
        <stp>NOW Equity</stp>
        <stp>BS_PFD_EQY</stp>
        <stp>[RAMP_11-29-2018 vWIC.xlsm]Current Comps!R11C22</stp>
        <stp>EQY_FUND_DT=20181129</stp>
        <stp>EQY_FUND_RELATIVE_PERIOD=-0FQ</stp>
        <tr r="V11" s="35"/>
        <tr r="V11" s="35"/>
      </tp>
      <tp>
        <v>419.68099999999998</v>
        <stp/>
        <stp>##V3_BDPV12</stp>
        <stp>SPLK Equity</stp>
        <stp>BS_CASH_NEAR_CASH_ITEM</stp>
        <stp>[RAMP_11-29-2018 vWIC.xlsm]Current Comps!R10C24</stp>
        <stp>EQY_FUND_DT=20181129</stp>
        <stp>EQY_FUND_RELATIVE_PERIOD=-0FQ</stp>
        <tr r="X10" s="35"/>
        <tr r="X10" s="35"/>
      </tp>
      <tp>
        <v>-530.77200000000005</v>
        <stp/>
        <stp>##V3_BDPV12</stp>
        <stp>RAMP Equity</stp>
        <stp>BS_RETAIN_EARN</stp>
        <stp>[RAMP_11-29-2018 vWIC.xlsm]Current Comps!R44C27</stp>
        <stp>EQY_FUND_DT=20181129</stp>
        <stp>EQY_FUND_RELATIVE_PERIOD=-0FQ</stp>
        <tr r="AA44" s="35"/>
        <tr r="AA44" s="35"/>
      </tp>
      <tp>
        <v>0</v>
        <stp/>
        <stp>##V3_BDPV12</stp>
        <stp>TTD Equity</stp>
        <stp>BS_MKT_SEC_OTHER_ST_INVEST</stp>
        <stp>[RAMP_11-29-2018 vWIC.xlsm]Current Comps!R13C25</stp>
        <stp>EQY_FUND_DT=20181129</stp>
        <stp>EQY_FUND_RELATIVE_PERIOD=-0FQ</stp>
        <tr r="Y13" s="35"/>
        <tr r="Y13" s="35"/>
      </tp>
      <tp t="s">
        <v>SERVICENOW INC</v>
        <stp/>
        <stp>##V3_BDPV12</stp>
        <stp>NOW EQUITY</stp>
        <stp>name</stp>
        <stp>[RAMP_10-30-2018 vWIC.xlsm]Current Comps!R91C2</stp>
        <tr r="B91" s="35"/>
      </tp>
      <tp>
        <v>-49.859000000000002</v>
        <stp/>
        <stp>##V3_BDHV12</stp>
        <stp>HUBS EQUITY</stp>
        <stp>TRAIL_12M_OPER_INC</stp>
        <stp>11/29/2018</stp>
        <stp>11/29/2018</stp>
        <stp>[RAMP_11-29-2018 vWIC.xlsm]Current Comps!R17C39</stp>
        <stp>days=a</stp>
        <stp>fill=p</stp>
        <tr r="AM17" s="35"/>
      </tp>
      <tp>
        <v>413.286</v>
        <stp/>
        <stp>##V3_BDHV12</stp>
        <stp>WDAY EQUITY</stp>
        <stp>BEST_EBIT</stp>
        <stp>11/29/2018</stp>
        <stp>11/29/2018</stp>
        <stp>[RAMP_11-29-2018 vWIC.xlsm]Current Comps!R9C42</stp>
        <stp>BEST_FPERIOD_OVERRIDE=20Y</stp>
        <stp>days=a</stp>
        <stp>fill=p</stp>
        <tr r="AP9" s="35"/>
      </tp>
      <tp>
        <v>253.625</v>
        <stp/>
        <stp>##V3_BDHV12</stp>
        <stp>WDAY EQUITY</stp>
        <stp>BEST_EBIT</stp>
        <stp>11/29/2018</stp>
        <stp>11/29/2018</stp>
        <stp>[RAMP_11-29-2018 vWIC.xlsm]Current Comps!R9C41</stp>
        <stp>BEST_FPERIOD_OVERRIDE=19Y</stp>
        <stp>days=a</stp>
        <stp>fill=p</stp>
        <tr r="AO9" s="35"/>
      </tp>
      <tp>
        <v>575</v>
        <stp/>
        <stp>##V3_BDHV12</stp>
        <stp>WDAY EQUITY</stp>
        <stp>BEST_EBIT</stp>
        <stp>11/29/2018</stp>
        <stp>11/29/2018</stp>
        <stp>[RAMP_11-29-2018 vWIC.xlsm]Current Comps!R9C43</stp>
        <stp>BEST_FPERIOD_OVERRIDE=21Y</stp>
        <stp>days=a</stp>
        <stp>fill=p</stp>
        <tr r="AQ9" s="35"/>
      </tp>
      <tp>
        <v>205.375</v>
        <stp/>
        <stp>##V3_BDHV12</stp>
        <stp>WDAY EQUITY</stp>
        <stp>BEST_EBIT</stp>
        <stp>11/29/2018</stp>
        <stp>11/29/2018</stp>
        <stp>[RAMP_11-29-2018 vWIC.xlsm]Current Comps!R9C40</stp>
        <stp>BEST_FPERIOD_OVERRIDE=18Y</stp>
        <stp>days=a</stp>
        <stp>fill=p</stp>
        <tr r="AN9" s="35"/>
      </tp>
      <tp>
        <v>979.04499999999996</v>
        <stp/>
        <stp>##V3_BDHV12</stp>
        <stp>DATA EQUITY</stp>
        <stp>BEST_Sales</stp>
        <stp>11/29/2018</stp>
        <stp>11/29/2018</stp>
        <stp>[RAMP_11-29-2018 vWIC.xlsm]Current Comps!R8C30</stp>
        <stp>BEST_FPERIOD_OVERRIDE=18Y</stp>
        <stp>days=a</stp>
        <stp>fill=p</stp>
        <tr r="AD8" s="35"/>
      </tp>
      <tp>
        <v>1493</v>
        <stp/>
        <stp>##V3_BDHV12</stp>
        <stp>DATA EQUITY</stp>
        <stp>BEST_Sales</stp>
        <stp>11/29/2018</stp>
        <stp>11/29/2018</stp>
        <stp>[RAMP_11-29-2018 vWIC.xlsm]Current Comps!R8C33</stp>
        <stp>BEST_FPERIOD_OVERRIDE=21Y</stp>
        <stp>days=a</stp>
        <stp>fill=p</stp>
        <tr r="AG8" s="35"/>
      </tp>
      <tp>
        <v>1270.875</v>
        <stp/>
        <stp>##V3_BDHV12</stp>
        <stp>DATA EQUITY</stp>
        <stp>BEST_Sales</stp>
        <stp>11/29/2018</stp>
        <stp>11/29/2018</stp>
        <stp>[RAMP_11-29-2018 vWIC.xlsm]Current Comps!R8C31</stp>
        <stp>BEST_FPERIOD_OVERRIDE=19Y</stp>
        <stp>days=a</stp>
        <stp>fill=p</stp>
        <tr r="AE8" s="35"/>
      </tp>
      <tp>
        <v>1521.769</v>
        <stp/>
        <stp>##V3_BDHV12</stp>
        <stp>DATA EQUITY</stp>
        <stp>BEST_Sales</stp>
        <stp>11/29/2018</stp>
        <stp>11/29/2018</stp>
        <stp>[RAMP_11-29-2018 vWIC.xlsm]Current Comps!R8C32</stp>
        <stp>BEST_FPERIOD_OVERRIDE=20Y</stp>
        <stp>days=a</stp>
        <stp>fill=p</stp>
        <tr r="AF8" s="35"/>
      </tp>
      <tp>
        <v>186.423</v>
        <stp/>
        <stp>##V3_BDPV12</stp>
        <stp>SEND Equity</stp>
        <stp>BS_CASH_NEAR_CASH_ITEM</stp>
        <stp>[RAMP_11-29-2018 vWIC.xlsm]Current Comps!R20C24</stp>
        <stp>EQY_FUND_DT=20181129</stp>
        <stp>EQY_FUND_RELATIVE_PERIOD=-0FQ</stp>
        <tr r="X20" s="35"/>
        <tr r="X20" s="35"/>
      </tp>
      <tp t="s">
        <v>TRADE DESK INC/THE -CLASS A</v>
        <stp/>
        <stp>##V3_BDPV12</stp>
        <stp>TTD EQUITY</stp>
        <stp>name</stp>
        <stp>[RAMP_10-30-2018 vWIC.xlsm]Current Comps!R92C2</stp>
        <tr r="B92" s="35"/>
      </tp>
      <tp>
        <v>-1.21</v>
        <stp/>
        <stp>##V3_BDHV12</stp>
        <stp>OKTA EQUITY</stp>
        <stp>T12M_DIL_EPS_CONT_OPS</stp>
        <stp>11/29/2018</stp>
        <stp>11/29/2018</stp>
        <stp>[RAMP_11-29-2018 vWIC.xlsm]Current Comps!R14C49</stp>
        <stp>days=a</stp>
        <stp>fill=p</stp>
        <tr r="AW14" s="35"/>
      </tp>
      <tp t="s">
        <v>TWILIO INC - A</v>
        <stp/>
        <stp>##V3_BDPV12</stp>
        <stp>TWLO EQUITY</stp>
        <stp>name</stp>
        <stp>[RAMP_10-30-2018 vWIC.xlsm]Current Comps!R93C2</stp>
        <tr r="B93" s="35"/>
      </tp>
      <tp>
        <v>-530.77200000000005</v>
        <stp/>
        <stp>##V3_BDPV12</stp>
        <stp>RAMP Equity</stp>
        <stp>BS_RETAIN_EARN</stp>
        <stp>[RAMP_11-29-2018 vWIC.xlsm]Current Comps!R47C27</stp>
        <stp>EQY_FUND_DT=20181129</stp>
        <stp>EQY_FUND_RELATIVE_PERIOD=-0FQ</stp>
        <tr r="AA47" s="35"/>
        <tr r="AA47" s="35"/>
      </tp>
      <tp t="s">
        <v>#N/A N/A</v>
        <stp/>
        <stp>##V3_BDHV12</stp>
        <stp>TWLO EQUITY</stp>
        <stp>BEST_EPS</stp>
        <stp>11/29/2018</stp>
        <stp>11/29/2018</stp>
        <stp>[RAMP_11-29-2018 vWIC.xlsm]Current Comps!R19C53</stp>
        <stp>BEST_FPERIOD_OVERRIDE=21Y</stp>
        <stp>days=a</stp>
        <stp>fill=p</stp>
        <tr r="BA19" s="35"/>
      </tp>
      <tp>
        <v>9.8000000000000004E-2</v>
        <stp/>
        <stp>##V3_BDHV12</stp>
        <stp>TWLO EQUITY</stp>
        <stp>BEST_EPS</stp>
        <stp>11/29/2018</stp>
        <stp>11/29/2018</stp>
        <stp>[RAMP_11-29-2018 vWIC.xlsm]Current Comps!R19C50</stp>
        <stp>BEST_FPERIOD_OVERRIDE=18Y</stp>
        <stp>days=a</stp>
        <stp>fill=p</stp>
        <tr r="AX19" s="35"/>
      </tp>
      <tp>
        <v>0.35299999999999998</v>
        <stp/>
        <stp>##V3_BDHV12</stp>
        <stp>TWLO EQUITY</stp>
        <stp>BEST_EPS</stp>
        <stp>11/29/2018</stp>
        <stp>11/29/2018</stp>
        <stp>[RAMP_11-29-2018 vWIC.xlsm]Current Comps!R19C52</stp>
        <stp>BEST_FPERIOD_OVERRIDE=20Y</stp>
        <stp>days=a</stp>
        <stp>fill=p</stp>
        <tr r="AZ19" s="35"/>
      </tp>
      <tp>
        <v>0.16300000000000001</v>
        <stp/>
        <stp>##V3_BDHV12</stp>
        <stp>TWLO EQUITY</stp>
        <stp>BEST_EPS</stp>
        <stp>11/29/2018</stp>
        <stp>11/29/2018</stp>
        <stp>[RAMP_11-29-2018 vWIC.xlsm]Current Comps!R19C51</stp>
        <stp>BEST_FPERIOD_OVERRIDE=19Y</stp>
        <stp>days=a</stp>
        <stp>fill=p</stp>
        <tr r="AY19" s="35"/>
      </tp>
      <tp>
        <v>428.77799999999996</v>
        <stp/>
        <stp>##V3_BDPV12</stp>
        <stp>TWLO Equity</stp>
        <stp>BS_LT_BORROW</stp>
        <stp>[RAMP_11-29-2018 vWIC.xlsm]Current Comps!R19C21</stp>
        <stp>EQY_FUND_DT=20181129</stp>
        <stp>EQY_FUND_RELATIVE_PERIOD=-0FQ</stp>
        <tr r="U19" s="35"/>
        <tr r="U19" s="35"/>
      </tp>
      <tp>
        <v>0</v>
        <stp/>
        <stp>##V3_BDPV12</stp>
        <stp>TWLO Equity</stp>
        <stp>BS_ST_BORROW</stp>
        <stp>[RAMP_11-29-2018 vWIC.xlsm]Current Comps!R19C20</stp>
        <stp>EQY_FUND_DT=20181129</stp>
        <stp>EQY_FUND_RELATIVE_PERIOD=-0FQ</stp>
        <tr r="T19" s="35"/>
        <tr r="T19" s="35"/>
      </tp>
      <tp>
        <v>252.32899999999998</v>
        <stp/>
        <stp>##V3_BDPV12</stp>
        <stp>TTD Equity</stp>
        <stp>BS_SH_CAP_AND_APIC</stp>
        <stp>[RAMP_11-29-2018 vWIC.xlsm]Current Comps!R13C26</stp>
        <stp>EQY_FUND_DT=20181129</stp>
        <stp>EQY_FUND_RELATIVE_PERIOD=-0FQ</stp>
        <tr r="Z13" s="35"/>
        <tr r="Z13" s="35"/>
      </tp>
      <tp>
        <v>-1181.1949999999999</v>
        <stp/>
        <stp>##V3_BDPV12</stp>
        <stp>SPLK Equity</stp>
        <stp>BS_RETAIN_EARN</stp>
        <stp>[RAMP_11-29-2018 vWIC.xlsm]Current Comps!R10C27</stp>
        <stp>EQY_FUND_DT=20181129</stp>
        <stp>EQY_FUND_RELATIVE_PERIOD=-0FQ</stp>
        <tr r="AA10" s="35"/>
        <tr r="AA10" s="35"/>
      </tp>
      <tp t="s">
        <v>ZENDESK INC</v>
        <stp/>
        <stp>##V3_BDPV12</stp>
        <stp>ZEN EQUITY</stp>
        <stp>name</stp>
        <stp>[RAMP_10-30-2018 vWIC.xlsm]Current Comps!R95C2</stp>
        <tr r="B95" s="35"/>
      </tp>
      <tp>
        <v>-28.047000000000001</v>
        <stp/>
        <stp>##V3_BDHV12</stp>
        <stp>RAMP EQUITY</stp>
        <stp>TRAIL_12M_OPER_INC</stp>
        <stp>11/29/2018</stp>
        <stp>11/29/2018</stp>
        <stp>[RAMP_11-29-2018 vWIC.xlsm]Current Comps!R62C39</stp>
        <stp>days=a</stp>
        <stp>fill=p</stp>
        <tr r="AM62" s="35"/>
      </tp>
      <tp>
        <v>-530.77200000000005</v>
        <stp/>
        <stp>##V3_BDPV12</stp>
        <stp>RAMP Equity</stp>
        <stp>BS_RETAIN_EARN</stp>
        <stp>[RAMP_11-29-2018 vWIC.xlsm]Current Comps!R41C27</stp>
        <stp>EQY_FUND_DT=20181129</stp>
        <stp>EQY_FUND_RELATIVE_PERIOD=-0FQ</stp>
        <tr r="AA41" s="35"/>
        <tr r="AA41" s="35"/>
      </tp>
      <tp t="s">
        <v>01/2018</v>
        <stp/>
        <stp>##V3_BDPV12</stp>
        <stp>OKTA EQUITY</stp>
        <stp>EQY_FISCAL_YR_END</stp>
        <stp>[RAMP_10-30-2018 vWIC.xlsm]Current Comps!R14C93</stp>
        <tr r="CO14" s="35"/>
      </tp>
      <tp>
        <v>0.29599999999999999</v>
        <stp/>
        <stp>##V3_BDHV12</stp>
        <stp>ZEN EQUITY</stp>
        <stp>BEST_EPS</stp>
        <stp>11/29/2018</stp>
        <stp>11/29/2018</stp>
        <stp>[RAMP_11-29-2018 vWIC.xlsm]Current Comps!R15C51</stp>
        <stp>BEST_FPERIOD_OVERRIDE=19Y</stp>
        <stp>days=a</stp>
        <stp>fill=p</stp>
        <tr r="AY15" s="35"/>
      </tp>
      <tp>
        <v>0.73099999999999998</v>
        <stp/>
        <stp>##V3_BDHV12</stp>
        <stp>ZEN EQUITY</stp>
        <stp>BEST_EPS</stp>
        <stp>11/29/2018</stp>
        <stp>11/29/2018</stp>
        <stp>[RAMP_11-29-2018 vWIC.xlsm]Current Comps!R15C52</stp>
        <stp>BEST_FPERIOD_OVERRIDE=20Y</stp>
        <stp>days=a</stp>
        <stp>fill=p</stp>
        <tr r="AZ15" s="35"/>
      </tp>
      <tp>
        <v>0.16</v>
        <stp/>
        <stp>##V3_BDHV12</stp>
        <stp>ZEN EQUITY</stp>
        <stp>BEST_EPS</stp>
        <stp>11/29/2018</stp>
        <stp>11/29/2018</stp>
        <stp>[RAMP_11-29-2018 vWIC.xlsm]Current Comps!R15C50</stp>
        <stp>BEST_FPERIOD_OVERRIDE=18Y</stp>
        <stp>days=a</stp>
        <stp>fill=p</stp>
        <tr r="AX15" s="35"/>
      </tp>
      <tp t="s">
        <v>#N/A N/A</v>
        <stp/>
        <stp>##V3_BDHV12</stp>
        <stp>ZEN EQUITY</stp>
        <stp>BEST_EPS</stp>
        <stp>11/29/2018</stp>
        <stp>11/29/2018</stp>
        <stp>[RAMP_11-29-2018 vWIC.xlsm]Current Comps!R15C53</stp>
        <stp>BEST_FPERIOD_OVERRIDE=21Y</stp>
        <stp>days=a</stp>
        <stp>fill=p</stp>
        <tr r="BA15" s="35"/>
      </tp>
      <tp>
        <v>0</v>
        <stp/>
        <stp>##V3_BDPV12</stp>
        <stp>YEXT Equity</stp>
        <stp>BS_ST_BORROW</stp>
        <stp>[RAMP_11-29-2018 vWIC.xlsm]Current Comps!R16C20</stp>
        <stp>EQY_FUND_DT=20181129</stp>
        <stp>EQY_FUND_RELATIVE_PERIOD=-0FQ</stp>
        <tr r="T16" s="35"/>
        <tr r="T16" s="35"/>
      </tp>
      <tp>
        <v>0</v>
        <stp/>
        <stp>##V3_BDPV12</stp>
        <stp>YEXT Equity</stp>
        <stp>BS_LT_BORROW</stp>
        <stp>[RAMP_11-29-2018 vWIC.xlsm]Current Comps!R16C21</stp>
        <stp>EQY_FUND_DT=20181129</stp>
        <stp>EQY_FUND_RELATIVE_PERIOD=-0FQ</stp>
        <tr r="U16" s="35"/>
        <tr r="U16" s="35"/>
      </tp>
      <tp>
        <v>-55.835999999999999</v>
        <stp/>
        <stp>##V3_BDHV12</stp>
        <stp>NOW EQUITY</stp>
        <stp>TRAIL_12M_OPER_INC</stp>
        <stp>11/29/2018</stp>
        <stp>11/29/2018</stp>
        <stp>[RAMP_11-29-2018 vWIC.xlsm]Current Comps!R11C39</stp>
        <stp>days=a</stp>
        <stp>fill=p</stp>
        <tr r="AM11" s="35"/>
      </tp>
      <tp>
        <v>765</v>
        <stp/>
        <stp>##V3_BDHV12</stp>
        <stp>CRM EQUITY</stp>
        <stp>BS_SH_OUT</stp>
        <stp>11/29/2018</stp>
        <stp>11/29/2018</stp>
        <stp>[RAMP_11-29-2018 vWIC.xlsm]Current Comps!R7C92</stp>
        <stp>EQY_FUND_PER=Q</stp>
        <stp>days=a</stp>
        <stp>fill=p</stp>
        <tr r="CN7" s="35"/>
      </tp>
      <tp>
        <v>-73.944000000000003</v>
        <stp/>
        <stp>##V3_BDHV12</stp>
        <stp>YEXT EQUITY</stp>
        <stp>TRAIL_12M_OPER_INC</stp>
        <stp>11/29/2018</stp>
        <stp>11/29/2018</stp>
        <stp>[RAMP_11-29-2018 vWIC.xlsm]Current Comps!R16C39</stp>
        <stp>days=a</stp>
        <stp>fill=p</stp>
        <tr r="AM16" s="35"/>
      </tp>
      <tp>
        <v>-530.77200000000005</v>
        <stp/>
        <stp>##V3_BDPV12</stp>
        <stp>RAMP Equity</stp>
        <stp>BS_RETAIN_EARN</stp>
        <stp>[RAMP_11-29-2018 vWIC.xlsm]Current Comps!R62C27</stp>
        <stp>EQY_FUND_DT=20181129</stp>
        <stp>EQY_FUND_RELATIVE_PERIOD=-0FQ</stp>
        <tr r="AA62" s="35"/>
        <tr r="AA62" s="35"/>
      </tp>
      <tp>
        <v>-54.494999999999997</v>
        <stp/>
        <stp>##V3_BDPV12</stp>
        <stp>SEND Equity</stp>
        <stp>BS_RETAIN_EARN</stp>
        <stp>[RAMP_11-29-2018 vWIC.xlsm]Current Comps!R20C27</stp>
        <stp>EQY_FUND_DT=20181129</stp>
        <stp>EQY_FUND_RELATIVE_PERIOD=-0FQ</stp>
        <tr r="AA20" s="35"/>
        <tr r="AA20" s="35"/>
      </tp>
      <tp t="s">
        <v>SPLUNK INC</v>
        <stp/>
        <stp>##V3_BDPV12</stp>
        <stp>SPLK EQUITY</stp>
        <stp>name</stp>
        <stp>[RAMP_10-30-2018 vWIC.xlsm]Current Comps!R90C2</stp>
        <tr r="B90" s="35"/>
      </tp>
      <tp t="s">
        <v>SALESFORCE.COM INC</v>
        <stp/>
        <stp>##V3_BDPV12</stp>
        <stp>CRM EQUITY</stp>
        <stp>name</stp>
        <stp>[RAMP_10-30-2018 vWIC.xlsm]Current Comps!R87C2</stp>
        <tr r="B87" s="35"/>
      </tp>
      <tp>
        <v>-28.047000000000001</v>
        <stp/>
        <stp>##V3_BDHV12</stp>
        <stp>RAMP EQUITY</stp>
        <stp>TRAIL_12M_OPER_INC</stp>
        <stp>11/29/2018</stp>
        <stp>11/29/2018</stp>
        <stp>[RAMP_11-29-2018 vWIC.xlsm]Current Comps!R41C39</stp>
        <stp>days=a</stp>
        <stp>fill=p</stp>
        <tr r="AM41" s="35"/>
      </tp>
      <tp>
        <v>-28.047000000000001</v>
        <stp/>
        <stp>##V3_BDHV12</stp>
        <stp>RAMP EQUITY</stp>
        <stp>TRAIL_12M_OPER_INC</stp>
        <stp>11/29/2018</stp>
        <stp>11/29/2018</stp>
        <stp>[RAMP_11-29-2018 vWIC.xlsm]Current Comps!R47C39</stp>
        <stp>days=a</stp>
        <stp>fill=p</stp>
        <tr r="AM47" s="35"/>
      </tp>
      <tp>
        <v>-28.047000000000001</v>
        <stp/>
        <stp>##V3_BDHV12</stp>
        <stp>RAMP EQUITY</stp>
        <stp>TRAIL_12M_OPER_INC</stp>
        <stp>11/29/2018</stp>
        <stp>11/29/2018</stp>
        <stp>[RAMP_11-29-2018 vWIC.xlsm]Current Comps!R44C39</stp>
        <stp>days=a</stp>
        <stp>fill=p</stp>
        <tr r="AM44" s="35"/>
      </tp>
      <tp>
        <v>-121.71299999999999</v>
        <stp/>
        <stp>##V3_BDHV12</stp>
        <stp>DATA EQUITY</stp>
        <stp>TRAIL_12M_EST_COMP_NET_INC_ADJ</stp>
        <stp>11/29/2018</stp>
        <stp>11/29/2018</stp>
        <stp>[RAMP_11-29-2018 vWIC.xlsm]Current Comps!R8C44</stp>
        <stp>days=a</stp>
        <stp>fill=p</stp>
        <tr r="AR8" s="35"/>
      </tp>
      <tp>
        <v>0</v>
        <stp/>
        <stp>##V3_BDPV12</stp>
        <stp>DATA Equity</stp>
        <stp>BS_LT_BORROW</stp>
        <stp>[RAMP_11-29-2018 vWIC.xlsm]Current Comps!R8C21</stp>
        <stp>EQY_FUND_DT=20181129</stp>
        <stp>EQY_FUND_RELATIVE_PERIOD=-0FQ</stp>
        <tr r="U8" s="35"/>
        <tr r="U8" s="35"/>
      </tp>
      <tp t="s">
        <v>#N/A N/A</v>
        <stp/>
        <stp>##V3_BDHV12</stp>
        <stp>ZEN EQUITY</stp>
        <stp>BEST_GROSS_MARGIN</stp>
        <stp>11/29/2018</stp>
        <stp>11/29/2018</stp>
        <stp>[RAMP_11-29-2018 vWIC.xlsm]Current Comps!R15C38</stp>
        <stp>BEST_FPERIOD_OVERRIDE=21Y</stp>
        <stp>days=a</stp>
        <stp>fill=p</stp>
        <tr r="AL15" s="35"/>
      </tp>
      <tp>
        <v>75.864999999999995</v>
        <stp/>
        <stp>##V3_BDHV12</stp>
        <stp>ZEN EQUITY</stp>
        <stp>BEST_GROSS_MARGIN</stp>
        <stp>11/29/2018</stp>
        <stp>11/29/2018</stp>
        <stp>[RAMP_11-29-2018 vWIC.xlsm]Current Comps!R15C37</stp>
        <stp>BEST_FPERIOD_OVERRIDE=20Y</stp>
        <stp>days=a</stp>
        <stp>fill=p</stp>
        <tr r="AK15" s="35"/>
      </tp>
      <tp>
        <v>72.91</v>
        <stp/>
        <stp>##V3_BDHV12</stp>
        <stp>ZEN EQUITY</stp>
        <stp>BEST_GROSS_MARGIN</stp>
        <stp>11/29/2018</stp>
        <stp>11/29/2018</stp>
        <stp>[RAMP_11-29-2018 vWIC.xlsm]Current Comps!R15C35</stp>
        <stp>BEST_FPERIOD_OVERRIDE=18Y</stp>
        <stp>days=a</stp>
        <stp>fill=p</stp>
        <tr r="AI15" s="35"/>
      </tp>
      <tp>
        <v>73.882999999999996</v>
        <stp/>
        <stp>##V3_BDHV12</stp>
        <stp>ZEN EQUITY</stp>
        <stp>BEST_GROSS_MARGIN</stp>
        <stp>11/29/2018</stp>
        <stp>11/29/2018</stp>
        <stp>[RAMP_11-29-2018 vWIC.xlsm]Current Comps!R15C36</stp>
        <stp>BEST_FPERIOD_OVERRIDE=19Y</stp>
        <stp>days=a</stp>
        <stp>fill=p</stp>
        <tr r="AJ15" s="35"/>
      </tp>
      <tp t="s">
        <v>#N/A N/A</v>
        <stp/>
        <stp>##V3_BDHV12</stp>
        <stp>TTD EQUITY</stp>
        <stp>BEST_GROSS_MARGIN</stp>
        <stp>11/29/2018</stp>
        <stp>11/29/2018</stp>
        <stp>[RAMP_11-29-2018 vWIC.xlsm]Current Comps!R13C38</stp>
        <stp>BEST_FPERIOD_OVERRIDE=21Y</stp>
        <stp>days=a</stp>
        <stp>fill=p</stp>
        <tr r="AL13" s="35"/>
      </tp>
      <tp>
        <v>76.424999999999997</v>
        <stp/>
        <stp>##V3_BDHV12</stp>
        <stp>TTD EQUITY</stp>
        <stp>BEST_GROSS_MARGIN</stp>
        <stp>11/29/2018</stp>
        <stp>11/29/2018</stp>
        <stp>[RAMP_11-29-2018 vWIC.xlsm]Current Comps!R13C35</stp>
        <stp>BEST_FPERIOD_OVERRIDE=18Y</stp>
        <stp>days=a</stp>
        <stp>fill=p</stp>
        <tr r="AI13" s="35"/>
      </tp>
      <tp>
        <v>76.2</v>
        <stp/>
        <stp>##V3_BDHV12</stp>
        <stp>TTD EQUITY</stp>
        <stp>BEST_GROSS_MARGIN</stp>
        <stp>11/29/2018</stp>
        <stp>11/29/2018</stp>
        <stp>[RAMP_11-29-2018 vWIC.xlsm]Current Comps!R13C37</stp>
        <stp>BEST_FPERIOD_OVERRIDE=20Y</stp>
        <stp>days=a</stp>
        <stp>fill=p</stp>
        <tr r="AK13" s="35"/>
      </tp>
      <tp>
        <v>76.45</v>
        <stp/>
        <stp>##V3_BDHV12</stp>
        <stp>TTD EQUITY</stp>
        <stp>BEST_GROSS_MARGIN</stp>
        <stp>11/29/2018</stp>
        <stp>11/29/2018</stp>
        <stp>[RAMP_11-29-2018 vWIC.xlsm]Current Comps!R13C36</stp>
        <stp>BEST_FPERIOD_OVERRIDE=19Y</stp>
        <stp>days=a</stp>
        <stp>fill=p</stp>
        <tr r="AJ13" s="35"/>
      </tp>
      <tp>
        <v>80.468000000000004</v>
        <stp/>
        <stp>##V3_BDHV12</stp>
        <stp>NOW EQUITY</stp>
        <stp>BEST_GROSS_MARGIN</stp>
        <stp>11/29/2018</stp>
        <stp>11/29/2018</stp>
        <stp>[RAMP_11-29-2018 vWIC.xlsm]Current Comps!R11C36</stp>
        <stp>BEST_FPERIOD_OVERRIDE=19Y</stp>
        <stp>days=a</stp>
        <stp>fill=p</stp>
        <tr r="AJ11" s="35"/>
      </tp>
      <tp>
        <v>81.634</v>
        <stp/>
        <stp>##V3_BDHV12</stp>
        <stp>NOW EQUITY</stp>
        <stp>BEST_GROSS_MARGIN</stp>
        <stp>11/29/2018</stp>
        <stp>11/29/2018</stp>
        <stp>[RAMP_11-29-2018 vWIC.xlsm]Current Comps!R11C37</stp>
        <stp>BEST_FPERIOD_OVERRIDE=20Y</stp>
        <stp>days=a</stp>
        <stp>fill=p</stp>
        <tr r="AK11" s="35"/>
      </tp>
      <tp>
        <v>79.756</v>
        <stp/>
        <stp>##V3_BDHV12</stp>
        <stp>NOW EQUITY</stp>
        <stp>BEST_GROSS_MARGIN</stp>
        <stp>11/29/2018</stp>
        <stp>11/29/2018</stp>
        <stp>[RAMP_11-29-2018 vWIC.xlsm]Current Comps!R11C35</stp>
        <stp>BEST_FPERIOD_OVERRIDE=18Y</stp>
        <stp>days=a</stp>
        <stp>fill=p</stp>
        <tr r="AI11" s="35"/>
      </tp>
      <tp t="s">
        <v>#N/A N/A</v>
        <stp/>
        <stp>##V3_BDHV12</stp>
        <stp>NOW EQUITY</stp>
        <stp>BEST_GROSS_MARGIN</stp>
        <stp>11/29/2018</stp>
        <stp>11/29/2018</stp>
        <stp>[RAMP_11-29-2018 vWIC.xlsm]Current Comps!R11C38</stp>
        <stp>BEST_FPERIOD_OVERRIDE=21Y</stp>
        <stp>days=a</stp>
        <stp>fill=p</stp>
        <tr r="AL11" s="35"/>
      </tp>
      <tp>
        <v>1345</v>
        <stp/>
        <stp>##V3_BDPV12</stp>
        <stp>CRM Equity</stp>
        <stp>BS_MKT_SEC_OTHER_ST_INVEST</stp>
        <stp>[RAMP_11-29-2018 vWIC.xlsm]Current Comps!R7C25</stp>
        <stp>EQY_FUND_DT=20181129</stp>
        <stp>EQY_FUND_RELATIVE_PERIOD=-0FQ</stp>
        <tr r="Y7" s="35"/>
        <tr r="Y7" s="35"/>
      </tp>
      <tp>
        <v>-38.027999999999999</v>
        <stp/>
        <stp>##V3_BDHV12</stp>
        <stp>ZEN EQUITY</stp>
        <stp>TRAIL_12M_CAP_EXPEND</stp>
        <stp>11/29/2018</stp>
        <stp>11/29/2018</stp>
        <stp>[RAMP_11-29-2018 vWIC.xlsm]Current Comps!R15C59</stp>
        <stp>days=a</stp>
        <stp>fill=p</stp>
        <tr r="BG15" s="35"/>
      </tp>
      <tp>
        <v>-11.183999999999999</v>
        <stp/>
        <stp>##V3_BDHV12</stp>
        <stp>OKTA EQUITY</stp>
        <stp>TRAIL_12M_CAP_EXPEND</stp>
        <stp>11/29/2018</stp>
        <stp>11/29/2018</stp>
        <stp>[RAMP_11-29-2018 vWIC.xlsm]Current Comps!R14C59</stp>
        <stp>days=a</stp>
        <stp>fill=p</stp>
        <tr r="BG14" s="35"/>
      </tp>
      <tp>
        <v>1352.558</v>
        <stp/>
        <stp>##V3_BDHV12</stp>
        <stp>CRM EQUITY</stp>
        <stp>TRAIL_12M_EBITDA</stp>
        <stp>11/29/2018</stp>
        <stp>11/29/2018</stp>
        <stp>[RAMP_11-29-2018 vWIC.xlsm]Current Comps!R7C34</stp>
        <stp>days=a</stp>
        <stp>fill=p</stp>
        <tr r="AH7" s="35"/>
      </tp>
      <tp>
        <v>1068.432</v>
        <stp/>
        <stp>##V3_BDHV12</stp>
        <stp>DATA EQUITY</stp>
        <stp>TRAIL_12M_NET_SALES</stp>
        <stp>11/29/2018</stp>
        <stp>11/29/2018</stp>
        <stp>[RAMP_11-29-2018 vWIC.xlsm]Current Comps!R8C29</stp>
        <stp>days=a</stp>
        <stp>fill=p</stp>
        <tr r="AC8" s="35"/>
      </tp>
      <tp>
        <v>71.613</v>
        <stp/>
        <stp>##V3_BDHV12</stp>
        <stp>OKTA EQUITY</stp>
        <stp>BEST_GROSS_MARGIN</stp>
        <stp>11/29/2018</stp>
        <stp>11/29/2018</stp>
        <stp>[RAMP_11-29-2018 vWIC.xlsm]Current Comps!R14C35</stp>
        <stp>BEST_FPERIOD_OVERRIDE=18Y</stp>
        <stp>days=a</stp>
        <stp>fill=p</stp>
        <tr r="AI14" s="35"/>
      </tp>
      <tp>
        <v>74.69</v>
        <stp/>
        <stp>##V3_BDHV12</stp>
        <stp>OKTA EQUITY</stp>
        <stp>BEST_GROSS_MARGIN</stp>
        <stp>11/29/2018</stp>
        <stp>11/29/2018</stp>
        <stp>[RAMP_11-29-2018 vWIC.xlsm]Current Comps!R14C37</stp>
        <stp>BEST_FPERIOD_OVERRIDE=20Y</stp>
        <stp>days=a</stp>
        <stp>fill=p</stp>
        <tr r="AK14" s="35"/>
      </tp>
      <tp>
        <v>73.760000000000005</v>
        <stp/>
        <stp>##V3_BDHV12</stp>
        <stp>OKTA EQUITY</stp>
        <stp>BEST_GROSS_MARGIN</stp>
        <stp>11/29/2018</stp>
        <stp>11/29/2018</stp>
        <stp>[RAMP_11-29-2018 vWIC.xlsm]Current Comps!R14C36</stp>
        <stp>BEST_FPERIOD_OVERRIDE=19Y</stp>
        <stp>days=a</stp>
        <stp>fill=p</stp>
        <tr r="AJ14" s="35"/>
      </tp>
      <tp>
        <v>76.599999999999994</v>
        <stp/>
        <stp>##V3_BDHV12</stp>
        <stp>OKTA EQUITY</stp>
        <stp>BEST_GROSS_MARGIN</stp>
        <stp>11/29/2018</stp>
        <stp>11/29/2018</stp>
        <stp>[RAMP_11-29-2018 vWIC.xlsm]Current Comps!R14C38</stp>
        <stp>BEST_FPERIOD_OVERRIDE=21Y</stp>
        <stp>days=a</stp>
        <stp>fill=p</stp>
        <tr r="AL14" s="35"/>
      </tp>
      <tp t="s">
        <v>HUBSPOT INC</v>
        <stp/>
        <stp>##V3_BDPV12</stp>
        <stp>HUBS EQUITY</stp>
        <stp>Name</stp>
        <stp>[RAMP_10-30-2018 vWIC.xlsm]Current Comps!R17C3</stp>
        <tr r="C17" s="35"/>
      </tp>
      <tp>
        <v>17.97</v>
        <stp/>
        <stp>##V3_BDHV12</stp>
        <stp>YEXT Equity</stp>
        <stp>PX_LAST</stp>
        <stp>11/29/2018</stp>
        <stp>11/29/2018</stp>
        <stp>[RAMP_11-29-2018 vWIC.xlsm]Current Comps!R16C19</stp>
        <stp>days=a</stp>
        <stp>fill=p</stp>
        <tr r="S16" s="35"/>
      </tp>
      <tp>
        <v>81.924999999999997</v>
        <stp/>
        <stp>##V3_BDHV12</stp>
        <stp>HUBS EQUITY</stp>
        <stp>BEST_GROSS_MARGIN</stp>
        <stp>11/29/2018</stp>
        <stp>11/29/2018</stp>
        <stp>[RAMP_11-29-2018 vWIC.xlsm]Current Comps!R17C36</stp>
        <stp>BEST_FPERIOD_OVERRIDE=19Y</stp>
        <stp>days=a</stp>
        <stp>fill=p</stp>
        <tr r="AJ17" s="35"/>
      </tp>
      <tp>
        <v>81.471999999999994</v>
        <stp/>
        <stp>##V3_BDHV12</stp>
        <stp>HUBS EQUITY</stp>
        <stp>BEST_GROSS_MARGIN</stp>
        <stp>11/29/2018</stp>
        <stp>11/29/2018</stp>
        <stp>[RAMP_11-29-2018 vWIC.xlsm]Current Comps!R17C35</stp>
        <stp>BEST_FPERIOD_OVERRIDE=18Y</stp>
        <stp>days=a</stp>
        <stp>fill=p</stp>
        <tr r="AI17" s="35"/>
      </tp>
      <tp>
        <v>82.478999999999999</v>
        <stp/>
        <stp>##V3_BDHV12</stp>
        <stp>HUBS EQUITY</stp>
        <stp>BEST_GROSS_MARGIN</stp>
        <stp>11/29/2018</stp>
        <stp>11/29/2018</stp>
        <stp>[RAMP_11-29-2018 vWIC.xlsm]Current Comps!R17C37</stp>
        <stp>BEST_FPERIOD_OVERRIDE=20Y</stp>
        <stp>days=a</stp>
        <stp>fill=p</stp>
        <tr r="AK17" s="35"/>
      </tp>
      <tp>
        <v>82.4</v>
        <stp/>
        <stp>##V3_BDHV12</stp>
        <stp>HUBS EQUITY</stp>
        <stp>BEST_GROSS_MARGIN</stp>
        <stp>11/29/2018</stp>
        <stp>11/29/2018</stp>
        <stp>[RAMP_11-29-2018 vWIC.xlsm]Current Comps!R17C38</stp>
        <stp>BEST_FPERIOD_OVERRIDE=21Y</stp>
        <stp>days=a</stp>
        <stp>fill=p</stp>
        <tr r="AL17" s="35"/>
      </tp>
      <tp>
        <v>119.815</v>
        <stp/>
        <stp>##V3_BDHV12</stp>
        <stp>DATA Equity</stp>
        <stp>PX_LAST</stp>
        <stp>11/29/2018</stp>
        <stp>11/29/2018</stp>
        <stp>[RAMP_11-29-2018 vWIC.xlsm]Current Comps!R8C19</stp>
        <stp>days=a</stp>
        <stp>fill=p</stp>
        <tr r="S8" s="35"/>
      </tp>
      <tp>
        <v>46.52</v>
        <stp/>
        <stp>##V3_BDPV12</stp>
        <stp>RAMP US EQUITY</stp>
        <stp>LAST PRICE</stp>
        <stp>[RAMP_11-29-2018 vWIC.xlsm]Summary!R9C22</stp>
        <tr r="V9" s="1"/>
      </tp>
      <tp>
        <v>143.65</v>
        <stp/>
        <stp>##V3_BDPV12</stp>
        <stp>WDAY EQUITY</stp>
        <stp>last price</stp>
        <stp>[RAMP_11-29-2018 vWIC.xlsm]Current Comps!R107C5</stp>
        <tr r="E107" s="35"/>
      </tp>
      <tp>
        <v>226.87699999999998</v>
        <stp/>
        <stp>##V3_BDPV12</stp>
        <stp>WDAY Equity</stp>
        <stp>BS_ST_BORROW</stp>
        <stp>[RAMP_11-29-2018 vWIC.xlsm]Current Comps!R9C20</stp>
        <stp>EQY_FUND_DT=20181129</stp>
        <stp>EQY_FUND_RELATIVE_PERIOD=-0FQ</stp>
        <tr r="T9" s="35"/>
        <tr r="T9" s="35"/>
      </tp>
      <tp>
        <v>-645.15</v>
        <stp/>
        <stp>##V3_BDPV12</stp>
        <stp>RAMP EQUITY</stp>
        <stp>BEST EBIT</stp>
        <stp>[RAMP_10-30-2018 vWIC.xlsm]Summary!R25C21</stp>
        <stp>BEST_FPERIOD_OVERRIDE=19Q3</stp>
        <tr r="U25" s="1"/>
      </tp>
      <tp>
        <v>-25.05</v>
        <stp/>
        <stp>##V3_BDPV12</stp>
        <stp>RAMP EQUITY</stp>
        <stp>BEST EBIT</stp>
        <stp>[RAMP_10-30-2018 vWIC.xlsm]Summary!R25C21</stp>
        <stp>BEST_FPERIOD_OVERRIDE=19Q4</stp>
        <tr r="U25" s="1"/>
      </tp>
      <tp>
        <v>136.4</v>
        <stp/>
        <stp>##V3_BDPV12</stp>
        <stp>TTD EQUITY</stp>
        <stp>last price</stp>
        <stp>[RAMP_11-29-2018 vWIC.xlsm]Current Comps!R110C5</stp>
        <tr r="E110" s="35"/>
      </tp>
      <tp>
        <v>503</v>
        <stp/>
        <stp>##V3_BDPV12</stp>
        <stp>CRM Equity</stp>
        <stp>BS_ST_BORROW</stp>
        <stp>[RAMP_11-29-2018 vWIC.xlsm]Current Comps!R7C20</stp>
        <stp>EQY_FUND_DT=20181129</stp>
        <stp>EQY_FUND_RELATIVE_PERIOD=-0FQ</stp>
        <tr r="T7" s="35"/>
        <tr r="T7" s="35"/>
      </tp>
      <tp t="s">
        <v>OKTA INC</v>
        <stp/>
        <stp>##V3_BDPV12</stp>
        <stp>OKTA EQUITY</stp>
        <stp>Name</stp>
        <stp>[RAMP_10-30-2018 vWIC.xlsm]Current Comps!R14C3</stp>
        <tr r="C14" s="35"/>
      </tp>
      <tp>
        <v>17.7</v>
        <stp/>
        <stp>##V3_BDPV12</stp>
        <stp>YEXT EQUITY</stp>
        <stp>last price</stp>
        <stp>[RAMP_11-29-2018 vWIC.xlsm]Current Comps!R114C5</stp>
        <tr r="E114" s="35"/>
      </tp>
      <tp t="s">
        <v>#N/A N/A</v>
        <stp/>
        <stp>##V3_BDHV12</stp>
        <stp>ZEN EQUITY</stp>
        <stp>BEST_EBIT</stp>
        <stp>11/29/2018</stp>
        <stp>11/29/2018</stp>
        <stp>[RAMP_11-29-2018 vWIC.xlsm]Current Comps!R15C43</stp>
        <stp>BEST_FPERIOD_OVERRIDE=21Y</stp>
        <stp>days=a</stp>
        <stp>fill=p</stp>
        <tr r="AQ15" s="35"/>
      </tp>
      <tp>
        <v>-1.25</v>
        <stp/>
        <stp>##V3_BDHV12</stp>
        <stp>ZEN EQUITY</stp>
        <stp>BEST_EBIT</stp>
        <stp>11/29/2018</stp>
        <stp>11/29/2018</stp>
        <stp>[RAMP_11-29-2018 vWIC.xlsm]Current Comps!R15C40</stp>
        <stp>BEST_FPERIOD_OVERRIDE=18Y</stp>
        <stp>days=a</stp>
        <stp>fill=p</stp>
        <tr r="AN15" s="35"/>
      </tp>
      <tp>
        <v>90.6</v>
        <stp/>
        <stp>##V3_BDHV12</stp>
        <stp>ZEN EQUITY</stp>
        <stp>BEST_EBIT</stp>
        <stp>11/29/2018</stp>
        <stp>11/29/2018</stp>
        <stp>[RAMP_11-29-2018 vWIC.xlsm]Current Comps!R15C42</stp>
        <stp>BEST_FPERIOD_OVERRIDE=20Y</stp>
        <stp>days=a</stp>
        <stp>fill=p</stp>
        <tr r="AP15" s="35"/>
      </tp>
      <tp>
        <v>23.75</v>
        <stp/>
        <stp>##V3_BDHV12</stp>
        <stp>ZEN EQUITY</stp>
        <stp>BEST_EBIT</stp>
        <stp>11/29/2018</stp>
        <stp>11/29/2018</stp>
        <stp>[RAMP_11-29-2018 vWIC.xlsm]Current Comps!R15C41</stp>
        <stp>BEST_FPERIOD_OVERRIDE=19Y</stp>
        <stp>days=a</stp>
        <stp>fill=p</stp>
        <tr r="AO15" s="35"/>
      </tp>
      <tp>
        <v>141.333</v>
        <stp/>
        <stp>##V3_BDHV12</stp>
        <stp>TTD EQUITY</stp>
        <stp>BEST_EBIT</stp>
        <stp>11/29/2018</stp>
        <stp>11/29/2018</stp>
        <stp>[RAMP_11-29-2018 vWIC.xlsm]Current Comps!R13C41</stp>
        <stp>BEST_FPERIOD_OVERRIDE=19Y</stp>
        <stp>days=a</stp>
        <stp>fill=p</stp>
        <tr r="AO13" s="35"/>
      </tp>
      <tp>
        <v>195.5</v>
        <stp/>
        <stp>##V3_BDHV12</stp>
        <stp>TTD EQUITY</stp>
        <stp>BEST_EBIT</stp>
        <stp>11/29/2018</stp>
        <stp>11/29/2018</stp>
        <stp>[RAMP_11-29-2018 vWIC.xlsm]Current Comps!R13C42</stp>
        <stp>BEST_FPERIOD_OVERRIDE=20Y</stp>
        <stp>days=a</stp>
        <stp>fill=p</stp>
        <tr r="AP13" s="35"/>
      </tp>
      <tp>
        <v>94.8</v>
        <stp/>
        <stp>##V3_BDHV12</stp>
        <stp>TTD EQUITY</stp>
        <stp>BEST_EBIT</stp>
        <stp>11/29/2018</stp>
        <stp>11/29/2018</stp>
        <stp>[RAMP_11-29-2018 vWIC.xlsm]Current Comps!R13C40</stp>
        <stp>BEST_FPERIOD_OVERRIDE=18Y</stp>
        <stp>days=a</stp>
        <stp>fill=p</stp>
        <tr r="AN13" s="35"/>
      </tp>
      <tp t="s">
        <v>#N/A N/A</v>
        <stp/>
        <stp>##V3_BDHV12</stp>
        <stp>TTD EQUITY</stp>
        <stp>BEST_EBIT</stp>
        <stp>11/29/2018</stp>
        <stp>11/29/2018</stp>
        <stp>[RAMP_11-29-2018 vWIC.xlsm]Current Comps!R13C43</stp>
        <stp>BEST_FPERIOD_OVERRIDE=21Y</stp>
        <stp>days=a</stp>
        <stp>fill=p</stp>
        <tr r="AQ13" s="35"/>
      </tp>
      <tp>
        <v>530.28599999999994</v>
        <stp/>
        <stp>##V3_BDHV12</stp>
        <stp>NOW EQUITY</stp>
        <stp>BEST_EBIT</stp>
        <stp>11/29/2018</stp>
        <stp>11/29/2018</stp>
        <stp>[RAMP_11-29-2018 vWIC.xlsm]Current Comps!R11C40</stp>
        <stp>BEST_FPERIOD_OVERRIDE=18Y</stp>
        <stp>days=a</stp>
        <stp>fill=p</stp>
        <tr r="AN11" s="35"/>
      </tp>
      <tp t="s">
        <v>#N/A N/A</v>
        <stp/>
        <stp>##V3_BDHV12</stp>
        <stp>NOW EQUITY</stp>
        <stp>BEST_EBIT</stp>
        <stp>11/29/2018</stp>
        <stp>11/29/2018</stp>
        <stp>[RAMP_11-29-2018 vWIC.xlsm]Current Comps!R11C43</stp>
        <stp>BEST_FPERIOD_OVERRIDE=21Y</stp>
        <stp>days=a</stp>
        <stp>fill=p</stp>
        <tr r="AQ11" s="35"/>
      </tp>
      <tp>
        <v>756.625</v>
        <stp/>
        <stp>##V3_BDHV12</stp>
        <stp>NOW EQUITY</stp>
        <stp>BEST_EBIT</stp>
        <stp>11/29/2018</stp>
        <stp>11/29/2018</stp>
        <stp>[RAMP_11-29-2018 vWIC.xlsm]Current Comps!R11C41</stp>
        <stp>BEST_FPERIOD_OVERRIDE=19Y</stp>
        <stp>days=a</stp>
        <stp>fill=p</stp>
        <tr r="AO11" s="35"/>
      </tp>
      <tp>
        <v>1030.3330000000001</v>
        <stp/>
        <stp>##V3_BDHV12</stp>
        <stp>NOW EQUITY</stp>
        <stp>BEST_EBIT</stp>
        <stp>11/29/2018</stp>
        <stp>11/29/2018</stp>
        <stp>[RAMP_11-29-2018 vWIC.xlsm]Current Comps!R11C42</stp>
        <stp>BEST_FPERIOD_OVERRIDE=20Y</stp>
        <stp>days=a</stp>
        <stp>fill=p</stp>
        <tr r="AP11" s="35"/>
      </tp>
      <tp>
        <v>0.47300000000000003</v>
        <stp/>
        <stp>##V3_BDPV12</stp>
        <stp>RAMP EQUITY</stp>
        <stp>BEST EPS</stp>
        <stp>[RAMP_10-30-2018 vWIC.xlsm]Summary!R31C24</stp>
        <stp>BEST_FPERIOD_OVERRIDE=21Y</stp>
        <tr r="X31" s="1"/>
      </tp>
      <tp>
        <v>-216.267</v>
        <stp/>
        <stp>##V3_BDHV12</stp>
        <stp>WDAY EQUITY</stp>
        <stp>BEST_CAPEX</stp>
        <stp>11/29/2018</stp>
        <stp>11/29/2018</stp>
        <stp>[RAMP_11-29-2018 vWIC.xlsm]Current Comps!R9C61</stp>
        <stp>BEST_FPERIOD_OVERRIDE=19Y</stp>
        <stp>days=a</stp>
        <stp>fill=p</stp>
        <tr r="BI9" s="35"/>
      </tp>
      <tp>
        <v>-233.429</v>
        <stp/>
        <stp>##V3_BDHV12</stp>
        <stp>WDAY EQUITY</stp>
        <stp>BEST_CAPEX</stp>
        <stp>11/29/2018</stp>
        <stp>11/29/2018</stp>
        <stp>[RAMP_11-29-2018 vWIC.xlsm]Current Comps!R9C62</stp>
        <stp>BEST_FPERIOD_OVERRIDE=20Y</stp>
        <stp>days=a</stp>
        <stp>fill=p</stp>
        <tr r="BJ9" s="35"/>
      </tp>
      <tp>
        <v>-158.333</v>
        <stp/>
        <stp>##V3_BDHV12</stp>
        <stp>WDAY EQUITY</stp>
        <stp>BEST_CAPEX</stp>
        <stp>11/29/2018</stp>
        <stp>11/29/2018</stp>
        <stp>[RAMP_11-29-2018 vWIC.xlsm]Current Comps!R9C60</stp>
        <stp>BEST_FPERIOD_OVERRIDE=18Y</stp>
        <stp>days=a</stp>
        <stp>fill=p</stp>
        <tr r="BH9" s="35"/>
      </tp>
      <tp>
        <v>-288.286</v>
        <stp/>
        <stp>##V3_BDHV12</stp>
        <stp>WDAY EQUITY</stp>
        <stp>BEST_CAPEX</stp>
        <stp>11/29/2018</stp>
        <stp>11/29/2018</stp>
        <stp>[RAMP_11-29-2018 vWIC.xlsm]Current Comps!R9C63</stp>
        <stp>BEST_FPERIOD_OVERRIDE=21Y</stp>
        <stp>days=a</stp>
        <stp>fill=p</stp>
        <tr r="BK9" s="35"/>
      </tp>
      <tp>
        <v>99.599900000000005</v>
        <stp/>
        <stp>##V3_BDHV12</stp>
        <stp>SPLK Equity</stp>
        <stp>PX_LAST</stp>
        <stp>11/29/2018</stp>
        <stp>11/29/2018</stp>
        <stp>[RAMP_11-29-2018 vWIC.xlsm]Current Comps!R10C19</stp>
        <stp>days=a</stp>
        <stp>fill=p</stp>
        <tr r="S10" s="35"/>
      </tp>
      <tp>
        <v>-91.733999999999995</v>
        <stp/>
        <stp>##V3_BDHV12</stp>
        <stp>DATA EQUITY</stp>
        <stp>TRAIL_12M_EBITDA</stp>
        <stp>11/29/2018</stp>
        <stp>11/29/2018</stp>
        <stp>[RAMP_11-29-2018 vWIC.xlsm]Current Comps!R8C34</stp>
        <stp>days=a</stp>
        <stp>fill=p</stp>
        <tr r="AH8" s="35"/>
      </tp>
      <tp>
        <v>0</v>
        <stp/>
        <stp>##V3_BDPV12</stp>
        <stp>CRM Equity</stp>
        <stp>BS_PFD_EQY</stp>
        <stp>[RAMP_11-29-2018 vWIC.xlsm]Current Comps!R7C22</stp>
        <stp>EQY_FUND_DT=20181129</stp>
        <stp>EQY_FUND_RELATIVE_PERIOD=-0FQ</stp>
        <tr r="V7" s="35"/>
        <tr r="V7" s="35"/>
      </tp>
      <tp>
        <v>44.81</v>
        <stp/>
        <stp>##V3_BDHV12</stp>
        <stp>SEND Equity</stp>
        <stp>PX_LAST</stp>
        <stp>11/29/2018</stp>
        <stp>11/29/2018</stp>
        <stp>[RAMP_11-29-2018 vWIC.xlsm]Current Comps!R20C19</stp>
        <stp>days=a</stp>
        <stp>fill=p</stp>
        <tr r="S20" s="35"/>
      </tp>
      <tp>
        <v>139.61000000000001</v>
        <stp/>
        <stp>##V3_BDPV12</stp>
        <stp>CRM EQUITY</stp>
        <stp>last price</stp>
        <stp>[RAMP_11-29-2018 vWIC.xlsm]Current Comps!R105C5</stp>
        <tr r="E105" s="35"/>
      </tp>
      <tp>
        <v>13394</v>
        <stp/>
        <stp>##V3_BDPV12</stp>
        <stp>CRM Equity</stp>
        <stp>BS_SH_CAP_AND_APIC</stp>
        <stp>[RAMP_11-29-2018 vWIC.xlsm]Current Comps!R7C26</stp>
        <stp>EQY_FUND_DT=20181129</stp>
        <stp>EQY_FUND_RELATIVE_PERIOD=-0FQ</stp>
        <tr r="Z7" s="35"/>
        <tr r="Z7" s="35"/>
      </tp>
      <tp>
        <v>482.25</v>
        <stp/>
        <stp>##V3_BDPV12</stp>
        <stp>RAMP EQUITY</stp>
        <stp>BEST SALES</stp>
        <stp>[RAMP_10-30-2018 vWIC.xlsm]Summary!R18C24</stp>
        <stp>BEST_FPERIOD_OVERRIDE=21Y</stp>
        <tr r="X18" s="1"/>
      </tp>
      <tp>
        <v>-54</v>
        <stp/>
        <stp>##V3_BDHV12</stp>
        <stp>OKTA EQUITY</stp>
        <stp>BEST_EBIT</stp>
        <stp>11/29/2018</stp>
        <stp>11/29/2018</stp>
        <stp>[RAMP_11-29-2018 vWIC.xlsm]Current Comps!R14C41</stp>
        <stp>BEST_FPERIOD_OVERRIDE=19Y</stp>
        <stp>days=a</stp>
        <stp>fill=p</stp>
        <tr r="AO14" s="35"/>
      </tp>
      <tp>
        <v>-22</v>
        <stp/>
        <stp>##V3_BDHV12</stp>
        <stp>OKTA EQUITY</stp>
        <stp>BEST_EBIT</stp>
        <stp>11/29/2018</stp>
        <stp>11/29/2018</stp>
        <stp>[RAMP_11-29-2018 vWIC.xlsm]Current Comps!R14C42</stp>
        <stp>BEST_FPERIOD_OVERRIDE=20Y</stp>
        <stp>days=a</stp>
        <stp>fill=p</stp>
        <tr r="AP14" s="35"/>
      </tp>
      <tp>
        <v>-72</v>
        <stp/>
        <stp>##V3_BDHV12</stp>
        <stp>OKTA EQUITY</stp>
        <stp>BEST_EBIT</stp>
        <stp>11/29/2018</stp>
        <stp>11/29/2018</stp>
        <stp>[RAMP_11-29-2018 vWIC.xlsm]Current Comps!R14C40</stp>
        <stp>BEST_FPERIOD_OVERRIDE=18Y</stp>
        <stp>days=a</stp>
        <stp>fill=p</stp>
        <tr r="AN14" s="35"/>
      </tp>
      <tp>
        <v>8</v>
        <stp/>
        <stp>##V3_BDHV12</stp>
        <stp>OKTA EQUITY</stp>
        <stp>BEST_EBIT</stp>
        <stp>11/29/2018</stp>
        <stp>11/29/2018</stp>
        <stp>[RAMP_11-29-2018 vWIC.xlsm]Current Comps!R14C43</stp>
        <stp>BEST_FPERIOD_OVERRIDE=21Y</stp>
        <stp>days=a</stp>
        <stp>fill=p</stp>
        <tr r="AQ14" s="35"/>
      </tp>
      <tp>
        <v>142.38999999999999</v>
        <stp/>
        <stp>##V3_BDHV12</stp>
        <stp>CRM Equity</stp>
        <stp>PX_LAST</stp>
        <stp>11/29/2018</stp>
        <stp>11/29/2018</stp>
        <stp>[RAMP_11-29-2018 vWIC.xlsm]Current Comps!R7C19</stp>
        <stp>days=a</stp>
        <stp>fill=p</stp>
        <tr r="S7" s="35"/>
      </tp>
      <tp>
        <v>12530.003000000001</v>
        <stp/>
        <stp>##V3_BDHV12</stp>
        <stp>CRM EQUITY</stp>
        <stp>TRAIL_12M_NET_SALES</stp>
        <stp>11/29/2018</stp>
        <stp>11/29/2018</stp>
        <stp>[RAMP_11-29-2018 vWIC.xlsm]Current Comps!R7C29</stp>
        <stp>days=a</stp>
        <stp>fill=p</stp>
        <tr r="AC7" s="35"/>
      </tp>
      <tp>
        <v>-0.17</v>
        <stp/>
        <stp>##V3_BDPV12</stp>
        <stp>RAMP EQUITY</stp>
        <stp>BEST EPS</stp>
        <stp>[RAMP_10-30-2018 vWIC.xlsm]Summary!R31C22</stp>
        <stp>BEST_FPERIOD_OVERRIDE=19Y</stp>
        <tr r="V31" s="1"/>
      </tp>
      <tp>
        <v>368.33300000000003</v>
        <stp/>
        <stp>##V3_BDPV12</stp>
        <stp>RAMP EQUITY</stp>
        <stp>BEST SALES</stp>
        <stp>[RAMP_10-30-2018 vWIC.xlsm]Summary!R18C23</stp>
        <stp>BEST_FPERIOD_OVERRIDE=20Y</stp>
        <tr r="W18" s="1"/>
      </tp>
      <tp>
        <v>-4.4909999999999997</v>
        <stp/>
        <stp>##V3_BDHV12</stp>
        <stp>YEXT EQUITY</stp>
        <stp>TRAIL_12M_CAP_EXPEND</stp>
        <stp>11/29/2018</stp>
        <stp>11/29/2018</stp>
        <stp>[RAMP_11-29-2018 vWIC.xlsm]Current Comps!R16C59</stp>
        <stp>days=a</stp>
        <stp>fill=p</stp>
        <tr r="BG16" s="35"/>
      </tp>
      <tp>
        <v>50.424999999999997</v>
        <stp/>
        <stp>##V3_BDHV12</stp>
        <stp>HUBS EQUITY</stp>
        <stp>BEST_EBIT</stp>
        <stp>11/29/2018</stp>
        <stp>11/29/2018</stp>
        <stp>[RAMP_11-29-2018 vWIC.xlsm]Current Comps!R17C41</stp>
        <stp>BEST_FPERIOD_OVERRIDE=19Y</stp>
        <stp>days=a</stp>
        <stp>fill=p</stp>
        <tr r="AO17" s="35"/>
      </tp>
      <tp>
        <v>77.033000000000001</v>
        <stp/>
        <stp>##V3_BDHV12</stp>
        <stp>HUBS EQUITY</stp>
        <stp>BEST_EBIT</stp>
        <stp>11/29/2018</stp>
        <stp>11/29/2018</stp>
        <stp>[RAMP_11-29-2018 vWIC.xlsm]Current Comps!R17C42</stp>
        <stp>BEST_FPERIOD_OVERRIDE=20Y</stp>
        <stp>days=a</stp>
        <stp>fill=p</stp>
        <tr r="AP17" s="35"/>
      </tp>
      <tp>
        <v>30.475000000000001</v>
        <stp/>
        <stp>##V3_BDHV12</stp>
        <stp>HUBS EQUITY</stp>
        <stp>BEST_EBIT</stp>
        <stp>11/29/2018</stp>
        <stp>11/29/2018</stp>
        <stp>[RAMP_11-29-2018 vWIC.xlsm]Current Comps!R17C40</stp>
        <stp>BEST_FPERIOD_OVERRIDE=18Y</stp>
        <stp>days=a</stp>
        <stp>fill=p</stp>
        <tr r="AN17" s="35"/>
      </tp>
      <tp>
        <v>140</v>
        <stp/>
        <stp>##V3_BDHV12</stp>
        <stp>HUBS EQUITY</stp>
        <stp>BEST_EBIT</stp>
        <stp>11/29/2018</stp>
        <stp>11/29/2018</stp>
        <stp>[RAMP_11-29-2018 vWIC.xlsm]Current Comps!R17C43</stp>
        <stp>BEST_FPERIOD_OVERRIDE=21Y</stp>
        <stp>days=a</stp>
        <stp>fill=p</stp>
        <tr r="AQ17" s="35"/>
      </tp>
      <tp>
        <v>-46.024999999999999</v>
        <stp/>
        <stp>##V3_BDHV12</stp>
        <stp>RAMP EQUITY</stp>
        <stp>TRAIL_12M_CAP_EXPEND</stp>
        <stp>11/29/2018</stp>
        <stp>11/29/2018</stp>
        <stp>[RAMP_11-29-2018 vWIC.xlsm]Current Comps!R44C59</stp>
        <stp>days=a</stp>
        <stp>fill=p</stp>
        <tr r="BG44" s="35"/>
      </tp>
      <tp>
        <v>-46.024999999999999</v>
        <stp/>
        <stp>##V3_BDHV12</stp>
        <stp>RAMP EQUITY</stp>
        <stp>TRAIL_12M_CAP_EXPEND</stp>
        <stp>11/29/2018</stp>
        <stp>11/29/2018</stp>
        <stp>[RAMP_11-29-2018 vWIC.xlsm]Current Comps!R47C59</stp>
        <stp>days=a</stp>
        <stp>fill=p</stp>
        <tr r="BG47" s="35"/>
      </tp>
      <tp>
        <v>-46.024999999999999</v>
        <stp/>
        <stp>##V3_BDHV12</stp>
        <stp>RAMP EQUITY</stp>
        <stp>TRAIL_12M_CAP_EXPEND</stp>
        <stp>11/29/2018</stp>
        <stp>11/29/2018</stp>
        <stp>[RAMP_11-29-2018 vWIC.xlsm]Current Comps!R41C59</stp>
        <stp>days=a</stp>
        <stp>fill=p</stp>
        <tr r="BG41" s="35"/>
      </tp>
      <tp>
        <v>46.924999999999997</v>
        <stp/>
        <stp>##V3_BDHV12</stp>
        <stp>RAMP Equity</stp>
        <stp>PX_LAST</stp>
        <stp>11/29/2018</stp>
        <stp>11/29/2018</stp>
        <stp>[RAMP_11-29-2018 vWIC.xlsm]Current Comps!R47C19</stp>
        <stp>days=a</stp>
        <stp>fill=p</stp>
        <tr r="S47" s="35"/>
      </tp>
      <tp>
        <v>46.924999999999997</v>
        <stp/>
        <stp>##V3_BDHV12</stp>
        <stp>RAMP Equity</stp>
        <stp>PX_LAST</stp>
        <stp>11/29/2018</stp>
        <stp>11/29/2018</stp>
        <stp>[RAMP_11-29-2018 vWIC.xlsm]Current Comps!R44C19</stp>
        <stp>days=a</stp>
        <stp>fill=p</stp>
        <tr r="S44" s="35"/>
      </tp>
      <tp>
        <v>46.924999999999997</v>
        <stp/>
        <stp>##V3_BDHV12</stp>
        <stp>RAMP Equity</stp>
        <stp>PX_LAST</stp>
        <stp>11/29/2018</stp>
        <stp>11/29/2018</stp>
        <stp>[RAMP_11-29-2018 vWIC.xlsm]Current Comps!R41C19</stp>
        <stp>days=a</stp>
        <stp>fill=p</stp>
        <tr r="S41" s="35"/>
      </tp>
      <tp>
        <v>128.99</v>
        <stp/>
        <stp>##V3_BDPV12</stp>
        <stp>HUBS EQUITY</stp>
        <stp>last price</stp>
        <stp>[RAMP_11-29-2018 vWIC.xlsm]Current Comps!R115C5</stp>
        <tr r="E115" s="35"/>
      </tp>
      <tp t="s">
        <v>WORKDAY INC-CLASS A</v>
        <stp/>
        <stp>##V3_BDPV12</stp>
        <stp>WDAY EQUITY</stp>
        <stp>Name</stp>
        <stp>[RAMP_10-30-2018 vWIC.xlsm]Current Comps!R9C3</stp>
        <tr r="C9" s="35"/>
      </tp>
      <tp>
        <v>57</v>
        <stp/>
        <stp>##V3_BDPV12</stp>
        <stp>ZEN EQUITY</stp>
        <stp>last price</stp>
        <stp>[RAMP_11-29-2018 vWIC.xlsm]Current Comps!R113C5</stp>
        <tr r="E113" s="35"/>
      </tp>
      <tp>
        <v>-0.127</v>
        <stp/>
        <stp>##V3_BDPV12</stp>
        <stp>RAMP EQUITY</stp>
        <stp>BEST EPS</stp>
        <stp>[RAMP_10-30-2018 vWIC.xlsm]Summary!R31C23</stp>
        <stp>BEST_FPERIOD_OVERRIDE=20Y</stp>
        <tr r="W31" s="1"/>
      </tp>
      <tp>
        <v>279.83300000000003</v>
        <stp/>
        <stp>##V3_BDPV12</stp>
        <stp>RAMP EQUITY</stp>
        <stp>BEST SALES</stp>
        <stp>[RAMP_10-30-2018 vWIC.xlsm]Summary!R18C22</stp>
        <stp>BEST_FPERIOD_OVERRIDE=19Y</stp>
        <tr r="V18" s="1"/>
      </tp>
      <tp>
        <v>92.9</v>
        <stp/>
        <stp>##V3_BDHV12</stp>
        <stp>TWLO Equity</stp>
        <stp>PX_LAST</stp>
        <stp>11/29/2018</stp>
        <stp>11/29/2018</stp>
        <stp>[RAMP_11-29-2018 vWIC.xlsm]Current Comps!R19C19</stp>
        <stp>days=a</stp>
        <stp>fill=p</stp>
        <tr r="S19" s="35"/>
      </tp>
      <tp t="s">
        <v>SALESFORCE.COM INC</v>
        <stp/>
        <stp>##V3_BDPV12</stp>
        <stp>CRM EQUITY</stp>
        <stp>Name</stp>
        <stp>[RAMP_10-30-2018 vWIC.xlsm]Current Comps!R7C3</stp>
        <tr r="C7" s="35"/>
      </tp>
      <tp>
        <v>-12.308</v>
        <stp/>
        <stp>##V3_BDHV12</stp>
        <stp>SEND EQUITY</stp>
        <stp>TRAIL_12M_CAP_EXPEND</stp>
        <stp>11/29/2018</stp>
        <stp>11/29/2018</stp>
        <stp>[RAMP_11-29-2018 vWIC.xlsm]Current Comps!R20C59</stp>
        <stp>days=a</stp>
        <stp>fill=p</stp>
        <tr r="BG20" s="35"/>
      </tp>
      <tp>
        <v>-46.024999999999999</v>
        <stp/>
        <stp>##V3_BDHV12</stp>
        <stp>RAMP EQUITY</stp>
        <stp>TRAIL_12M_CAP_EXPEND</stp>
        <stp>11/29/2018</stp>
        <stp>11/29/2018</stp>
        <stp>[RAMP_11-29-2018 vWIC.xlsm]Current Comps!R62C59</stp>
        <stp>days=a</stp>
        <stp>fill=p</stp>
        <tr r="BG62" s="35"/>
      </tp>
      <tp>
        <v>-16.951000000000001</v>
        <stp/>
        <stp>##V3_BDHV12</stp>
        <stp>TTD EQUITY</stp>
        <stp>TRAIL_12M_CAP_EXPEND</stp>
        <stp>11/29/2018</stp>
        <stp>11/29/2018</stp>
        <stp>[RAMP_11-29-2018 vWIC.xlsm]Current Comps!R13C59</stp>
        <stp>days=a</stp>
        <stp>fill=p</stp>
        <tr r="BG13" s="35"/>
      </tp>
      <tp>
        <v>46.924999999999997</v>
        <stp/>
        <stp>##V3_BDHV12</stp>
        <stp>RAMP Equity</stp>
        <stp>PX_LAST</stp>
        <stp>11/29/2018</stp>
        <stp>11/29/2018</stp>
        <stp>[RAMP_11-29-2018 vWIC.xlsm]Current Comps!R62C19</stp>
        <stp>days=a</stp>
        <stp>fill=p</stp>
        <tr r="S62" s="35"/>
      </tp>
      <tp>
        <v>8.2100000000000009</v>
        <stp/>
        <stp>##V3_BDHV12</stp>
        <stp>TWLO EQUITY</stp>
        <stp>BEST_EBIT</stp>
        <stp>11/29/2018</stp>
        <stp>11/29/2018</stp>
        <stp>[RAMP_11-29-2018 vWIC.xlsm]Current Comps!R19C41</stp>
        <stp>BEST_FPERIOD_OVERRIDE=19Y</stp>
        <stp>days=a</stp>
        <stp>fill=p</stp>
        <tr r="AO19" s="35"/>
      </tp>
      <tp>
        <v>17</v>
        <stp/>
        <stp>##V3_BDHV12</stp>
        <stp>TWLO EQUITY</stp>
        <stp>BEST_EBIT</stp>
        <stp>11/29/2018</stp>
        <stp>11/29/2018</stp>
        <stp>[RAMP_11-29-2018 vWIC.xlsm]Current Comps!R19C42</stp>
        <stp>BEST_FPERIOD_OVERRIDE=20Y</stp>
        <stp>days=a</stp>
        <stp>fill=p</stp>
        <tr r="AP19" s="35"/>
      </tp>
      <tp>
        <v>3.49</v>
        <stp/>
        <stp>##V3_BDHV12</stp>
        <stp>TWLO EQUITY</stp>
        <stp>BEST_EBIT</stp>
        <stp>11/29/2018</stp>
        <stp>11/29/2018</stp>
        <stp>[RAMP_11-29-2018 vWIC.xlsm]Current Comps!R19C40</stp>
        <stp>BEST_FPERIOD_OVERRIDE=18Y</stp>
        <stp>days=a</stp>
        <stp>fill=p</stp>
        <tr r="AN19" s="35"/>
      </tp>
      <tp t="s">
        <v>#N/A N/A</v>
        <stp/>
        <stp>##V3_BDHV12</stp>
        <stp>TWLO EQUITY</stp>
        <stp>BEST_EBIT</stp>
        <stp>11/29/2018</stp>
        <stp>11/29/2018</stp>
        <stp>[RAMP_11-29-2018 vWIC.xlsm]Current Comps!R19C43</stp>
        <stp>BEST_FPERIOD_OVERRIDE=21Y</stp>
        <stp>days=a</stp>
        <stp>fill=p</stp>
        <tr r="AQ19" s="35"/>
      </tp>
      <tp>
        <v>3869.3289999999997</v>
        <stp/>
        <stp>##V3_BDPV12</stp>
        <stp>WDAY Equity</stp>
        <stp>BS_SH_CAP_AND_APIC</stp>
        <stp>[RAMP_11-29-2018 vWIC.xlsm]Current Comps!R9C26</stp>
        <stp>EQY_FUND_DT=20181129</stp>
        <stp>EQY_FUND_RELATIVE_PERIOD=-0FQ</stp>
        <tr r="Z9" s="35"/>
        <tr r="Z9" s="35"/>
      </tp>
      <tp t="s">
        <v>TWILIO INC - A</v>
        <stp/>
        <stp>##V3_BDPV12</stp>
        <stp>TWLO EQUITY</stp>
        <stp>Name</stp>
        <stp>[RAMP_10-30-2018 vWIC.xlsm]Current Comps!R19C3</stp>
        <tr r="C19" s="35"/>
      </tp>
      <tp>
        <v>0</v>
        <stp/>
        <stp>##V3_BDPV12</stp>
        <stp>WDAY Equity</stp>
        <stp>BS_PFD_EQY</stp>
        <stp>[RAMP_11-29-2018 vWIC.xlsm]Current Comps!R9C22</stp>
        <stp>EQY_FUND_DT=20181129</stp>
        <stp>EQY_FUND_RELATIVE_PERIOD=-0FQ</stp>
        <tr r="V9" s="35"/>
        <tr r="V9" s="35"/>
      </tp>
      <tp>
        <v>131.09970000000001</v>
        <stp/>
        <stp>##V3_BDHV12</stp>
        <stp>HUBS Equity</stp>
        <stp>PX_LAST</stp>
        <stp>11/29/2018</stp>
        <stp>11/29/2018</stp>
        <stp>[RAMP_11-29-2018 vWIC.xlsm]Current Comps!R17C19</stp>
        <stp>days=a</stp>
        <stp>fill=p</stp>
        <tr r="S17" s="35"/>
      </tp>
      <tp>
        <v>-907.38499999999999</v>
        <stp/>
        <stp>##V3_BDHV12</stp>
        <stp>CRM EQUITY</stp>
        <stp>BEST_CAPEX</stp>
        <stp>11/29/2018</stp>
        <stp>11/29/2018</stp>
        <stp>[RAMP_11-29-2018 vWIC.xlsm]Current Comps!R7C63</stp>
        <stp>BEST_FPERIOD_OVERRIDE=21Y</stp>
        <stp>days=a</stp>
        <stp>fill=p</stp>
        <tr r="BK7" s="35"/>
      </tp>
      <tp>
        <v>-529.45799999999997</v>
        <stp/>
        <stp>##V3_BDHV12</stp>
        <stp>CRM EQUITY</stp>
        <stp>BEST_CAPEX</stp>
        <stp>11/29/2018</stp>
        <stp>11/29/2018</stp>
        <stp>[RAMP_11-29-2018 vWIC.xlsm]Current Comps!R7C60</stp>
        <stp>BEST_FPERIOD_OVERRIDE=18Y</stp>
        <stp>days=a</stp>
        <stp>fill=p</stp>
        <tr r="BH7" s="35"/>
      </tp>
      <tp>
        <v>-753.6</v>
        <stp/>
        <stp>##V3_BDHV12</stp>
        <stp>CRM EQUITY</stp>
        <stp>BEST_CAPEX</stp>
        <stp>11/29/2018</stp>
        <stp>11/29/2018</stp>
        <stp>[RAMP_11-29-2018 vWIC.xlsm]Current Comps!R7C62</stp>
        <stp>BEST_FPERIOD_OVERRIDE=20Y</stp>
        <stp>days=a</stp>
        <stp>fill=p</stp>
        <tr r="BJ7" s="35"/>
      </tp>
      <tp>
        <v>-594.15800000000002</v>
        <stp/>
        <stp>##V3_BDHV12</stp>
        <stp>CRM EQUITY</stp>
        <stp>BEST_CAPEX</stp>
        <stp>11/29/2018</stp>
        <stp>11/29/2018</stp>
        <stp>[RAMP_11-29-2018 vWIC.xlsm]Current Comps!R7C61</stp>
        <stp>BEST_FPERIOD_OVERRIDE=19Y</stp>
        <stp>days=a</stp>
        <stp>fill=p</stp>
        <tr r="BI7" s="35"/>
      </tp>
      <tp t="s">
        <v>YEXT INC</v>
        <stp/>
        <stp>##V3_BDPV12</stp>
        <stp>YEXT EQUITY</stp>
        <stp>Name</stp>
        <stp>[RAMP_10-30-2018 vWIC.xlsm]Current Comps!R16C3</stp>
        <tr r="C16" s="35"/>
      </tp>
      <tp>
        <v>1290.085</v>
        <stp/>
        <stp>##V3_BDPV12</stp>
        <stp>DATA Equity</stp>
        <stp>BS_SH_CAP_AND_APIC</stp>
        <stp>[RAMP_11-29-2018 vWIC.xlsm]Current Comps!R8C26</stp>
        <stp>EQY_FUND_DT=20181129</stp>
        <stp>EQY_FUND_RELATIVE_PERIOD=-0FQ</stp>
        <tr r="Z8" s="35"/>
        <tr r="Z8" s="35"/>
      </tp>
      <tp>
        <v>-298.38639999999998</v>
        <stp/>
        <stp>##V3_BDHV12</stp>
        <stp>WDAY EQUITY</stp>
        <stp>TRAIL_12M_EST_COMP_NET_INC_ADJ</stp>
        <stp>11/29/2018</stp>
        <stp>11/29/2018</stp>
        <stp>[RAMP_11-29-2018 vWIC.xlsm]Current Comps!R9C44</stp>
        <stp>days=a</stp>
        <stp>fill=p</stp>
        <tr r="AR9" s="35"/>
      </tp>
      <tp>
        <v>76.275000000000006</v>
        <stp/>
        <stp>##V3_BDHV12</stp>
        <stp>YEXT EQUITY</stp>
        <stp>BEST_GROSS_MARGIN</stp>
        <stp>11/29/2018</stp>
        <stp>11/29/2018</stp>
        <stp>[RAMP_11-29-2018 vWIC.xlsm]Current Comps!R16C38</stp>
        <stp>BEST_FPERIOD_OVERRIDE=21Y</stp>
        <stp>days=a</stp>
        <stp>fill=p</stp>
        <tr r="AL16" s="35"/>
      </tp>
      <tp>
        <v>74.650000000000006</v>
        <stp/>
        <stp>##V3_BDHV12</stp>
        <stp>YEXT EQUITY</stp>
        <stp>BEST_GROSS_MARGIN</stp>
        <stp>11/29/2018</stp>
        <stp>11/29/2018</stp>
        <stp>[RAMP_11-29-2018 vWIC.xlsm]Current Comps!R16C35</stp>
        <stp>BEST_FPERIOD_OVERRIDE=18Y</stp>
        <stp>days=a</stp>
        <stp>fill=p</stp>
        <tr r="AI16" s="35"/>
      </tp>
      <tp>
        <v>75.75</v>
        <stp/>
        <stp>##V3_BDHV12</stp>
        <stp>YEXT EQUITY</stp>
        <stp>BEST_GROSS_MARGIN</stp>
        <stp>11/29/2018</stp>
        <stp>11/29/2018</stp>
        <stp>[RAMP_11-29-2018 vWIC.xlsm]Current Comps!R16C37</stp>
        <stp>BEST_FPERIOD_OVERRIDE=20Y</stp>
        <stp>days=a</stp>
        <stp>fill=p</stp>
        <tr r="AK16" s="35"/>
      </tp>
      <tp>
        <v>75.566999999999993</v>
        <stp/>
        <stp>##V3_BDHV12</stp>
        <stp>YEXT EQUITY</stp>
        <stp>BEST_GROSS_MARGIN</stp>
        <stp>11/29/2018</stp>
        <stp>11/29/2018</stp>
        <stp>[RAMP_11-29-2018 vWIC.xlsm]Current Comps!R16C36</stp>
        <stp>BEST_FPERIOD_OVERRIDE=19Y</stp>
        <stp>days=a</stp>
        <stp>fill=p</stp>
        <tr r="AJ16" s="35"/>
      </tp>
      <tp>
        <v>0</v>
        <stp/>
        <stp>##V3_BDPV12</stp>
        <stp>DATA Equity</stp>
        <stp>BS_PFD_EQY</stp>
        <stp>[RAMP_11-29-2018 vWIC.xlsm]Current Comps!R8C22</stp>
        <stp>EQY_FUND_DT=20181129</stp>
        <stp>EQY_FUND_RELATIVE_PERIOD=-0FQ</stp>
        <tr r="V8" s="35"/>
        <tr r="V8" s="35"/>
      </tp>
      <tp>
        <v>-171.00299999999999</v>
        <stp/>
        <stp>##V3_BDHV12</stp>
        <stp>NOW EQUITY</stp>
        <stp>TRAIL_12M_CAP_EXPEND</stp>
        <stp>11/29/2018</stp>
        <stp>11/29/2018</stp>
        <stp>[RAMP_11-29-2018 vWIC.xlsm]Current Comps!R11C59</stp>
        <stp>days=a</stp>
        <stp>fill=p</stp>
        <tr r="BG11" s="35"/>
      </tp>
      <tp>
        <v>58.73</v>
        <stp/>
        <stp>##V3_BDHV12</stp>
        <stp>OKTA Equity</stp>
        <stp>PX_LAST</stp>
        <stp>11/29/2018</stp>
        <stp>11/29/2018</stp>
        <stp>[RAMP_11-29-2018 vWIC.xlsm]Current Comps!R14C19</stp>
        <stp>days=a</stp>
        <stp>fill=p</stp>
        <tr r="S14" s="35"/>
      </tp>
      <tp>
        <v>92.04</v>
        <stp/>
        <stp>##V3_BDPV12</stp>
        <stp>TWLO EQUITY</stp>
        <stp>last price</stp>
        <stp>[RAMP_11-29-2018 vWIC.xlsm]Current Comps!R111C5</stp>
        <tr r="E111" s="35"/>
      </tp>
      <tp>
        <v>54.332999999999998</v>
        <stp/>
        <stp>##V3_BDHV12</stp>
        <stp>RAMP EQUITY</stp>
        <stp>BEST_EBIT</stp>
        <stp>11/29/2018</stp>
        <stp>11/29/2018</stp>
        <stp>[RAMP_11-29-2018 vWIC.xlsm]Current Comps!R44C41</stp>
        <stp>BEST_FPERIOD_OVERRIDE=19Y</stp>
        <stp>days=a</stp>
        <stp>fill=p</stp>
        <tr r="AO44" s="35"/>
      </tp>
      <tp>
        <v>54.332999999999998</v>
        <stp/>
        <stp>##V3_BDHV12</stp>
        <stp>RAMP EQUITY</stp>
        <stp>BEST_EBIT</stp>
        <stp>11/29/2018</stp>
        <stp>11/29/2018</stp>
        <stp>[RAMP_11-29-2018 vWIC.xlsm]Current Comps!R47C41</stp>
        <stp>BEST_FPERIOD_OVERRIDE=19Y</stp>
        <stp>days=a</stp>
        <stp>fill=p</stp>
        <tr r="AO47" s="35"/>
      </tp>
      <tp>
        <v>54.332999999999998</v>
        <stp/>
        <stp>##V3_BDHV12</stp>
        <stp>RAMP EQUITY</stp>
        <stp>BEST_EBIT</stp>
        <stp>11/29/2018</stp>
        <stp>11/29/2018</stp>
        <stp>[RAMP_11-29-2018 vWIC.xlsm]Current Comps!R41C41</stp>
        <stp>BEST_FPERIOD_OVERRIDE=19Y</stp>
        <stp>days=a</stp>
        <stp>fill=p</stp>
        <tr r="AO41" s="35"/>
      </tp>
      <tp>
        <v>-56.433</v>
        <stp/>
        <stp>##V3_BDHV12</stp>
        <stp>RAMP EQUITY</stp>
        <stp>BEST_EBIT</stp>
        <stp>11/29/2018</stp>
        <stp>11/29/2018</stp>
        <stp>[RAMP_11-29-2018 vWIC.xlsm]Current Comps!R44C42</stp>
        <stp>BEST_FPERIOD_OVERRIDE=20Y</stp>
        <stp>days=a</stp>
        <stp>fill=p</stp>
        <tr r="AP44" s="35"/>
      </tp>
      <tp>
        <v>-56.433</v>
        <stp/>
        <stp>##V3_BDHV12</stp>
        <stp>RAMP EQUITY</stp>
        <stp>BEST_EBIT</stp>
        <stp>11/29/2018</stp>
        <stp>11/29/2018</stp>
        <stp>[RAMP_11-29-2018 vWIC.xlsm]Current Comps!R47C42</stp>
        <stp>BEST_FPERIOD_OVERRIDE=20Y</stp>
        <stp>days=a</stp>
        <stp>fill=p</stp>
        <tr r="AP47" s="35"/>
      </tp>
      <tp>
        <v>-56.433</v>
        <stp/>
        <stp>##V3_BDHV12</stp>
        <stp>RAMP EQUITY</stp>
        <stp>BEST_EBIT</stp>
        <stp>11/29/2018</stp>
        <stp>11/29/2018</stp>
        <stp>[RAMP_11-29-2018 vWIC.xlsm]Current Comps!R41C42</stp>
        <stp>BEST_FPERIOD_OVERRIDE=20Y</stp>
        <stp>days=a</stp>
        <stp>fill=p</stp>
        <tr r="AP41" s="35"/>
      </tp>
      <tp>
        <v>12.8</v>
        <stp/>
        <stp>##V3_BDHV12</stp>
        <stp>RAMP EQUITY</stp>
        <stp>BEST_EBIT</stp>
        <stp>11/29/2018</stp>
        <stp>11/29/2018</stp>
        <stp>[RAMP_11-29-2018 vWIC.xlsm]Current Comps!R44C40</stp>
        <stp>BEST_FPERIOD_OVERRIDE=18Y</stp>
        <stp>days=a</stp>
        <stp>fill=p</stp>
        <tr r="AN44" s="35"/>
      </tp>
      <tp>
        <v>12.8</v>
        <stp/>
        <stp>##V3_BDHV12</stp>
        <stp>RAMP EQUITY</stp>
        <stp>BEST_EBIT</stp>
        <stp>11/29/2018</stp>
        <stp>11/29/2018</stp>
        <stp>[RAMP_11-29-2018 vWIC.xlsm]Current Comps!R47C40</stp>
        <stp>BEST_FPERIOD_OVERRIDE=18Y</stp>
        <stp>days=a</stp>
        <stp>fill=p</stp>
        <tr r="AN47" s="35"/>
      </tp>
      <tp>
        <v>12.8</v>
        <stp/>
        <stp>##V3_BDHV12</stp>
        <stp>RAMP EQUITY</stp>
        <stp>BEST_EBIT</stp>
        <stp>11/29/2018</stp>
        <stp>11/29/2018</stp>
        <stp>[RAMP_11-29-2018 vWIC.xlsm]Current Comps!R41C40</stp>
        <stp>BEST_FPERIOD_OVERRIDE=18Y</stp>
        <stp>days=a</stp>
        <stp>fill=p</stp>
        <tr r="AN41" s="35"/>
      </tp>
      <tp>
        <v>-17.13</v>
        <stp/>
        <stp>##V3_BDHV12</stp>
        <stp>RAMP EQUITY</stp>
        <stp>BEST_EBIT</stp>
        <stp>11/29/2018</stp>
        <stp>11/29/2018</stp>
        <stp>[RAMP_11-29-2018 vWIC.xlsm]Current Comps!R44C43</stp>
        <stp>BEST_FPERIOD_OVERRIDE=21Y</stp>
        <stp>days=a</stp>
        <stp>fill=p</stp>
        <tr r="AQ44" s="35"/>
      </tp>
      <tp>
        <v>-17.13</v>
        <stp/>
        <stp>##V3_BDHV12</stp>
        <stp>RAMP EQUITY</stp>
        <stp>BEST_EBIT</stp>
        <stp>11/29/2018</stp>
        <stp>11/29/2018</stp>
        <stp>[RAMP_11-29-2018 vWIC.xlsm]Current Comps!R47C43</stp>
        <stp>BEST_FPERIOD_OVERRIDE=21Y</stp>
        <stp>days=a</stp>
        <stp>fill=p</stp>
        <tr r="AQ47" s="35"/>
      </tp>
      <tp>
        <v>-17.13</v>
        <stp/>
        <stp>##V3_BDHV12</stp>
        <stp>RAMP EQUITY</stp>
        <stp>BEST_EBIT</stp>
        <stp>11/29/2018</stp>
        <stp>11/29/2018</stp>
        <stp>[RAMP_11-29-2018 vWIC.xlsm]Current Comps!R41C43</stp>
        <stp>BEST_FPERIOD_OVERRIDE=21Y</stp>
        <stp>days=a</stp>
        <stp>fill=p</stp>
        <tr r="AQ41" s="35"/>
      </tp>
      <tp>
        <v>54.332999999999998</v>
        <stp/>
        <stp>##V3_BDHV12</stp>
        <stp>RAMP EQUITY</stp>
        <stp>BEST_EBIT</stp>
        <stp>11/29/2018</stp>
        <stp>11/29/2018</stp>
        <stp>[RAMP_11-29-2018 vWIC.xlsm]Current Comps!R62C41</stp>
        <stp>BEST_FPERIOD_OVERRIDE=19Y</stp>
        <stp>days=a</stp>
        <stp>fill=p</stp>
        <tr r="AO62" s="35"/>
      </tp>
      <tp>
        <v>-56.433</v>
        <stp/>
        <stp>##V3_BDHV12</stp>
        <stp>RAMP EQUITY</stp>
        <stp>BEST_EBIT</stp>
        <stp>11/29/2018</stp>
        <stp>11/29/2018</stp>
        <stp>[RAMP_11-29-2018 vWIC.xlsm]Current Comps!R62C42</stp>
        <stp>BEST_FPERIOD_OVERRIDE=20Y</stp>
        <stp>days=a</stp>
        <stp>fill=p</stp>
        <tr r="AP62" s="35"/>
      </tp>
      <tp>
        <v>12.8</v>
        <stp/>
        <stp>##V3_BDHV12</stp>
        <stp>RAMP EQUITY</stp>
        <stp>BEST_EBIT</stp>
        <stp>11/29/2018</stp>
        <stp>11/29/2018</stp>
        <stp>[RAMP_11-29-2018 vWIC.xlsm]Current Comps!R62C40</stp>
        <stp>BEST_FPERIOD_OVERRIDE=18Y</stp>
        <stp>days=a</stp>
        <stp>fill=p</stp>
        <tr r="AN62" s="35"/>
      </tp>
      <tp>
        <v>-17.13</v>
        <stp/>
        <stp>##V3_BDHV12</stp>
        <stp>RAMP EQUITY</stp>
        <stp>BEST_EBIT</stp>
        <stp>11/29/2018</stp>
        <stp>11/29/2018</stp>
        <stp>[RAMP_11-29-2018 vWIC.xlsm]Current Comps!R62C43</stp>
        <stp>BEST_FPERIOD_OVERRIDE=21Y</stp>
        <stp>days=a</stp>
        <stp>fill=p</stp>
        <tr r="AQ62" s="35"/>
      </tp>
      <tp>
        <v>179.06</v>
        <stp/>
        <stp>##V3_BDHV12</stp>
        <stp>NOW Equity</stp>
        <stp>PX_LAST</stp>
        <stp>11/29/2018</stp>
        <stp>11/29/2018</stp>
        <stp>[RAMP_11-29-2018 vWIC.xlsm]Current Comps!R11C19</stp>
        <stp>days=a</stp>
        <stp>fill=p</stp>
        <tr r="S11" s="35"/>
      </tp>
      <tp>
        <v>140.70590000000001</v>
        <stp/>
        <stp>##V3_BDHV12</stp>
        <stp>TTD Equity</stp>
        <stp>PX_LAST</stp>
        <stp>11/29/2018</stp>
        <stp>11/29/2018</stp>
        <stp>[RAMP_11-29-2018 vWIC.xlsm]Current Comps!R13C19</stp>
        <stp>days=a</stp>
        <stp>fill=p</stp>
        <tr r="S13" s="35"/>
      </tp>
      <tp>
        <v>57.594999999999999</v>
        <stp/>
        <stp>##V3_BDHV12</stp>
        <stp>ZEN Equity</stp>
        <stp>PX_LAST</stp>
        <stp>11/29/2018</stp>
        <stp>11/29/2018</stp>
        <stp>[RAMP_11-29-2018 vWIC.xlsm]Current Comps!R15C19</stp>
        <stp>days=a</stp>
        <stp>fill=p</stp>
        <tr r="S15" s="35"/>
      </tp>
      <tp t="s">
        <v>LIVERAMP HOLDINGS INC</v>
        <stp/>
        <stp>##V3_BDPV12</stp>
        <stp>RAMP EQUITY</stp>
        <stp>Name</stp>
        <stp>[RAMP_10-30-2018 vWIC.xlsm]Current Comps!R68C3</stp>
        <tr r="C68" s="35"/>
      </tp>
      <tp t="s">
        <v>LIVERAMP HOLDINGS INC</v>
        <stp/>
        <stp>##V3_BDPV12</stp>
        <stp>RAMP EQUITY</stp>
        <stp>Name</stp>
        <stp>[RAMP_10-30-2018 vWIC.xlsm]Current Comps!R48C3</stp>
        <tr r="C48" s="35"/>
      </tp>
      <tp t="s">
        <v>LIVERAMP HOLDINGS INC</v>
        <stp/>
        <stp>##V3_BDPV12</stp>
        <stp>RAMP EQUITY</stp>
        <stp>Name</stp>
        <stp>[RAMP_10-30-2018 vWIC.xlsm]Current Comps!R58C3</stp>
        <tr r="C58" s="35"/>
      </tp>
      <tp t="s">
        <v>TABLEAU SOFTWARE INC-CL A</v>
        <stp/>
        <stp>##V3_BDPV12</stp>
        <stp>DATA EQUITY</stp>
        <stp>Name</stp>
        <stp>[RAMP_10-30-2018 vWIC.xlsm]Current Comps!R8C3</stp>
        <tr r="C8" s="35"/>
      </tp>
      <tp>
        <v>6</v>
        <stp/>
        <stp>##V3_BDHV12</stp>
        <stp>SEND EQUITY</stp>
        <stp>BEST_EBIT</stp>
        <stp>11/29/2018</stp>
        <stp>11/29/2018</stp>
        <stp>[RAMP_11-29-2018 vWIC.xlsm]Current Comps!R20C40</stp>
        <stp>BEST_FPERIOD_OVERRIDE=18Y</stp>
        <stp>days=a</stp>
        <stp>fill=p</stp>
        <tr r="AN20" s="35"/>
      </tp>
      <tp t="s">
        <v>#N/A N/A</v>
        <stp/>
        <stp>##V3_BDHV12</stp>
        <stp>SEND EQUITY</stp>
        <stp>BEST_EBIT</stp>
        <stp>11/29/2018</stp>
        <stp>11/29/2018</stp>
        <stp>[RAMP_11-29-2018 vWIC.xlsm]Current Comps!R20C43</stp>
        <stp>BEST_FPERIOD_OVERRIDE=21Y</stp>
        <stp>days=a</stp>
        <stp>fill=p</stp>
        <tr r="AQ20" s="35"/>
      </tp>
      <tp>
        <v>7</v>
        <stp/>
        <stp>##V3_BDHV12</stp>
        <stp>SEND EQUITY</stp>
        <stp>BEST_EBIT</stp>
        <stp>11/29/2018</stp>
        <stp>11/29/2018</stp>
        <stp>[RAMP_11-29-2018 vWIC.xlsm]Current Comps!R20C41</stp>
        <stp>BEST_FPERIOD_OVERRIDE=19Y</stp>
        <stp>days=a</stp>
        <stp>fill=p</stp>
        <tr r="AO20" s="35"/>
      </tp>
      <tp t="s">
        <v>#N/A N/A</v>
        <stp/>
        <stp>##V3_BDHV12</stp>
        <stp>SEND EQUITY</stp>
        <stp>BEST_EBIT</stp>
        <stp>11/29/2018</stp>
        <stp>11/29/2018</stp>
        <stp>[RAMP_11-29-2018 vWIC.xlsm]Current Comps!R20C42</stp>
        <stp>BEST_FPERIOD_OVERRIDE=20Y</stp>
        <stp>days=a</stp>
        <stp>fill=p</stp>
        <tr r="AP20" s="35"/>
      </tp>
      <tp>
        <v>279.85700000000003</v>
        <stp/>
        <stp>##V3_BDHV12</stp>
        <stp>SPLK EQUITY</stp>
        <stp>BEST_EBIT</stp>
        <stp>11/29/2018</stp>
        <stp>11/29/2018</stp>
        <stp>[RAMP_11-29-2018 vWIC.xlsm]Current Comps!R10C42</stp>
        <stp>BEST_FPERIOD_OVERRIDE=20Y</stp>
        <stp>days=a</stp>
        <stp>fill=p</stp>
        <tr r="AP10" s="35"/>
      </tp>
      <tp>
        <v>194.833</v>
        <stp/>
        <stp>##V3_BDHV12</stp>
        <stp>SPLK EQUITY</stp>
        <stp>BEST_EBIT</stp>
        <stp>11/29/2018</stp>
        <stp>11/29/2018</stp>
        <stp>[RAMP_11-29-2018 vWIC.xlsm]Current Comps!R10C41</stp>
        <stp>BEST_FPERIOD_OVERRIDE=19Y</stp>
        <stp>days=a</stp>
        <stp>fill=p</stp>
        <tr r="AO10" s="35"/>
      </tp>
      <tp>
        <v>442</v>
        <stp/>
        <stp>##V3_BDHV12</stp>
        <stp>SPLK EQUITY</stp>
        <stp>BEST_EBIT</stp>
        <stp>11/29/2018</stp>
        <stp>11/29/2018</stp>
        <stp>[RAMP_11-29-2018 vWIC.xlsm]Current Comps!R10C43</stp>
        <stp>BEST_FPERIOD_OVERRIDE=21Y</stp>
        <stp>days=a</stp>
        <stp>fill=p</stp>
        <tr r="AQ10" s="35"/>
      </tp>
      <tp>
        <v>106.875</v>
        <stp/>
        <stp>##V3_BDHV12</stp>
        <stp>SPLK EQUITY</stp>
        <stp>BEST_EBIT</stp>
        <stp>11/29/2018</stp>
        <stp>11/29/2018</stp>
        <stp>[RAMP_11-29-2018 vWIC.xlsm]Current Comps!R10C40</stp>
        <stp>BEST_FPERIOD_OVERRIDE=18Y</stp>
        <stp>days=a</stp>
        <stp>fill=p</stp>
        <tr r="AN10" s="35"/>
      </tp>
      <tp>
        <v>7219.3159999999998</v>
        <stp/>
        <stp>##V3_BDPV12</stp>
        <stp>CCMP INDEX</stp>
        <stp>last price</stp>
        <stp>[RAMP_11-29-2018 vWIC.xlsm]Current Comps!R102C5</stp>
        <tr r="E102" s="35"/>
      </tp>
      <tp t="s">
        <v>LIVERAMP HOLDINGS INC</v>
        <stp/>
        <stp>##V3_BDPV12</stp>
        <stp>RAMP EQUITY</stp>
        <stp>Name</stp>
        <stp>[RAMP_10-30-2018 vWIC.xlsm]Current Comps!R69C3</stp>
        <tr r="C69" s="35"/>
      </tp>
      <tp t="s">
        <v>LIVERAMP HOLDINGS INC</v>
        <stp/>
        <stp>##V3_BDPV12</stp>
        <stp>RAMP EQUITY</stp>
        <stp>Name</stp>
        <stp>[RAMP_10-30-2018 vWIC.xlsm]Current Comps!R49C3</stp>
        <tr r="C49" s="35"/>
      </tp>
      <tp t="s">
        <v>LIVERAMP HOLDINGS INC</v>
        <stp/>
        <stp>##V3_BDPV12</stp>
        <stp>RAMP EQUITY</stp>
        <stp>Name</stp>
        <stp>[RAMP_10-30-2018 vWIC.xlsm]Current Comps!R59C3</stp>
        <tr r="C59" s="35"/>
      </tp>
      <tp>
        <v>3173</v>
        <stp/>
        <stp>##V3_BDPV12</stp>
        <stp>CRM Equity</stp>
        <stp>BS_LT_BORROW</stp>
        <stp>[RAMP_11-29-2018 vWIC.xlsm]Current Comps!R7C21</stp>
        <stp>EQY_FUND_DT=20181129</stp>
        <stp>EQY_FUND_RELATIVE_PERIOD=-0FQ</stp>
        <tr r="U7" s="35"/>
        <tr r="U7" s="35"/>
      </tp>
      <tp t="s">
        <v>#N/A N/A</v>
        <stp/>
        <stp>##V3_BDHV12</stp>
        <stp>TWLO EQUITY</stp>
        <stp>BEST_GROSS_MARGIN</stp>
        <stp>11/29/2018</stp>
        <stp>11/29/2018</stp>
        <stp>[RAMP_11-29-2018 vWIC.xlsm]Current Comps!R19C38</stp>
        <stp>BEST_FPERIOD_OVERRIDE=21Y</stp>
        <stp>days=a</stp>
        <stp>fill=p</stp>
        <tr r="AL19" s="35"/>
      </tp>
      <tp>
        <v>54.773000000000003</v>
        <stp/>
        <stp>##V3_BDHV12</stp>
        <stp>TWLO EQUITY</stp>
        <stp>BEST_GROSS_MARGIN</stp>
        <stp>11/29/2018</stp>
        <stp>11/29/2018</stp>
        <stp>[RAMP_11-29-2018 vWIC.xlsm]Current Comps!R19C35</stp>
        <stp>BEST_FPERIOD_OVERRIDE=18Y</stp>
        <stp>days=a</stp>
        <stp>fill=p</stp>
        <tr r="AI19" s="35"/>
      </tp>
      <tp>
        <v>55</v>
        <stp/>
        <stp>##V3_BDHV12</stp>
        <stp>TWLO EQUITY</stp>
        <stp>BEST_GROSS_MARGIN</stp>
        <stp>11/29/2018</stp>
        <stp>11/29/2018</stp>
        <stp>[RAMP_11-29-2018 vWIC.xlsm]Current Comps!R19C37</stp>
        <stp>BEST_FPERIOD_OVERRIDE=20Y</stp>
        <stp>days=a</stp>
        <stp>fill=p</stp>
        <tr r="AK19" s="35"/>
      </tp>
      <tp>
        <v>54.56</v>
        <stp/>
        <stp>##V3_BDHV12</stp>
        <stp>TWLO EQUITY</stp>
        <stp>BEST_GROSS_MARGIN</stp>
        <stp>11/29/2018</stp>
        <stp>11/29/2018</stp>
        <stp>[RAMP_11-29-2018 vWIC.xlsm]Current Comps!R19C36</stp>
        <stp>BEST_FPERIOD_OVERRIDE=19Y</stp>
        <stp>days=a</stp>
        <stp>fill=p</stp>
        <tr r="AJ19" s="35"/>
      </tp>
      <tp t="s">
        <v>LIVERAMP HOLDINGS INC</v>
        <stp/>
        <stp>##V3_BDPV12</stp>
        <stp>RAMP EQUITY</stp>
        <stp>Name</stp>
        <stp>[RAMP_10-30-2018 vWIC.xlsm]Current Comps!R66C3</stp>
        <tr r="C66" s="35"/>
      </tp>
      <tp t="s">
        <v>LIVERAMP HOLDINGS INC</v>
        <stp/>
        <stp>##V3_BDPV12</stp>
        <stp>RAMP EQUITY</stp>
        <stp>Name</stp>
        <stp>[RAMP_10-30-2018 vWIC.xlsm]Current Comps!R56C3</stp>
        <tr r="C56" s="35"/>
      </tp>
      <tp>
        <v>950.13199999999995</v>
        <stp/>
        <stp>##V3_BDPV12</stp>
        <stp>WDAY Equity</stp>
        <stp>BS_LT_BORROW</stp>
        <stp>[RAMP_11-29-2018 vWIC.xlsm]Current Comps!R9C21</stp>
        <stp>EQY_FUND_DT=20181129</stp>
        <stp>EQY_FUND_RELATIVE_PERIOD=-0FQ</stp>
        <tr r="U9" s="35"/>
        <tr r="U9" s="35"/>
      </tp>
      <tp>
        <v>-65.266999999999996</v>
        <stp/>
        <stp>##V3_BDHV12</stp>
        <stp>SPLK EQUITY</stp>
        <stp>TRAIL_12M_CAP_EXPEND</stp>
        <stp>11/29/2018</stp>
        <stp>11/29/2018</stp>
        <stp>[RAMP_11-29-2018 vWIC.xlsm]Current Comps!R10C59</stp>
        <stp>days=a</stp>
        <stp>fill=p</stp>
        <tr r="BG10" s="35"/>
      </tp>
      <tp>
        <v>-107.837</v>
        <stp/>
        <stp>##V3_BDHV12</stp>
        <stp>WDAY EQUITY</stp>
        <stp>TRAIL_12M_EBITDA</stp>
        <stp>11/29/2018</stp>
        <stp>11/29/2018</stp>
        <stp>[RAMP_11-29-2018 vWIC.xlsm]Current Comps!R9C34</stp>
        <stp>days=a</stp>
        <stp>fill=p</stp>
        <tr r="AH9" s="35"/>
      </tp>
      <tp t="s">
        <v>SERVICENOW INC</v>
        <stp/>
        <stp>##V3_BDPV12</stp>
        <stp>NOW EQUITY</stp>
        <stp>Name</stp>
        <stp>[RAMP_10-30-2018 vWIC.xlsm]Current Comps!R11C3</stp>
        <tr r="C11" s="35"/>
      </tp>
      <tp t="s">
        <v>LIVERAMP HOLDINGS INC</v>
        <stp/>
        <stp>##V3_BDPV12</stp>
        <stp>RAMP EQUITY</stp>
        <stp>Name</stp>
        <stp>[RAMP_10-30-2018 vWIC.xlsm]Current Comps!R67C3</stp>
        <tr r="C67" s="35"/>
      </tp>
      <tp t="s">
        <v>LIVERAMP HOLDINGS INC</v>
        <stp/>
        <stp>##V3_BDPV12</stp>
        <stp>RAMP EQUITY</stp>
        <stp>Name</stp>
        <stp>[RAMP_10-30-2018 vWIC.xlsm]Current Comps!R47C3</stp>
        <tr r="C47" s="35"/>
      </tp>
      <tp t="s">
        <v>LIVERAMP HOLDINGS INC</v>
        <stp/>
        <stp>##V3_BDPV12</stp>
        <stp>RAMP EQUITY</stp>
        <stp>Name</stp>
        <stp>[RAMP_10-30-2018 vWIC.xlsm]Current Comps!R57C3</stp>
        <tr r="C57" s="35"/>
      </tp>
      <tp>
        <v>54.533000000000001</v>
        <stp/>
        <stp>##V3_BDPV12</stp>
        <stp>RAMP EQUITY</stp>
        <stp>BEST GROSS MARGIN</stp>
        <stp>[RAMP_10-30-2018 vWIC.xlsm]Summary!R22C21</stp>
        <stp>BEST_FPERIOD_OVERRIDE=19Q3</stp>
        <tr r="U22" s="1"/>
      </tp>
      <tp>
        <v>55.767000000000003</v>
        <stp/>
        <stp>##V3_BDPV12</stp>
        <stp>RAMP EQUITY</stp>
        <stp>BEST GROSS MARGIN</stp>
        <stp>[RAMP_10-30-2018 vWIC.xlsm]Summary!R22C21</stp>
        <stp>BEST_FPERIOD_OVERRIDE=19Q4</stp>
        <tr r="U22" s="1"/>
      </tp>
      <tp>
        <v>44.22</v>
        <stp/>
        <stp>##V3_BDPV12</stp>
        <stp>SEND EQUITY</stp>
        <stp>last price</stp>
        <stp>[RAMP_11-29-2018 vWIC.xlsm]Current Comps!R116C5</stp>
        <tr r="E116" s="35"/>
      </tp>
      <tp>
        <v>1291.3519999999999</v>
        <stp/>
        <stp>##V3_BDPV12</stp>
        <stp>WDAY Equity</stp>
        <stp>BS_MKT_SEC_OTHER_ST_INVEST</stp>
        <stp>[RAMP_11-29-2018 vWIC.xlsm]Current Comps!R9C25</stp>
        <stp>EQY_FUND_DT=20181129</stp>
        <stp>EQY_FUND_RELATIVE_PERIOD=-0FQ</stp>
        <tr r="Y9" s="35"/>
        <tr r="Y9" s="35"/>
      </tp>
      <tp>
        <v>-58</v>
        <stp/>
        <stp>##V3_BDHV12</stp>
        <stp>DATA EQUITY</stp>
        <stp>BEST_CAPEX</stp>
        <stp>11/29/2018</stp>
        <stp>11/29/2018</stp>
        <stp>[RAMP_11-29-2018 vWIC.xlsm]Current Comps!R8C63</stp>
        <stp>BEST_FPERIOD_OVERRIDE=21Y</stp>
        <stp>days=a</stp>
        <stp>fill=p</stp>
        <tr r="BK8" s="35"/>
      </tp>
      <tp>
        <v>-34.006999999999998</v>
        <stp/>
        <stp>##V3_BDHV12</stp>
        <stp>DATA EQUITY</stp>
        <stp>BEST_CAPEX</stp>
        <stp>11/29/2018</stp>
        <stp>11/29/2018</stp>
        <stp>[RAMP_11-29-2018 vWIC.xlsm]Current Comps!R8C60</stp>
        <stp>BEST_FPERIOD_OVERRIDE=18Y</stp>
        <stp>days=a</stp>
        <stp>fill=p</stp>
        <tr r="BH8" s="35"/>
      </tp>
      <tp>
        <v>-56.9</v>
        <stp/>
        <stp>##V3_BDHV12</stp>
        <stp>DATA EQUITY</stp>
        <stp>BEST_CAPEX</stp>
        <stp>11/29/2018</stp>
        <stp>11/29/2018</stp>
        <stp>[RAMP_11-29-2018 vWIC.xlsm]Current Comps!R8C62</stp>
        <stp>BEST_FPERIOD_OVERRIDE=20Y</stp>
        <stp>days=a</stp>
        <stp>fill=p</stp>
        <tr r="BJ8" s="35"/>
      </tp>
      <tp>
        <v>-48.286999999999999</v>
        <stp/>
        <stp>##V3_BDHV12</stp>
        <stp>DATA EQUITY</stp>
        <stp>BEST_CAPEX</stp>
        <stp>11/29/2018</stp>
        <stp>11/29/2018</stp>
        <stp>[RAMP_11-29-2018 vWIC.xlsm]Current Comps!R8C61</stp>
        <stp>BEST_FPERIOD_OVERRIDE=19Y</stp>
        <stp>days=a</stp>
        <stp>fill=p</stp>
        <tr r="BI8" s="35"/>
      </tp>
      <tp t="s">
        <v>LIVERAMP HOLDINGS INC</v>
        <stp/>
        <stp>##V3_BDPV12</stp>
        <stp>RAMP EQUITY</stp>
        <stp>Name</stp>
        <stp>[RAMP_10-30-2018 vWIC.xlsm]Current Comps!R64C3</stp>
        <tr r="C64" s="35"/>
      </tp>
      <tp t="s">
        <v>LIVERAMP HOLDINGS INC</v>
        <stp/>
        <stp>##V3_BDPV12</stp>
        <stp>RAMP EQUITY</stp>
        <stp>Name</stp>
        <stp>[RAMP_10-30-2018 vWIC.xlsm]Current Comps!R74C3</stp>
        <tr r="C74" s="35"/>
      </tp>
      <tp t="s">
        <v>LIVERAMP HOLDINGS INC</v>
        <stp/>
        <stp>##V3_BDPV12</stp>
        <stp>RAMP EQUITY</stp>
        <stp>Name</stp>
        <stp>[RAMP_10-30-2018 vWIC.xlsm]Current Comps!R44C3</stp>
        <tr r="C44" s="35"/>
      </tp>
      <tp t="s">
        <v>LIVERAMP HOLDINGS INC</v>
        <stp/>
        <stp>##V3_BDPV12</stp>
        <stp>RAMP EQUITY</stp>
        <stp>Name</stp>
        <stp>[RAMP_10-30-2018 vWIC.xlsm]Current Comps!R54C3</stp>
        <tr r="C54" s="35"/>
      </tp>
      <tp>
        <v>58.195</v>
        <stp/>
        <stp>##V3_BDPV12</stp>
        <stp>OKTA EQUITY</stp>
        <stp>last price</stp>
        <stp>[RAMP_11-29-2018 vWIC.xlsm]Current Comps!R112C5</stp>
        <tr r="E112" s="35"/>
      </tp>
      <tp>
        <v>98.075000000000003</v>
        <stp/>
        <stp>##V3_BDPV12</stp>
        <stp>SPLK EQUITY</stp>
        <stp>last price</stp>
        <stp>[RAMP_11-29-2018 vWIC.xlsm]Current Comps!R108C5</stp>
        <tr r="E108" s="35"/>
      </tp>
      <tp>
        <v>2428.232</v>
        <stp/>
        <stp>##V3_BDHV12</stp>
        <stp>WDAY EQUITY</stp>
        <stp>TRAIL_12M_NET_SALES</stp>
        <stp>11/29/2018</stp>
        <stp>11/29/2018</stp>
        <stp>[RAMP_11-29-2018 vWIC.xlsm]Current Comps!R9C29</stp>
        <stp>days=a</stp>
        <stp>fill=p</stp>
        <tr r="AC9" s="35"/>
      </tp>
      <tp t="s">
        <v>TRADE DESK INC/THE -CLASS A</v>
        <stp/>
        <stp>##V3_BDPV12</stp>
        <stp>TTD EQUITY</stp>
        <stp>Name</stp>
        <stp>[RAMP_10-30-2018 vWIC.xlsm]Current Comps!R13C3</stp>
        <tr r="C13" s="35"/>
      </tp>
      <tp t="s">
        <v>LIVERAMP HOLDINGS INC</v>
        <stp/>
        <stp>##V3_BDPV12</stp>
        <stp>RAMP EQUITY</stp>
        <stp>Name</stp>
        <stp>[RAMP_10-30-2018 vWIC.xlsm]Current Comps!R65C3</stp>
        <tr r="C65" s="35"/>
      </tp>
      <tp t="s">
        <v>LIVERAMP HOLDINGS INC</v>
        <stp/>
        <stp>##V3_BDPV12</stp>
        <stp>RAMP EQUITY</stp>
        <stp>Name</stp>
        <stp>[RAMP_10-30-2018 vWIC.xlsm]Current Comps!R55C3</stp>
        <tr r="C55" s="35"/>
      </tp>
      <tp>
        <v>-21.875</v>
        <stp/>
        <stp>##V3_BDHV12</stp>
        <stp>HUBS EQUITY</stp>
        <stp>TRAIL_12M_CAP_EXPEND</stp>
        <stp>11/29/2018</stp>
        <stp>11/29/2018</stp>
        <stp>[RAMP_11-29-2018 vWIC.xlsm]Current Comps!R17C59</stp>
        <stp>days=a</stp>
        <stp>fill=p</stp>
        <tr r="BG17" s="35"/>
      </tp>
      <tp>
        <v>144.715</v>
        <stp/>
        <stp>##V3_BDHV12</stp>
        <stp>WDAY Equity</stp>
        <stp>PX_LAST</stp>
        <stp>11/29/2018</stp>
        <stp>11/29/2018</stp>
        <stp>[RAMP_11-29-2018 vWIC.xlsm]Current Comps!R9C19</stp>
        <stp>days=a</stp>
        <stp>fill=p</stp>
        <tr r="S9" s="35"/>
      </tp>
      <tp t="s">
        <v>LIVERAMP HOLDINGS INC</v>
        <stp/>
        <stp>##V3_BDPV12</stp>
        <stp>RAMP EQUITY</stp>
        <stp>Name</stp>
        <stp>[RAMP_10-30-2018 vWIC.xlsm]Current Comps!R62C3</stp>
        <tr r="C62" s="35"/>
      </tp>
      <tp t="s">
        <v>LIVERAMP HOLDINGS INC</v>
        <stp/>
        <stp>##V3_BDPV12</stp>
        <stp>RAMP EQUITY</stp>
        <stp>Name</stp>
        <stp>[RAMP_10-30-2018 vWIC.xlsm]Current Comps!R72C3</stp>
        <tr r="C72" s="35"/>
      </tp>
      <tp t="s">
        <v>LIVERAMP HOLDINGS INC</v>
        <stp/>
        <stp>##V3_BDPV12</stp>
        <stp>RAMP EQUITY</stp>
        <stp>Name</stp>
        <stp>[RAMP_10-30-2018 vWIC.xlsm]Current Comps!R52C3</stp>
        <tr r="C52" s="35"/>
      </tp>
      <tp>
        <v>177.16</v>
        <stp/>
        <stp>##V3_BDPV12</stp>
        <stp>NOW EQUITY</stp>
        <stp>last price</stp>
        <stp>[RAMP_11-29-2018 vWIC.xlsm]Current Comps!R109C5</stp>
        <tr r="E109" s="35"/>
      </tp>
      <tp>
        <v>-41.2</v>
        <stp/>
        <stp>##V3_BDHV12</stp>
        <stp>YEXT EQUITY</stp>
        <stp>BEST_EBIT</stp>
        <stp>11/29/2018</stp>
        <stp>11/29/2018</stp>
        <stp>[RAMP_11-29-2018 vWIC.xlsm]Current Comps!R16C41</stp>
        <stp>BEST_FPERIOD_OVERRIDE=19Y</stp>
        <stp>days=a</stp>
        <stp>fill=p</stp>
        <tr r="AO16" s="35"/>
      </tp>
      <tp>
        <v>-36.5</v>
        <stp/>
        <stp>##V3_BDHV12</stp>
        <stp>YEXT EQUITY</stp>
        <stp>BEST_EBIT</stp>
        <stp>11/29/2018</stp>
        <stp>11/29/2018</stp>
        <stp>[RAMP_11-29-2018 vWIC.xlsm]Current Comps!R16C42</stp>
        <stp>BEST_FPERIOD_OVERRIDE=20Y</stp>
        <stp>days=a</stp>
        <stp>fill=p</stp>
        <tr r="AP16" s="35"/>
      </tp>
      <tp>
        <v>-45</v>
        <stp/>
        <stp>##V3_BDHV12</stp>
        <stp>YEXT EQUITY</stp>
        <stp>BEST_EBIT</stp>
        <stp>11/29/2018</stp>
        <stp>11/29/2018</stp>
        <stp>[RAMP_11-29-2018 vWIC.xlsm]Current Comps!R16C40</stp>
        <stp>BEST_FPERIOD_OVERRIDE=18Y</stp>
        <stp>days=a</stp>
        <stp>fill=p</stp>
        <tr r="AN16" s="35"/>
      </tp>
      <tp>
        <v>-28</v>
        <stp/>
        <stp>##V3_BDHV12</stp>
        <stp>YEXT EQUITY</stp>
        <stp>BEST_EBIT</stp>
        <stp>11/29/2018</stp>
        <stp>11/29/2018</stp>
        <stp>[RAMP_11-29-2018 vWIC.xlsm]Current Comps!R16C43</stp>
        <stp>BEST_FPERIOD_OVERRIDE=21Y</stp>
        <stp>days=a</stp>
        <stp>fill=p</stp>
        <tr r="AQ16" s="35"/>
      </tp>
      <tp t="s">
        <v>ZENDESK INC</v>
        <stp/>
        <stp>##V3_BDPV12</stp>
        <stp>ZEN EQUITY</stp>
        <stp>Name</stp>
        <stp>[RAMP_10-30-2018 vWIC.xlsm]Current Comps!R15C3</stp>
        <tr r="C15" s="35"/>
      </tp>
      <tp t="s">
        <v>LIVERAMP HOLDINGS INC</v>
        <stp/>
        <stp>##V3_BDPV12</stp>
        <stp>RAMP EQUITY</stp>
        <stp>Name</stp>
        <stp>[RAMP_10-30-2018 vWIC.xlsm]Current Comps!R63C3</stp>
        <tr r="C63" s="35"/>
      </tp>
      <tp t="s">
        <v>LIVERAMP HOLDINGS INC</v>
        <stp/>
        <stp>##V3_BDPV12</stp>
        <stp>RAMP EQUITY</stp>
        <stp>Name</stp>
        <stp>[RAMP_10-30-2018 vWIC.xlsm]Current Comps!R73C3</stp>
        <tr r="C73" s="35"/>
      </tp>
      <tp t="s">
        <v>LIVERAMP HOLDINGS INC</v>
        <stp/>
        <stp>##V3_BDPV12</stp>
        <stp>RAMP EQUITY</stp>
        <stp>Name</stp>
        <stp>[RAMP_10-30-2018 vWIC.xlsm]Current Comps!R53C3</stp>
        <tr r="C53" s="35"/>
      </tp>
      <tp>
        <v>-3.6829999999999998</v>
        <stp/>
        <stp>##V3_BDHV12</stp>
        <stp>TWLO EQUITY</stp>
        <stp>TRAIL_12M_CAP_EXPEND</stp>
        <stp>11/29/2018</stp>
        <stp>11/29/2018</stp>
        <stp>[RAMP_11-29-2018 vWIC.xlsm]Current Comps!R19C59</stp>
        <stp>days=a</stp>
        <stp>fill=p</stp>
        <tr r="BG19" s="35"/>
      </tp>
      <tp>
        <v>475.86900000000003</v>
        <stp/>
        <stp>##V3_BDHV12</stp>
        <stp>CRM EQUITY</stp>
        <stp>TRAIL_12M_OPER_INC</stp>
        <stp>11/29/2018</stp>
        <stp>11/29/2018</stp>
        <stp>[RAMP_11-29-2018 vWIC.xlsm]Current Comps!R7C39</stp>
        <stp>days=a</stp>
        <stp>fill=p</stp>
        <tr r="AM7" s="35"/>
      </tp>
      <tp>
        <v>74</v>
        <stp/>
        <stp>##V3_BDHV12</stp>
        <stp>RAMP EQUITY</stp>
        <stp>BEST_GROSS_MARGIN</stp>
        <stp>11/29/2018</stp>
        <stp>11/29/2018</stp>
        <stp>[RAMP_11-29-2018 vWIC.xlsm]Current Comps!R62C38</stp>
        <stp>BEST_FPERIOD_OVERRIDE=21Y</stp>
        <stp>days=a</stp>
        <stp>fill=p</stp>
        <tr r="AL62" s="35"/>
      </tp>
      <tp>
        <v>74</v>
        <stp/>
        <stp>##V3_BDHV12</stp>
        <stp>RAMP EQUITY</stp>
        <stp>BEST_GROSS_MARGIN</stp>
        <stp>11/29/2018</stp>
        <stp>11/29/2018</stp>
        <stp>[RAMP_11-29-2018 vWIC.xlsm]Current Comps!R47C38</stp>
        <stp>BEST_FPERIOD_OVERRIDE=21Y</stp>
        <stp>days=a</stp>
        <stp>fill=p</stp>
        <tr r="AL47" s="35"/>
      </tp>
      <tp>
        <v>74</v>
        <stp/>
        <stp>##V3_BDHV12</stp>
        <stp>RAMP EQUITY</stp>
        <stp>BEST_GROSS_MARGIN</stp>
        <stp>11/29/2018</stp>
        <stp>11/29/2018</stp>
        <stp>[RAMP_11-29-2018 vWIC.xlsm]Current Comps!R44C38</stp>
        <stp>BEST_FPERIOD_OVERRIDE=21Y</stp>
        <stp>days=a</stp>
        <stp>fill=p</stp>
        <tr r="AL44" s="35"/>
      </tp>
      <tp>
        <v>74</v>
        <stp/>
        <stp>##V3_BDHV12</stp>
        <stp>RAMP EQUITY</stp>
        <stp>BEST_GROSS_MARGIN</stp>
        <stp>11/29/2018</stp>
        <stp>11/29/2018</stp>
        <stp>[RAMP_11-29-2018 vWIC.xlsm]Current Comps!R41C38</stp>
        <stp>BEST_FPERIOD_OVERRIDE=21Y</stp>
        <stp>days=a</stp>
        <stp>fill=p</stp>
        <tr r="AL41" s="35"/>
      </tp>
      <tp>
        <v>48.72</v>
        <stp/>
        <stp>##V3_BDHV12</stp>
        <stp>RAMP EQUITY</stp>
        <stp>BEST_GROSS_MARGIN</stp>
        <stp>11/29/2018</stp>
        <stp>11/29/2018</stp>
        <stp>[RAMP_11-29-2018 vWIC.xlsm]Current Comps!R47C35</stp>
        <stp>BEST_FPERIOD_OVERRIDE=18Y</stp>
        <stp>days=a</stp>
        <stp>fill=p</stp>
        <tr r="AI47" s="35"/>
      </tp>
      <tp>
        <v>48.72</v>
        <stp/>
        <stp>##V3_BDHV12</stp>
        <stp>RAMP EQUITY</stp>
        <stp>BEST_GROSS_MARGIN</stp>
        <stp>11/29/2018</stp>
        <stp>11/29/2018</stp>
        <stp>[RAMP_11-29-2018 vWIC.xlsm]Current Comps!R44C35</stp>
        <stp>BEST_FPERIOD_OVERRIDE=18Y</stp>
        <stp>days=a</stp>
        <stp>fill=p</stp>
        <tr r="AI44" s="35"/>
      </tp>
      <tp>
        <v>48.72</v>
        <stp/>
        <stp>##V3_BDHV12</stp>
        <stp>RAMP EQUITY</stp>
        <stp>BEST_GROSS_MARGIN</stp>
        <stp>11/29/2018</stp>
        <stp>11/29/2018</stp>
        <stp>[RAMP_11-29-2018 vWIC.xlsm]Current Comps!R41C35</stp>
        <stp>BEST_FPERIOD_OVERRIDE=18Y</stp>
        <stp>days=a</stp>
        <stp>fill=p</stp>
        <tr r="AI41" s="35"/>
      </tp>
      <tp>
        <v>67.25</v>
        <stp/>
        <stp>##V3_BDHV12</stp>
        <stp>RAMP EQUITY</stp>
        <stp>BEST_GROSS_MARGIN</stp>
        <stp>11/29/2018</stp>
        <stp>11/29/2018</stp>
        <stp>[RAMP_11-29-2018 vWIC.xlsm]Current Comps!R47C37</stp>
        <stp>BEST_FPERIOD_OVERRIDE=20Y</stp>
        <stp>days=a</stp>
        <stp>fill=p</stp>
        <tr r="AK47" s="35"/>
      </tp>
      <tp>
        <v>67.25</v>
        <stp/>
        <stp>##V3_BDHV12</stp>
        <stp>RAMP EQUITY</stp>
        <stp>BEST_GROSS_MARGIN</stp>
        <stp>11/29/2018</stp>
        <stp>11/29/2018</stp>
        <stp>[RAMP_11-29-2018 vWIC.xlsm]Current Comps!R44C37</stp>
        <stp>BEST_FPERIOD_OVERRIDE=20Y</stp>
        <stp>days=a</stp>
        <stp>fill=p</stp>
        <tr r="AK44" s="35"/>
      </tp>
      <tp>
        <v>67.25</v>
        <stp/>
        <stp>##V3_BDHV12</stp>
        <stp>RAMP EQUITY</stp>
        <stp>BEST_GROSS_MARGIN</stp>
        <stp>11/29/2018</stp>
        <stp>11/29/2018</stp>
        <stp>[RAMP_11-29-2018 vWIC.xlsm]Current Comps!R41C37</stp>
        <stp>BEST_FPERIOD_OVERRIDE=20Y</stp>
        <stp>days=a</stp>
        <stp>fill=p</stp>
        <tr r="AK41" s="35"/>
      </tp>
      <tp>
        <v>59.667000000000002</v>
        <stp/>
        <stp>##V3_BDHV12</stp>
        <stp>RAMP EQUITY</stp>
        <stp>BEST_GROSS_MARGIN</stp>
        <stp>11/29/2018</stp>
        <stp>11/29/2018</stp>
        <stp>[RAMP_11-29-2018 vWIC.xlsm]Current Comps!R62C36</stp>
        <stp>BEST_FPERIOD_OVERRIDE=19Y</stp>
        <stp>days=a</stp>
        <stp>fill=p</stp>
        <tr r="AJ62" s="35"/>
      </tp>
      <tp>
        <v>48.72</v>
        <stp/>
        <stp>##V3_BDHV12</stp>
        <stp>RAMP EQUITY</stp>
        <stp>BEST_GROSS_MARGIN</stp>
        <stp>11/29/2018</stp>
        <stp>11/29/2018</stp>
        <stp>[RAMP_11-29-2018 vWIC.xlsm]Current Comps!R62C35</stp>
        <stp>BEST_FPERIOD_OVERRIDE=18Y</stp>
        <stp>days=a</stp>
        <stp>fill=p</stp>
        <tr r="AI62" s="35"/>
      </tp>
      <tp>
        <v>67.25</v>
        <stp/>
        <stp>##V3_BDHV12</stp>
        <stp>RAMP EQUITY</stp>
        <stp>BEST_GROSS_MARGIN</stp>
        <stp>11/29/2018</stp>
        <stp>11/29/2018</stp>
        <stp>[RAMP_11-29-2018 vWIC.xlsm]Current Comps!R62C37</stp>
        <stp>BEST_FPERIOD_OVERRIDE=20Y</stp>
        <stp>days=a</stp>
        <stp>fill=p</stp>
        <tr r="AK62" s="35"/>
      </tp>
      <tp>
        <v>59.667000000000002</v>
        <stp/>
        <stp>##V3_BDHV12</stp>
        <stp>RAMP EQUITY</stp>
        <stp>BEST_GROSS_MARGIN</stp>
        <stp>11/29/2018</stp>
        <stp>11/29/2018</stp>
        <stp>[RAMP_11-29-2018 vWIC.xlsm]Current Comps!R47C36</stp>
        <stp>BEST_FPERIOD_OVERRIDE=19Y</stp>
        <stp>days=a</stp>
        <stp>fill=p</stp>
        <tr r="AJ47" s="35"/>
      </tp>
      <tp>
        <v>59.667000000000002</v>
        <stp/>
        <stp>##V3_BDHV12</stp>
        <stp>RAMP EQUITY</stp>
        <stp>BEST_GROSS_MARGIN</stp>
        <stp>11/29/2018</stp>
        <stp>11/29/2018</stp>
        <stp>[RAMP_11-29-2018 vWIC.xlsm]Current Comps!R44C36</stp>
        <stp>BEST_FPERIOD_OVERRIDE=19Y</stp>
        <stp>days=a</stp>
        <stp>fill=p</stp>
        <tr r="AJ44" s="35"/>
      </tp>
      <tp>
        <v>59.667000000000002</v>
        <stp/>
        <stp>##V3_BDHV12</stp>
        <stp>RAMP EQUITY</stp>
        <stp>BEST_GROSS_MARGIN</stp>
        <stp>11/29/2018</stp>
        <stp>11/29/2018</stp>
        <stp>[RAMP_11-29-2018 vWIC.xlsm]Current Comps!R41C36</stp>
        <stp>BEST_FPERIOD_OVERRIDE=19Y</stp>
        <stp>days=a</stp>
        <stp>fill=p</stp>
        <tr r="AJ41" s="35"/>
      </tp>
      <tp>
        <v>317.505</v>
        <stp/>
        <stp>##V3_BDPV12</stp>
        <stp>DATA Equity</stp>
        <stp>BS_MKT_SEC_OTHER_ST_INVEST</stp>
        <stp>[RAMP_11-29-2018 vWIC.xlsm]Current Comps!R8C25</stp>
        <stp>EQY_FUND_DT=20181129</stp>
        <stp>EQY_FUND_RELATIVE_PERIOD=-0FQ</stp>
        <tr r="Y8" s="35"/>
        <tr r="Y8" s="35"/>
      </tp>
      <tp t="s">
        <v>LIVERAMP HOLDINGS INC</v>
        <stp/>
        <stp>##V3_BDPV12</stp>
        <stp>RAMP EQUITY</stp>
        <stp>Name</stp>
        <stp>[RAMP_10-30-2018 vWIC.xlsm]Current Comps!R70C3</stp>
        <tr r="C70" s="35"/>
      </tp>
      <tp t="s">
        <v>LIVERAMP HOLDINGS INC</v>
        <stp/>
        <stp>##V3_BDPV12</stp>
        <stp>RAMP EQUITY</stp>
        <stp>Name</stp>
        <stp>[RAMP_10-30-2018 vWIC.xlsm]Current Comps!R50C3</stp>
        <tr r="C50" s="35"/>
      </tp>
      <tp>
        <v>119.39</v>
        <stp/>
        <stp>##V3_BDPV12</stp>
        <stp>DATA EQUITY</stp>
        <stp>last price</stp>
        <stp>[RAMP_11-29-2018 vWIC.xlsm]Current Comps!R106C5</stp>
        <tr r="E106" s="35"/>
      </tp>
      <tp>
        <v>0</v>
        <stp/>
        <stp>##V3_BDPV12</stp>
        <stp>DATA Equity</stp>
        <stp>BS_ST_BORROW</stp>
        <stp>[RAMP_11-29-2018 vWIC.xlsm]Current Comps!R8C20</stp>
        <stp>EQY_FUND_DT=20181129</stp>
        <stp>EQY_FUND_RELATIVE_PERIOD=-0FQ</stp>
        <tr r="T8" s="35"/>
        <tr r="T8" s="35"/>
      </tp>
      <tp t="s">
        <v>#N/A N/A</v>
        <stp/>
        <stp>##V3_BDHV12</stp>
        <stp>SEND EQUITY</stp>
        <stp>BEST_GROSS_MARGIN</stp>
        <stp>11/29/2018</stp>
        <stp>11/29/2018</stp>
        <stp>[RAMP_11-29-2018 vWIC.xlsm]Current Comps!R20C38</stp>
        <stp>BEST_FPERIOD_OVERRIDE=21Y</stp>
        <stp>days=a</stp>
        <stp>fill=p</stp>
        <tr r="AL20" s="35"/>
      </tp>
      <tp t="s">
        <v>#N/A N/A</v>
        <stp/>
        <stp>##V3_BDHV12</stp>
        <stp>SEND EQUITY</stp>
        <stp>BEST_GROSS_MARGIN</stp>
        <stp>11/29/2018</stp>
        <stp>11/29/2018</stp>
        <stp>[RAMP_11-29-2018 vWIC.xlsm]Current Comps!R20C37</stp>
        <stp>BEST_FPERIOD_OVERRIDE=20Y</stp>
        <stp>days=a</stp>
        <stp>fill=p</stp>
        <tr r="AK20" s="35"/>
      </tp>
      <tp>
        <v>75.599999999999994</v>
        <stp/>
        <stp>##V3_BDHV12</stp>
        <stp>SEND EQUITY</stp>
        <stp>BEST_GROSS_MARGIN</stp>
        <stp>11/29/2018</stp>
        <stp>11/29/2018</stp>
        <stp>[RAMP_11-29-2018 vWIC.xlsm]Current Comps!R20C35</stp>
        <stp>BEST_FPERIOD_OVERRIDE=18Y</stp>
        <stp>days=a</stp>
        <stp>fill=p</stp>
        <tr r="AI20" s="35"/>
      </tp>
      <tp>
        <v>75.900000000000006</v>
        <stp/>
        <stp>##V3_BDHV12</stp>
        <stp>SEND EQUITY</stp>
        <stp>BEST_GROSS_MARGIN</stp>
        <stp>11/29/2018</stp>
        <stp>11/29/2018</stp>
        <stp>[RAMP_11-29-2018 vWIC.xlsm]Current Comps!R20C36</stp>
        <stp>BEST_FPERIOD_OVERRIDE=19Y</stp>
        <stp>days=a</stp>
        <stp>fill=p</stp>
        <tr r="AJ20" s="35"/>
      </tp>
      <tp>
        <v>83.995000000000005</v>
        <stp/>
        <stp>##V3_BDHV12</stp>
        <stp>SPLK EQUITY</stp>
        <stp>BEST_GROSS_MARGIN</stp>
        <stp>11/29/2018</stp>
        <stp>11/29/2018</stp>
        <stp>[RAMP_11-29-2018 vWIC.xlsm]Current Comps!R10C38</stp>
        <stp>BEST_FPERIOD_OVERRIDE=21Y</stp>
        <stp>days=a</stp>
        <stp>fill=p</stp>
        <tr r="AL10" s="35"/>
      </tp>
      <tp>
        <v>83.311000000000007</v>
        <stp/>
        <stp>##V3_BDHV12</stp>
        <stp>SPLK EQUITY</stp>
        <stp>BEST_GROSS_MARGIN</stp>
        <stp>11/29/2018</stp>
        <stp>11/29/2018</stp>
        <stp>[RAMP_11-29-2018 vWIC.xlsm]Current Comps!R10C35</stp>
        <stp>BEST_FPERIOD_OVERRIDE=18Y</stp>
        <stp>days=a</stp>
        <stp>fill=p</stp>
        <tr r="AI10" s="35"/>
      </tp>
      <tp>
        <v>83.444000000000003</v>
        <stp/>
        <stp>##V3_BDHV12</stp>
        <stp>SPLK EQUITY</stp>
        <stp>BEST_GROSS_MARGIN</stp>
        <stp>11/29/2018</stp>
        <stp>11/29/2018</stp>
        <stp>[RAMP_11-29-2018 vWIC.xlsm]Current Comps!R10C37</stp>
        <stp>BEST_FPERIOD_OVERRIDE=20Y</stp>
        <stp>days=a</stp>
        <stp>fill=p</stp>
        <tr r="AK10" s="35"/>
      </tp>
      <tp>
        <v>83.334999999999994</v>
        <stp/>
        <stp>##V3_BDHV12</stp>
        <stp>SPLK EQUITY</stp>
        <stp>BEST_GROSS_MARGIN</stp>
        <stp>11/29/2018</stp>
        <stp>11/29/2018</stp>
        <stp>[RAMP_11-29-2018 vWIC.xlsm]Current Comps!R10C36</stp>
        <stp>BEST_FPERIOD_OVERRIDE=19Y</stp>
        <stp>days=a</stp>
        <stp>fill=p</stp>
        <tr r="AJ10" s="35"/>
      </tp>
      <tp>
        <v>25209.74</v>
        <stp/>
        <stp>##V3_BDPV12</stp>
        <stp>INDU INDEX</stp>
        <stp>last price</stp>
        <stp>[RAMP_11-29-2018 vWIC.xlsm]Current Comps!R103C5</stp>
        <tr r="E103" s="35"/>
      </tp>
      <tp t="s">
        <v>SPLUNK INC</v>
        <stp/>
        <stp>##V3_BDPV12</stp>
        <stp>SPLK EQUITY</stp>
        <stp>Name</stp>
        <stp>[RAMP_10-30-2018 vWIC.xlsm]Current Comps!R10C3</stp>
        <tr r="C10" s="35"/>
      </tp>
      <tp t="s">
        <v>SENDGRID INC</v>
        <stp/>
        <stp>##V3_BDPV12</stp>
        <stp>SEND EQUITY</stp>
        <stp>Name</stp>
        <stp>[RAMP_10-30-2018 vWIC.xlsm]Current Comps!R20C3</stp>
        <tr r="C20" s="35"/>
      </tp>
      <tp t="s">
        <v>LIVERAMP HOLDINGS INC</v>
        <stp/>
        <stp>##V3_BDPV12</stp>
        <stp>RAMP EQUITY</stp>
        <stp>Name</stp>
        <stp>[RAMP_10-30-2018 vWIC.xlsm]Current Comps!R71C3</stp>
        <tr r="C71" s="35"/>
      </tp>
      <tp t="s">
        <v>LIVERAMP HOLDINGS INC</v>
        <stp/>
        <stp>##V3_BDPV12</stp>
        <stp>RAMP EQUITY</stp>
        <stp>Name</stp>
        <stp>[RAMP_10-30-2018 vWIC.xlsm]Current Comps!R41C3</stp>
        <tr r="C41" s="35"/>
      </tp>
      <tp t="s">
        <v>LIVERAMP HOLDINGS INC</v>
        <stp/>
        <stp>##V3_BDPV12</stp>
        <stp>RAMP EQUITY</stp>
        <stp>Name</stp>
        <stp>[RAMP_10-30-2018 vWIC.xlsm]Current Comps!R51C3</stp>
        <tr r="C51" s="3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volatileDependencies" Target="volatileDependenci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23085590802272E-2"/>
          <c:y val="5.0595385147487522E-2"/>
          <c:w val="0.92564218454800751"/>
          <c:h val="0.76190697633863569"/>
        </c:manualLayout>
      </c:layout>
      <c:lineChart>
        <c:grouping val="standard"/>
        <c:varyColors val="0"/>
        <c:ser>
          <c:idx val="0"/>
          <c:order val="0"/>
          <c:tx>
            <c:strRef>
              <c:f>Summary!$AC$100</c:f>
              <c:strCache>
                <c:ptCount val="1"/>
                <c:pt idx="0">
                  <c:v>ACXM EV/EBITDA</c:v>
                </c:pt>
              </c:strCache>
            </c:strRef>
          </c:tx>
          <c:spPr>
            <a:ln w="25400">
              <a:solidFill>
                <a:srgbClr val="000080"/>
              </a:solidFill>
              <a:prstDash val="solid"/>
            </a:ln>
          </c:spPr>
          <c:marker>
            <c:symbol val="none"/>
          </c:marker>
          <c:cat>
            <c:numRef>
              <c:f>Summary!$AB$564:$AB$5006</c:f>
              <c:numCache>
                <c:formatCode>m/d/yyyy</c:formatCode>
                <c:ptCount val="4443"/>
                <c:pt idx="0">
                  <c:v>38674</c:v>
                </c:pt>
                <c:pt idx="1">
                  <c:v>38681</c:v>
                </c:pt>
                <c:pt idx="2">
                  <c:v>38688</c:v>
                </c:pt>
                <c:pt idx="3">
                  <c:v>38695</c:v>
                </c:pt>
                <c:pt idx="4">
                  <c:v>38702</c:v>
                </c:pt>
                <c:pt idx="5">
                  <c:v>38709</c:v>
                </c:pt>
                <c:pt idx="6">
                  <c:v>38716</c:v>
                </c:pt>
                <c:pt idx="7">
                  <c:v>38723</c:v>
                </c:pt>
                <c:pt idx="8">
                  <c:v>38730</c:v>
                </c:pt>
                <c:pt idx="9">
                  <c:v>38737</c:v>
                </c:pt>
                <c:pt idx="10">
                  <c:v>38744</c:v>
                </c:pt>
                <c:pt idx="11">
                  <c:v>38751</c:v>
                </c:pt>
                <c:pt idx="12">
                  <c:v>38758</c:v>
                </c:pt>
                <c:pt idx="13">
                  <c:v>38765</c:v>
                </c:pt>
                <c:pt idx="14">
                  <c:v>38772</c:v>
                </c:pt>
                <c:pt idx="15">
                  <c:v>38779</c:v>
                </c:pt>
                <c:pt idx="16">
                  <c:v>38786</c:v>
                </c:pt>
                <c:pt idx="17">
                  <c:v>38793</c:v>
                </c:pt>
                <c:pt idx="18">
                  <c:v>38800</c:v>
                </c:pt>
                <c:pt idx="19">
                  <c:v>38807</c:v>
                </c:pt>
                <c:pt idx="20">
                  <c:v>38814</c:v>
                </c:pt>
                <c:pt idx="21">
                  <c:v>38821</c:v>
                </c:pt>
                <c:pt idx="22">
                  <c:v>38828</c:v>
                </c:pt>
                <c:pt idx="23">
                  <c:v>38835</c:v>
                </c:pt>
                <c:pt idx="24">
                  <c:v>38842</c:v>
                </c:pt>
                <c:pt idx="25">
                  <c:v>38849</c:v>
                </c:pt>
                <c:pt idx="26">
                  <c:v>38856</c:v>
                </c:pt>
                <c:pt idx="27">
                  <c:v>38863</c:v>
                </c:pt>
                <c:pt idx="28">
                  <c:v>38870</c:v>
                </c:pt>
                <c:pt idx="29">
                  <c:v>38877</c:v>
                </c:pt>
                <c:pt idx="30">
                  <c:v>38884</c:v>
                </c:pt>
                <c:pt idx="31">
                  <c:v>38891</c:v>
                </c:pt>
                <c:pt idx="32">
                  <c:v>38898</c:v>
                </c:pt>
                <c:pt idx="33">
                  <c:v>38905</c:v>
                </c:pt>
                <c:pt idx="34">
                  <c:v>38912</c:v>
                </c:pt>
                <c:pt idx="35">
                  <c:v>38919</c:v>
                </c:pt>
                <c:pt idx="36">
                  <c:v>38926</c:v>
                </c:pt>
                <c:pt idx="37">
                  <c:v>38933</c:v>
                </c:pt>
                <c:pt idx="38">
                  <c:v>38940</c:v>
                </c:pt>
                <c:pt idx="39">
                  <c:v>38947</c:v>
                </c:pt>
                <c:pt idx="40">
                  <c:v>38954</c:v>
                </c:pt>
                <c:pt idx="41">
                  <c:v>38961</c:v>
                </c:pt>
                <c:pt idx="42">
                  <c:v>38968</c:v>
                </c:pt>
                <c:pt idx="43">
                  <c:v>38975</c:v>
                </c:pt>
                <c:pt idx="44">
                  <c:v>38982</c:v>
                </c:pt>
                <c:pt idx="45">
                  <c:v>38989</c:v>
                </c:pt>
                <c:pt idx="46">
                  <c:v>38996</c:v>
                </c:pt>
                <c:pt idx="47">
                  <c:v>39003</c:v>
                </c:pt>
                <c:pt idx="48">
                  <c:v>39010</c:v>
                </c:pt>
                <c:pt idx="49">
                  <c:v>39017</c:v>
                </c:pt>
                <c:pt idx="50">
                  <c:v>39024</c:v>
                </c:pt>
                <c:pt idx="51">
                  <c:v>39031</c:v>
                </c:pt>
                <c:pt idx="52">
                  <c:v>39038</c:v>
                </c:pt>
                <c:pt idx="53">
                  <c:v>39045</c:v>
                </c:pt>
                <c:pt idx="54">
                  <c:v>39052</c:v>
                </c:pt>
                <c:pt idx="55">
                  <c:v>39059</c:v>
                </c:pt>
                <c:pt idx="56">
                  <c:v>39066</c:v>
                </c:pt>
                <c:pt idx="57">
                  <c:v>39073</c:v>
                </c:pt>
                <c:pt idx="58">
                  <c:v>39081</c:v>
                </c:pt>
                <c:pt idx="59">
                  <c:v>39087</c:v>
                </c:pt>
                <c:pt idx="60">
                  <c:v>39094</c:v>
                </c:pt>
                <c:pt idx="61">
                  <c:v>39101</c:v>
                </c:pt>
                <c:pt idx="62">
                  <c:v>39108</c:v>
                </c:pt>
                <c:pt idx="63">
                  <c:v>39115</c:v>
                </c:pt>
                <c:pt idx="64">
                  <c:v>39122</c:v>
                </c:pt>
                <c:pt idx="65">
                  <c:v>39129</c:v>
                </c:pt>
                <c:pt idx="66">
                  <c:v>39136</c:v>
                </c:pt>
                <c:pt idx="67">
                  <c:v>39143</c:v>
                </c:pt>
                <c:pt idx="68">
                  <c:v>39150</c:v>
                </c:pt>
                <c:pt idx="69">
                  <c:v>39157</c:v>
                </c:pt>
                <c:pt idx="70">
                  <c:v>39164</c:v>
                </c:pt>
                <c:pt idx="71">
                  <c:v>39171</c:v>
                </c:pt>
                <c:pt idx="72">
                  <c:v>39178</c:v>
                </c:pt>
                <c:pt idx="73">
                  <c:v>39185</c:v>
                </c:pt>
                <c:pt idx="74">
                  <c:v>39192</c:v>
                </c:pt>
                <c:pt idx="75">
                  <c:v>39199</c:v>
                </c:pt>
                <c:pt idx="76">
                  <c:v>39206</c:v>
                </c:pt>
                <c:pt idx="77">
                  <c:v>39213</c:v>
                </c:pt>
                <c:pt idx="78">
                  <c:v>39220</c:v>
                </c:pt>
                <c:pt idx="79">
                  <c:v>39227</c:v>
                </c:pt>
                <c:pt idx="80">
                  <c:v>39234</c:v>
                </c:pt>
                <c:pt idx="81">
                  <c:v>39241</c:v>
                </c:pt>
                <c:pt idx="82">
                  <c:v>39248</c:v>
                </c:pt>
                <c:pt idx="83">
                  <c:v>39255</c:v>
                </c:pt>
                <c:pt idx="84">
                  <c:v>39262</c:v>
                </c:pt>
                <c:pt idx="85">
                  <c:v>39269</c:v>
                </c:pt>
                <c:pt idx="86">
                  <c:v>39276</c:v>
                </c:pt>
                <c:pt idx="87">
                  <c:v>39283</c:v>
                </c:pt>
                <c:pt idx="88">
                  <c:v>39290</c:v>
                </c:pt>
                <c:pt idx="89">
                  <c:v>39297</c:v>
                </c:pt>
                <c:pt idx="90">
                  <c:v>39304</c:v>
                </c:pt>
                <c:pt idx="91">
                  <c:v>39311</c:v>
                </c:pt>
                <c:pt idx="92">
                  <c:v>39318</c:v>
                </c:pt>
                <c:pt idx="93">
                  <c:v>39325</c:v>
                </c:pt>
                <c:pt idx="94">
                  <c:v>39332</c:v>
                </c:pt>
                <c:pt idx="95">
                  <c:v>39339</c:v>
                </c:pt>
                <c:pt idx="96">
                  <c:v>39346</c:v>
                </c:pt>
                <c:pt idx="97">
                  <c:v>39353</c:v>
                </c:pt>
                <c:pt idx="98">
                  <c:v>39360</c:v>
                </c:pt>
                <c:pt idx="99">
                  <c:v>39367</c:v>
                </c:pt>
                <c:pt idx="100">
                  <c:v>39374</c:v>
                </c:pt>
                <c:pt idx="101">
                  <c:v>39381</c:v>
                </c:pt>
                <c:pt idx="102">
                  <c:v>39388</c:v>
                </c:pt>
                <c:pt idx="103">
                  <c:v>39395</c:v>
                </c:pt>
                <c:pt idx="104">
                  <c:v>39402</c:v>
                </c:pt>
                <c:pt idx="105">
                  <c:v>39409</c:v>
                </c:pt>
                <c:pt idx="106">
                  <c:v>39416</c:v>
                </c:pt>
                <c:pt idx="107">
                  <c:v>39423</c:v>
                </c:pt>
                <c:pt idx="108">
                  <c:v>39430</c:v>
                </c:pt>
                <c:pt idx="109">
                  <c:v>39437</c:v>
                </c:pt>
                <c:pt idx="110">
                  <c:v>39447</c:v>
                </c:pt>
                <c:pt idx="111">
                  <c:v>39451</c:v>
                </c:pt>
                <c:pt idx="112">
                  <c:v>39458</c:v>
                </c:pt>
                <c:pt idx="113">
                  <c:v>39465</c:v>
                </c:pt>
                <c:pt idx="114">
                  <c:v>39472</c:v>
                </c:pt>
                <c:pt idx="115">
                  <c:v>39479</c:v>
                </c:pt>
                <c:pt idx="116">
                  <c:v>39486</c:v>
                </c:pt>
                <c:pt idx="117">
                  <c:v>39493</c:v>
                </c:pt>
                <c:pt idx="118">
                  <c:v>39500</c:v>
                </c:pt>
                <c:pt idx="119">
                  <c:v>39507</c:v>
                </c:pt>
                <c:pt idx="120">
                  <c:v>39514</c:v>
                </c:pt>
                <c:pt idx="121">
                  <c:v>39521</c:v>
                </c:pt>
                <c:pt idx="122">
                  <c:v>39528</c:v>
                </c:pt>
                <c:pt idx="123">
                  <c:v>39538</c:v>
                </c:pt>
                <c:pt idx="124">
                  <c:v>39542</c:v>
                </c:pt>
                <c:pt idx="125">
                  <c:v>39549</c:v>
                </c:pt>
                <c:pt idx="126">
                  <c:v>39556</c:v>
                </c:pt>
                <c:pt idx="127">
                  <c:v>39563</c:v>
                </c:pt>
                <c:pt idx="128">
                  <c:v>39570</c:v>
                </c:pt>
                <c:pt idx="129">
                  <c:v>39577</c:v>
                </c:pt>
                <c:pt idx="130">
                  <c:v>39584</c:v>
                </c:pt>
                <c:pt idx="131">
                  <c:v>39591</c:v>
                </c:pt>
                <c:pt idx="132">
                  <c:v>39598</c:v>
                </c:pt>
                <c:pt idx="133">
                  <c:v>39605</c:v>
                </c:pt>
                <c:pt idx="134">
                  <c:v>39612</c:v>
                </c:pt>
                <c:pt idx="135">
                  <c:v>39619</c:v>
                </c:pt>
                <c:pt idx="136">
                  <c:v>39626</c:v>
                </c:pt>
                <c:pt idx="137">
                  <c:v>39633</c:v>
                </c:pt>
                <c:pt idx="138">
                  <c:v>39640</c:v>
                </c:pt>
                <c:pt idx="139">
                  <c:v>39647</c:v>
                </c:pt>
                <c:pt idx="140">
                  <c:v>39654</c:v>
                </c:pt>
                <c:pt idx="141">
                  <c:v>39661</c:v>
                </c:pt>
                <c:pt idx="142">
                  <c:v>39668</c:v>
                </c:pt>
                <c:pt idx="143">
                  <c:v>39675</c:v>
                </c:pt>
                <c:pt idx="144">
                  <c:v>39682</c:v>
                </c:pt>
                <c:pt idx="145">
                  <c:v>39689</c:v>
                </c:pt>
                <c:pt idx="146">
                  <c:v>39696</c:v>
                </c:pt>
                <c:pt idx="147">
                  <c:v>39703</c:v>
                </c:pt>
                <c:pt idx="148">
                  <c:v>39710</c:v>
                </c:pt>
                <c:pt idx="149">
                  <c:v>39717</c:v>
                </c:pt>
                <c:pt idx="150">
                  <c:v>39724</c:v>
                </c:pt>
                <c:pt idx="151">
                  <c:v>39731</c:v>
                </c:pt>
                <c:pt idx="152">
                  <c:v>39738</c:v>
                </c:pt>
                <c:pt idx="153">
                  <c:v>39745</c:v>
                </c:pt>
                <c:pt idx="154">
                  <c:v>39752</c:v>
                </c:pt>
                <c:pt idx="155">
                  <c:v>39759</c:v>
                </c:pt>
                <c:pt idx="156">
                  <c:v>39766</c:v>
                </c:pt>
                <c:pt idx="157">
                  <c:v>39773</c:v>
                </c:pt>
                <c:pt idx="158">
                  <c:v>39780</c:v>
                </c:pt>
                <c:pt idx="159">
                  <c:v>39787</c:v>
                </c:pt>
                <c:pt idx="160">
                  <c:v>39794</c:v>
                </c:pt>
                <c:pt idx="161">
                  <c:v>39801</c:v>
                </c:pt>
                <c:pt idx="162">
                  <c:v>39808</c:v>
                </c:pt>
                <c:pt idx="163">
                  <c:v>39815</c:v>
                </c:pt>
                <c:pt idx="164">
                  <c:v>39822</c:v>
                </c:pt>
                <c:pt idx="165">
                  <c:v>39829</c:v>
                </c:pt>
                <c:pt idx="166">
                  <c:v>39836</c:v>
                </c:pt>
                <c:pt idx="167">
                  <c:v>39843</c:v>
                </c:pt>
                <c:pt idx="168">
                  <c:v>39850</c:v>
                </c:pt>
                <c:pt idx="169">
                  <c:v>39857</c:v>
                </c:pt>
                <c:pt idx="170">
                  <c:v>39864</c:v>
                </c:pt>
                <c:pt idx="171">
                  <c:v>39871</c:v>
                </c:pt>
                <c:pt idx="172">
                  <c:v>39878</c:v>
                </c:pt>
                <c:pt idx="173">
                  <c:v>39885</c:v>
                </c:pt>
                <c:pt idx="174">
                  <c:v>39892</c:v>
                </c:pt>
                <c:pt idx="175">
                  <c:v>39899</c:v>
                </c:pt>
                <c:pt idx="176">
                  <c:v>39906</c:v>
                </c:pt>
                <c:pt idx="177">
                  <c:v>39913</c:v>
                </c:pt>
                <c:pt idx="178">
                  <c:v>39920</c:v>
                </c:pt>
                <c:pt idx="179">
                  <c:v>39927</c:v>
                </c:pt>
                <c:pt idx="180">
                  <c:v>39934</c:v>
                </c:pt>
                <c:pt idx="181">
                  <c:v>39941</c:v>
                </c:pt>
                <c:pt idx="182">
                  <c:v>39948</c:v>
                </c:pt>
                <c:pt idx="183">
                  <c:v>39955</c:v>
                </c:pt>
                <c:pt idx="184">
                  <c:v>39962</c:v>
                </c:pt>
                <c:pt idx="185">
                  <c:v>39969</c:v>
                </c:pt>
                <c:pt idx="186">
                  <c:v>39976</c:v>
                </c:pt>
                <c:pt idx="187">
                  <c:v>39983</c:v>
                </c:pt>
                <c:pt idx="188">
                  <c:v>39990</c:v>
                </c:pt>
                <c:pt idx="189">
                  <c:v>39997</c:v>
                </c:pt>
                <c:pt idx="190">
                  <c:v>40004</c:v>
                </c:pt>
                <c:pt idx="191">
                  <c:v>40011</c:v>
                </c:pt>
                <c:pt idx="192">
                  <c:v>40018</c:v>
                </c:pt>
                <c:pt idx="193">
                  <c:v>40025</c:v>
                </c:pt>
                <c:pt idx="194">
                  <c:v>40032</c:v>
                </c:pt>
                <c:pt idx="195">
                  <c:v>40039</c:v>
                </c:pt>
                <c:pt idx="196">
                  <c:v>40046</c:v>
                </c:pt>
                <c:pt idx="197">
                  <c:v>40053</c:v>
                </c:pt>
                <c:pt idx="198">
                  <c:v>40060</c:v>
                </c:pt>
                <c:pt idx="199">
                  <c:v>40067</c:v>
                </c:pt>
                <c:pt idx="200">
                  <c:v>40074</c:v>
                </c:pt>
                <c:pt idx="201">
                  <c:v>40081</c:v>
                </c:pt>
                <c:pt idx="202">
                  <c:v>40088</c:v>
                </c:pt>
                <c:pt idx="203">
                  <c:v>40095</c:v>
                </c:pt>
                <c:pt idx="204">
                  <c:v>40102</c:v>
                </c:pt>
                <c:pt idx="205">
                  <c:v>40109</c:v>
                </c:pt>
                <c:pt idx="206">
                  <c:v>40116</c:v>
                </c:pt>
                <c:pt idx="207">
                  <c:v>40123</c:v>
                </c:pt>
                <c:pt idx="208">
                  <c:v>40130</c:v>
                </c:pt>
                <c:pt idx="209">
                  <c:v>40137</c:v>
                </c:pt>
                <c:pt idx="210">
                  <c:v>40144</c:v>
                </c:pt>
                <c:pt idx="211">
                  <c:v>40151</c:v>
                </c:pt>
                <c:pt idx="212">
                  <c:v>40158</c:v>
                </c:pt>
                <c:pt idx="213">
                  <c:v>40165</c:v>
                </c:pt>
                <c:pt idx="214">
                  <c:v>40172</c:v>
                </c:pt>
                <c:pt idx="215">
                  <c:v>40179</c:v>
                </c:pt>
                <c:pt idx="216">
                  <c:v>40186</c:v>
                </c:pt>
                <c:pt idx="217">
                  <c:v>40193</c:v>
                </c:pt>
                <c:pt idx="218">
                  <c:v>40200</c:v>
                </c:pt>
                <c:pt idx="219">
                  <c:v>40207</c:v>
                </c:pt>
                <c:pt idx="220">
                  <c:v>40214</c:v>
                </c:pt>
                <c:pt idx="221">
                  <c:v>40221</c:v>
                </c:pt>
                <c:pt idx="222">
                  <c:v>40228</c:v>
                </c:pt>
                <c:pt idx="223">
                  <c:v>40235</c:v>
                </c:pt>
                <c:pt idx="224">
                  <c:v>40242</c:v>
                </c:pt>
                <c:pt idx="225">
                  <c:v>40249</c:v>
                </c:pt>
                <c:pt idx="226">
                  <c:v>40256</c:v>
                </c:pt>
                <c:pt idx="227">
                  <c:v>40263</c:v>
                </c:pt>
                <c:pt idx="228">
                  <c:v>40270</c:v>
                </c:pt>
                <c:pt idx="229">
                  <c:v>40277</c:v>
                </c:pt>
                <c:pt idx="230">
                  <c:v>40284</c:v>
                </c:pt>
                <c:pt idx="231">
                  <c:v>40291</c:v>
                </c:pt>
                <c:pt idx="232">
                  <c:v>40298</c:v>
                </c:pt>
                <c:pt idx="233">
                  <c:v>40305</c:v>
                </c:pt>
                <c:pt idx="234">
                  <c:v>40312</c:v>
                </c:pt>
                <c:pt idx="235">
                  <c:v>40319</c:v>
                </c:pt>
                <c:pt idx="236">
                  <c:v>40326</c:v>
                </c:pt>
                <c:pt idx="237">
                  <c:v>40333</c:v>
                </c:pt>
                <c:pt idx="238">
                  <c:v>40340</c:v>
                </c:pt>
                <c:pt idx="239">
                  <c:v>40347</c:v>
                </c:pt>
                <c:pt idx="240">
                  <c:v>40354</c:v>
                </c:pt>
                <c:pt idx="241">
                  <c:v>40361</c:v>
                </c:pt>
                <c:pt idx="242">
                  <c:v>40368</c:v>
                </c:pt>
                <c:pt idx="243">
                  <c:v>40375</c:v>
                </c:pt>
                <c:pt idx="244">
                  <c:v>40382</c:v>
                </c:pt>
                <c:pt idx="245">
                  <c:v>40389</c:v>
                </c:pt>
                <c:pt idx="246">
                  <c:v>40396</c:v>
                </c:pt>
                <c:pt idx="247">
                  <c:v>40403</c:v>
                </c:pt>
                <c:pt idx="248">
                  <c:v>40410</c:v>
                </c:pt>
                <c:pt idx="249">
                  <c:v>40417</c:v>
                </c:pt>
                <c:pt idx="250">
                  <c:v>40424</c:v>
                </c:pt>
                <c:pt idx="251">
                  <c:v>40431</c:v>
                </c:pt>
                <c:pt idx="252">
                  <c:v>40438</c:v>
                </c:pt>
                <c:pt idx="253">
                  <c:v>40445</c:v>
                </c:pt>
                <c:pt idx="254">
                  <c:v>40452</c:v>
                </c:pt>
                <c:pt idx="255">
                  <c:v>40459</c:v>
                </c:pt>
                <c:pt idx="256">
                  <c:v>40466</c:v>
                </c:pt>
                <c:pt idx="257">
                  <c:v>40473</c:v>
                </c:pt>
                <c:pt idx="258">
                  <c:v>40480</c:v>
                </c:pt>
                <c:pt idx="259">
                  <c:v>40487</c:v>
                </c:pt>
                <c:pt idx="260">
                  <c:v>40494</c:v>
                </c:pt>
                <c:pt idx="261">
                  <c:v>40501</c:v>
                </c:pt>
                <c:pt idx="262">
                  <c:v>40508</c:v>
                </c:pt>
                <c:pt idx="263">
                  <c:v>40515</c:v>
                </c:pt>
                <c:pt idx="264">
                  <c:v>40522</c:v>
                </c:pt>
                <c:pt idx="265">
                  <c:v>40529</c:v>
                </c:pt>
                <c:pt idx="266">
                  <c:v>40536</c:v>
                </c:pt>
                <c:pt idx="267">
                  <c:v>40543</c:v>
                </c:pt>
                <c:pt idx="268">
                  <c:v>40550</c:v>
                </c:pt>
                <c:pt idx="269">
                  <c:v>40557</c:v>
                </c:pt>
                <c:pt idx="270">
                  <c:v>40564</c:v>
                </c:pt>
                <c:pt idx="271">
                  <c:v>40571</c:v>
                </c:pt>
                <c:pt idx="272">
                  <c:v>40578</c:v>
                </c:pt>
                <c:pt idx="273">
                  <c:v>40585</c:v>
                </c:pt>
                <c:pt idx="274">
                  <c:v>40592</c:v>
                </c:pt>
                <c:pt idx="275">
                  <c:v>40599</c:v>
                </c:pt>
                <c:pt idx="276">
                  <c:v>40606</c:v>
                </c:pt>
                <c:pt idx="277">
                  <c:v>40613</c:v>
                </c:pt>
                <c:pt idx="278">
                  <c:v>40620</c:v>
                </c:pt>
                <c:pt idx="279">
                  <c:v>40627</c:v>
                </c:pt>
                <c:pt idx="280">
                  <c:v>40634</c:v>
                </c:pt>
                <c:pt idx="281">
                  <c:v>40641</c:v>
                </c:pt>
                <c:pt idx="282">
                  <c:v>40648</c:v>
                </c:pt>
                <c:pt idx="283">
                  <c:v>40655</c:v>
                </c:pt>
                <c:pt idx="284">
                  <c:v>40662</c:v>
                </c:pt>
                <c:pt idx="285">
                  <c:v>40669</c:v>
                </c:pt>
                <c:pt idx="286">
                  <c:v>40676</c:v>
                </c:pt>
                <c:pt idx="287">
                  <c:v>40683</c:v>
                </c:pt>
                <c:pt idx="288">
                  <c:v>40690</c:v>
                </c:pt>
                <c:pt idx="289">
                  <c:v>40697</c:v>
                </c:pt>
                <c:pt idx="290">
                  <c:v>40704</c:v>
                </c:pt>
                <c:pt idx="291">
                  <c:v>40711</c:v>
                </c:pt>
                <c:pt idx="292">
                  <c:v>40718</c:v>
                </c:pt>
                <c:pt idx="293">
                  <c:v>40725</c:v>
                </c:pt>
                <c:pt idx="294">
                  <c:v>40732</c:v>
                </c:pt>
                <c:pt idx="295">
                  <c:v>40739</c:v>
                </c:pt>
                <c:pt idx="296">
                  <c:v>40746</c:v>
                </c:pt>
                <c:pt idx="297">
                  <c:v>40753</c:v>
                </c:pt>
                <c:pt idx="298">
                  <c:v>40760</c:v>
                </c:pt>
                <c:pt idx="299">
                  <c:v>40767</c:v>
                </c:pt>
                <c:pt idx="300">
                  <c:v>40774</c:v>
                </c:pt>
                <c:pt idx="301">
                  <c:v>40781</c:v>
                </c:pt>
                <c:pt idx="302">
                  <c:v>40788</c:v>
                </c:pt>
                <c:pt idx="303">
                  <c:v>40795</c:v>
                </c:pt>
                <c:pt idx="304">
                  <c:v>40802</c:v>
                </c:pt>
                <c:pt idx="305">
                  <c:v>40809</c:v>
                </c:pt>
                <c:pt idx="306">
                  <c:v>40816</c:v>
                </c:pt>
                <c:pt idx="307">
                  <c:v>40823</c:v>
                </c:pt>
                <c:pt idx="308">
                  <c:v>40830</c:v>
                </c:pt>
                <c:pt idx="309">
                  <c:v>40837</c:v>
                </c:pt>
                <c:pt idx="310">
                  <c:v>40844</c:v>
                </c:pt>
                <c:pt idx="311">
                  <c:v>40851</c:v>
                </c:pt>
                <c:pt idx="312">
                  <c:v>40858</c:v>
                </c:pt>
                <c:pt idx="313">
                  <c:v>40865</c:v>
                </c:pt>
                <c:pt idx="314">
                  <c:v>40872</c:v>
                </c:pt>
                <c:pt idx="315">
                  <c:v>40879</c:v>
                </c:pt>
                <c:pt idx="316">
                  <c:v>40886</c:v>
                </c:pt>
                <c:pt idx="317">
                  <c:v>40893</c:v>
                </c:pt>
                <c:pt idx="318">
                  <c:v>40900</c:v>
                </c:pt>
                <c:pt idx="319">
                  <c:v>40907</c:v>
                </c:pt>
                <c:pt idx="320">
                  <c:v>40914</c:v>
                </c:pt>
                <c:pt idx="321">
                  <c:v>40921</c:v>
                </c:pt>
                <c:pt idx="322">
                  <c:v>40928</c:v>
                </c:pt>
                <c:pt idx="323">
                  <c:v>40935</c:v>
                </c:pt>
                <c:pt idx="324">
                  <c:v>40942</c:v>
                </c:pt>
                <c:pt idx="325">
                  <c:v>40949</c:v>
                </c:pt>
                <c:pt idx="326">
                  <c:v>40956</c:v>
                </c:pt>
                <c:pt idx="327">
                  <c:v>40963</c:v>
                </c:pt>
                <c:pt idx="328">
                  <c:v>40970</c:v>
                </c:pt>
                <c:pt idx="329">
                  <c:v>40977</c:v>
                </c:pt>
                <c:pt idx="330">
                  <c:v>40984</c:v>
                </c:pt>
                <c:pt idx="331">
                  <c:v>40991</c:v>
                </c:pt>
                <c:pt idx="332">
                  <c:v>40998</c:v>
                </c:pt>
                <c:pt idx="333">
                  <c:v>41005</c:v>
                </c:pt>
                <c:pt idx="334">
                  <c:v>41012</c:v>
                </c:pt>
                <c:pt idx="335">
                  <c:v>41019</c:v>
                </c:pt>
                <c:pt idx="336">
                  <c:v>41026</c:v>
                </c:pt>
                <c:pt idx="337">
                  <c:v>41033</c:v>
                </c:pt>
                <c:pt idx="338">
                  <c:v>41040</c:v>
                </c:pt>
                <c:pt idx="339">
                  <c:v>41047</c:v>
                </c:pt>
                <c:pt idx="340">
                  <c:v>41054</c:v>
                </c:pt>
                <c:pt idx="341">
                  <c:v>41061</c:v>
                </c:pt>
                <c:pt idx="342">
                  <c:v>41068</c:v>
                </c:pt>
                <c:pt idx="343">
                  <c:v>41075</c:v>
                </c:pt>
                <c:pt idx="344">
                  <c:v>41082</c:v>
                </c:pt>
                <c:pt idx="345">
                  <c:v>41089</c:v>
                </c:pt>
                <c:pt idx="346">
                  <c:v>41096</c:v>
                </c:pt>
                <c:pt idx="347">
                  <c:v>41103</c:v>
                </c:pt>
                <c:pt idx="348">
                  <c:v>41110</c:v>
                </c:pt>
                <c:pt idx="349">
                  <c:v>41117</c:v>
                </c:pt>
                <c:pt idx="350">
                  <c:v>41124</c:v>
                </c:pt>
                <c:pt idx="351">
                  <c:v>41131</c:v>
                </c:pt>
                <c:pt idx="352">
                  <c:v>41138</c:v>
                </c:pt>
                <c:pt idx="353">
                  <c:v>41145</c:v>
                </c:pt>
                <c:pt idx="354">
                  <c:v>41152</c:v>
                </c:pt>
                <c:pt idx="355">
                  <c:v>41159</c:v>
                </c:pt>
                <c:pt idx="356">
                  <c:v>41166</c:v>
                </c:pt>
                <c:pt idx="357">
                  <c:v>41173</c:v>
                </c:pt>
                <c:pt idx="358">
                  <c:v>41180</c:v>
                </c:pt>
                <c:pt idx="359">
                  <c:v>41187</c:v>
                </c:pt>
                <c:pt idx="360">
                  <c:v>41194</c:v>
                </c:pt>
                <c:pt idx="361">
                  <c:v>41201</c:v>
                </c:pt>
                <c:pt idx="362">
                  <c:v>41208</c:v>
                </c:pt>
                <c:pt idx="363">
                  <c:v>41215</c:v>
                </c:pt>
                <c:pt idx="364">
                  <c:v>41222</c:v>
                </c:pt>
                <c:pt idx="365">
                  <c:v>41229</c:v>
                </c:pt>
                <c:pt idx="366">
                  <c:v>41236</c:v>
                </c:pt>
                <c:pt idx="367">
                  <c:v>41243</c:v>
                </c:pt>
                <c:pt idx="368">
                  <c:v>41250</c:v>
                </c:pt>
                <c:pt idx="369">
                  <c:v>41257</c:v>
                </c:pt>
                <c:pt idx="370">
                  <c:v>41264</c:v>
                </c:pt>
                <c:pt idx="371">
                  <c:v>41271</c:v>
                </c:pt>
                <c:pt idx="372">
                  <c:v>41278</c:v>
                </c:pt>
                <c:pt idx="373">
                  <c:v>41285</c:v>
                </c:pt>
                <c:pt idx="374">
                  <c:v>41292</c:v>
                </c:pt>
                <c:pt idx="375">
                  <c:v>41299</c:v>
                </c:pt>
                <c:pt idx="376">
                  <c:v>41306</c:v>
                </c:pt>
                <c:pt idx="377">
                  <c:v>41313</c:v>
                </c:pt>
                <c:pt idx="378">
                  <c:v>41320</c:v>
                </c:pt>
                <c:pt idx="379">
                  <c:v>41327</c:v>
                </c:pt>
                <c:pt idx="380">
                  <c:v>41334</c:v>
                </c:pt>
                <c:pt idx="381">
                  <c:v>41341</c:v>
                </c:pt>
                <c:pt idx="382">
                  <c:v>41348</c:v>
                </c:pt>
                <c:pt idx="383">
                  <c:v>41355</c:v>
                </c:pt>
                <c:pt idx="384">
                  <c:v>41362</c:v>
                </c:pt>
                <c:pt idx="385">
                  <c:v>41369</c:v>
                </c:pt>
                <c:pt idx="386">
                  <c:v>41376</c:v>
                </c:pt>
                <c:pt idx="387">
                  <c:v>41383</c:v>
                </c:pt>
                <c:pt idx="388">
                  <c:v>41390</c:v>
                </c:pt>
                <c:pt idx="389">
                  <c:v>41397</c:v>
                </c:pt>
                <c:pt idx="390">
                  <c:v>41404</c:v>
                </c:pt>
                <c:pt idx="391">
                  <c:v>41411</c:v>
                </c:pt>
                <c:pt idx="392">
                  <c:v>41418</c:v>
                </c:pt>
                <c:pt idx="393">
                  <c:v>41425</c:v>
                </c:pt>
                <c:pt idx="394">
                  <c:v>41432</c:v>
                </c:pt>
                <c:pt idx="395">
                  <c:v>41439</c:v>
                </c:pt>
                <c:pt idx="396">
                  <c:v>41446</c:v>
                </c:pt>
                <c:pt idx="397">
                  <c:v>41453</c:v>
                </c:pt>
                <c:pt idx="398">
                  <c:v>41460</c:v>
                </c:pt>
                <c:pt idx="399">
                  <c:v>41467</c:v>
                </c:pt>
                <c:pt idx="400">
                  <c:v>41474</c:v>
                </c:pt>
                <c:pt idx="401">
                  <c:v>41481</c:v>
                </c:pt>
                <c:pt idx="402">
                  <c:v>41488</c:v>
                </c:pt>
                <c:pt idx="403">
                  <c:v>41495</c:v>
                </c:pt>
                <c:pt idx="404">
                  <c:v>41502</c:v>
                </c:pt>
                <c:pt idx="405">
                  <c:v>41509</c:v>
                </c:pt>
                <c:pt idx="406">
                  <c:v>41516</c:v>
                </c:pt>
                <c:pt idx="407">
                  <c:v>41523</c:v>
                </c:pt>
                <c:pt idx="408">
                  <c:v>41530</c:v>
                </c:pt>
                <c:pt idx="409">
                  <c:v>41537</c:v>
                </c:pt>
                <c:pt idx="410">
                  <c:v>41544</c:v>
                </c:pt>
                <c:pt idx="411">
                  <c:v>41551</c:v>
                </c:pt>
                <c:pt idx="412">
                  <c:v>41558</c:v>
                </c:pt>
                <c:pt idx="413">
                  <c:v>41565</c:v>
                </c:pt>
                <c:pt idx="414">
                  <c:v>41572</c:v>
                </c:pt>
                <c:pt idx="415">
                  <c:v>41579</c:v>
                </c:pt>
                <c:pt idx="416">
                  <c:v>41586</c:v>
                </c:pt>
                <c:pt idx="417">
                  <c:v>41593</c:v>
                </c:pt>
                <c:pt idx="418">
                  <c:v>41600</c:v>
                </c:pt>
                <c:pt idx="419">
                  <c:v>41607</c:v>
                </c:pt>
                <c:pt idx="420">
                  <c:v>41614</c:v>
                </c:pt>
                <c:pt idx="421">
                  <c:v>41621</c:v>
                </c:pt>
                <c:pt idx="422">
                  <c:v>41628</c:v>
                </c:pt>
                <c:pt idx="423">
                  <c:v>41635</c:v>
                </c:pt>
                <c:pt idx="424">
                  <c:v>41642</c:v>
                </c:pt>
                <c:pt idx="425">
                  <c:v>41649</c:v>
                </c:pt>
                <c:pt idx="426">
                  <c:v>41656</c:v>
                </c:pt>
                <c:pt idx="427">
                  <c:v>41663</c:v>
                </c:pt>
                <c:pt idx="428">
                  <c:v>41670</c:v>
                </c:pt>
                <c:pt idx="429">
                  <c:v>41677</c:v>
                </c:pt>
                <c:pt idx="430">
                  <c:v>41684</c:v>
                </c:pt>
                <c:pt idx="431">
                  <c:v>41691</c:v>
                </c:pt>
                <c:pt idx="432">
                  <c:v>41698</c:v>
                </c:pt>
                <c:pt idx="433">
                  <c:v>41705</c:v>
                </c:pt>
                <c:pt idx="434">
                  <c:v>41712</c:v>
                </c:pt>
                <c:pt idx="435">
                  <c:v>41719</c:v>
                </c:pt>
                <c:pt idx="436">
                  <c:v>41726</c:v>
                </c:pt>
                <c:pt idx="437">
                  <c:v>41733</c:v>
                </c:pt>
                <c:pt idx="438">
                  <c:v>41740</c:v>
                </c:pt>
                <c:pt idx="439">
                  <c:v>41747</c:v>
                </c:pt>
                <c:pt idx="440">
                  <c:v>41754</c:v>
                </c:pt>
                <c:pt idx="441">
                  <c:v>41761</c:v>
                </c:pt>
                <c:pt idx="442">
                  <c:v>41768</c:v>
                </c:pt>
                <c:pt idx="443">
                  <c:v>41775</c:v>
                </c:pt>
                <c:pt idx="444">
                  <c:v>41782</c:v>
                </c:pt>
                <c:pt idx="445">
                  <c:v>41789</c:v>
                </c:pt>
                <c:pt idx="446">
                  <c:v>41796</c:v>
                </c:pt>
                <c:pt idx="447">
                  <c:v>41803</c:v>
                </c:pt>
                <c:pt idx="448">
                  <c:v>41810</c:v>
                </c:pt>
                <c:pt idx="449">
                  <c:v>41817</c:v>
                </c:pt>
                <c:pt idx="450">
                  <c:v>41824</c:v>
                </c:pt>
                <c:pt idx="451">
                  <c:v>41831</c:v>
                </c:pt>
                <c:pt idx="452">
                  <c:v>41838</c:v>
                </c:pt>
                <c:pt idx="453">
                  <c:v>41845</c:v>
                </c:pt>
                <c:pt idx="454">
                  <c:v>41852</c:v>
                </c:pt>
                <c:pt idx="455">
                  <c:v>41859</c:v>
                </c:pt>
                <c:pt idx="456">
                  <c:v>41866</c:v>
                </c:pt>
                <c:pt idx="457">
                  <c:v>41873</c:v>
                </c:pt>
                <c:pt idx="458">
                  <c:v>41880</c:v>
                </c:pt>
                <c:pt idx="459">
                  <c:v>41887</c:v>
                </c:pt>
                <c:pt idx="460">
                  <c:v>41894</c:v>
                </c:pt>
                <c:pt idx="461">
                  <c:v>41901</c:v>
                </c:pt>
                <c:pt idx="462">
                  <c:v>41908</c:v>
                </c:pt>
                <c:pt idx="463">
                  <c:v>41915</c:v>
                </c:pt>
                <c:pt idx="464">
                  <c:v>41922</c:v>
                </c:pt>
                <c:pt idx="465">
                  <c:v>41929</c:v>
                </c:pt>
                <c:pt idx="466">
                  <c:v>41936</c:v>
                </c:pt>
                <c:pt idx="467">
                  <c:v>41943</c:v>
                </c:pt>
                <c:pt idx="468">
                  <c:v>41950</c:v>
                </c:pt>
                <c:pt idx="469">
                  <c:v>41957</c:v>
                </c:pt>
                <c:pt idx="470">
                  <c:v>41964</c:v>
                </c:pt>
                <c:pt idx="471">
                  <c:v>41971</c:v>
                </c:pt>
                <c:pt idx="472">
                  <c:v>41978</c:v>
                </c:pt>
                <c:pt idx="473">
                  <c:v>41985</c:v>
                </c:pt>
                <c:pt idx="474">
                  <c:v>41992</c:v>
                </c:pt>
                <c:pt idx="475">
                  <c:v>41999</c:v>
                </c:pt>
                <c:pt idx="476">
                  <c:v>42006</c:v>
                </c:pt>
                <c:pt idx="477">
                  <c:v>42013</c:v>
                </c:pt>
                <c:pt idx="478">
                  <c:v>42020</c:v>
                </c:pt>
                <c:pt idx="479">
                  <c:v>42027</c:v>
                </c:pt>
                <c:pt idx="480">
                  <c:v>42034</c:v>
                </c:pt>
                <c:pt idx="481">
                  <c:v>42041</c:v>
                </c:pt>
                <c:pt idx="482">
                  <c:v>42048</c:v>
                </c:pt>
                <c:pt idx="483">
                  <c:v>42055</c:v>
                </c:pt>
                <c:pt idx="484">
                  <c:v>42062</c:v>
                </c:pt>
                <c:pt idx="485">
                  <c:v>42069</c:v>
                </c:pt>
                <c:pt idx="486">
                  <c:v>42076</c:v>
                </c:pt>
                <c:pt idx="487">
                  <c:v>42083</c:v>
                </c:pt>
                <c:pt idx="488">
                  <c:v>42090</c:v>
                </c:pt>
                <c:pt idx="489">
                  <c:v>42097</c:v>
                </c:pt>
                <c:pt idx="490">
                  <c:v>42104</c:v>
                </c:pt>
                <c:pt idx="491">
                  <c:v>42111</c:v>
                </c:pt>
                <c:pt idx="492">
                  <c:v>42118</c:v>
                </c:pt>
                <c:pt idx="493">
                  <c:v>42125</c:v>
                </c:pt>
                <c:pt idx="494">
                  <c:v>42132</c:v>
                </c:pt>
                <c:pt idx="495">
                  <c:v>42139</c:v>
                </c:pt>
                <c:pt idx="496">
                  <c:v>42146</c:v>
                </c:pt>
                <c:pt idx="497">
                  <c:v>42153</c:v>
                </c:pt>
                <c:pt idx="498">
                  <c:v>42160</c:v>
                </c:pt>
                <c:pt idx="499">
                  <c:v>42167</c:v>
                </c:pt>
                <c:pt idx="500">
                  <c:v>42174</c:v>
                </c:pt>
                <c:pt idx="501">
                  <c:v>42181</c:v>
                </c:pt>
                <c:pt idx="502">
                  <c:v>42188</c:v>
                </c:pt>
                <c:pt idx="503">
                  <c:v>42195</c:v>
                </c:pt>
                <c:pt idx="504">
                  <c:v>42202</c:v>
                </c:pt>
                <c:pt idx="505">
                  <c:v>42209</c:v>
                </c:pt>
                <c:pt idx="506">
                  <c:v>42216</c:v>
                </c:pt>
                <c:pt idx="507">
                  <c:v>42223</c:v>
                </c:pt>
                <c:pt idx="508">
                  <c:v>42230</c:v>
                </c:pt>
                <c:pt idx="509">
                  <c:v>42237</c:v>
                </c:pt>
                <c:pt idx="510">
                  <c:v>42244</c:v>
                </c:pt>
                <c:pt idx="511">
                  <c:v>42251</c:v>
                </c:pt>
                <c:pt idx="512">
                  <c:v>42258</c:v>
                </c:pt>
                <c:pt idx="513">
                  <c:v>42265</c:v>
                </c:pt>
                <c:pt idx="514">
                  <c:v>42272</c:v>
                </c:pt>
                <c:pt idx="515">
                  <c:v>42279</c:v>
                </c:pt>
                <c:pt idx="516">
                  <c:v>42286</c:v>
                </c:pt>
                <c:pt idx="517">
                  <c:v>42293</c:v>
                </c:pt>
                <c:pt idx="518">
                  <c:v>42300</c:v>
                </c:pt>
                <c:pt idx="519">
                  <c:v>42307</c:v>
                </c:pt>
                <c:pt idx="520">
                  <c:v>42314</c:v>
                </c:pt>
                <c:pt idx="521">
                  <c:v>42321</c:v>
                </c:pt>
                <c:pt idx="522">
                  <c:v>42328</c:v>
                </c:pt>
                <c:pt idx="523">
                  <c:v>42335</c:v>
                </c:pt>
                <c:pt idx="524">
                  <c:v>42342</c:v>
                </c:pt>
                <c:pt idx="525">
                  <c:v>42349</c:v>
                </c:pt>
                <c:pt idx="526">
                  <c:v>42356</c:v>
                </c:pt>
                <c:pt idx="527">
                  <c:v>42363</c:v>
                </c:pt>
                <c:pt idx="528">
                  <c:v>42370</c:v>
                </c:pt>
                <c:pt idx="529">
                  <c:v>42377</c:v>
                </c:pt>
                <c:pt idx="530">
                  <c:v>42384</c:v>
                </c:pt>
                <c:pt idx="531">
                  <c:v>42391</c:v>
                </c:pt>
                <c:pt idx="532">
                  <c:v>42398</c:v>
                </c:pt>
                <c:pt idx="533">
                  <c:v>42405</c:v>
                </c:pt>
                <c:pt idx="534">
                  <c:v>42412</c:v>
                </c:pt>
                <c:pt idx="535">
                  <c:v>42419</c:v>
                </c:pt>
                <c:pt idx="536">
                  <c:v>42426</c:v>
                </c:pt>
                <c:pt idx="537">
                  <c:v>42433</c:v>
                </c:pt>
                <c:pt idx="538">
                  <c:v>42440</c:v>
                </c:pt>
                <c:pt idx="539">
                  <c:v>42447</c:v>
                </c:pt>
              </c:numCache>
            </c:numRef>
          </c:cat>
          <c:val>
            <c:numRef>
              <c:f>Summary!$AC$564:$AC$5006</c:f>
              <c:numCache>
                <c:formatCode>0.0\x</c:formatCode>
                <c:ptCount val="4443"/>
                <c:pt idx="0">
                  <c:v>6.3276809626293282</c:v>
                </c:pt>
                <c:pt idx="1">
                  <c:v>6.2029484586723838</c:v>
                </c:pt>
                <c:pt idx="2">
                  <c:v>6.3722282854710945</c:v>
                </c:pt>
                <c:pt idx="3">
                  <c:v>6.4746871280071554</c:v>
                </c:pt>
                <c:pt idx="4">
                  <c:v>6.5348260138435403</c:v>
                </c:pt>
                <c:pt idx="5">
                  <c:v>6.5615550757584424</c:v>
                </c:pt>
                <c:pt idx="6">
                  <c:v>6.4457318136332367</c:v>
                </c:pt>
                <c:pt idx="7">
                  <c:v>7.4543388910267385</c:v>
                </c:pt>
                <c:pt idx="8">
                  <c:v>7.2511797869384145</c:v>
                </c:pt>
                <c:pt idx="9">
                  <c:v>7.1978508427252894</c:v>
                </c:pt>
                <c:pt idx="10">
                  <c:v>7.4644965795851626</c:v>
                </c:pt>
                <c:pt idx="11">
                  <c:v>7.3756148365975802</c:v>
                </c:pt>
                <c:pt idx="12">
                  <c:v>7.5127468064933565</c:v>
                </c:pt>
                <c:pt idx="13">
                  <c:v>7.3065513707201299</c:v>
                </c:pt>
                <c:pt idx="14">
                  <c:v>7.3429096836975658</c:v>
                </c:pt>
                <c:pt idx="15">
                  <c:v>7.6168115279728106</c:v>
                </c:pt>
                <c:pt idx="16">
                  <c:v>7.6143871395008853</c:v>
                </c:pt>
                <c:pt idx="17">
                  <c:v>7.6701374091789249</c:v>
                </c:pt>
                <c:pt idx="18">
                  <c:v>7.6046917671265053</c:v>
                </c:pt>
                <c:pt idx="19">
                  <c:v>7.5343988024724506</c:v>
                </c:pt>
                <c:pt idx="20">
                  <c:v>7.5263688676028782</c:v>
                </c:pt>
                <c:pt idx="21">
                  <c:v>7.6110355181681193</c:v>
                </c:pt>
                <c:pt idx="22">
                  <c:v>7.6860259524510015</c:v>
                </c:pt>
                <c:pt idx="23">
                  <c:v>7.5553972745445499</c:v>
                </c:pt>
                <c:pt idx="24">
                  <c:v>7.4634734617675376</c:v>
                </c:pt>
                <c:pt idx="25">
                  <c:v>7.1683486232501528</c:v>
                </c:pt>
                <c:pt idx="26">
                  <c:v>6.3145907784215414</c:v>
                </c:pt>
                <c:pt idx="27">
                  <c:v>6.3807284140666729</c:v>
                </c:pt>
                <c:pt idx="28">
                  <c:v>6.4931629899040999</c:v>
                </c:pt>
                <c:pt idx="29">
                  <c:v>6.2550667079273561</c:v>
                </c:pt>
                <c:pt idx="30">
                  <c:v>6.1059049408796078</c:v>
                </c:pt>
                <c:pt idx="31">
                  <c:v>6.267477072318024</c:v>
                </c:pt>
                <c:pt idx="32">
                  <c:v>6.5303019890871354</c:v>
                </c:pt>
                <c:pt idx="33">
                  <c:v>6.0821591950691358</c:v>
                </c:pt>
                <c:pt idx="34">
                  <c:v>6.06040130037485</c:v>
                </c:pt>
                <c:pt idx="35">
                  <c:v>6.0404563973642293</c:v>
                </c:pt>
                <c:pt idx="36">
                  <c:v>6.1710050347510457</c:v>
                </c:pt>
                <c:pt idx="37">
                  <c:v>6.1474336044211935</c:v>
                </c:pt>
                <c:pt idx="38">
                  <c:v>6.1002911063960896</c:v>
                </c:pt>
                <c:pt idx="39">
                  <c:v>5.8019243956603068</c:v>
                </c:pt>
                <c:pt idx="40">
                  <c:v>5.9338877881121848</c:v>
                </c:pt>
                <c:pt idx="41">
                  <c:v>5.8835328148211028</c:v>
                </c:pt>
                <c:pt idx="42">
                  <c:v>5.9147874761431174</c:v>
                </c:pt>
                <c:pt idx="43">
                  <c:v>5.9929693859183333</c:v>
                </c:pt>
                <c:pt idx="44">
                  <c:v>6.0155948610150523</c:v>
                </c:pt>
                <c:pt idx="45">
                  <c:v>5.9303148801118839</c:v>
                </c:pt>
                <c:pt idx="46">
                  <c:v>6.0115859793017838</c:v>
                </c:pt>
                <c:pt idx="47">
                  <c:v>6.004564074961622</c:v>
                </c:pt>
                <c:pt idx="48">
                  <c:v>6.0341190073972397</c:v>
                </c:pt>
                <c:pt idx="49">
                  <c:v>6.0270414961644194</c:v>
                </c:pt>
                <c:pt idx="50">
                  <c:v>6.0199645157316723</c:v>
                </c:pt>
                <c:pt idx="51">
                  <c:v>6.0871991915765635</c:v>
                </c:pt>
                <c:pt idx="52">
                  <c:v>6.217140392166999</c:v>
                </c:pt>
                <c:pt idx="53">
                  <c:v>6.6114025147100701</c:v>
                </c:pt>
                <c:pt idx="54">
                  <c:v>6.0208813071433225</c:v>
                </c:pt>
                <c:pt idx="55">
                  <c:v>6.114094341094539</c:v>
                </c:pt>
                <c:pt idx="56">
                  <c:v>6.15</c:v>
                </c:pt>
                <c:pt idx="57">
                  <c:v>6</c:v>
                </c:pt>
                <c:pt idx="58">
                  <c:v>6.1696636497962265</c:v>
                </c:pt>
                <c:pt idx="59">
                  <c:v>6.0698932862930679</c:v>
                </c:pt>
                <c:pt idx="60">
                  <c:v>6.1090329952124769</c:v>
                </c:pt>
                <c:pt idx="61">
                  <c:v>5.9933929461324063</c:v>
                </c:pt>
                <c:pt idx="62">
                  <c:v>5.555739837306291</c:v>
                </c:pt>
                <c:pt idx="63">
                  <c:v>5.644693721214038</c:v>
                </c:pt>
                <c:pt idx="64">
                  <c:v>5.7775827636411572</c:v>
                </c:pt>
                <c:pt idx="65">
                  <c:v>5.7287634614117184</c:v>
                </c:pt>
                <c:pt idx="66">
                  <c:v>5.7343964578228075</c:v>
                </c:pt>
                <c:pt idx="67">
                  <c:v>5.5729172273715868</c:v>
                </c:pt>
                <c:pt idx="68">
                  <c:v>5.6517791771268344</c:v>
                </c:pt>
                <c:pt idx="69">
                  <c:v>5.8742123507962676</c:v>
                </c:pt>
                <c:pt idx="70">
                  <c:v>5.9648575950461504</c:v>
                </c:pt>
                <c:pt idx="71">
                  <c:v>5.860418509279981</c:v>
                </c:pt>
                <c:pt idx="72">
                  <c:v>5.8348013750354477</c:v>
                </c:pt>
                <c:pt idx="73">
                  <c:v>5.8505657653397751</c:v>
                </c:pt>
                <c:pt idx="74">
                  <c:v>5.8781534483723492</c:v>
                </c:pt>
                <c:pt idx="75">
                  <c:v>6.0653555832362374</c:v>
                </c:pt>
                <c:pt idx="76">
                  <c:v>6.2762043035566188</c:v>
                </c:pt>
                <c:pt idx="77">
                  <c:v>6.4712886335726711</c:v>
                </c:pt>
                <c:pt idx="78">
                  <c:v>7.1432457702946319</c:v>
                </c:pt>
                <c:pt idx="79">
                  <c:v>6.7313759846301631</c:v>
                </c:pt>
                <c:pt idx="80">
                  <c:v>6.8968559317963498</c:v>
                </c:pt>
                <c:pt idx="81">
                  <c:v>6.7894997358309315</c:v>
                </c:pt>
                <c:pt idx="82">
                  <c:v>6.799121415716856</c:v>
                </c:pt>
                <c:pt idx="83">
                  <c:v>6.5949579073674105</c:v>
                </c:pt>
                <c:pt idx="84">
                  <c:v>5.0815621659358152</c:v>
                </c:pt>
                <c:pt idx="85">
                  <c:v>5.0815621659358152</c:v>
                </c:pt>
                <c:pt idx="86">
                  <c:v>5.107685276087004</c:v>
                </c:pt>
                <c:pt idx="87">
                  <c:v>5.0397651896939157</c:v>
                </c:pt>
                <c:pt idx="88">
                  <c:v>4.9074080982612296</c:v>
                </c:pt>
                <c:pt idx="89">
                  <c:v>4.9001034971747712</c:v>
                </c:pt>
                <c:pt idx="90">
                  <c:v>4.6268243995025857</c:v>
                </c:pt>
                <c:pt idx="91">
                  <c:v>4.6795994502257994</c:v>
                </c:pt>
                <c:pt idx="92">
                  <c:v>4.8150554137487189</c:v>
                </c:pt>
                <c:pt idx="93">
                  <c:v>4.7482070161659795</c:v>
                </c:pt>
                <c:pt idx="94">
                  <c:v>4.6848769552981215</c:v>
                </c:pt>
                <c:pt idx="95">
                  <c:v>4.5494209917752029</c:v>
                </c:pt>
                <c:pt idx="96">
                  <c:v>4.3770224927460353</c:v>
                </c:pt>
                <c:pt idx="97">
                  <c:v>3.8255372963096725</c:v>
                </c:pt>
                <c:pt idx="98">
                  <c:v>3.1025992691580444</c:v>
                </c:pt>
                <c:pt idx="99">
                  <c:v>3.0015249952197833</c:v>
                </c:pt>
                <c:pt idx="100">
                  <c:v>2.7668271048885673</c:v>
                </c:pt>
                <c:pt idx="101">
                  <c:v>3.0360595083813124</c:v>
                </c:pt>
                <c:pt idx="102">
                  <c:v>2.9315589878688733</c:v>
                </c:pt>
                <c:pt idx="103">
                  <c:v>3.585119039176965</c:v>
                </c:pt>
                <c:pt idx="104">
                  <c:v>3.6195007633865055</c:v>
                </c:pt>
                <c:pt idx="105">
                  <c:v>3.6090620427743882</c:v>
                </c:pt>
                <c:pt idx="106">
                  <c:v>3.5986233221622723</c:v>
                </c:pt>
                <c:pt idx="107">
                  <c:v>3.5631316720810755</c:v>
                </c:pt>
                <c:pt idx="108">
                  <c:v>3.4419710202521165</c:v>
                </c:pt>
                <c:pt idx="109">
                  <c:v>3.5442704822508597</c:v>
                </c:pt>
                <c:pt idx="110">
                  <c:v>3.5233930410266261</c:v>
                </c:pt>
                <c:pt idx="111">
                  <c:v>3.3375838141309493</c:v>
                </c:pt>
                <c:pt idx="112">
                  <c:v>3.2039681902958557</c:v>
                </c:pt>
                <c:pt idx="113">
                  <c:v>3.0724403105831852</c:v>
                </c:pt>
                <c:pt idx="114">
                  <c:v>3.4787900685139967</c:v>
                </c:pt>
                <c:pt idx="115">
                  <c:v>3.6605139970105443</c:v>
                </c:pt>
                <c:pt idx="116">
                  <c:v>3.5859376001839669</c:v>
                </c:pt>
                <c:pt idx="117">
                  <c:v>3.7301557087106785</c:v>
                </c:pt>
                <c:pt idx="118">
                  <c:v>3.843354169343876</c:v>
                </c:pt>
                <c:pt idx="119">
                  <c:v>3.6911973108425262</c:v>
                </c:pt>
                <c:pt idx="120">
                  <c:v>3.8</c:v>
                </c:pt>
                <c:pt idx="121">
                  <c:v>3.95</c:v>
                </c:pt>
                <c:pt idx="122">
                  <c:v>4.2221513530330794</c:v>
                </c:pt>
                <c:pt idx="123">
                  <c:v>4.2596694825265633</c:v>
                </c:pt>
                <c:pt idx="124">
                  <c:v>4.2409104177798218</c:v>
                </c:pt>
                <c:pt idx="125">
                  <c:v>3.9960004058084717</c:v>
                </c:pt>
                <c:pt idx="126">
                  <c:v>3.9960004058084717</c:v>
                </c:pt>
                <c:pt idx="127">
                  <c:v>4.253416460944317</c:v>
                </c:pt>
                <c:pt idx="128">
                  <c:v>4.4000000000000004</c:v>
                </c:pt>
                <c:pt idx="129">
                  <c:v>4.7</c:v>
                </c:pt>
                <c:pt idx="130">
                  <c:v>5</c:v>
                </c:pt>
                <c:pt idx="131">
                  <c:v>5.1068211142178148</c:v>
                </c:pt>
                <c:pt idx="132">
                  <c:v>5.1899185354303103</c:v>
                </c:pt>
                <c:pt idx="133">
                  <c:v>5.1403280525757706</c:v>
                </c:pt>
                <c:pt idx="134">
                  <c:v>5.2137459948907026</c:v>
                </c:pt>
                <c:pt idx="135">
                  <c:v>4.556117518998394</c:v>
                </c:pt>
                <c:pt idx="136">
                  <c:v>4.556117518998394</c:v>
                </c:pt>
                <c:pt idx="137">
                  <c:v>4.4912054168371238</c:v>
                </c:pt>
                <c:pt idx="138">
                  <c:v>4.5964077893053901</c:v>
                </c:pt>
                <c:pt idx="139">
                  <c:v>4.4576301915812939</c:v>
                </c:pt>
                <c:pt idx="140">
                  <c:v>4.6859417233209353</c:v>
                </c:pt>
                <c:pt idx="141">
                  <c:v>4.8632501364777818</c:v>
                </c:pt>
                <c:pt idx="142">
                  <c:v>5.1670667103395571</c:v>
                </c:pt>
                <c:pt idx="143">
                  <c:v>5.0471995632711</c:v>
                </c:pt>
                <c:pt idx="144">
                  <c:v>5.0607694289769629</c:v>
                </c:pt>
                <c:pt idx="145">
                  <c:v>5.1896831531826626</c:v>
                </c:pt>
                <c:pt idx="146">
                  <c:v>5.2213461731630098</c:v>
                </c:pt>
                <c:pt idx="147">
                  <c:v>5.3050270116824985</c:v>
                </c:pt>
                <c:pt idx="148">
                  <c:v>4.95899543618299</c:v>
                </c:pt>
                <c:pt idx="149">
                  <c:v>4.8300817119772903</c:v>
                </c:pt>
                <c:pt idx="150">
                  <c:v>4.4976200021836448</c:v>
                </c:pt>
                <c:pt idx="151">
                  <c:v>3.9616103068020534</c:v>
                </c:pt>
                <c:pt idx="152">
                  <c:v>3.8824527568511851</c:v>
                </c:pt>
                <c:pt idx="153">
                  <c:v>3.6155787313025445</c:v>
                </c:pt>
                <c:pt idx="154">
                  <c:v>3.7411244365009022</c:v>
                </c:pt>
                <c:pt idx="155">
                  <c:v>3.6140759715538109</c:v>
                </c:pt>
                <c:pt idx="156">
                  <c:v>3.5695547141950326</c:v>
                </c:pt>
                <c:pt idx="157">
                  <c:v>3.6164191956253262</c:v>
                </c:pt>
                <c:pt idx="158">
                  <c:v>3.7406100714156016</c:v>
                </c:pt>
                <c:pt idx="159">
                  <c:v>3.6445378844835012</c:v>
                </c:pt>
                <c:pt idx="160">
                  <c:v>3.7570126399162045</c:v>
                </c:pt>
                <c:pt idx="161">
                  <c:v>3.9936782711391832</c:v>
                </c:pt>
                <c:pt idx="162">
                  <c:v>3.8624577231343635</c:v>
                </c:pt>
                <c:pt idx="163">
                  <c:v>3.8624577231343635</c:v>
                </c:pt>
                <c:pt idx="164">
                  <c:v>3.9936782711391832</c:v>
                </c:pt>
                <c:pt idx="165">
                  <c:v>4.0194537359258442</c:v>
                </c:pt>
                <c:pt idx="166">
                  <c:v>3.9772757026385808</c:v>
                </c:pt>
                <c:pt idx="167">
                  <c:v>4.209254885718531</c:v>
                </c:pt>
                <c:pt idx="168">
                  <c:v>4.0284932477218494</c:v>
                </c:pt>
                <c:pt idx="169">
                  <c:v>4.2770814369598718</c:v>
                </c:pt>
                <c:pt idx="170">
                  <c:v>4.0284932477218494</c:v>
                </c:pt>
                <c:pt idx="171">
                  <c:v>3.9023752989822484</c:v>
                </c:pt>
                <c:pt idx="172">
                  <c:v>3.6501861032059679</c:v>
                </c:pt>
                <c:pt idx="173">
                  <c:v>3.6828772952510413</c:v>
                </c:pt>
                <c:pt idx="174">
                  <c:v>3.6478510180598915</c:v>
                </c:pt>
                <c:pt idx="175">
                  <c:v>3.7342491684647281</c:v>
                </c:pt>
                <c:pt idx="176">
                  <c:v>3.9444068316116292</c:v>
                </c:pt>
                <c:pt idx="177">
                  <c:v>4.1592346650506826</c:v>
                </c:pt>
                <c:pt idx="178">
                  <c:v>3.9934436196792387</c:v>
                </c:pt>
                <c:pt idx="179">
                  <c:v>4.1031926215448422</c:v>
                </c:pt>
                <c:pt idx="180">
                  <c:v>4.1989311125339857</c:v>
                </c:pt>
                <c:pt idx="181">
                  <c:v>4.240962645163366</c:v>
                </c:pt>
                <c:pt idx="182">
                  <c:v>4.237204237075888</c:v>
                </c:pt>
                <c:pt idx="183">
                  <c:v>4.3014505044813953</c:v>
                </c:pt>
                <c:pt idx="184">
                  <c:v>4.4434127703108439</c:v>
                </c:pt>
                <c:pt idx="185">
                  <c:v>4.725626201896346</c:v>
                </c:pt>
                <c:pt idx="186">
                  <c:v>4.755946653223714</c:v>
                </c:pt>
                <c:pt idx="187">
                  <c:v>4.7326232291257382</c:v>
                </c:pt>
                <c:pt idx="188">
                  <c:v>4.8084815935736609</c:v>
                </c:pt>
                <c:pt idx="189">
                  <c:v>4.7274984443281616</c:v>
                </c:pt>
                <c:pt idx="190">
                  <c:v>4.2322177388730085</c:v>
                </c:pt>
                <c:pt idx="191">
                  <c:v>4.3544995176404626</c:v>
                </c:pt>
                <c:pt idx="192">
                  <c:v>4.5226369634457129</c:v>
                </c:pt>
                <c:pt idx="193">
                  <c:v>5.0061146000168595</c:v>
                </c:pt>
                <c:pt idx="194">
                  <c:v>5.0061146000168595</c:v>
                </c:pt>
                <c:pt idx="195">
                  <c:v>5.0310546446935849</c:v>
                </c:pt>
                <c:pt idx="196">
                  <c:v>5.0559946893703112</c:v>
                </c:pt>
                <c:pt idx="197">
                  <c:v>4.8869566087836134</c:v>
                </c:pt>
                <c:pt idx="198">
                  <c:v>4.7927386622270927</c:v>
                </c:pt>
                <c:pt idx="199">
                  <c:v>4.947921162437833</c:v>
                </c:pt>
                <c:pt idx="200">
                  <c:v>5.0255124125432022</c:v>
                </c:pt>
                <c:pt idx="201">
                  <c:v>4.9063544213099561</c:v>
                </c:pt>
                <c:pt idx="202">
                  <c:v>4.8675587962572706</c:v>
                </c:pt>
                <c:pt idx="203">
                  <c:v>5.0892480822726123</c:v>
                </c:pt>
                <c:pt idx="204">
                  <c:v>5.0726213858214617</c:v>
                </c:pt>
                <c:pt idx="205">
                  <c:v>4.9867167874905176</c:v>
                </c:pt>
                <c:pt idx="206">
                  <c:v>5.4993732614009954</c:v>
                </c:pt>
                <c:pt idx="207">
                  <c:v>5.7375170833119933</c:v>
                </c:pt>
                <c:pt idx="208">
                  <c:v>5.8797580438418899</c:v>
                </c:pt>
                <c:pt idx="209">
                  <c:v>5.8569994901571061</c:v>
                </c:pt>
                <c:pt idx="210">
                  <c:v>5.6123450380456843</c:v>
                </c:pt>
                <c:pt idx="211">
                  <c:v>5.6578621454152511</c:v>
                </c:pt>
                <c:pt idx="212">
                  <c:v>5.7744997330497663</c:v>
                </c:pt>
                <c:pt idx="213">
                  <c:v>6.06803912117637</c:v>
                </c:pt>
                <c:pt idx="214">
                  <c:v>6.2671002992719638</c:v>
                </c:pt>
                <c:pt idx="215">
                  <c:v>6.3069125348910831</c:v>
                </c:pt>
                <c:pt idx="216">
                  <c:v>5.5312936318379329</c:v>
                </c:pt>
                <c:pt idx="217">
                  <c:v>5.5028563206814196</c:v>
                </c:pt>
                <c:pt idx="218">
                  <c:v>5.5426685563005389</c:v>
                </c:pt>
                <c:pt idx="219">
                  <c:v>5.8163255733647956</c:v>
                </c:pt>
                <c:pt idx="220">
                  <c:v>6.1979680980326712</c:v>
                </c:pt>
                <c:pt idx="221">
                  <c:v>6.148587226439548</c:v>
                </c:pt>
                <c:pt idx="222">
                  <c:v>6.3755189602763966</c:v>
                </c:pt>
                <c:pt idx="223">
                  <c:v>6.5</c:v>
                </c:pt>
                <c:pt idx="224">
                  <c:v>6.45</c:v>
                </c:pt>
                <c:pt idx="225">
                  <c:v>6.3</c:v>
                </c:pt>
                <c:pt idx="226">
                  <c:v>6.7</c:v>
                </c:pt>
                <c:pt idx="227">
                  <c:v>6.9</c:v>
                </c:pt>
                <c:pt idx="228">
                  <c:v>7.4</c:v>
                </c:pt>
                <c:pt idx="229">
                  <c:v>7.2</c:v>
                </c:pt>
                <c:pt idx="230">
                  <c:v>7.2524629199409381</c:v>
                </c:pt>
                <c:pt idx="231">
                  <c:v>7.4638406521289227</c:v>
                </c:pt>
                <c:pt idx="232">
                  <c:v>7.2917195205069332</c:v>
                </c:pt>
                <c:pt idx="233">
                  <c:v>6.74515930452423</c:v>
                </c:pt>
                <c:pt idx="234">
                  <c:v>7.1678310313932654</c:v>
                </c:pt>
                <c:pt idx="235">
                  <c:v>6.4521770387055515</c:v>
                </c:pt>
                <c:pt idx="236">
                  <c:v>5.4860882730061657</c:v>
                </c:pt>
                <c:pt idx="237">
                  <c:v>5.0484944664592613</c:v>
                </c:pt>
                <c:pt idx="238">
                  <c:v>4.9455312980833748</c:v>
                </c:pt>
                <c:pt idx="239">
                  <c:v>5.1228566183509807</c:v>
                </c:pt>
                <c:pt idx="240">
                  <c:v>4.708143515887607</c:v>
                </c:pt>
                <c:pt idx="241">
                  <c:v>4.6538019118790999</c:v>
                </c:pt>
                <c:pt idx="242">
                  <c:v>3.8369507208135798</c:v>
                </c:pt>
                <c:pt idx="243">
                  <c:v>3.7809798270680663</c:v>
                </c:pt>
                <c:pt idx="244">
                  <c:v>4.0448425029336645</c:v>
                </c:pt>
                <c:pt idx="245">
                  <c:v>4.3740742979558034</c:v>
                </c:pt>
                <c:pt idx="246">
                  <c:v>4.7070502839720358</c:v>
                </c:pt>
                <c:pt idx="247">
                  <c:v>4.2466745933691641</c:v>
                </c:pt>
                <c:pt idx="248">
                  <c:v>3.876057798094656</c:v>
                </c:pt>
                <c:pt idx="249">
                  <c:v>3.6733767511225537</c:v>
                </c:pt>
                <c:pt idx="250">
                  <c:v>3.9252803735761637</c:v>
                </c:pt>
                <c:pt idx="251">
                  <c:v>4.5651735787046732</c:v>
                </c:pt>
                <c:pt idx="252">
                  <c:v>4.3016881900278321</c:v>
                </c:pt>
                <c:pt idx="253">
                  <c:v>4.2958971688506722</c:v>
                </c:pt>
                <c:pt idx="254">
                  <c:v>4.5449055568467891</c:v>
                </c:pt>
                <c:pt idx="255">
                  <c:v>4.6925732832913116</c:v>
                </c:pt>
                <c:pt idx="256">
                  <c:v>4.9676401620602979</c:v>
                </c:pt>
                <c:pt idx="257">
                  <c:v>5.2021715493756924</c:v>
                </c:pt>
                <c:pt idx="258">
                  <c:v>4.9095984713623357</c:v>
                </c:pt>
                <c:pt idx="259">
                  <c:v>5.0363727268792768</c:v>
                </c:pt>
                <c:pt idx="260">
                  <c:v>4.78282474150231</c:v>
                </c:pt>
                <c:pt idx="261">
                  <c:v>4.80211635033693</c:v>
                </c:pt>
                <c:pt idx="262">
                  <c:v>4.8737712729061728</c:v>
                </c:pt>
                <c:pt idx="263">
                  <c:v>5.1438548479046817</c:v>
                </c:pt>
                <c:pt idx="264">
                  <c:v>5.1052716302354426</c:v>
                </c:pt>
                <c:pt idx="265">
                  <c:v>5.0281046692400464</c:v>
                </c:pt>
                <c:pt idx="266">
                  <c:v>4.7938482926977004</c:v>
                </c:pt>
                <c:pt idx="267">
                  <c:v>4.7938482926977004</c:v>
                </c:pt>
                <c:pt idx="268">
                  <c:v>4.7938482926977004</c:v>
                </c:pt>
                <c:pt idx="269">
                  <c:v>5.0777119637615931</c:v>
                </c:pt>
                <c:pt idx="270">
                  <c:v>4.9592869009026765</c:v>
                </c:pt>
                <c:pt idx="271">
                  <c:v>4.7524097772175118</c:v>
                </c:pt>
                <c:pt idx="272">
                  <c:v>4.9000000000000004</c:v>
                </c:pt>
                <c:pt idx="273">
                  <c:v>5</c:v>
                </c:pt>
                <c:pt idx="274">
                  <c:v>4.9000000000000004</c:v>
                </c:pt>
                <c:pt idx="275">
                  <c:v>4.7524097772175118</c:v>
                </c:pt>
                <c:pt idx="276">
                  <c:v>4.5999999999999996</c:v>
                </c:pt>
                <c:pt idx="277">
                  <c:v>4.6200082812689161</c:v>
                </c:pt>
                <c:pt idx="278">
                  <c:v>4.9758369234850859</c:v>
                </c:pt>
                <c:pt idx="279">
                  <c:v>5.0999999999999996</c:v>
                </c:pt>
                <c:pt idx="280">
                  <c:v>4.419406901629209</c:v>
                </c:pt>
                <c:pt idx="281">
                  <c:v>4.450332510989778</c:v>
                </c:pt>
                <c:pt idx="282">
                  <c:v>4.4812583884689969</c:v>
                </c:pt>
                <c:pt idx="283">
                  <c:v>4.4334640942907946</c:v>
                </c:pt>
                <c:pt idx="284">
                  <c:v>4.3884812922686383</c:v>
                </c:pt>
                <c:pt idx="285">
                  <c:v>4.2900812117561857</c:v>
                </c:pt>
                <c:pt idx="286">
                  <c:v>4.4242138731544109</c:v>
                </c:pt>
                <c:pt idx="287">
                  <c:v>4.2686414698213158</c:v>
                </c:pt>
                <c:pt idx="288">
                  <c:v>4.2023792770825761</c:v>
                </c:pt>
                <c:pt idx="289">
                  <c:v>3.9661394981317493</c:v>
                </c:pt>
                <c:pt idx="290">
                  <c:v>3.7875193516938075</c:v>
                </c:pt>
                <c:pt idx="291">
                  <c:v>3.7932814248454041</c:v>
                </c:pt>
                <c:pt idx="292">
                  <c:v>3.770233681740558</c:v>
                </c:pt>
                <c:pt idx="293">
                  <c:v>3.7424577376085884</c:v>
                </c:pt>
                <c:pt idx="294">
                  <c:v>3.4411638142699976</c:v>
                </c:pt>
                <c:pt idx="295">
                  <c:v>3.3616927909525893</c:v>
                </c:pt>
                <c:pt idx="296">
                  <c:v>3.3590436978946783</c:v>
                </c:pt>
                <c:pt idx="297">
                  <c:v>3.6938739333409298</c:v>
                </c:pt>
                <c:pt idx="298">
                  <c:v>3.0880548643017325</c:v>
                </c:pt>
                <c:pt idx="299">
                  <c:v>2.9692668658468238</c:v>
                </c:pt>
                <c:pt idx="300">
                  <c:v>2.5812258359324085</c:v>
                </c:pt>
                <c:pt idx="301">
                  <c:v>2.7765663741802564</c:v>
                </c:pt>
                <c:pt idx="302">
                  <c:v>2.7765663741802564</c:v>
                </c:pt>
                <c:pt idx="303">
                  <c:v>2.7528087241403365</c:v>
                </c:pt>
                <c:pt idx="304">
                  <c:v>2.9692668658468238</c:v>
                </c:pt>
                <c:pt idx="305">
                  <c:v>3.0694537313761452</c:v>
                </c:pt>
                <c:pt idx="306">
                  <c:v>3.1642222424241098</c:v>
                </c:pt>
                <c:pt idx="307">
                  <c:v>3.2015553337268967</c:v>
                </c:pt>
                <c:pt idx="308">
                  <c:v>3.2015553337268967</c:v>
                </c:pt>
                <c:pt idx="309">
                  <c:v>3.2015553337268967</c:v>
                </c:pt>
                <c:pt idx="310">
                  <c:v>4.1400127731407599</c:v>
                </c:pt>
                <c:pt idx="311">
                  <c:v>4.2112306214539386</c:v>
                </c:pt>
                <c:pt idx="312">
                  <c:v>4.2548452360741118</c:v>
                </c:pt>
                <c:pt idx="313">
                  <c:v>4.1269085525436759</c:v>
                </c:pt>
                <c:pt idx="314">
                  <c:v>4.1269085525436759</c:v>
                </c:pt>
                <c:pt idx="315">
                  <c:v>4.106555102693588</c:v>
                </c:pt>
                <c:pt idx="316">
                  <c:v>3.9151572969456323</c:v>
                </c:pt>
                <c:pt idx="317">
                  <c:v>3.9756577613622213</c:v>
                </c:pt>
                <c:pt idx="318">
                  <c:v>3.6680282389776901</c:v>
                </c:pt>
                <c:pt idx="319">
                  <c:v>3.4879668579722738</c:v>
                </c:pt>
                <c:pt idx="320">
                  <c:v>3.6060399454608341</c:v>
                </c:pt>
                <c:pt idx="321">
                  <c:v>3.5883288838098291</c:v>
                </c:pt>
                <c:pt idx="322">
                  <c:v>4.0311023284994363</c:v>
                </c:pt>
                <c:pt idx="323">
                  <c:v>4.0311023284994363</c:v>
                </c:pt>
                <c:pt idx="324">
                  <c:v>5.5930602382701915</c:v>
                </c:pt>
                <c:pt idx="325">
                  <c:v>5.5250682687681909</c:v>
                </c:pt>
                <c:pt idx="326">
                  <c:v>5.6925607817352075</c:v>
                </c:pt>
                <c:pt idx="327">
                  <c:v>5.6991939826043385</c:v>
                </c:pt>
                <c:pt idx="328">
                  <c:v>5.7025107411906575</c:v>
                </c:pt>
                <c:pt idx="329">
                  <c:v>5.7025107411906575</c:v>
                </c:pt>
                <c:pt idx="330">
                  <c:v>5.7091439420597867</c:v>
                </c:pt>
                <c:pt idx="331">
                  <c:v>5.9015115118171817</c:v>
                </c:pt>
                <c:pt idx="332">
                  <c:v>5.8816115929062835</c:v>
                </c:pt>
                <c:pt idx="333">
                  <c:v>5.6991939826043385</c:v>
                </c:pt>
                <c:pt idx="334">
                  <c:v>5.7157774592324255</c:v>
                </c:pt>
                <c:pt idx="335">
                  <c:v>5.6229104329400474</c:v>
                </c:pt>
                <c:pt idx="336">
                  <c:v>5.7157774592324255</c:v>
                </c:pt>
                <c:pt idx="337">
                  <c:v>5.3774756747120716</c:v>
                </c:pt>
                <c:pt idx="338">
                  <c:v>5.3476257963457234</c:v>
                </c:pt>
                <c:pt idx="339">
                  <c:v>6.0356538632169112</c:v>
                </c:pt>
                <c:pt idx="340">
                  <c:v>6.1202750501892922</c:v>
                </c:pt>
                <c:pt idx="341">
                  <c:v>6.0250763409403776</c:v>
                </c:pt>
                <c:pt idx="342">
                  <c:v>5.9510330124979012</c:v>
                </c:pt>
                <c:pt idx="343">
                  <c:v>5.8875675425853276</c:v>
                </c:pt>
                <c:pt idx="344">
                  <c:v>6.1907924257884677</c:v>
                </c:pt>
                <c:pt idx="345">
                  <c:v>6.5222242592312787</c:v>
                </c:pt>
                <c:pt idx="346">
                  <c:v>5.9777937578337177</c:v>
                </c:pt>
                <c:pt idx="347">
                  <c:v>6.0985520095614429</c:v>
                </c:pt>
                <c:pt idx="348">
                  <c:v>6.0604177769531171</c:v>
                </c:pt>
                <c:pt idx="349">
                  <c:v>6.1271527597836712</c:v>
                </c:pt>
                <c:pt idx="350">
                  <c:v>6.1346349089521297</c:v>
                </c:pt>
                <c:pt idx="351">
                  <c:v>6.1346349089521297</c:v>
                </c:pt>
                <c:pt idx="352">
                  <c:v>6.3100889469053518</c:v>
                </c:pt>
                <c:pt idx="353">
                  <c:v>6.2442939067704417</c:v>
                </c:pt>
                <c:pt idx="354">
                  <c:v>6.3320206269503219</c:v>
                </c:pt>
                <c:pt idx="355">
                  <c:v>6.70172779797542</c:v>
                </c:pt>
                <c:pt idx="356">
                  <c:v>6.7831887507092095</c:v>
                </c:pt>
                <c:pt idx="357">
                  <c:v>6.8301852933189249</c:v>
                </c:pt>
                <c:pt idx="358">
                  <c:v>6.7111273455347478</c:v>
                </c:pt>
                <c:pt idx="359">
                  <c:v>6.3852835345995889</c:v>
                </c:pt>
                <c:pt idx="360">
                  <c:v>6.3852835345995889</c:v>
                </c:pt>
                <c:pt idx="361">
                  <c:v>6.3367206995267162</c:v>
                </c:pt>
                <c:pt idx="362">
                  <c:v>5.4728664324918102</c:v>
                </c:pt>
                <c:pt idx="363">
                  <c:v>5.2372496681392144</c:v>
                </c:pt>
                <c:pt idx="364">
                  <c:v>5.177943125860863</c:v>
                </c:pt>
                <c:pt idx="365">
                  <c:v>5.1617383302827369</c:v>
                </c:pt>
                <c:pt idx="366">
                  <c:v>5.2272877918235574</c:v>
                </c:pt>
                <c:pt idx="367">
                  <c:v>5.2585017927783495</c:v>
                </c:pt>
                <c:pt idx="368">
                  <c:v>5.1617383302827369</c:v>
                </c:pt>
                <c:pt idx="369">
                  <c:v>5.2555053582324787</c:v>
                </c:pt>
                <c:pt idx="370">
                  <c:v>5.2928366580068271</c:v>
                </c:pt>
                <c:pt idx="371">
                  <c:v>5.0805827613008452</c:v>
                </c:pt>
                <c:pt idx="372">
                  <c:v>5.3677504984413495</c:v>
                </c:pt>
                <c:pt idx="373">
                  <c:v>5.5082126097015927</c:v>
                </c:pt>
                <c:pt idx="374">
                  <c:v>5.7439116819079103</c:v>
                </c:pt>
                <c:pt idx="375">
                  <c:v>5.7829696614040209</c:v>
                </c:pt>
                <c:pt idx="376">
                  <c:v>5.770785579597816</c:v>
                </c:pt>
                <c:pt idx="377">
                  <c:v>5.5889529628474008</c:v>
                </c:pt>
                <c:pt idx="378">
                  <c:v>5.6418497470140467</c:v>
                </c:pt>
                <c:pt idx="379">
                  <c:v>5.7013587868463729</c:v>
                </c:pt>
                <c:pt idx="380">
                  <c:v>5.7363914502664635</c:v>
                </c:pt>
                <c:pt idx="381">
                  <c:v>6.0286578753447628</c:v>
                </c:pt>
                <c:pt idx="382">
                  <c:v>6.1626494876362186</c:v>
                </c:pt>
                <c:pt idx="383">
                  <c:v>6.3458605894675415</c:v>
                </c:pt>
                <c:pt idx="384">
                  <c:v>6.4113071918367508</c:v>
                </c:pt>
                <c:pt idx="385">
                  <c:v>6.1523708665699557</c:v>
                </c:pt>
                <c:pt idx="386">
                  <c:v>6.3293652138766276</c:v>
                </c:pt>
                <c:pt idx="387">
                  <c:v>5.8901561619969556</c:v>
                </c:pt>
                <c:pt idx="388">
                  <c:v>6.073706642748359</c:v>
                </c:pt>
                <c:pt idx="389">
                  <c:v>6.3064215600746225</c:v>
                </c:pt>
                <c:pt idx="390">
                  <c:v>6.3785302756191662</c:v>
                </c:pt>
                <c:pt idx="391">
                  <c:v>7.1515415663606063</c:v>
                </c:pt>
                <c:pt idx="392">
                  <c:v>7.0905384159312659</c:v>
                </c:pt>
                <c:pt idx="393">
                  <c:v>7.2701587314830416</c:v>
                </c:pt>
                <c:pt idx="394">
                  <c:v>7.4667240793045027</c:v>
                </c:pt>
                <c:pt idx="395">
                  <c:v>7.4836697579857354</c:v>
                </c:pt>
                <c:pt idx="396">
                  <c:v>7.2803261386917812</c:v>
                </c:pt>
                <c:pt idx="397">
                  <c:v>7.1854322773115236</c:v>
                </c:pt>
                <c:pt idx="398">
                  <c:v>8.1682590164188298</c:v>
                </c:pt>
                <c:pt idx="399">
                  <c:v>8.6088369659576554</c:v>
                </c:pt>
                <c:pt idx="400">
                  <c:v>8.6088369659576554</c:v>
                </c:pt>
                <c:pt idx="401">
                  <c:v>8.5139431045773968</c:v>
                </c:pt>
                <c:pt idx="402">
                  <c:v>8.994311630057835</c:v>
                </c:pt>
                <c:pt idx="403">
                  <c:v>9.0547393028122194</c:v>
                </c:pt>
                <c:pt idx="404">
                  <c:v>8.7329298539632134</c:v>
                </c:pt>
                <c:pt idx="405">
                  <c:v>8.9000940210101689</c:v>
                </c:pt>
                <c:pt idx="406">
                  <c:v>8.7364859465860665</c:v>
                </c:pt>
                <c:pt idx="407">
                  <c:v>8.7756097492844898</c:v>
                </c:pt>
                <c:pt idx="408">
                  <c:v>9.1917424597828035</c:v>
                </c:pt>
                <c:pt idx="409">
                  <c:v>9.2664332941720939</c:v>
                </c:pt>
                <c:pt idx="410">
                  <c:v>9.7963799633734165</c:v>
                </c:pt>
                <c:pt idx="411">
                  <c:v>10.525501060305004</c:v>
                </c:pt>
                <c:pt idx="412">
                  <c:v>10.53261460232012</c:v>
                </c:pt>
                <c:pt idx="413">
                  <c:v>11.43601408669848</c:v>
                </c:pt>
                <c:pt idx="414">
                  <c:v>11.549828045401489</c:v>
                </c:pt>
                <c:pt idx="415">
                  <c:v>11.720548983456</c:v>
                </c:pt>
                <c:pt idx="416">
                  <c:v>10.699550150081411</c:v>
                </c:pt>
                <c:pt idx="417">
                  <c:v>11.408021018556271</c:v>
                </c:pt>
                <c:pt idx="418">
                  <c:v>11.221581588559909</c:v>
                </c:pt>
                <c:pt idx="419">
                  <c:v>11.038623871849575</c:v>
                </c:pt>
                <c:pt idx="420">
                  <c:v>12.034178686300294</c:v>
                </c:pt>
                <c:pt idx="421">
                  <c:v>11.947004309314291</c:v>
                </c:pt>
                <c:pt idx="422">
                  <c:v>12.666697485773183</c:v>
                </c:pt>
                <c:pt idx="423">
                  <c:v>12.224838981295663</c:v>
                </c:pt>
                <c:pt idx="424">
                  <c:v>11.980477935405593</c:v>
                </c:pt>
                <c:pt idx="425">
                  <c:v>11.960392993588622</c:v>
                </c:pt>
                <c:pt idx="426">
                  <c:v>11.475019030579803</c:v>
                </c:pt>
                <c:pt idx="427">
                  <c:v>10.784967918136985</c:v>
                </c:pt>
                <c:pt idx="428">
                  <c:v>11.7</c:v>
                </c:pt>
                <c:pt idx="429">
                  <c:v>11.69899512738059</c:v>
                </c:pt>
                <c:pt idx="430">
                  <c:v>11.933718993339678</c:v>
                </c:pt>
                <c:pt idx="431">
                  <c:v>12.024255396458562</c:v>
                </c:pt>
                <c:pt idx="432">
                  <c:v>11.967358206071841</c:v>
                </c:pt>
                <c:pt idx="433">
                  <c:v>12.341761942581346</c:v>
                </c:pt>
                <c:pt idx="434">
                  <c:v>11.563134680567327</c:v>
                </c:pt>
                <c:pt idx="435">
                  <c:v>11.645967287339547</c:v>
                </c:pt>
                <c:pt idx="436">
                  <c:v>11.019752982369615</c:v>
                </c:pt>
                <c:pt idx="437">
                  <c:v>10.237812972211829</c:v>
                </c:pt>
                <c:pt idx="438">
                  <c:v>9.4128009165586839</c:v>
                </c:pt>
                <c:pt idx="439">
                  <c:v>10.058894870204407</c:v>
                </c:pt>
                <c:pt idx="440">
                  <c:v>9.3167147893608426</c:v>
                </c:pt>
                <c:pt idx="441">
                  <c:v>9.1112902784648178</c:v>
                </c:pt>
                <c:pt idx="442">
                  <c:v>8.4883887216386551</c:v>
                </c:pt>
                <c:pt idx="443">
                  <c:v>6.4044840294538679</c:v>
                </c:pt>
                <c:pt idx="444">
                  <c:v>7.0320986169070538</c:v>
                </c:pt>
                <c:pt idx="445">
                  <c:v>7.1084748679289795</c:v>
                </c:pt>
                <c:pt idx="446">
                  <c:v>6.9623639442459329</c:v>
                </c:pt>
                <c:pt idx="447">
                  <c:v>6.510746749723638</c:v>
                </c:pt>
                <c:pt idx="448">
                  <c:v>6.7598002378718256</c:v>
                </c:pt>
                <c:pt idx="449">
                  <c:v>6.719951401082775</c:v>
                </c:pt>
                <c:pt idx="450">
                  <c:v>6.7598002378718256</c:v>
                </c:pt>
                <c:pt idx="451">
                  <c:v>6.2517308940342442</c:v>
                </c:pt>
                <c:pt idx="452">
                  <c:v>6.1189024936970302</c:v>
                </c:pt>
                <c:pt idx="453">
                  <c:v>5.8964146856162838</c:v>
                </c:pt>
                <c:pt idx="454">
                  <c:v>5.6672852991747353</c:v>
                </c:pt>
                <c:pt idx="455">
                  <c:v>5.7</c:v>
                </c:pt>
                <c:pt idx="456">
                  <c:v>5.6</c:v>
                </c:pt>
                <c:pt idx="457">
                  <c:v>5.8</c:v>
                </c:pt>
                <c:pt idx="458">
                  <c:v>5.9332184579493319</c:v>
                </c:pt>
                <c:pt idx="459">
                  <c:v>5.9332184579493319</c:v>
                </c:pt>
                <c:pt idx="460">
                  <c:v>5.9332184579493319</c:v>
                </c:pt>
                <c:pt idx="461">
                  <c:v>5.9332184579493319</c:v>
                </c:pt>
                <c:pt idx="462">
                  <c:v>5.9332184579493319</c:v>
                </c:pt>
                <c:pt idx="463">
                  <c:v>5.9332184579493319</c:v>
                </c:pt>
                <c:pt idx="464">
                  <c:v>5.9332184579493319</c:v>
                </c:pt>
                <c:pt idx="465">
                  <c:v>5.9332184579493319</c:v>
                </c:pt>
                <c:pt idx="466">
                  <c:v>6.7245821311710294</c:v>
                </c:pt>
                <c:pt idx="467">
                  <c:v>7.4207143575850498</c:v>
                </c:pt>
                <c:pt idx="468">
                  <c:v>7.7342776012685146</c:v>
                </c:pt>
                <c:pt idx="469">
                  <c:v>7.5021831134894903</c:v>
                </c:pt>
                <c:pt idx="470">
                  <c:v>7.6677079070270917</c:v>
                </c:pt>
                <c:pt idx="471">
                  <c:v>7.6695074774940419</c:v>
                </c:pt>
                <c:pt idx="472">
                  <c:v>7.9285900315970403</c:v>
                </c:pt>
                <c:pt idx="473">
                  <c:v>7.6839006095544686</c:v>
                </c:pt>
                <c:pt idx="474">
                  <c:v>7.9681723458495268</c:v>
                </c:pt>
                <c:pt idx="475">
                  <c:v>8.2740334370677058</c:v>
                </c:pt>
                <c:pt idx="476">
                  <c:v>7.7990484113780241</c:v>
                </c:pt>
                <c:pt idx="477">
                  <c:v>7.6830168483116319</c:v>
                </c:pt>
                <c:pt idx="478">
                  <c:v>7.2492609124398415</c:v>
                </c:pt>
                <c:pt idx="479">
                  <c:v>7.564083693792317</c:v>
                </c:pt>
                <c:pt idx="480">
                  <c:v>7.1653082152256307</c:v>
                </c:pt>
                <c:pt idx="481">
                  <c:v>7.7073405841445179</c:v>
                </c:pt>
                <c:pt idx="482">
                  <c:v>7.6459206839880274</c:v>
                </c:pt>
                <c:pt idx="483">
                  <c:v>7.7326310096597046</c:v>
                </c:pt>
                <c:pt idx="484">
                  <c:v>8.0686339523327124</c:v>
                </c:pt>
                <c:pt idx="485">
                  <c:v>7.7687604843010076</c:v>
                </c:pt>
                <c:pt idx="486">
                  <c:v>7.5375322600641219</c:v>
                </c:pt>
                <c:pt idx="487">
                  <c:v>7.5898403051306591</c:v>
                </c:pt>
                <c:pt idx="488">
                  <c:v>7.2323023115900558</c:v>
                </c:pt>
                <c:pt idx="489">
                  <c:v>7.2498290771034632</c:v>
                </c:pt>
                <c:pt idx="490">
                  <c:v>7.4005552490523128</c:v>
                </c:pt>
                <c:pt idx="491">
                  <c:v>7.123639039717899</c:v>
                </c:pt>
                <c:pt idx="492">
                  <c:v>7.1481758428589268</c:v>
                </c:pt>
                <c:pt idx="493">
                  <c:v>6.8116699679344119</c:v>
                </c:pt>
                <c:pt idx="494">
                  <c:v>6.8151746524593522</c:v>
                </c:pt>
                <c:pt idx="495">
                  <c:v>6.8151746524593522</c:v>
                </c:pt>
                <c:pt idx="496">
                  <c:v>9.410786226143701</c:v>
                </c:pt>
                <c:pt idx="497">
                  <c:v>6.8151746524593522</c:v>
                </c:pt>
                <c:pt idx="498">
                  <c:v>9.410786226143701</c:v>
                </c:pt>
                <c:pt idx="499">
                  <c:v>9.410786226143701</c:v>
                </c:pt>
                <c:pt idx="500">
                  <c:v>9.410786226143701</c:v>
                </c:pt>
                <c:pt idx="501">
                  <c:v>9.410786226143701</c:v>
                </c:pt>
                <c:pt idx="502">
                  <c:v>7.9381673583955079</c:v>
                </c:pt>
                <c:pt idx="503">
                  <c:v>7.8654718466176288</c:v>
                </c:pt>
                <c:pt idx="504">
                  <c:v>7.8535048006983015</c:v>
                </c:pt>
                <c:pt idx="505">
                  <c:v>8.0085888056573999</c:v>
                </c:pt>
                <c:pt idx="506">
                  <c:v>8.1685193013181703</c:v>
                </c:pt>
                <c:pt idx="507">
                  <c:v>10.185668213672875</c:v>
                </c:pt>
                <c:pt idx="508">
                  <c:v>9.9932927373218163</c:v>
                </c:pt>
                <c:pt idx="509">
                  <c:v>9.4873413711425556</c:v>
                </c:pt>
                <c:pt idx="510">
                  <c:v>9.9883804789801758</c:v>
                </c:pt>
                <c:pt idx="511">
                  <c:v>9.6347063106393431</c:v>
                </c:pt>
                <c:pt idx="512">
                  <c:v>9.5364630176414842</c:v>
                </c:pt>
                <c:pt idx="513">
                  <c:v>9.5561120510080464</c:v>
                </c:pt>
                <c:pt idx="514">
                  <c:v>9.2859434637226741</c:v>
                </c:pt>
                <c:pt idx="515">
                  <c:v>9.4136593698528994</c:v>
                </c:pt>
                <c:pt idx="516">
                  <c:v>10.175042548292614</c:v>
                </c:pt>
                <c:pt idx="517">
                  <c:v>10.219251936449902</c:v>
                </c:pt>
                <c:pt idx="518">
                  <c:v>10.346966905662649</c:v>
                </c:pt>
                <c:pt idx="519">
                  <c:v>10.464859232027074</c:v>
                </c:pt>
                <c:pt idx="520">
                  <c:v>10.532351622026162</c:v>
                </c:pt>
                <c:pt idx="521">
                  <c:v>10.004799030284726</c:v>
                </c:pt>
                <c:pt idx="522">
                  <c:v>10.232275471722073</c:v>
                </c:pt>
                <c:pt idx="523">
                  <c:v>10.532351622026162</c:v>
                </c:pt>
                <c:pt idx="524">
                  <c:v>10.595270323481207</c:v>
                </c:pt>
                <c:pt idx="525">
                  <c:v>10.766396741848448</c:v>
                </c:pt>
                <c:pt idx="526">
                  <c:v>10.430384900002364</c:v>
                </c:pt>
                <c:pt idx="527">
                  <c:v>10.678516630659054</c:v>
                </c:pt>
                <c:pt idx="528">
                  <c:v>10.414876297090878</c:v>
                </c:pt>
                <c:pt idx="529">
                  <c:v>9.3654844971219955</c:v>
                </c:pt>
                <c:pt idx="530">
                  <c:v>9.1018441635538174</c:v>
                </c:pt>
                <c:pt idx="531">
                  <c:v>9.2052328776546979</c:v>
                </c:pt>
                <c:pt idx="532">
                  <c:v>9.2672663033127947</c:v>
                </c:pt>
                <c:pt idx="533">
                  <c:v>9.7794574093912026</c:v>
                </c:pt>
                <c:pt idx="534">
                  <c:v>9.6413889476439021</c:v>
                </c:pt>
                <c:pt idx="535">
                  <c:v>9.9891164918893764</c:v>
                </c:pt>
                <c:pt idx="536">
                  <c:v>10.265253415383979</c:v>
                </c:pt>
                <c:pt idx="537">
                  <c:v>10.574197034863245</c:v>
                </c:pt>
                <c:pt idx="538">
                  <c:v>10.020339016983206</c:v>
                </c:pt>
                <c:pt idx="539">
                  <c:v>10.415731030907416</c:v>
                </c:pt>
              </c:numCache>
            </c:numRef>
          </c:val>
          <c:smooth val="0"/>
          <c:extLst>
            <c:ext xmlns:c16="http://schemas.microsoft.com/office/drawing/2014/chart" uri="{C3380CC4-5D6E-409C-BE32-E72D297353CC}">
              <c16:uniqueId val="{00000000-F620-48D4-8207-C5A941E212BF}"/>
            </c:ext>
          </c:extLst>
        </c:ser>
        <c:ser>
          <c:idx val="1"/>
          <c:order val="1"/>
          <c:tx>
            <c:strRef>
              <c:f>Summary!$AD$100</c:f>
              <c:strCache>
                <c:ptCount val="1"/>
                <c:pt idx="0">
                  <c:v>ACXM Mean</c:v>
                </c:pt>
              </c:strCache>
            </c:strRef>
          </c:tx>
          <c:spPr>
            <a:ln w="12700">
              <a:solidFill>
                <a:srgbClr val="7979FF"/>
              </a:solidFill>
              <a:prstDash val="lgDash"/>
            </a:ln>
          </c:spPr>
          <c:marker>
            <c:symbol val="none"/>
          </c:marker>
          <c:cat>
            <c:numRef>
              <c:f>Summary!$AB$564:$AB$5006</c:f>
              <c:numCache>
                <c:formatCode>m/d/yyyy</c:formatCode>
                <c:ptCount val="4443"/>
                <c:pt idx="0">
                  <c:v>38674</c:v>
                </c:pt>
                <c:pt idx="1">
                  <c:v>38681</c:v>
                </c:pt>
                <c:pt idx="2">
                  <c:v>38688</c:v>
                </c:pt>
                <c:pt idx="3">
                  <c:v>38695</c:v>
                </c:pt>
                <c:pt idx="4">
                  <c:v>38702</c:v>
                </c:pt>
                <c:pt idx="5">
                  <c:v>38709</c:v>
                </c:pt>
                <c:pt idx="6">
                  <c:v>38716</c:v>
                </c:pt>
                <c:pt idx="7">
                  <c:v>38723</c:v>
                </c:pt>
                <c:pt idx="8">
                  <c:v>38730</c:v>
                </c:pt>
                <c:pt idx="9">
                  <c:v>38737</c:v>
                </c:pt>
                <c:pt idx="10">
                  <c:v>38744</c:v>
                </c:pt>
                <c:pt idx="11">
                  <c:v>38751</c:v>
                </c:pt>
                <c:pt idx="12">
                  <c:v>38758</c:v>
                </c:pt>
                <c:pt idx="13">
                  <c:v>38765</c:v>
                </c:pt>
                <c:pt idx="14">
                  <c:v>38772</c:v>
                </c:pt>
                <c:pt idx="15">
                  <c:v>38779</c:v>
                </c:pt>
                <c:pt idx="16">
                  <c:v>38786</c:v>
                </c:pt>
                <c:pt idx="17">
                  <c:v>38793</c:v>
                </c:pt>
                <c:pt idx="18">
                  <c:v>38800</c:v>
                </c:pt>
                <c:pt idx="19">
                  <c:v>38807</c:v>
                </c:pt>
                <c:pt idx="20">
                  <c:v>38814</c:v>
                </c:pt>
                <c:pt idx="21">
                  <c:v>38821</c:v>
                </c:pt>
                <c:pt idx="22">
                  <c:v>38828</c:v>
                </c:pt>
                <c:pt idx="23">
                  <c:v>38835</c:v>
                </c:pt>
                <c:pt idx="24">
                  <c:v>38842</c:v>
                </c:pt>
                <c:pt idx="25">
                  <c:v>38849</c:v>
                </c:pt>
                <c:pt idx="26">
                  <c:v>38856</c:v>
                </c:pt>
                <c:pt idx="27">
                  <c:v>38863</c:v>
                </c:pt>
                <c:pt idx="28">
                  <c:v>38870</c:v>
                </c:pt>
                <c:pt idx="29">
                  <c:v>38877</c:v>
                </c:pt>
                <c:pt idx="30">
                  <c:v>38884</c:v>
                </c:pt>
                <c:pt idx="31">
                  <c:v>38891</c:v>
                </c:pt>
                <c:pt idx="32">
                  <c:v>38898</c:v>
                </c:pt>
                <c:pt idx="33">
                  <c:v>38905</c:v>
                </c:pt>
                <c:pt idx="34">
                  <c:v>38912</c:v>
                </c:pt>
                <c:pt idx="35">
                  <c:v>38919</c:v>
                </c:pt>
                <c:pt idx="36">
                  <c:v>38926</c:v>
                </c:pt>
                <c:pt idx="37">
                  <c:v>38933</c:v>
                </c:pt>
                <c:pt idx="38">
                  <c:v>38940</c:v>
                </c:pt>
                <c:pt idx="39">
                  <c:v>38947</c:v>
                </c:pt>
                <c:pt idx="40">
                  <c:v>38954</c:v>
                </c:pt>
                <c:pt idx="41">
                  <c:v>38961</c:v>
                </c:pt>
                <c:pt idx="42">
                  <c:v>38968</c:v>
                </c:pt>
                <c:pt idx="43">
                  <c:v>38975</c:v>
                </c:pt>
                <c:pt idx="44">
                  <c:v>38982</c:v>
                </c:pt>
                <c:pt idx="45">
                  <c:v>38989</c:v>
                </c:pt>
                <c:pt idx="46">
                  <c:v>38996</c:v>
                </c:pt>
                <c:pt idx="47">
                  <c:v>39003</c:v>
                </c:pt>
                <c:pt idx="48">
                  <c:v>39010</c:v>
                </c:pt>
                <c:pt idx="49">
                  <c:v>39017</c:v>
                </c:pt>
                <c:pt idx="50">
                  <c:v>39024</c:v>
                </c:pt>
                <c:pt idx="51">
                  <c:v>39031</c:v>
                </c:pt>
                <c:pt idx="52">
                  <c:v>39038</c:v>
                </c:pt>
                <c:pt idx="53">
                  <c:v>39045</c:v>
                </c:pt>
                <c:pt idx="54">
                  <c:v>39052</c:v>
                </c:pt>
                <c:pt idx="55">
                  <c:v>39059</c:v>
                </c:pt>
                <c:pt idx="56">
                  <c:v>39066</c:v>
                </c:pt>
                <c:pt idx="57">
                  <c:v>39073</c:v>
                </c:pt>
                <c:pt idx="58">
                  <c:v>39081</c:v>
                </c:pt>
                <c:pt idx="59">
                  <c:v>39087</c:v>
                </c:pt>
                <c:pt idx="60">
                  <c:v>39094</c:v>
                </c:pt>
                <c:pt idx="61">
                  <c:v>39101</c:v>
                </c:pt>
                <c:pt idx="62">
                  <c:v>39108</c:v>
                </c:pt>
                <c:pt idx="63">
                  <c:v>39115</c:v>
                </c:pt>
                <c:pt idx="64">
                  <c:v>39122</c:v>
                </c:pt>
                <c:pt idx="65">
                  <c:v>39129</c:v>
                </c:pt>
                <c:pt idx="66">
                  <c:v>39136</c:v>
                </c:pt>
                <c:pt idx="67">
                  <c:v>39143</c:v>
                </c:pt>
                <c:pt idx="68">
                  <c:v>39150</c:v>
                </c:pt>
                <c:pt idx="69">
                  <c:v>39157</c:v>
                </c:pt>
                <c:pt idx="70">
                  <c:v>39164</c:v>
                </c:pt>
                <c:pt idx="71">
                  <c:v>39171</c:v>
                </c:pt>
                <c:pt idx="72">
                  <c:v>39178</c:v>
                </c:pt>
                <c:pt idx="73">
                  <c:v>39185</c:v>
                </c:pt>
                <c:pt idx="74">
                  <c:v>39192</c:v>
                </c:pt>
                <c:pt idx="75">
                  <c:v>39199</c:v>
                </c:pt>
                <c:pt idx="76">
                  <c:v>39206</c:v>
                </c:pt>
                <c:pt idx="77">
                  <c:v>39213</c:v>
                </c:pt>
                <c:pt idx="78">
                  <c:v>39220</c:v>
                </c:pt>
                <c:pt idx="79">
                  <c:v>39227</c:v>
                </c:pt>
                <c:pt idx="80">
                  <c:v>39234</c:v>
                </c:pt>
                <c:pt idx="81">
                  <c:v>39241</c:v>
                </c:pt>
                <c:pt idx="82">
                  <c:v>39248</c:v>
                </c:pt>
                <c:pt idx="83">
                  <c:v>39255</c:v>
                </c:pt>
                <c:pt idx="84">
                  <c:v>39262</c:v>
                </c:pt>
                <c:pt idx="85">
                  <c:v>39269</c:v>
                </c:pt>
                <c:pt idx="86">
                  <c:v>39276</c:v>
                </c:pt>
                <c:pt idx="87">
                  <c:v>39283</c:v>
                </c:pt>
                <c:pt idx="88">
                  <c:v>39290</c:v>
                </c:pt>
                <c:pt idx="89">
                  <c:v>39297</c:v>
                </c:pt>
                <c:pt idx="90">
                  <c:v>39304</c:v>
                </c:pt>
                <c:pt idx="91">
                  <c:v>39311</c:v>
                </c:pt>
                <c:pt idx="92">
                  <c:v>39318</c:v>
                </c:pt>
                <c:pt idx="93">
                  <c:v>39325</c:v>
                </c:pt>
                <c:pt idx="94">
                  <c:v>39332</c:v>
                </c:pt>
                <c:pt idx="95">
                  <c:v>39339</c:v>
                </c:pt>
                <c:pt idx="96">
                  <c:v>39346</c:v>
                </c:pt>
                <c:pt idx="97">
                  <c:v>39353</c:v>
                </c:pt>
                <c:pt idx="98">
                  <c:v>39360</c:v>
                </c:pt>
                <c:pt idx="99">
                  <c:v>39367</c:v>
                </c:pt>
                <c:pt idx="100">
                  <c:v>39374</c:v>
                </c:pt>
                <c:pt idx="101">
                  <c:v>39381</c:v>
                </c:pt>
                <c:pt idx="102">
                  <c:v>39388</c:v>
                </c:pt>
                <c:pt idx="103">
                  <c:v>39395</c:v>
                </c:pt>
                <c:pt idx="104">
                  <c:v>39402</c:v>
                </c:pt>
                <c:pt idx="105">
                  <c:v>39409</c:v>
                </c:pt>
                <c:pt idx="106">
                  <c:v>39416</c:v>
                </c:pt>
                <c:pt idx="107">
                  <c:v>39423</c:v>
                </c:pt>
                <c:pt idx="108">
                  <c:v>39430</c:v>
                </c:pt>
                <c:pt idx="109">
                  <c:v>39437</c:v>
                </c:pt>
                <c:pt idx="110">
                  <c:v>39447</c:v>
                </c:pt>
                <c:pt idx="111">
                  <c:v>39451</c:v>
                </c:pt>
                <c:pt idx="112">
                  <c:v>39458</c:v>
                </c:pt>
                <c:pt idx="113">
                  <c:v>39465</c:v>
                </c:pt>
                <c:pt idx="114">
                  <c:v>39472</c:v>
                </c:pt>
                <c:pt idx="115">
                  <c:v>39479</c:v>
                </c:pt>
                <c:pt idx="116">
                  <c:v>39486</c:v>
                </c:pt>
                <c:pt idx="117">
                  <c:v>39493</c:v>
                </c:pt>
                <c:pt idx="118">
                  <c:v>39500</c:v>
                </c:pt>
                <c:pt idx="119">
                  <c:v>39507</c:v>
                </c:pt>
                <c:pt idx="120">
                  <c:v>39514</c:v>
                </c:pt>
                <c:pt idx="121">
                  <c:v>39521</c:v>
                </c:pt>
                <c:pt idx="122">
                  <c:v>39528</c:v>
                </c:pt>
                <c:pt idx="123">
                  <c:v>39538</c:v>
                </c:pt>
                <c:pt idx="124">
                  <c:v>39542</c:v>
                </c:pt>
                <c:pt idx="125">
                  <c:v>39549</c:v>
                </c:pt>
                <c:pt idx="126">
                  <c:v>39556</c:v>
                </c:pt>
                <c:pt idx="127">
                  <c:v>39563</c:v>
                </c:pt>
                <c:pt idx="128">
                  <c:v>39570</c:v>
                </c:pt>
                <c:pt idx="129">
                  <c:v>39577</c:v>
                </c:pt>
                <c:pt idx="130">
                  <c:v>39584</c:v>
                </c:pt>
                <c:pt idx="131">
                  <c:v>39591</c:v>
                </c:pt>
                <c:pt idx="132">
                  <c:v>39598</c:v>
                </c:pt>
                <c:pt idx="133">
                  <c:v>39605</c:v>
                </c:pt>
                <c:pt idx="134">
                  <c:v>39612</c:v>
                </c:pt>
                <c:pt idx="135">
                  <c:v>39619</c:v>
                </c:pt>
                <c:pt idx="136">
                  <c:v>39626</c:v>
                </c:pt>
                <c:pt idx="137">
                  <c:v>39633</c:v>
                </c:pt>
                <c:pt idx="138">
                  <c:v>39640</c:v>
                </c:pt>
                <c:pt idx="139">
                  <c:v>39647</c:v>
                </c:pt>
                <c:pt idx="140">
                  <c:v>39654</c:v>
                </c:pt>
                <c:pt idx="141">
                  <c:v>39661</c:v>
                </c:pt>
                <c:pt idx="142">
                  <c:v>39668</c:v>
                </c:pt>
                <c:pt idx="143">
                  <c:v>39675</c:v>
                </c:pt>
                <c:pt idx="144">
                  <c:v>39682</c:v>
                </c:pt>
                <c:pt idx="145">
                  <c:v>39689</c:v>
                </c:pt>
                <c:pt idx="146">
                  <c:v>39696</c:v>
                </c:pt>
                <c:pt idx="147">
                  <c:v>39703</c:v>
                </c:pt>
                <c:pt idx="148">
                  <c:v>39710</c:v>
                </c:pt>
                <c:pt idx="149">
                  <c:v>39717</c:v>
                </c:pt>
                <c:pt idx="150">
                  <c:v>39724</c:v>
                </c:pt>
                <c:pt idx="151">
                  <c:v>39731</c:v>
                </c:pt>
                <c:pt idx="152">
                  <c:v>39738</c:v>
                </c:pt>
                <c:pt idx="153">
                  <c:v>39745</c:v>
                </c:pt>
                <c:pt idx="154">
                  <c:v>39752</c:v>
                </c:pt>
                <c:pt idx="155">
                  <c:v>39759</c:v>
                </c:pt>
                <c:pt idx="156">
                  <c:v>39766</c:v>
                </c:pt>
                <c:pt idx="157">
                  <c:v>39773</c:v>
                </c:pt>
                <c:pt idx="158">
                  <c:v>39780</c:v>
                </c:pt>
                <c:pt idx="159">
                  <c:v>39787</c:v>
                </c:pt>
                <c:pt idx="160">
                  <c:v>39794</c:v>
                </c:pt>
                <c:pt idx="161">
                  <c:v>39801</c:v>
                </c:pt>
                <c:pt idx="162">
                  <c:v>39808</c:v>
                </c:pt>
                <c:pt idx="163">
                  <c:v>39815</c:v>
                </c:pt>
                <c:pt idx="164">
                  <c:v>39822</c:v>
                </c:pt>
                <c:pt idx="165">
                  <c:v>39829</c:v>
                </c:pt>
                <c:pt idx="166">
                  <c:v>39836</c:v>
                </c:pt>
                <c:pt idx="167">
                  <c:v>39843</c:v>
                </c:pt>
                <c:pt idx="168">
                  <c:v>39850</c:v>
                </c:pt>
                <c:pt idx="169">
                  <c:v>39857</c:v>
                </c:pt>
                <c:pt idx="170">
                  <c:v>39864</c:v>
                </c:pt>
                <c:pt idx="171">
                  <c:v>39871</c:v>
                </c:pt>
                <c:pt idx="172">
                  <c:v>39878</c:v>
                </c:pt>
                <c:pt idx="173">
                  <c:v>39885</c:v>
                </c:pt>
                <c:pt idx="174">
                  <c:v>39892</c:v>
                </c:pt>
                <c:pt idx="175">
                  <c:v>39899</c:v>
                </c:pt>
                <c:pt idx="176">
                  <c:v>39906</c:v>
                </c:pt>
                <c:pt idx="177">
                  <c:v>39913</c:v>
                </c:pt>
                <c:pt idx="178">
                  <c:v>39920</c:v>
                </c:pt>
                <c:pt idx="179">
                  <c:v>39927</c:v>
                </c:pt>
                <c:pt idx="180">
                  <c:v>39934</c:v>
                </c:pt>
                <c:pt idx="181">
                  <c:v>39941</c:v>
                </c:pt>
                <c:pt idx="182">
                  <c:v>39948</c:v>
                </c:pt>
                <c:pt idx="183">
                  <c:v>39955</c:v>
                </c:pt>
                <c:pt idx="184">
                  <c:v>39962</c:v>
                </c:pt>
                <c:pt idx="185">
                  <c:v>39969</c:v>
                </c:pt>
                <c:pt idx="186">
                  <c:v>39976</c:v>
                </c:pt>
                <c:pt idx="187">
                  <c:v>39983</c:v>
                </c:pt>
                <c:pt idx="188">
                  <c:v>39990</c:v>
                </c:pt>
                <c:pt idx="189">
                  <c:v>39997</c:v>
                </c:pt>
                <c:pt idx="190">
                  <c:v>40004</c:v>
                </c:pt>
                <c:pt idx="191">
                  <c:v>40011</c:v>
                </c:pt>
                <c:pt idx="192">
                  <c:v>40018</c:v>
                </c:pt>
                <c:pt idx="193">
                  <c:v>40025</c:v>
                </c:pt>
                <c:pt idx="194">
                  <c:v>40032</c:v>
                </c:pt>
                <c:pt idx="195">
                  <c:v>40039</c:v>
                </c:pt>
                <c:pt idx="196">
                  <c:v>40046</c:v>
                </c:pt>
                <c:pt idx="197">
                  <c:v>40053</c:v>
                </c:pt>
                <c:pt idx="198">
                  <c:v>40060</c:v>
                </c:pt>
                <c:pt idx="199">
                  <c:v>40067</c:v>
                </c:pt>
                <c:pt idx="200">
                  <c:v>40074</c:v>
                </c:pt>
                <c:pt idx="201">
                  <c:v>40081</c:v>
                </c:pt>
                <c:pt idx="202">
                  <c:v>40088</c:v>
                </c:pt>
                <c:pt idx="203">
                  <c:v>40095</c:v>
                </c:pt>
                <c:pt idx="204">
                  <c:v>40102</c:v>
                </c:pt>
                <c:pt idx="205">
                  <c:v>40109</c:v>
                </c:pt>
                <c:pt idx="206">
                  <c:v>40116</c:v>
                </c:pt>
                <c:pt idx="207">
                  <c:v>40123</c:v>
                </c:pt>
                <c:pt idx="208">
                  <c:v>40130</c:v>
                </c:pt>
                <c:pt idx="209">
                  <c:v>40137</c:v>
                </c:pt>
                <c:pt idx="210">
                  <c:v>40144</c:v>
                </c:pt>
                <c:pt idx="211">
                  <c:v>40151</c:v>
                </c:pt>
                <c:pt idx="212">
                  <c:v>40158</c:v>
                </c:pt>
                <c:pt idx="213">
                  <c:v>40165</c:v>
                </c:pt>
                <c:pt idx="214">
                  <c:v>40172</c:v>
                </c:pt>
                <c:pt idx="215">
                  <c:v>40179</c:v>
                </c:pt>
                <c:pt idx="216">
                  <c:v>40186</c:v>
                </c:pt>
                <c:pt idx="217">
                  <c:v>40193</c:v>
                </c:pt>
                <c:pt idx="218">
                  <c:v>40200</c:v>
                </c:pt>
                <c:pt idx="219">
                  <c:v>40207</c:v>
                </c:pt>
                <c:pt idx="220">
                  <c:v>40214</c:v>
                </c:pt>
                <c:pt idx="221">
                  <c:v>40221</c:v>
                </c:pt>
                <c:pt idx="222">
                  <c:v>40228</c:v>
                </c:pt>
                <c:pt idx="223">
                  <c:v>40235</c:v>
                </c:pt>
                <c:pt idx="224">
                  <c:v>40242</c:v>
                </c:pt>
                <c:pt idx="225">
                  <c:v>40249</c:v>
                </c:pt>
                <c:pt idx="226">
                  <c:v>40256</c:v>
                </c:pt>
                <c:pt idx="227">
                  <c:v>40263</c:v>
                </c:pt>
                <c:pt idx="228">
                  <c:v>40270</c:v>
                </c:pt>
                <c:pt idx="229">
                  <c:v>40277</c:v>
                </c:pt>
                <c:pt idx="230">
                  <c:v>40284</c:v>
                </c:pt>
                <c:pt idx="231">
                  <c:v>40291</c:v>
                </c:pt>
                <c:pt idx="232">
                  <c:v>40298</c:v>
                </c:pt>
                <c:pt idx="233">
                  <c:v>40305</c:v>
                </c:pt>
                <c:pt idx="234">
                  <c:v>40312</c:v>
                </c:pt>
                <c:pt idx="235">
                  <c:v>40319</c:v>
                </c:pt>
                <c:pt idx="236">
                  <c:v>40326</c:v>
                </c:pt>
                <c:pt idx="237">
                  <c:v>40333</c:v>
                </c:pt>
                <c:pt idx="238">
                  <c:v>40340</c:v>
                </c:pt>
                <c:pt idx="239">
                  <c:v>40347</c:v>
                </c:pt>
                <c:pt idx="240">
                  <c:v>40354</c:v>
                </c:pt>
                <c:pt idx="241">
                  <c:v>40361</c:v>
                </c:pt>
                <c:pt idx="242">
                  <c:v>40368</c:v>
                </c:pt>
                <c:pt idx="243">
                  <c:v>40375</c:v>
                </c:pt>
                <c:pt idx="244">
                  <c:v>40382</c:v>
                </c:pt>
                <c:pt idx="245">
                  <c:v>40389</c:v>
                </c:pt>
                <c:pt idx="246">
                  <c:v>40396</c:v>
                </c:pt>
                <c:pt idx="247">
                  <c:v>40403</c:v>
                </c:pt>
                <c:pt idx="248">
                  <c:v>40410</c:v>
                </c:pt>
                <c:pt idx="249">
                  <c:v>40417</c:v>
                </c:pt>
                <c:pt idx="250">
                  <c:v>40424</c:v>
                </c:pt>
                <c:pt idx="251">
                  <c:v>40431</c:v>
                </c:pt>
                <c:pt idx="252">
                  <c:v>40438</c:v>
                </c:pt>
                <c:pt idx="253">
                  <c:v>40445</c:v>
                </c:pt>
                <c:pt idx="254">
                  <c:v>40452</c:v>
                </c:pt>
                <c:pt idx="255">
                  <c:v>40459</c:v>
                </c:pt>
                <c:pt idx="256">
                  <c:v>40466</c:v>
                </c:pt>
                <c:pt idx="257">
                  <c:v>40473</c:v>
                </c:pt>
                <c:pt idx="258">
                  <c:v>40480</c:v>
                </c:pt>
                <c:pt idx="259">
                  <c:v>40487</c:v>
                </c:pt>
                <c:pt idx="260">
                  <c:v>40494</c:v>
                </c:pt>
                <c:pt idx="261">
                  <c:v>40501</c:v>
                </c:pt>
                <c:pt idx="262">
                  <c:v>40508</c:v>
                </c:pt>
                <c:pt idx="263">
                  <c:v>40515</c:v>
                </c:pt>
                <c:pt idx="264">
                  <c:v>40522</c:v>
                </c:pt>
                <c:pt idx="265">
                  <c:v>40529</c:v>
                </c:pt>
                <c:pt idx="266">
                  <c:v>40536</c:v>
                </c:pt>
                <c:pt idx="267">
                  <c:v>40543</c:v>
                </c:pt>
                <c:pt idx="268">
                  <c:v>40550</c:v>
                </c:pt>
                <c:pt idx="269">
                  <c:v>40557</c:v>
                </c:pt>
                <c:pt idx="270">
                  <c:v>40564</c:v>
                </c:pt>
                <c:pt idx="271">
                  <c:v>40571</c:v>
                </c:pt>
                <c:pt idx="272">
                  <c:v>40578</c:v>
                </c:pt>
                <c:pt idx="273">
                  <c:v>40585</c:v>
                </c:pt>
                <c:pt idx="274">
                  <c:v>40592</c:v>
                </c:pt>
                <c:pt idx="275">
                  <c:v>40599</c:v>
                </c:pt>
                <c:pt idx="276">
                  <c:v>40606</c:v>
                </c:pt>
                <c:pt idx="277">
                  <c:v>40613</c:v>
                </c:pt>
                <c:pt idx="278">
                  <c:v>40620</c:v>
                </c:pt>
                <c:pt idx="279">
                  <c:v>40627</c:v>
                </c:pt>
                <c:pt idx="280">
                  <c:v>40634</c:v>
                </c:pt>
                <c:pt idx="281">
                  <c:v>40641</c:v>
                </c:pt>
                <c:pt idx="282">
                  <c:v>40648</c:v>
                </c:pt>
                <c:pt idx="283">
                  <c:v>40655</c:v>
                </c:pt>
                <c:pt idx="284">
                  <c:v>40662</c:v>
                </c:pt>
                <c:pt idx="285">
                  <c:v>40669</c:v>
                </c:pt>
                <c:pt idx="286">
                  <c:v>40676</c:v>
                </c:pt>
                <c:pt idx="287">
                  <c:v>40683</c:v>
                </c:pt>
                <c:pt idx="288">
                  <c:v>40690</c:v>
                </c:pt>
                <c:pt idx="289">
                  <c:v>40697</c:v>
                </c:pt>
                <c:pt idx="290">
                  <c:v>40704</c:v>
                </c:pt>
                <c:pt idx="291">
                  <c:v>40711</c:v>
                </c:pt>
                <c:pt idx="292">
                  <c:v>40718</c:v>
                </c:pt>
                <c:pt idx="293">
                  <c:v>40725</c:v>
                </c:pt>
                <c:pt idx="294">
                  <c:v>40732</c:v>
                </c:pt>
                <c:pt idx="295">
                  <c:v>40739</c:v>
                </c:pt>
                <c:pt idx="296">
                  <c:v>40746</c:v>
                </c:pt>
                <c:pt idx="297">
                  <c:v>40753</c:v>
                </c:pt>
                <c:pt idx="298">
                  <c:v>40760</c:v>
                </c:pt>
                <c:pt idx="299">
                  <c:v>40767</c:v>
                </c:pt>
                <c:pt idx="300">
                  <c:v>40774</c:v>
                </c:pt>
                <c:pt idx="301">
                  <c:v>40781</c:v>
                </c:pt>
                <c:pt idx="302">
                  <c:v>40788</c:v>
                </c:pt>
                <c:pt idx="303">
                  <c:v>40795</c:v>
                </c:pt>
                <c:pt idx="304">
                  <c:v>40802</c:v>
                </c:pt>
                <c:pt idx="305">
                  <c:v>40809</c:v>
                </c:pt>
                <c:pt idx="306">
                  <c:v>40816</c:v>
                </c:pt>
                <c:pt idx="307">
                  <c:v>40823</c:v>
                </c:pt>
                <c:pt idx="308">
                  <c:v>40830</c:v>
                </c:pt>
                <c:pt idx="309">
                  <c:v>40837</c:v>
                </c:pt>
                <c:pt idx="310">
                  <c:v>40844</c:v>
                </c:pt>
                <c:pt idx="311">
                  <c:v>40851</c:v>
                </c:pt>
                <c:pt idx="312">
                  <c:v>40858</c:v>
                </c:pt>
                <c:pt idx="313">
                  <c:v>40865</c:v>
                </c:pt>
                <c:pt idx="314">
                  <c:v>40872</c:v>
                </c:pt>
                <c:pt idx="315">
                  <c:v>40879</c:v>
                </c:pt>
                <c:pt idx="316">
                  <c:v>40886</c:v>
                </c:pt>
                <c:pt idx="317">
                  <c:v>40893</c:v>
                </c:pt>
                <c:pt idx="318">
                  <c:v>40900</c:v>
                </c:pt>
                <c:pt idx="319">
                  <c:v>40907</c:v>
                </c:pt>
                <c:pt idx="320">
                  <c:v>40914</c:v>
                </c:pt>
                <c:pt idx="321">
                  <c:v>40921</c:v>
                </c:pt>
                <c:pt idx="322">
                  <c:v>40928</c:v>
                </c:pt>
                <c:pt idx="323">
                  <c:v>40935</c:v>
                </c:pt>
                <c:pt idx="324">
                  <c:v>40942</c:v>
                </c:pt>
                <c:pt idx="325">
                  <c:v>40949</c:v>
                </c:pt>
                <c:pt idx="326">
                  <c:v>40956</c:v>
                </c:pt>
                <c:pt idx="327">
                  <c:v>40963</c:v>
                </c:pt>
                <c:pt idx="328">
                  <c:v>40970</c:v>
                </c:pt>
                <c:pt idx="329">
                  <c:v>40977</c:v>
                </c:pt>
                <c:pt idx="330">
                  <c:v>40984</c:v>
                </c:pt>
                <c:pt idx="331">
                  <c:v>40991</c:v>
                </c:pt>
                <c:pt idx="332">
                  <c:v>40998</c:v>
                </c:pt>
                <c:pt idx="333">
                  <c:v>41005</c:v>
                </c:pt>
                <c:pt idx="334">
                  <c:v>41012</c:v>
                </c:pt>
                <c:pt idx="335">
                  <c:v>41019</c:v>
                </c:pt>
                <c:pt idx="336">
                  <c:v>41026</c:v>
                </c:pt>
                <c:pt idx="337">
                  <c:v>41033</c:v>
                </c:pt>
                <c:pt idx="338">
                  <c:v>41040</c:v>
                </c:pt>
                <c:pt idx="339">
                  <c:v>41047</c:v>
                </c:pt>
                <c:pt idx="340">
                  <c:v>41054</c:v>
                </c:pt>
                <c:pt idx="341">
                  <c:v>41061</c:v>
                </c:pt>
                <c:pt idx="342">
                  <c:v>41068</c:v>
                </c:pt>
                <c:pt idx="343">
                  <c:v>41075</c:v>
                </c:pt>
                <c:pt idx="344">
                  <c:v>41082</c:v>
                </c:pt>
                <c:pt idx="345">
                  <c:v>41089</c:v>
                </c:pt>
                <c:pt idx="346">
                  <c:v>41096</c:v>
                </c:pt>
                <c:pt idx="347">
                  <c:v>41103</c:v>
                </c:pt>
                <c:pt idx="348">
                  <c:v>41110</c:v>
                </c:pt>
                <c:pt idx="349">
                  <c:v>41117</c:v>
                </c:pt>
                <c:pt idx="350">
                  <c:v>41124</c:v>
                </c:pt>
                <c:pt idx="351">
                  <c:v>41131</c:v>
                </c:pt>
                <c:pt idx="352">
                  <c:v>41138</c:v>
                </c:pt>
                <c:pt idx="353">
                  <c:v>41145</c:v>
                </c:pt>
                <c:pt idx="354">
                  <c:v>41152</c:v>
                </c:pt>
                <c:pt idx="355">
                  <c:v>41159</c:v>
                </c:pt>
                <c:pt idx="356">
                  <c:v>41166</c:v>
                </c:pt>
                <c:pt idx="357">
                  <c:v>41173</c:v>
                </c:pt>
                <c:pt idx="358">
                  <c:v>41180</c:v>
                </c:pt>
                <c:pt idx="359">
                  <c:v>41187</c:v>
                </c:pt>
                <c:pt idx="360">
                  <c:v>41194</c:v>
                </c:pt>
                <c:pt idx="361">
                  <c:v>41201</c:v>
                </c:pt>
                <c:pt idx="362">
                  <c:v>41208</c:v>
                </c:pt>
                <c:pt idx="363">
                  <c:v>41215</c:v>
                </c:pt>
                <c:pt idx="364">
                  <c:v>41222</c:v>
                </c:pt>
                <c:pt idx="365">
                  <c:v>41229</c:v>
                </c:pt>
                <c:pt idx="366">
                  <c:v>41236</c:v>
                </c:pt>
                <c:pt idx="367">
                  <c:v>41243</c:v>
                </c:pt>
                <c:pt idx="368">
                  <c:v>41250</c:v>
                </c:pt>
                <c:pt idx="369">
                  <c:v>41257</c:v>
                </c:pt>
                <c:pt idx="370">
                  <c:v>41264</c:v>
                </c:pt>
                <c:pt idx="371">
                  <c:v>41271</c:v>
                </c:pt>
                <c:pt idx="372">
                  <c:v>41278</c:v>
                </c:pt>
                <c:pt idx="373">
                  <c:v>41285</c:v>
                </c:pt>
                <c:pt idx="374">
                  <c:v>41292</c:v>
                </c:pt>
                <c:pt idx="375">
                  <c:v>41299</c:v>
                </c:pt>
                <c:pt idx="376">
                  <c:v>41306</c:v>
                </c:pt>
                <c:pt idx="377">
                  <c:v>41313</c:v>
                </c:pt>
                <c:pt idx="378">
                  <c:v>41320</c:v>
                </c:pt>
                <c:pt idx="379">
                  <c:v>41327</c:v>
                </c:pt>
                <c:pt idx="380">
                  <c:v>41334</c:v>
                </c:pt>
                <c:pt idx="381">
                  <c:v>41341</c:v>
                </c:pt>
                <c:pt idx="382">
                  <c:v>41348</c:v>
                </c:pt>
                <c:pt idx="383">
                  <c:v>41355</c:v>
                </c:pt>
                <c:pt idx="384">
                  <c:v>41362</c:v>
                </c:pt>
                <c:pt idx="385">
                  <c:v>41369</c:v>
                </c:pt>
                <c:pt idx="386">
                  <c:v>41376</c:v>
                </c:pt>
                <c:pt idx="387">
                  <c:v>41383</c:v>
                </c:pt>
                <c:pt idx="388">
                  <c:v>41390</c:v>
                </c:pt>
                <c:pt idx="389">
                  <c:v>41397</c:v>
                </c:pt>
                <c:pt idx="390">
                  <c:v>41404</c:v>
                </c:pt>
                <c:pt idx="391">
                  <c:v>41411</c:v>
                </c:pt>
                <c:pt idx="392">
                  <c:v>41418</c:v>
                </c:pt>
                <c:pt idx="393">
                  <c:v>41425</c:v>
                </c:pt>
                <c:pt idx="394">
                  <c:v>41432</c:v>
                </c:pt>
                <c:pt idx="395">
                  <c:v>41439</c:v>
                </c:pt>
                <c:pt idx="396">
                  <c:v>41446</c:v>
                </c:pt>
                <c:pt idx="397">
                  <c:v>41453</c:v>
                </c:pt>
                <c:pt idx="398">
                  <c:v>41460</c:v>
                </c:pt>
                <c:pt idx="399">
                  <c:v>41467</c:v>
                </c:pt>
                <c:pt idx="400">
                  <c:v>41474</c:v>
                </c:pt>
                <c:pt idx="401">
                  <c:v>41481</c:v>
                </c:pt>
                <c:pt idx="402">
                  <c:v>41488</c:v>
                </c:pt>
                <c:pt idx="403">
                  <c:v>41495</c:v>
                </c:pt>
                <c:pt idx="404">
                  <c:v>41502</c:v>
                </c:pt>
                <c:pt idx="405">
                  <c:v>41509</c:v>
                </c:pt>
                <c:pt idx="406">
                  <c:v>41516</c:v>
                </c:pt>
                <c:pt idx="407">
                  <c:v>41523</c:v>
                </c:pt>
                <c:pt idx="408">
                  <c:v>41530</c:v>
                </c:pt>
                <c:pt idx="409">
                  <c:v>41537</c:v>
                </c:pt>
                <c:pt idx="410">
                  <c:v>41544</c:v>
                </c:pt>
                <c:pt idx="411">
                  <c:v>41551</c:v>
                </c:pt>
                <c:pt idx="412">
                  <c:v>41558</c:v>
                </c:pt>
                <c:pt idx="413">
                  <c:v>41565</c:v>
                </c:pt>
                <c:pt idx="414">
                  <c:v>41572</c:v>
                </c:pt>
                <c:pt idx="415">
                  <c:v>41579</c:v>
                </c:pt>
                <c:pt idx="416">
                  <c:v>41586</c:v>
                </c:pt>
                <c:pt idx="417">
                  <c:v>41593</c:v>
                </c:pt>
                <c:pt idx="418">
                  <c:v>41600</c:v>
                </c:pt>
                <c:pt idx="419">
                  <c:v>41607</c:v>
                </c:pt>
                <c:pt idx="420">
                  <c:v>41614</c:v>
                </c:pt>
                <c:pt idx="421">
                  <c:v>41621</c:v>
                </c:pt>
                <c:pt idx="422">
                  <c:v>41628</c:v>
                </c:pt>
                <c:pt idx="423">
                  <c:v>41635</c:v>
                </c:pt>
                <c:pt idx="424">
                  <c:v>41642</c:v>
                </c:pt>
                <c:pt idx="425">
                  <c:v>41649</c:v>
                </c:pt>
                <c:pt idx="426">
                  <c:v>41656</c:v>
                </c:pt>
                <c:pt idx="427">
                  <c:v>41663</c:v>
                </c:pt>
                <c:pt idx="428">
                  <c:v>41670</c:v>
                </c:pt>
                <c:pt idx="429">
                  <c:v>41677</c:v>
                </c:pt>
                <c:pt idx="430">
                  <c:v>41684</c:v>
                </c:pt>
                <c:pt idx="431">
                  <c:v>41691</c:v>
                </c:pt>
                <c:pt idx="432">
                  <c:v>41698</c:v>
                </c:pt>
                <c:pt idx="433">
                  <c:v>41705</c:v>
                </c:pt>
                <c:pt idx="434">
                  <c:v>41712</c:v>
                </c:pt>
                <c:pt idx="435">
                  <c:v>41719</c:v>
                </c:pt>
                <c:pt idx="436">
                  <c:v>41726</c:v>
                </c:pt>
                <c:pt idx="437">
                  <c:v>41733</c:v>
                </c:pt>
                <c:pt idx="438">
                  <c:v>41740</c:v>
                </c:pt>
                <c:pt idx="439">
                  <c:v>41747</c:v>
                </c:pt>
                <c:pt idx="440">
                  <c:v>41754</c:v>
                </c:pt>
                <c:pt idx="441">
                  <c:v>41761</c:v>
                </c:pt>
                <c:pt idx="442">
                  <c:v>41768</c:v>
                </c:pt>
                <c:pt idx="443">
                  <c:v>41775</c:v>
                </c:pt>
                <c:pt idx="444">
                  <c:v>41782</c:v>
                </c:pt>
                <c:pt idx="445">
                  <c:v>41789</c:v>
                </c:pt>
                <c:pt idx="446">
                  <c:v>41796</c:v>
                </c:pt>
                <c:pt idx="447">
                  <c:v>41803</c:v>
                </c:pt>
                <c:pt idx="448">
                  <c:v>41810</c:v>
                </c:pt>
                <c:pt idx="449">
                  <c:v>41817</c:v>
                </c:pt>
                <c:pt idx="450">
                  <c:v>41824</c:v>
                </c:pt>
                <c:pt idx="451">
                  <c:v>41831</c:v>
                </c:pt>
                <c:pt idx="452">
                  <c:v>41838</c:v>
                </c:pt>
                <c:pt idx="453">
                  <c:v>41845</c:v>
                </c:pt>
                <c:pt idx="454">
                  <c:v>41852</c:v>
                </c:pt>
                <c:pt idx="455">
                  <c:v>41859</c:v>
                </c:pt>
                <c:pt idx="456">
                  <c:v>41866</c:v>
                </c:pt>
                <c:pt idx="457">
                  <c:v>41873</c:v>
                </c:pt>
                <c:pt idx="458">
                  <c:v>41880</c:v>
                </c:pt>
                <c:pt idx="459">
                  <c:v>41887</c:v>
                </c:pt>
                <c:pt idx="460">
                  <c:v>41894</c:v>
                </c:pt>
                <c:pt idx="461">
                  <c:v>41901</c:v>
                </c:pt>
                <c:pt idx="462">
                  <c:v>41908</c:v>
                </c:pt>
                <c:pt idx="463">
                  <c:v>41915</c:v>
                </c:pt>
                <c:pt idx="464">
                  <c:v>41922</c:v>
                </c:pt>
                <c:pt idx="465">
                  <c:v>41929</c:v>
                </c:pt>
                <c:pt idx="466">
                  <c:v>41936</c:v>
                </c:pt>
                <c:pt idx="467">
                  <c:v>41943</c:v>
                </c:pt>
                <c:pt idx="468">
                  <c:v>41950</c:v>
                </c:pt>
                <c:pt idx="469">
                  <c:v>41957</c:v>
                </c:pt>
                <c:pt idx="470">
                  <c:v>41964</c:v>
                </c:pt>
                <c:pt idx="471">
                  <c:v>41971</c:v>
                </c:pt>
                <c:pt idx="472">
                  <c:v>41978</c:v>
                </c:pt>
                <c:pt idx="473">
                  <c:v>41985</c:v>
                </c:pt>
                <c:pt idx="474">
                  <c:v>41992</c:v>
                </c:pt>
                <c:pt idx="475">
                  <c:v>41999</c:v>
                </c:pt>
                <c:pt idx="476">
                  <c:v>42006</c:v>
                </c:pt>
                <c:pt idx="477">
                  <c:v>42013</c:v>
                </c:pt>
                <c:pt idx="478">
                  <c:v>42020</c:v>
                </c:pt>
                <c:pt idx="479">
                  <c:v>42027</c:v>
                </c:pt>
                <c:pt idx="480">
                  <c:v>42034</c:v>
                </c:pt>
                <c:pt idx="481">
                  <c:v>42041</c:v>
                </c:pt>
                <c:pt idx="482">
                  <c:v>42048</c:v>
                </c:pt>
                <c:pt idx="483">
                  <c:v>42055</c:v>
                </c:pt>
                <c:pt idx="484">
                  <c:v>42062</c:v>
                </c:pt>
                <c:pt idx="485">
                  <c:v>42069</c:v>
                </c:pt>
                <c:pt idx="486">
                  <c:v>42076</c:v>
                </c:pt>
                <c:pt idx="487">
                  <c:v>42083</c:v>
                </c:pt>
                <c:pt idx="488">
                  <c:v>42090</c:v>
                </c:pt>
                <c:pt idx="489">
                  <c:v>42097</c:v>
                </c:pt>
                <c:pt idx="490">
                  <c:v>42104</c:v>
                </c:pt>
                <c:pt idx="491">
                  <c:v>42111</c:v>
                </c:pt>
                <c:pt idx="492">
                  <c:v>42118</c:v>
                </c:pt>
                <c:pt idx="493">
                  <c:v>42125</c:v>
                </c:pt>
                <c:pt idx="494">
                  <c:v>42132</c:v>
                </c:pt>
                <c:pt idx="495">
                  <c:v>42139</c:v>
                </c:pt>
                <c:pt idx="496">
                  <c:v>42146</c:v>
                </c:pt>
                <c:pt idx="497">
                  <c:v>42153</c:v>
                </c:pt>
                <c:pt idx="498">
                  <c:v>42160</c:v>
                </c:pt>
                <c:pt idx="499">
                  <c:v>42167</c:v>
                </c:pt>
                <c:pt idx="500">
                  <c:v>42174</c:v>
                </c:pt>
                <c:pt idx="501">
                  <c:v>42181</c:v>
                </c:pt>
                <c:pt idx="502">
                  <c:v>42188</c:v>
                </c:pt>
                <c:pt idx="503">
                  <c:v>42195</c:v>
                </c:pt>
                <c:pt idx="504">
                  <c:v>42202</c:v>
                </c:pt>
                <c:pt idx="505">
                  <c:v>42209</c:v>
                </c:pt>
                <c:pt idx="506">
                  <c:v>42216</c:v>
                </c:pt>
                <c:pt idx="507">
                  <c:v>42223</c:v>
                </c:pt>
                <c:pt idx="508">
                  <c:v>42230</c:v>
                </c:pt>
                <c:pt idx="509">
                  <c:v>42237</c:v>
                </c:pt>
                <c:pt idx="510">
                  <c:v>42244</c:v>
                </c:pt>
                <c:pt idx="511">
                  <c:v>42251</c:v>
                </c:pt>
                <c:pt idx="512">
                  <c:v>42258</c:v>
                </c:pt>
                <c:pt idx="513">
                  <c:v>42265</c:v>
                </c:pt>
                <c:pt idx="514">
                  <c:v>42272</c:v>
                </c:pt>
                <c:pt idx="515">
                  <c:v>42279</c:v>
                </c:pt>
                <c:pt idx="516">
                  <c:v>42286</c:v>
                </c:pt>
                <c:pt idx="517">
                  <c:v>42293</c:v>
                </c:pt>
                <c:pt idx="518">
                  <c:v>42300</c:v>
                </c:pt>
                <c:pt idx="519">
                  <c:v>42307</c:v>
                </c:pt>
                <c:pt idx="520">
                  <c:v>42314</c:v>
                </c:pt>
                <c:pt idx="521">
                  <c:v>42321</c:v>
                </c:pt>
                <c:pt idx="522">
                  <c:v>42328</c:v>
                </c:pt>
                <c:pt idx="523">
                  <c:v>42335</c:v>
                </c:pt>
                <c:pt idx="524">
                  <c:v>42342</c:v>
                </c:pt>
                <c:pt idx="525">
                  <c:v>42349</c:v>
                </c:pt>
                <c:pt idx="526">
                  <c:v>42356</c:v>
                </c:pt>
                <c:pt idx="527">
                  <c:v>42363</c:v>
                </c:pt>
                <c:pt idx="528">
                  <c:v>42370</c:v>
                </c:pt>
                <c:pt idx="529">
                  <c:v>42377</c:v>
                </c:pt>
                <c:pt idx="530">
                  <c:v>42384</c:v>
                </c:pt>
                <c:pt idx="531">
                  <c:v>42391</c:v>
                </c:pt>
                <c:pt idx="532">
                  <c:v>42398</c:v>
                </c:pt>
                <c:pt idx="533">
                  <c:v>42405</c:v>
                </c:pt>
                <c:pt idx="534">
                  <c:v>42412</c:v>
                </c:pt>
                <c:pt idx="535">
                  <c:v>42419</c:v>
                </c:pt>
                <c:pt idx="536">
                  <c:v>42426</c:v>
                </c:pt>
                <c:pt idx="537">
                  <c:v>42433</c:v>
                </c:pt>
                <c:pt idx="538">
                  <c:v>42440</c:v>
                </c:pt>
                <c:pt idx="539">
                  <c:v>42447</c:v>
                </c:pt>
              </c:numCache>
            </c:numRef>
          </c:cat>
          <c:val>
            <c:numRef>
              <c:f>Summary!$AD$564:$AD$5006</c:f>
              <c:numCache>
                <c:formatCode>0.0\x</c:formatCode>
                <c:ptCount val="4443"/>
                <c:pt idx="0">
                  <c:v>6.1710590659690858</c:v>
                </c:pt>
                <c:pt idx="1">
                  <c:v>6.1710590659690858</c:v>
                </c:pt>
                <c:pt idx="2">
                  <c:v>6.1710590659690858</c:v>
                </c:pt>
                <c:pt idx="3">
                  <c:v>6.1710590659690858</c:v>
                </c:pt>
                <c:pt idx="4">
                  <c:v>6.1710590659690858</c:v>
                </c:pt>
                <c:pt idx="5">
                  <c:v>6.1710590659690858</c:v>
                </c:pt>
                <c:pt idx="6">
                  <c:v>6.1710590659690858</c:v>
                </c:pt>
                <c:pt idx="7">
                  <c:v>6.1710590659690858</c:v>
                </c:pt>
                <c:pt idx="8">
                  <c:v>6.1710590659690858</c:v>
                </c:pt>
                <c:pt idx="9">
                  <c:v>6.1710590659690858</c:v>
                </c:pt>
                <c:pt idx="10">
                  <c:v>6.1710590659690858</c:v>
                </c:pt>
                <c:pt idx="11">
                  <c:v>6.1710590659690858</c:v>
                </c:pt>
                <c:pt idx="12">
                  <c:v>6.1710590659690858</c:v>
                </c:pt>
                <c:pt idx="13">
                  <c:v>6.1710590659690858</c:v>
                </c:pt>
                <c:pt idx="14">
                  <c:v>6.1710590659690858</c:v>
                </c:pt>
                <c:pt idx="15">
                  <c:v>6.1710590659690858</c:v>
                </c:pt>
                <c:pt idx="16">
                  <c:v>6.1710590659690858</c:v>
                </c:pt>
                <c:pt idx="17">
                  <c:v>6.1710590659690858</c:v>
                </c:pt>
                <c:pt idx="18">
                  <c:v>6.1710590659690858</c:v>
                </c:pt>
                <c:pt idx="19">
                  <c:v>6.1710590659690858</c:v>
                </c:pt>
                <c:pt idx="20">
                  <c:v>6.1710590659690858</c:v>
                </c:pt>
                <c:pt idx="21">
                  <c:v>6.1710590659690858</c:v>
                </c:pt>
                <c:pt idx="22">
                  <c:v>6.1710590659690858</c:v>
                </c:pt>
                <c:pt idx="23">
                  <c:v>6.1710590659690858</c:v>
                </c:pt>
                <c:pt idx="24">
                  <c:v>6.1710590659690858</c:v>
                </c:pt>
                <c:pt idx="25">
                  <c:v>6.1710590659690858</c:v>
                </c:pt>
                <c:pt idx="26">
                  <c:v>6.1710590659690858</c:v>
                </c:pt>
                <c:pt idx="27">
                  <c:v>6.1710590659690858</c:v>
                </c:pt>
                <c:pt idx="28">
                  <c:v>6.1710590659690858</c:v>
                </c:pt>
                <c:pt idx="29">
                  <c:v>6.1710590659690858</c:v>
                </c:pt>
                <c:pt idx="30">
                  <c:v>6.1710590659690858</c:v>
                </c:pt>
                <c:pt idx="31">
                  <c:v>6.1710590659690858</c:v>
                </c:pt>
                <c:pt idx="32">
                  <c:v>6.1710590659690858</c:v>
                </c:pt>
                <c:pt idx="33">
                  <c:v>6.1710590659690858</c:v>
                </c:pt>
                <c:pt idx="34">
                  <c:v>6.1710590659690858</c:v>
                </c:pt>
                <c:pt idx="35">
                  <c:v>6.1710590659690858</c:v>
                </c:pt>
                <c:pt idx="36">
                  <c:v>6.1710590659690858</c:v>
                </c:pt>
                <c:pt idx="37">
                  <c:v>6.1710590659690858</c:v>
                </c:pt>
                <c:pt idx="38">
                  <c:v>6.1710590659690858</c:v>
                </c:pt>
                <c:pt idx="39">
                  <c:v>6.1710590659690858</c:v>
                </c:pt>
                <c:pt idx="40">
                  <c:v>6.1710590659690858</c:v>
                </c:pt>
                <c:pt idx="41">
                  <c:v>6.1710590659690858</c:v>
                </c:pt>
                <c:pt idx="42">
                  <c:v>6.1710590659690858</c:v>
                </c:pt>
                <c:pt idx="43">
                  <c:v>6.1710590659690858</c:v>
                </c:pt>
                <c:pt idx="44">
                  <c:v>6.1710590659690858</c:v>
                </c:pt>
                <c:pt idx="45">
                  <c:v>6.1710590659690858</c:v>
                </c:pt>
                <c:pt idx="46">
                  <c:v>6.1710590659690858</c:v>
                </c:pt>
                <c:pt idx="47">
                  <c:v>6.1710590659690858</c:v>
                </c:pt>
                <c:pt idx="48">
                  <c:v>6.1710590659690858</c:v>
                </c:pt>
                <c:pt idx="49">
                  <c:v>6.1710590659690858</c:v>
                </c:pt>
                <c:pt idx="50">
                  <c:v>6.1710590659690858</c:v>
                </c:pt>
                <c:pt idx="51">
                  <c:v>6.1710590659690858</c:v>
                </c:pt>
                <c:pt idx="52">
                  <c:v>6.1710590659690858</c:v>
                </c:pt>
                <c:pt idx="53">
                  <c:v>6.1710590659690858</c:v>
                </c:pt>
                <c:pt idx="54">
                  <c:v>6.1710590659690858</c:v>
                </c:pt>
                <c:pt idx="55">
                  <c:v>6.1710590659690858</c:v>
                </c:pt>
                <c:pt idx="56">
                  <c:v>6.1710590659690858</c:v>
                </c:pt>
                <c:pt idx="57">
                  <c:v>6.1710590659690858</c:v>
                </c:pt>
                <c:pt idx="58">
                  <c:v>6.1710590659690858</c:v>
                </c:pt>
                <c:pt idx="59">
                  <c:v>6.1710590659690858</c:v>
                </c:pt>
                <c:pt idx="60">
                  <c:v>6.1710590659690858</c:v>
                </c:pt>
                <c:pt idx="61">
                  <c:v>6.1710590659690858</c:v>
                </c:pt>
                <c:pt idx="62">
                  <c:v>6.1710590659690858</c:v>
                </c:pt>
                <c:pt idx="63">
                  <c:v>6.1710590659690858</c:v>
                </c:pt>
                <c:pt idx="64">
                  <c:v>6.1710590659690858</c:v>
                </c:pt>
                <c:pt idx="65">
                  <c:v>6.1710590659690858</c:v>
                </c:pt>
                <c:pt idx="66">
                  <c:v>6.1710590659690858</c:v>
                </c:pt>
                <c:pt idx="67">
                  <c:v>6.1710590659690858</c:v>
                </c:pt>
                <c:pt idx="68">
                  <c:v>6.1710590659690858</c:v>
                </c:pt>
                <c:pt idx="69">
                  <c:v>6.1710590659690858</c:v>
                </c:pt>
                <c:pt idx="70">
                  <c:v>6.1710590659690858</c:v>
                </c:pt>
                <c:pt idx="71">
                  <c:v>6.1710590659690858</c:v>
                </c:pt>
                <c:pt idx="72">
                  <c:v>6.1710590659690858</c:v>
                </c:pt>
                <c:pt idx="73">
                  <c:v>6.1710590659690858</c:v>
                </c:pt>
                <c:pt idx="74">
                  <c:v>6.1710590659690858</c:v>
                </c:pt>
                <c:pt idx="75">
                  <c:v>6.1710590659690858</c:v>
                </c:pt>
                <c:pt idx="76">
                  <c:v>6.1710590659690858</c:v>
                </c:pt>
                <c:pt idx="77">
                  <c:v>6.1710590659690858</c:v>
                </c:pt>
                <c:pt idx="78">
                  <c:v>6.1710590659690858</c:v>
                </c:pt>
                <c:pt idx="79">
                  <c:v>6.1710590659690858</c:v>
                </c:pt>
                <c:pt idx="80">
                  <c:v>6.1710590659690858</c:v>
                </c:pt>
                <c:pt idx="81">
                  <c:v>6.1710590659690858</c:v>
                </c:pt>
                <c:pt idx="82">
                  <c:v>6.1710590659690858</c:v>
                </c:pt>
                <c:pt idx="83">
                  <c:v>6.1710590659690858</c:v>
                </c:pt>
                <c:pt idx="84">
                  <c:v>6.1710590659690858</c:v>
                </c:pt>
                <c:pt idx="85">
                  <c:v>6.1710590659690858</c:v>
                </c:pt>
                <c:pt idx="86">
                  <c:v>6.1710590659690858</c:v>
                </c:pt>
                <c:pt idx="87">
                  <c:v>6.1710590659690858</c:v>
                </c:pt>
                <c:pt idx="88">
                  <c:v>6.1710590659690858</c:v>
                </c:pt>
                <c:pt idx="89">
                  <c:v>6.1710590659690858</c:v>
                </c:pt>
                <c:pt idx="90">
                  <c:v>6.1710590659690858</c:v>
                </c:pt>
                <c:pt idx="91">
                  <c:v>6.1710590659690858</c:v>
                </c:pt>
                <c:pt idx="92">
                  <c:v>6.1710590659690858</c:v>
                </c:pt>
                <c:pt idx="93">
                  <c:v>6.1710590659690858</c:v>
                </c:pt>
                <c:pt idx="94">
                  <c:v>6.1710590659690858</c:v>
                </c:pt>
                <c:pt idx="95">
                  <c:v>6.1710590659690858</c:v>
                </c:pt>
                <c:pt idx="96">
                  <c:v>6.1710590659690858</c:v>
                </c:pt>
                <c:pt idx="97">
                  <c:v>6.1710590659690858</c:v>
                </c:pt>
                <c:pt idx="98">
                  <c:v>6.1710590659690858</c:v>
                </c:pt>
                <c:pt idx="99">
                  <c:v>6.1710590659690858</c:v>
                </c:pt>
                <c:pt idx="100">
                  <c:v>6.1710590659690858</c:v>
                </c:pt>
                <c:pt idx="101">
                  <c:v>6.1710590659690858</c:v>
                </c:pt>
                <c:pt idx="102">
                  <c:v>6.1710590659690858</c:v>
                </c:pt>
                <c:pt idx="103">
                  <c:v>6.1710590659690858</c:v>
                </c:pt>
                <c:pt idx="104">
                  <c:v>6.1710590659690858</c:v>
                </c:pt>
                <c:pt idx="105">
                  <c:v>6.1710590659690858</c:v>
                </c:pt>
                <c:pt idx="106">
                  <c:v>6.1710590659690858</c:v>
                </c:pt>
                <c:pt idx="107">
                  <c:v>6.1710590659690858</c:v>
                </c:pt>
                <c:pt idx="108">
                  <c:v>6.1710590659690858</c:v>
                </c:pt>
                <c:pt idx="109">
                  <c:v>6.1710590659690858</c:v>
                </c:pt>
                <c:pt idx="110">
                  <c:v>6.1710590659690858</c:v>
                </c:pt>
                <c:pt idx="111">
                  <c:v>6.1710590659690858</c:v>
                </c:pt>
                <c:pt idx="112">
                  <c:v>6.1710590659690858</c:v>
                </c:pt>
                <c:pt idx="113">
                  <c:v>6.1710590659690858</c:v>
                </c:pt>
                <c:pt idx="114">
                  <c:v>6.1710590659690858</c:v>
                </c:pt>
                <c:pt idx="115">
                  <c:v>6.1710590659690858</c:v>
                </c:pt>
                <c:pt idx="116">
                  <c:v>6.1710590659690858</c:v>
                </c:pt>
                <c:pt idx="117">
                  <c:v>6.1710590659690858</c:v>
                </c:pt>
                <c:pt idx="118">
                  <c:v>6.1710590659690858</c:v>
                </c:pt>
                <c:pt idx="119">
                  <c:v>6.1710590659690858</c:v>
                </c:pt>
                <c:pt idx="120">
                  <c:v>6.1710590659690858</c:v>
                </c:pt>
                <c:pt idx="121">
                  <c:v>6.1710590659690858</c:v>
                </c:pt>
                <c:pt idx="122">
                  <c:v>6.1710590659690858</c:v>
                </c:pt>
                <c:pt idx="123">
                  <c:v>6.1710590659690858</c:v>
                </c:pt>
                <c:pt idx="124">
                  <c:v>6.1710590659690858</c:v>
                </c:pt>
                <c:pt idx="125">
                  <c:v>6.1710590659690858</c:v>
                </c:pt>
                <c:pt idx="126">
                  <c:v>6.1710590659690858</c:v>
                </c:pt>
                <c:pt idx="127">
                  <c:v>6.1710590659690858</c:v>
                </c:pt>
                <c:pt idx="128">
                  <c:v>6.1710590659690858</c:v>
                </c:pt>
                <c:pt idx="129">
                  <c:v>6.1710590659690858</c:v>
                </c:pt>
                <c:pt idx="130">
                  <c:v>6.1710590659690858</c:v>
                </c:pt>
                <c:pt idx="131">
                  <c:v>6.1710590659690858</c:v>
                </c:pt>
                <c:pt idx="132">
                  <c:v>6.1710590659690858</c:v>
                </c:pt>
                <c:pt idx="133">
                  <c:v>6.1710590659690858</c:v>
                </c:pt>
                <c:pt idx="134">
                  <c:v>6.1710590659690858</c:v>
                </c:pt>
                <c:pt idx="135">
                  <c:v>6.1710590659690858</c:v>
                </c:pt>
                <c:pt idx="136">
                  <c:v>6.1710590659690858</c:v>
                </c:pt>
                <c:pt idx="137">
                  <c:v>6.1710590659690858</c:v>
                </c:pt>
                <c:pt idx="138">
                  <c:v>6.1710590659690858</c:v>
                </c:pt>
                <c:pt idx="139">
                  <c:v>6.1710590659690858</c:v>
                </c:pt>
                <c:pt idx="140">
                  <c:v>6.1710590659690858</c:v>
                </c:pt>
                <c:pt idx="141">
                  <c:v>6.1710590659690858</c:v>
                </c:pt>
                <c:pt idx="142">
                  <c:v>6.1710590659690858</c:v>
                </c:pt>
                <c:pt idx="143">
                  <c:v>6.1710590659690858</c:v>
                </c:pt>
                <c:pt idx="144">
                  <c:v>6.1710590659690858</c:v>
                </c:pt>
                <c:pt idx="145">
                  <c:v>6.1710590659690858</c:v>
                </c:pt>
                <c:pt idx="146">
                  <c:v>6.1710590659690858</c:v>
                </c:pt>
                <c:pt idx="147">
                  <c:v>6.1710590659690858</c:v>
                </c:pt>
                <c:pt idx="148">
                  <c:v>6.1710590659690858</c:v>
                </c:pt>
                <c:pt idx="149">
                  <c:v>6.1710590659690858</c:v>
                </c:pt>
                <c:pt idx="150">
                  <c:v>6.1710590659690858</c:v>
                </c:pt>
                <c:pt idx="151">
                  <c:v>6.1710590659690858</c:v>
                </c:pt>
                <c:pt idx="152">
                  <c:v>6.1710590659690858</c:v>
                </c:pt>
                <c:pt idx="153">
                  <c:v>6.1710590659690858</c:v>
                </c:pt>
                <c:pt idx="154">
                  <c:v>6.1710590659690858</c:v>
                </c:pt>
                <c:pt idx="155">
                  <c:v>6.1710590659690858</c:v>
                </c:pt>
                <c:pt idx="156">
                  <c:v>6.1710590659690858</c:v>
                </c:pt>
                <c:pt idx="157">
                  <c:v>6.1710590659690858</c:v>
                </c:pt>
                <c:pt idx="158">
                  <c:v>6.1710590659690858</c:v>
                </c:pt>
                <c:pt idx="159">
                  <c:v>6.1710590659690858</c:v>
                </c:pt>
                <c:pt idx="160">
                  <c:v>6.1710590659690858</c:v>
                </c:pt>
                <c:pt idx="161">
                  <c:v>6.1710590659690858</c:v>
                </c:pt>
                <c:pt idx="162">
                  <c:v>6.1710590659690858</c:v>
                </c:pt>
                <c:pt idx="163">
                  <c:v>6.1710590659690858</c:v>
                </c:pt>
                <c:pt idx="164">
                  <c:v>6.1710590659690858</c:v>
                </c:pt>
                <c:pt idx="165">
                  <c:v>6.1710590659690858</c:v>
                </c:pt>
                <c:pt idx="166">
                  <c:v>6.1710590659690858</c:v>
                </c:pt>
                <c:pt idx="167">
                  <c:v>6.1710590659690858</c:v>
                </c:pt>
                <c:pt idx="168">
                  <c:v>6.1710590659690858</c:v>
                </c:pt>
                <c:pt idx="169">
                  <c:v>6.1710590659690858</c:v>
                </c:pt>
                <c:pt idx="170">
                  <c:v>6.1710590659690858</c:v>
                </c:pt>
                <c:pt idx="171">
                  <c:v>6.1710590659690858</c:v>
                </c:pt>
                <c:pt idx="172">
                  <c:v>6.1710590659690858</c:v>
                </c:pt>
                <c:pt idx="173">
                  <c:v>6.1710590659690858</c:v>
                </c:pt>
                <c:pt idx="174">
                  <c:v>6.1710590659690858</c:v>
                </c:pt>
                <c:pt idx="175">
                  <c:v>6.1710590659690858</c:v>
                </c:pt>
                <c:pt idx="176">
                  <c:v>6.1710590659690858</c:v>
                </c:pt>
                <c:pt idx="177">
                  <c:v>6.1710590659690858</c:v>
                </c:pt>
                <c:pt idx="178">
                  <c:v>6.1710590659690858</c:v>
                </c:pt>
                <c:pt idx="179">
                  <c:v>6.1710590659690858</c:v>
                </c:pt>
                <c:pt idx="180">
                  <c:v>6.1710590659690858</c:v>
                </c:pt>
                <c:pt idx="181">
                  <c:v>6.1710590659690858</c:v>
                </c:pt>
                <c:pt idx="182">
                  <c:v>6.1710590659690858</c:v>
                </c:pt>
                <c:pt idx="183">
                  <c:v>6.1710590659690858</c:v>
                </c:pt>
                <c:pt idx="184">
                  <c:v>6.1710590659690858</c:v>
                </c:pt>
                <c:pt idx="185">
                  <c:v>6.1710590659690858</c:v>
                </c:pt>
                <c:pt idx="186">
                  <c:v>6.1710590659690858</c:v>
                </c:pt>
                <c:pt idx="187">
                  <c:v>6.1710590659690858</c:v>
                </c:pt>
                <c:pt idx="188">
                  <c:v>6.1710590659690858</c:v>
                </c:pt>
                <c:pt idx="189">
                  <c:v>6.1710590659690858</c:v>
                </c:pt>
                <c:pt idx="190">
                  <c:v>6.1710590659690858</c:v>
                </c:pt>
                <c:pt idx="191">
                  <c:v>6.1710590659690858</c:v>
                </c:pt>
                <c:pt idx="192">
                  <c:v>6.1710590659690858</c:v>
                </c:pt>
                <c:pt idx="193">
                  <c:v>6.1710590659690858</c:v>
                </c:pt>
                <c:pt idx="194">
                  <c:v>6.1710590659690858</c:v>
                </c:pt>
                <c:pt idx="195">
                  <c:v>6.1710590659690858</c:v>
                </c:pt>
                <c:pt idx="196">
                  <c:v>6.1710590659690858</c:v>
                </c:pt>
                <c:pt idx="197">
                  <c:v>6.1710590659690858</c:v>
                </c:pt>
                <c:pt idx="198">
                  <c:v>6.1710590659690858</c:v>
                </c:pt>
                <c:pt idx="199">
                  <c:v>6.1710590659690858</c:v>
                </c:pt>
                <c:pt idx="200">
                  <c:v>6.1710590659690858</c:v>
                </c:pt>
                <c:pt idx="201">
                  <c:v>6.1710590659690858</c:v>
                </c:pt>
                <c:pt idx="202">
                  <c:v>6.1710590659690858</c:v>
                </c:pt>
                <c:pt idx="203">
                  <c:v>6.1710590659690858</c:v>
                </c:pt>
                <c:pt idx="204">
                  <c:v>6.1710590659690858</c:v>
                </c:pt>
                <c:pt idx="205">
                  <c:v>6.1710590659690858</c:v>
                </c:pt>
                <c:pt idx="206">
                  <c:v>6.1710590659690858</c:v>
                </c:pt>
                <c:pt idx="207">
                  <c:v>6.1710590659690858</c:v>
                </c:pt>
                <c:pt idx="208">
                  <c:v>6.1710590659690858</c:v>
                </c:pt>
                <c:pt idx="209">
                  <c:v>6.1710590659690858</c:v>
                </c:pt>
                <c:pt idx="210">
                  <c:v>6.1710590659690858</c:v>
                </c:pt>
                <c:pt idx="211">
                  <c:v>6.1710590659690858</c:v>
                </c:pt>
                <c:pt idx="212">
                  <c:v>6.1710590659690858</c:v>
                </c:pt>
                <c:pt idx="213">
                  <c:v>6.1710590659690858</c:v>
                </c:pt>
                <c:pt idx="214">
                  <c:v>6.1710590659690858</c:v>
                </c:pt>
                <c:pt idx="215">
                  <c:v>6.1710590659690858</c:v>
                </c:pt>
                <c:pt idx="216">
                  <c:v>6.1710590659690858</c:v>
                </c:pt>
                <c:pt idx="217">
                  <c:v>6.1710590659690858</c:v>
                </c:pt>
                <c:pt idx="218">
                  <c:v>6.1710590659690858</c:v>
                </c:pt>
                <c:pt idx="219">
                  <c:v>6.1710590659690858</c:v>
                </c:pt>
                <c:pt idx="220">
                  <c:v>6.1710590659690858</c:v>
                </c:pt>
                <c:pt idx="221">
                  <c:v>6.1710590659690858</c:v>
                </c:pt>
                <c:pt idx="222">
                  <c:v>6.1710590659690858</c:v>
                </c:pt>
                <c:pt idx="223">
                  <c:v>6.1710590659690858</c:v>
                </c:pt>
                <c:pt idx="224">
                  <c:v>6.1710590659690858</c:v>
                </c:pt>
                <c:pt idx="225">
                  <c:v>6.1710590659690858</c:v>
                </c:pt>
                <c:pt idx="226">
                  <c:v>6.1710590659690858</c:v>
                </c:pt>
                <c:pt idx="227">
                  <c:v>6.1710590659690858</c:v>
                </c:pt>
                <c:pt idx="228">
                  <c:v>6.1710590659690858</c:v>
                </c:pt>
                <c:pt idx="229">
                  <c:v>6.1710590659690858</c:v>
                </c:pt>
                <c:pt idx="230">
                  <c:v>6.1710590659690858</c:v>
                </c:pt>
                <c:pt idx="231">
                  <c:v>6.1710590659690858</c:v>
                </c:pt>
                <c:pt idx="232">
                  <c:v>6.1710590659690858</c:v>
                </c:pt>
                <c:pt idx="233">
                  <c:v>6.1710590659690858</c:v>
                </c:pt>
                <c:pt idx="234">
                  <c:v>6.1710590659690858</c:v>
                </c:pt>
                <c:pt idx="235">
                  <c:v>6.1710590659690858</c:v>
                </c:pt>
                <c:pt idx="236">
                  <c:v>6.1710590659690858</c:v>
                </c:pt>
                <c:pt idx="237">
                  <c:v>6.1710590659690858</c:v>
                </c:pt>
                <c:pt idx="238">
                  <c:v>6.1710590659690858</c:v>
                </c:pt>
                <c:pt idx="239">
                  <c:v>6.1710590659690858</c:v>
                </c:pt>
                <c:pt idx="240">
                  <c:v>6.1710590659690858</c:v>
                </c:pt>
                <c:pt idx="241">
                  <c:v>6.1710590659690858</c:v>
                </c:pt>
                <c:pt idx="242">
                  <c:v>6.1710590659690858</c:v>
                </c:pt>
                <c:pt idx="243">
                  <c:v>6.1710590659690858</c:v>
                </c:pt>
                <c:pt idx="244">
                  <c:v>6.1710590659690858</c:v>
                </c:pt>
                <c:pt idx="245">
                  <c:v>6.1710590659690858</c:v>
                </c:pt>
                <c:pt idx="246">
                  <c:v>6.1710590659690858</c:v>
                </c:pt>
                <c:pt idx="247">
                  <c:v>6.1710590659690858</c:v>
                </c:pt>
                <c:pt idx="248">
                  <c:v>6.1710590659690858</c:v>
                </c:pt>
                <c:pt idx="249">
                  <c:v>6.1710590659690858</c:v>
                </c:pt>
                <c:pt idx="250">
                  <c:v>6.1710590659690858</c:v>
                </c:pt>
                <c:pt idx="251">
                  <c:v>6.1710590659690858</c:v>
                </c:pt>
                <c:pt idx="252">
                  <c:v>6.1710590659690858</c:v>
                </c:pt>
                <c:pt idx="253">
                  <c:v>6.1710590659690858</c:v>
                </c:pt>
                <c:pt idx="254">
                  <c:v>6.1710590659690858</c:v>
                </c:pt>
                <c:pt idx="255">
                  <c:v>6.1710590659690858</c:v>
                </c:pt>
                <c:pt idx="256">
                  <c:v>6.1710590659690858</c:v>
                </c:pt>
                <c:pt idx="257">
                  <c:v>6.1710590659690858</c:v>
                </c:pt>
                <c:pt idx="258">
                  <c:v>6.1710590659690858</c:v>
                </c:pt>
                <c:pt idx="259">
                  <c:v>6.1710590659690858</c:v>
                </c:pt>
                <c:pt idx="260">
                  <c:v>6.1710590659690858</c:v>
                </c:pt>
                <c:pt idx="261">
                  <c:v>6.1710590659690858</c:v>
                </c:pt>
                <c:pt idx="262">
                  <c:v>6.1710590659690858</c:v>
                </c:pt>
                <c:pt idx="263">
                  <c:v>6.1710590659690858</c:v>
                </c:pt>
                <c:pt idx="264">
                  <c:v>6.1710590659690858</c:v>
                </c:pt>
                <c:pt idx="265">
                  <c:v>6.1710590659690858</c:v>
                </c:pt>
                <c:pt idx="266">
                  <c:v>6.1710590659690858</c:v>
                </c:pt>
                <c:pt idx="267">
                  <c:v>6.1710590659690858</c:v>
                </c:pt>
                <c:pt idx="268">
                  <c:v>6.1710590659690858</c:v>
                </c:pt>
                <c:pt idx="269">
                  <c:v>6.1710590659690858</c:v>
                </c:pt>
                <c:pt idx="270">
                  <c:v>6.1710590659690858</c:v>
                </c:pt>
                <c:pt idx="271">
                  <c:v>6.1710590659690858</c:v>
                </c:pt>
                <c:pt idx="272">
                  <c:v>6.1710590659690858</c:v>
                </c:pt>
                <c:pt idx="273">
                  <c:v>6.1710590659690858</c:v>
                </c:pt>
                <c:pt idx="274">
                  <c:v>6.1710590659690858</c:v>
                </c:pt>
                <c:pt idx="275">
                  <c:v>6.1710590659690858</c:v>
                </c:pt>
                <c:pt idx="276">
                  <c:v>6.1710590659690858</c:v>
                </c:pt>
                <c:pt idx="277">
                  <c:v>6.1710590659690858</c:v>
                </c:pt>
                <c:pt idx="278">
                  <c:v>6.1710590659690858</c:v>
                </c:pt>
                <c:pt idx="279">
                  <c:v>6.1710590659690858</c:v>
                </c:pt>
                <c:pt idx="280">
                  <c:v>6.1710590659690858</c:v>
                </c:pt>
                <c:pt idx="281">
                  <c:v>6.1710590659690858</c:v>
                </c:pt>
                <c:pt idx="282">
                  <c:v>6.1710590659690858</c:v>
                </c:pt>
                <c:pt idx="283">
                  <c:v>6.1710590659690858</c:v>
                </c:pt>
                <c:pt idx="284">
                  <c:v>6.1710590659690858</c:v>
                </c:pt>
                <c:pt idx="285">
                  <c:v>6.1710590659690858</c:v>
                </c:pt>
                <c:pt idx="286">
                  <c:v>6.1710590659690858</c:v>
                </c:pt>
                <c:pt idx="287">
                  <c:v>6.1710590659690858</c:v>
                </c:pt>
                <c:pt idx="288">
                  <c:v>6.1710590659690858</c:v>
                </c:pt>
                <c:pt idx="289">
                  <c:v>6.1710590659690858</c:v>
                </c:pt>
                <c:pt idx="290">
                  <c:v>6.1710590659690858</c:v>
                </c:pt>
                <c:pt idx="291">
                  <c:v>6.1710590659690858</c:v>
                </c:pt>
                <c:pt idx="292">
                  <c:v>6.1710590659690858</c:v>
                </c:pt>
                <c:pt idx="293">
                  <c:v>6.1710590659690858</c:v>
                </c:pt>
                <c:pt idx="294">
                  <c:v>6.1710590659690858</c:v>
                </c:pt>
                <c:pt idx="295">
                  <c:v>6.1710590659690858</c:v>
                </c:pt>
                <c:pt idx="296">
                  <c:v>6.1710590659690858</c:v>
                </c:pt>
                <c:pt idx="297">
                  <c:v>6.1710590659690858</c:v>
                </c:pt>
                <c:pt idx="298">
                  <c:v>6.1710590659690858</c:v>
                </c:pt>
                <c:pt idx="299">
                  <c:v>6.1710590659690858</c:v>
                </c:pt>
                <c:pt idx="300">
                  <c:v>6.1710590659690858</c:v>
                </c:pt>
                <c:pt idx="301">
                  <c:v>6.1710590659690858</c:v>
                </c:pt>
                <c:pt idx="302">
                  <c:v>6.1710590659690858</c:v>
                </c:pt>
                <c:pt idx="303">
                  <c:v>6.1710590659690858</c:v>
                </c:pt>
                <c:pt idx="304">
                  <c:v>6.1710590659690858</c:v>
                </c:pt>
                <c:pt idx="305">
                  <c:v>6.1710590659690858</c:v>
                </c:pt>
                <c:pt idx="306">
                  <c:v>6.1710590659690858</c:v>
                </c:pt>
                <c:pt idx="307">
                  <c:v>6.1710590659690858</c:v>
                </c:pt>
                <c:pt idx="308">
                  <c:v>6.1710590659690858</c:v>
                </c:pt>
                <c:pt idx="309">
                  <c:v>6.1710590659690858</c:v>
                </c:pt>
                <c:pt idx="310">
                  <c:v>6.1710590659690858</c:v>
                </c:pt>
                <c:pt idx="311">
                  <c:v>6.1710590659690858</c:v>
                </c:pt>
                <c:pt idx="312">
                  <c:v>6.1710590659690858</c:v>
                </c:pt>
                <c:pt idx="313">
                  <c:v>6.1710590659690858</c:v>
                </c:pt>
                <c:pt idx="314">
                  <c:v>6.1710590659690858</c:v>
                </c:pt>
                <c:pt idx="315">
                  <c:v>6.1710590659690858</c:v>
                </c:pt>
                <c:pt idx="316">
                  <c:v>6.1710590659690858</c:v>
                </c:pt>
                <c:pt idx="317">
                  <c:v>6.1710590659690858</c:v>
                </c:pt>
                <c:pt idx="318">
                  <c:v>6.1710590659690858</c:v>
                </c:pt>
                <c:pt idx="319">
                  <c:v>6.1710590659690858</c:v>
                </c:pt>
                <c:pt idx="320">
                  <c:v>6.1710590659690858</c:v>
                </c:pt>
                <c:pt idx="321">
                  <c:v>6.1710590659690858</c:v>
                </c:pt>
                <c:pt idx="322">
                  <c:v>6.1710590659690858</c:v>
                </c:pt>
                <c:pt idx="323">
                  <c:v>6.1710590659690858</c:v>
                </c:pt>
                <c:pt idx="324">
                  <c:v>6.1710590659690858</c:v>
                </c:pt>
                <c:pt idx="325">
                  <c:v>6.1710590659690858</c:v>
                </c:pt>
                <c:pt idx="326">
                  <c:v>6.1710590659690858</c:v>
                </c:pt>
                <c:pt idx="327">
                  <c:v>6.1710590659690858</c:v>
                </c:pt>
                <c:pt idx="328">
                  <c:v>6.1710590659690858</c:v>
                </c:pt>
                <c:pt idx="329">
                  <c:v>6.1710590659690858</c:v>
                </c:pt>
                <c:pt idx="330">
                  <c:v>6.1710590659690858</c:v>
                </c:pt>
                <c:pt idx="331">
                  <c:v>6.1710590659690858</c:v>
                </c:pt>
                <c:pt idx="332">
                  <c:v>6.1710590659690858</c:v>
                </c:pt>
                <c:pt idx="333">
                  <c:v>6.1710590659690858</c:v>
                </c:pt>
                <c:pt idx="334">
                  <c:v>6.1710590659690858</c:v>
                </c:pt>
                <c:pt idx="335">
                  <c:v>6.1710590659690858</c:v>
                </c:pt>
                <c:pt idx="336">
                  <c:v>6.1710590659690858</c:v>
                </c:pt>
                <c:pt idx="337">
                  <c:v>6.1710590659690858</c:v>
                </c:pt>
                <c:pt idx="338">
                  <c:v>6.1710590659690858</c:v>
                </c:pt>
                <c:pt idx="339">
                  <c:v>6.1710590659690858</c:v>
                </c:pt>
                <c:pt idx="340">
                  <c:v>6.1710590659690858</c:v>
                </c:pt>
                <c:pt idx="341">
                  <c:v>6.1710590659690858</c:v>
                </c:pt>
                <c:pt idx="342">
                  <c:v>6.1710590659690858</c:v>
                </c:pt>
                <c:pt idx="343">
                  <c:v>6.1710590659690858</c:v>
                </c:pt>
                <c:pt idx="344">
                  <c:v>6.1710590659690858</c:v>
                </c:pt>
                <c:pt idx="345">
                  <c:v>6.1710590659690858</c:v>
                </c:pt>
                <c:pt idx="346">
                  <c:v>6.1710590659690858</c:v>
                </c:pt>
                <c:pt idx="347">
                  <c:v>6.1710590659690858</c:v>
                </c:pt>
                <c:pt idx="348">
                  <c:v>6.1710590659690858</c:v>
                </c:pt>
                <c:pt idx="349">
                  <c:v>6.1710590659690858</c:v>
                </c:pt>
                <c:pt idx="350">
                  <c:v>6.1710590659690858</c:v>
                </c:pt>
                <c:pt idx="351">
                  <c:v>6.1710590659690858</c:v>
                </c:pt>
                <c:pt idx="352">
                  <c:v>6.1710590659690858</c:v>
                </c:pt>
                <c:pt idx="353">
                  <c:v>6.1710590659690858</c:v>
                </c:pt>
                <c:pt idx="354">
                  <c:v>6.1710590659690858</c:v>
                </c:pt>
                <c:pt idx="355">
                  <c:v>6.1710590659690858</c:v>
                </c:pt>
                <c:pt idx="356">
                  <c:v>6.1710590659690858</c:v>
                </c:pt>
                <c:pt idx="357">
                  <c:v>6.1710590659690858</c:v>
                </c:pt>
                <c:pt idx="358">
                  <c:v>6.1710590659690858</c:v>
                </c:pt>
                <c:pt idx="359">
                  <c:v>6.1710590659690858</c:v>
                </c:pt>
                <c:pt idx="360">
                  <c:v>6.1710590659690858</c:v>
                </c:pt>
                <c:pt idx="361">
                  <c:v>6.1710590659690858</c:v>
                </c:pt>
                <c:pt idx="362">
                  <c:v>6.1710590659690858</c:v>
                </c:pt>
                <c:pt idx="363">
                  <c:v>6.1710590659690858</c:v>
                </c:pt>
                <c:pt idx="364">
                  <c:v>6.1710590659690858</c:v>
                </c:pt>
                <c:pt idx="365">
                  <c:v>6.1710590659690858</c:v>
                </c:pt>
                <c:pt idx="366">
                  <c:v>6.1710590659690858</c:v>
                </c:pt>
                <c:pt idx="367">
                  <c:v>6.1710590659690858</c:v>
                </c:pt>
                <c:pt idx="368">
                  <c:v>6.1710590659690858</c:v>
                </c:pt>
                <c:pt idx="369">
                  <c:v>6.1710590659690858</c:v>
                </c:pt>
                <c:pt idx="370">
                  <c:v>6.1710590659690858</c:v>
                </c:pt>
                <c:pt idx="371">
                  <c:v>6.1710590659690858</c:v>
                </c:pt>
                <c:pt idx="372">
                  <c:v>6.1710590659690858</c:v>
                </c:pt>
                <c:pt idx="373">
                  <c:v>6.1710590659690858</c:v>
                </c:pt>
                <c:pt idx="374">
                  <c:v>6.1710590659690858</c:v>
                </c:pt>
                <c:pt idx="375">
                  <c:v>6.1710590659690858</c:v>
                </c:pt>
                <c:pt idx="376">
                  <c:v>6.1710590659690858</c:v>
                </c:pt>
                <c:pt idx="377">
                  <c:v>6.1710590659690858</c:v>
                </c:pt>
                <c:pt idx="378">
                  <c:v>6.1710590659690858</c:v>
                </c:pt>
                <c:pt idx="379">
                  <c:v>6.1710590659690858</c:v>
                </c:pt>
                <c:pt idx="380">
                  <c:v>6.1710590659690858</c:v>
                </c:pt>
                <c:pt idx="381">
                  <c:v>6.1710590659690858</c:v>
                </c:pt>
                <c:pt idx="382">
                  <c:v>6.1710590659690858</c:v>
                </c:pt>
                <c:pt idx="383">
                  <c:v>6.1710590659690858</c:v>
                </c:pt>
                <c:pt idx="384">
                  <c:v>6.1710590659690858</c:v>
                </c:pt>
                <c:pt idx="385">
                  <c:v>6.1710590659690858</c:v>
                </c:pt>
                <c:pt idx="386">
                  <c:v>6.1710590659690858</c:v>
                </c:pt>
                <c:pt idx="387">
                  <c:v>6.1710590659690858</c:v>
                </c:pt>
                <c:pt idx="388">
                  <c:v>6.1710590659690858</c:v>
                </c:pt>
                <c:pt idx="389">
                  <c:v>6.1710590659690858</c:v>
                </c:pt>
                <c:pt idx="390">
                  <c:v>6.1710590659690858</c:v>
                </c:pt>
                <c:pt idx="391">
                  <c:v>6.1710590659690858</c:v>
                </c:pt>
                <c:pt idx="392">
                  <c:v>6.1710590659690858</c:v>
                </c:pt>
                <c:pt idx="393">
                  <c:v>6.1710590659690858</c:v>
                </c:pt>
                <c:pt idx="394">
                  <c:v>6.1710590659690858</c:v>
                </c:pt>
                <c:pt idx="395">
                  <c:v>6.1710590659690858</c:v>
                </c:pt>
                <c:pt idx="396">
                  <c:v>6.1710590659690858</c:v>
                </c:pt>
                <c:pt idx="397">
                  <c:v>6.1710590659690858</c:v>
                </c:pt>
                <c:pt idx="398">
                  <c:v>6.1710590659690858</c:v>
                </c:pt>
                <c:pt idx="399">
                  <c:v>6.1710590659690858</c:v>
                </c:pt>
                <c:pt idx="400">
                  <c:v>6.1710590659690858</c:v>
                </c:pt>
                <c:pt idx="401">
                  <c:v>6.1710590659690858</c:v>
                </c:pt>
                <c:pt idx="402">
                  <c:v>6.1710590659690858</c:v>
                </c:pt>
                <c:pt idx="403">
                  <c:v>6.1710590659690858</c:v>
                </c:pt>
                <c:pt idx="404">
                  <c:v>6.1710590659690858</c:v>
                </c:pt>
                <c:pt idx="405">
                  <c:v>6.1710590659690858</c:v>
                </c:pt>
                <c:pt idx="406">
                  <c:v>6.1710590659690858</c:v>
                </c:pt>
                <c:pt idx="407">
                  <c:v>6.1710590659690858</c:v>
                </c:pt>
                <c:pt idx="408">
                  <c:v>6.1710590659690858</c:v>
                </c:pt>
                <c:pt idx="409">
                  <c:v>6.1710590659690858</c:v>
                </c:pt>
                <c:pt idx="410">
                  <c:v>6.1710590659690858</c:v>
                </c:pt>
                <c:pt idx="411">
                  <c:v>6.1710590659690858</c:v>
                </c:pt>
                <c:pt idx="412">
                  <c:v>6.1710590659690858</c:v>
                </c:pt>
                <c:pt idx="413">
                  <c:v>6.1710590659690858</c:v>
                </c:pt>
                <c:pt idx="414">
                  <c:v>6.1710590659690858</c:v>
                </c:pt>
                <c:pt idx="415">
                  <c:v>6.1710590659690858</c:v>
                </c:pt>
                <c:pt idx="416">
                  <c:v>6.1710590659690858</c:v>
                </c:pt>
                <c:pt idx="417">
                  <c:v>6.1710590659690858</c:v>
                </c:pt>
                <c:pt idx="418">
                  <c:v>6.1710590659690858</c:v>
                </c:pt>
                <c:pt idx="419">
                  <c:v>6.1710590659690858</c:v>
                </c:pt>
                <c:pt idx="420">
                  <c:v>6.1710590659690858</c:v>
                </c:pt>
                <c:pt idx="421">
                  <c:v>6.1710590659690858</c:v>
                </c:pt>
                <c:pt idx="422">
                  <c:v>6.1710590659690858</c:v>
                </c:pt>
                <c:pt idx="423">
                  <c:v>6.1710590659690858</c:v>
                </c:pt>
                <c:pt idx="424">
                  <c:v>6.1710590659690858</c:v>
                </c:pt>
                <c:pt idx="425">
                  <c:v>6.1710590659690858</c:v>
                </c:pt>
                <c:pt idx="426">
                  <c:v>6.1710590659690858</c:v>
                </c:pt>
                <c:pt idx="427">
                  <c:v>6.1710590659690858</c:v>
                </c:pt>
                <c:pt idx="428">
                  <c:v>6.1710590659690858</c:v>
                </c:pt>
                <c:pt idx="429">
                  <c:v>6.1710590659690858</c:v>
                </c:pt>
                <c:pt idx="430">
                  <c:v>6.1710590659690858</c:v>
                </c:pt>
                <c:pt idx="431">
                  <c:v>6.1710590659690858</c:v>
                </c:pt>
                <c:pt idx="432">
                  <c:v>6.1710590659690858</c:v>
                </c:pt>
                <c:pt idx="433">
                  <c:v>6.1710590659690858</c:v>
                </c:pt>
                <c:pt idx="434">
                  <c:v>6.1710590659690858</c:v>
                </c:pt>
                <c:pt idx="435">
                  <c:v>6.1710590659690858</c:v>
                </c:pt>
                <c:pt idx="436">
                  <c:v>6.1710590659690858</c:v>
                </c:pt>
                <c:pt idx="437">
                  <c:v>6.1710590659690858</c:v>
                </c:pt>
                <c:pt idx="438">
                  <c:v>6.1710590659690858</c:v>
                </c:pt>
                <c:pt idx="439">
                  <c:v>6.1710590659690858</c:v>
                </c:pt>
                <c:pt idx="440">
                  <c:v>6.1710590659690858</c:v>
                </c:pt>
                <c:pt idx="441">
                  <c:v>6.1710590659690858</c:v>
                </c:pt>
                <c:pt idx="442">
                  <c:v>6.1710590659690858</c:v>
                </c:pt>
                <c:pt idx="443">
                  <c:v>6.1710590659690858</c:v>
                </c:pt>
                <c:pt idx="444">
                  <c:v>6.1710590659690858</c:v>
                </c:pt>
                <c:pt idx="445">
                  <c:v>6.1710590659690858</c:v>
                </c:pt>
                <c:pt idx="446">
                  <c:v>6.1710590659690858</c:v>
                </c:pt>
                <c:pt idx="447">
                  <c:v>6.1710590659690858</c:v>
                </c:pt>
                <c:pt idx="448">
                  <c:v>6.1710590659690858</c:v>
                </c:pt>
                <c:pt idx="449">
                  <c:v>6.1710590659690858</c:v>
                </c:pt>
                <c:pt idx="450">
                  <c:v>6.1710590659690858</c:v>
                </c:pt>
                <c:pt idx="451">
                  <c:v>6.1710590659690858</c:v>
                </c:pt>
                <c:pt idx="452">
                  <c:v>6.1710590659690858</c:v>
                </c:pt>
                <c:pt idx="453">
                  <c:v>6.1710590659690858</c:v>
                </c:pt>
                <c:pt idx="454">
                  <c:v>6.1710590659690858</c:v>
                </c:pt>
                <c:pt idx="455">
                  <c:v>6.1710590659690858</c:v>
                </c:pt>
                <c:pt idx="456">
                  <c:v>6.1710590659690858</c:v>
                </c:pt>
                <c:pt idx="457">
                  <c:v>6.1710590659690858</c:v>
                </c:pt>
                <c:pt idx="458">
                  <c:v>6.1710590659690858</c:v>
                </c:pt>
                <c:pt idx="459">
                  <c:v>6.1710590659690858</c:v>
                </c:pt>
                <c:pt idx="460">
                  <c:v>6.1710590659690858</c:v>
                </c:pt>
                <c:pt idx="461">
                  <c:v>6.1710590659690858</c:v>
                </c:pt>
                <c:pt idx="462">
                  <c:v>6.1710590659690858</c:v>
                </c:pt>
                <c:pt idx="463">
                  <c:v>6.1710590659690858</c:v>
                </c:pt>
                <c:pt idx="464">
                  <c:v>6.1710590659690858</c:v>
                </c:pt>
                <c:pt idx="465">
                  <c:v>6.1710590659690858</c:v>
                </c:pt>
                <c:pt idx="466">
                  <c:v>6.1710590659690858</c:v>
                </c:pt>
                <c:pt idx="467">
                  <c:v>6.1710590659690858</c:v>
                </c:pt>
                <c:pt idx="468">
                  <c:v>6.1710590659690858</c:v>
                </c:pt>
                <c:pt idx="469">
                  <c:v>6.1710590659690858</c:v>
                </c:pt>
                <c:pt idx="470">
                  <c:v>6.1710590659690858</c:v>
                </c:pt>
                <c:pt idx="471">
                  <c:v>6.1710590659690858</c:v>
                </c:pt>
                <c:pt idx="472">
                  <c:v>6.1710590659690858</c:v>
                </c:pt>
                <c:pt idx="473">
                  <c:v>6.1710590659690858</c:v>
                </c:pt>
                <c:pt idx="474">
                  <c:v>6.1710590659690858</c:v>
                </c:pt>
                <c:pt idx="475">
                  <c:v>6.1710590659690858</c:v>
                </c:pt>
                <c:pt idx="476">
                  <c:v>6.1710590659690858</c:v>
                </c:pt>
                <c:pt idx="477">
                  <c:v>6.1710590659690858</c:v>
                </c:pt>
                <c:pt idx="478">
                  <c:v>6.1710590659690858</c:v>
                </c:pt>
                <c:pt idx="479">
                  <c:v>6.1710590659690858</c:v>
                </c:pt>
                <c:pt idx="480">
                  <c:v>6.1710590659690858</c:v>
                </c:pt>
                <c:pt idx="481">
                  <c:v>6.1710590659690858</c:v>
                </c:pt>
                <c:pt idx="482">
                  <c:v>6.1710590659690858</c:v>
                </c:pt>
                <c:pt idx="483">
                  <c:v>6.1710590659690858</c:v>
                </c:pt>
                <c:pt idx="484">
                  <c:v>6.1710590659690858</c:v>
                </c:pt>
                <c:pt idx="485">
                  <c:v>6.1710590659690858</c:v>
                </c:pt>
                <c:pt idx="486">
                  <c:v>6.1710590659690858</c:v>
                </c:pt>
                <c:pt idx="487">
                  <c:v>6.1710590659690858</c:v>
                </c:pt>
                <c:pt idx="488">
                  <c:v>6.1710590659690858</c:v>
                </c:pt>
                <c:pt idx="489">
                  <c:v>6.1710590659690858</c:v>
                </c:pt>
                <c:pt idx="490">
                  <c:v>6.1710590659690858</c:v>
                </c:pt>
                <c:pt idx="491">
                  <c:v>6.1710590659690858</c:v>
                </c:pt>
                <c:pt idx="492">
                  <c:v>6.1710590659690858</c:v>
                </c:pt>
                <c:pt idx="493">
                  <c:v>6.1710590659690858</c:v>
                </c:pt>
                <c:pt idx="494">
                  <c:v>6.1710590659690858</c:v>
                </c:pt>
                <c:pt idx="495">
                  <c:v>6.1710590659690858</c:v>
                </c:pt>
                <c:pt idx="496">
                  <c:v>6.1710590659690858</c:v>
                </c:pt>
                <c:pt idx="497">
                  <c:v>6.1710590659690858</c:v>
                </c:pt>
                <c:pt idx="498">
                  <c:v>6.1710590659690858</c:v>
                </c:pt>
                <c:pt idx="499">
                  <c:v>6.1710590659690858</c:v>
                </c:pt>
                <c:pt idx="500">
                  <c:v>6.1710590659690858</c:v>
                </c:pt>
                <c:pt idx="501">
                  <c:v>6.1710590659690858</c:v>
                </c:pt>
                <c:pt idx="502">
                  <c:v>6.1710590659690858</c:v>
                </c:pt>
                <c:pt idx="503">
                  <c:v>6.1710590659690858</c:v>
                </c:pt>
                <c:pt idx="504">
                  <c:v>6.1710590659690858</c:v>
                </c:pt>
                <c:pt idx="505">
                  <c:v>6.1710590659690858</c:v>
                </c:pt>
                <c:pt idx="506">
                  <c:v>6.1710590659690858</c:v>
                </c:pt>
                <c:pt idx="507">
                  <c:v>6.1710590659690858</c:v>
                </c:pt>
                <c:pt idx="508">
                  <c:v>6.1710590659690858</c:v>
                </c:pt>
                <c:pt idx="509">
                  <c:v>6.1710590659690858</c:v>
                </c:pt>
                <c:pt idx="510">
                  <c:v>6.1710590659690858</c:v>
                </c:pt>
                <c:pt idx="511">
                  <c:v>6.1710590659690858</c:v>
                </c:pt>
                <c:pt idx="512">
                  <c:v>6.1710590659690858</c:v>
                </c:pt>
                <c:pt idx="513">
                  <c:v>6.1710590659690858</c:v>
                </c:pt>
                <c:pt idx="514">
                  <c:v>6.1710590659690858</c:v>
                </c:pt>
                <c:pt idx="515">
                  <c:v>6.1710590659690858</c:v>
                </c:pt>
                <c:pt idx="516">
                  <c:v>6.1710590659690858</c:v>
                </c:pt>
                <c:pt idx="517">
                  <c:v>6.1710590659690858</c:v>
                </c:pt>
                <c:pt idx="518">
                  <c:v>6.1710590659690858</c:v>
                </c:pt>
                <c:pt idx="519">
                  <c:v>6.1710590659690858</c:v>
                </c:pt>
                <c:pt idx="520">
                  <c:v>6.1710590659690858</c:v>
                </c:pt>
                <c:pt idx="521">
                  <c:v>6.1710590659690858</c:v>
                </c:pt>
                <c:pt idx="522">
                  <c:v>6.1710590659690858</c:v>
                </c:pt>
                <c:pt idx="523">
                  <c:v>6.1710590659690858</c:v>
                </c:pt>
                <c:pt idx="524">
                  <c:v>6.1710590659690858</c:v>
                </c:pt>
                <c:pt idx="525">
                  <c:v>6.1710590659690858</c:v>
                </c:pt>
                <c:pt idx="526">
                  <c:v>6.1710590659690858</c:v>
                </c:pt>
                <c:pt idx="527">
                  <c:v>6.1710590659690858</c:v>
                </c:pt>
                <c:pt idx="528">
                  <c:v>6.1710590659690858</c:v>
                </c:pt>
                <c:pt idx="529">
                  <c:v>6.1710590659690858</c:v>
                </c:pt>
                <c:pt idx="530">
                  <c:v>6.1710590659690858</c:v>
                </c:pt>
                <c:pt idx="531">
                  <c:v>6.1710590659690858</c:v>
                </c:pt>
                <c:pt idx="532">
                  <c:v>6.1710590659690858</c:v>
                </c:pt>
                <c:pt idx="533">
                  <c:v>6.1710590659690858</c:v>
                </c:pt>
                <c:pt idx="534">
                  <c:v>6.1710590659690858</c:v>
                </c:pt>
                <c:pt idx="535">
                  <c:v>6.1710590659690858</c:v>
                </c:pt>
                <c:pt idx="536">
                  <c:v>6.1710590659690858</c:v>
                </c:pt>
                <c:pt idx="537">
                  <c:v>6.1710590659690858</c:v>
                </c:pt>
                <c:pt idx="538">
                  <c:v>6.1710590659690858</c:v>
                </c:pt>
                <c:pt idx="539">
                  <c:v>6.1710590659690858</c:v>
                </c:pt>
              </c:numCache>
            </c:numRef>
          </c:val>
          <c:smooth val="0"/>
          <c:extLst>
            <c:ext xmlns:c16="http://schemas.microsoft.com/office/drawing/2014/chart" uri="{C3380CC4-5D6E-409C-BE32-E72D297353CC}">
              <c16:uniqueId val="{00000001-F620-48D4-8207-C5A941E212BF}"/>
            </c:ext>
          </c:extLst>
        </c:ser>
        <c:ser>
          <c:idx val="2"/>
          <c:order val="2"/>
          <c:tx>
            <c:strRef>
              <c:f>Summary!$AE$100</c:f>
              <c:strCache>
                <c:ptCount val="1"/>
                <c:pt idx="0">
                  <c:v>Direct Marketing Mean</c:v>
                </c:pt>
              </c:strCache>
            </c:strRef>
          </c:tx>
          <c:spPr>
            <a:ln w="12700">
              <a:solidFill>
                <a:srgbClr val="333333"/>
              </a:solidFill>
              <a:prstDash val="solid"/>
            </a:ln>
          </c:spPr>
          <c:marker>
            <c:symbol val="none"/>
          </c:marker>
          <c:cat>
            <c:numRef>
              <c:f>Summary!$AB$564:$AB$5006</c:f>
              <c:numCache>
                <c:formatCode>m/d/yyyy</c:formatCode>
                <c:ptCount val="4443"/>
                <c:pt idx="0">
                  <c:v>38674</c:v>
                </c:pt>
                <c:pt idx="1">
                  <c:v>38681</c:v>
                </c:pt>
                <c:pt idx="2">
                  <c:v>38688</c:v>
                </c:pt>
                <c:pt idx="3">
                  <c:v>38695</c:v>
                </c:pt>
                <c:pt idx="4">
                  <c:v>38702</c:v>
                </c:pt>
                <c:pt idx="5">
                  <c:v>38709</c:v>
                </c:pt>
                <c:pt idx="6">
                  <c:v>38716</c:v>
                </c:pt>
                <c:pt idx="7">
                  <c:v>38723</c:v>
                </c:pt>
                <c:pt idx="8">
                  <c:v>38730</c:v>
                </c:pt>
                <c:pt idx="9">
                  <c:v>38737</c:v>
                </c:pt>
                <c:pt idx="10">
                  <c:v>38744</c:v>
                </c:pt>
                <c:pt idx="11">
                  <c:v>38751</c:v>
                </c:pt>
                <c:pt idx="12">
                  <c:v>38758</c:v>
                </c:pt>
                <c:pt idx="13">
                  <c:v>38765</c:v>
                </c:pt>
                <c:pt idx="14">
                  <c:v>38772</c:v>
                </c:pt>
                <c:pt idx="15">
                  <c:v>38779</c:v>
                </c:pt>
                <c:pt idx="16">
                  <c:v>38786</c:v>
                </c:pt>
                <c:pt idx="17">
                  <c:v>38793</c:v>
                </c:pt>
                <c:pt idx="18">
                  <c:v>38800</c:v>
                </c:pt>
                <c:pt idx="19">
                  <c:v>38807</c:v>
                </c:pt>
                <c:pt idx="20">
                  <c:v>38814</c:v>
                </c:pt>
                <c:pt idx="21">
                  <c:v>38821</c:v>
                </c:pt>
                <c:pt idx="22">
                  <c:v>38828</c:v>
                </c:pt>
                <c:pt idx="23">
                  <c:v>38835</c:v>
                </c:pt>
                <c:pt idx="24">
                  <c:v>38842</c:v>
                </c:pt>
                <c:pt idx="25">
                  <c:v>38849</c:v>
                </c:pt>
                <c:pt idx="26">
                  <c:v>38856</c:v>
                </c:pt>
                <c:pt idx="27">
                  <c:v>38863</c:v>
                </c:pt>
                <c:pt idx="28">
                  <c:v>38870</c:v>
                </c:pt>
                <c:pt idx="29">
                  <c:v>38877</c:v>
                </c:pt>
                <c:pt idx="30">
                  <c:v>38884</c:v>
                </c:pt>
                <c:pt idx="31">
                  <c:v>38891</c:v>
                </c:pt>
                <c:pt idx="32">
                  <c:v>38898</c:v>
                </c:pt>
                <c:pt idx="33">
                  <c:v>38905</c:v>
                </c:pt>
                <c:pt idx="34">
                  <c:v>38912</c:v>
                </c:pt>
                <c:pt idx="35">
                  <c:v>38919</c:v>
                </c:pt>
                <c:pt idx="36">
                  <c:v>38926</c:v>
                </c:pt>
                <c:pt idx="37">
                  <c:v>38933</c:v>
                </c:pt>
                <c:pt idx="38">
                  <c:v>38940</c:v>
                </c:pt>
                <c:pt idx="39">
                  <c:v>38947</c:v>
                </c:pt>
                <c:pt idx="40">
                  <c:v>38954</c:v>
                </c:pt>
                <c:pt idx="41">
                  <c:v>38961</c:v>
                </c:pt>
                <c:pt idx="42">
                  <c:v>38968</c:v>
                </c:pt>
                <c:pt idx="43">
                  <c:v>38975</c:v>
                </c:pt>
                <c:pt idx="44">
                  <c:v>38982</c:v>
                </c:pt>
                <c:pt idx="45">
                  <c:v>38989</c:v>
                </c:pt>
                <c:pt idx="46">
                  <c:v>38996</c:v>
                </c:pt>
                <c:pt idx="47">
                  <c:v>39003</c:v>
                </c:pt>
                <c:pt idx="48">
                  <c:v>39010</c:v>
                </c:pt>
                <c:pt idx="49">
                  <c:v>39017</c:v>
                </c:pt>
                <c:pt idx="50">
                  <c:v>39024</c:v>
                </c:pt>
                <c:pt idx="51">
                  <c:v>39031</c:v>
                </c:pt>
                <c:pt idx="52">
                  <c:v>39038</c:v>
                </c:pt>
                <c:pt idx="53">
                  <c:v>39045</c:v>
                </c:pt>
                <c:pt idx="54">
                  <c:v>39052</c:v>
                </c:pt>
                <c:pt idx="55">
                  <c:v>39059</c:v>
                </c:pt>
                <c:pt idx="56">
                  <c:v>39066</c:v>
                </c:pt>
                <c:pt idx="57">
                  <c:v>39073</c:v>
                </c:pt>
                <c:pt idx="58">
                  <c:v>39081</c:v>
                </c:pt>
                <c:pt idx="59">
                  <c:v>39087</c:v>
                </c:pt>
                <c:pt idx="60">
                  <c:v>39094</c:v>
                </c:pt>
                <c:pt idx="61">
                  <c:v>39101</c:v>
                </c:pt>
                <c:pt idx="62">
                  <c:v>39108</c:v>
                </c:pt>
                <c:pt idx="63">
                  <c:v>39115</c:v>
                </c:pt>
                <c:pt idx="64">
                  <c:v>39122</c:v>
                </c:pt>
                <c:pt idx="65">
                  <c:v>39129</c:v>
                </c:pt>
                <c:pt idx="66">
                  <c:v>39136</c:v>
                </c:pt>
                <c:pt idx="67">
                  <c:v>39143</c:v>
                </c:pt>
                <c:pt idx="68">
                  <c:v>39150</c:v>
                </c:pt>
                <c:pt idx="69">
                  <c:v>39157</c:v>
                </c:pt>
                <c:pt idx="70">
                  <c:v>39164</c:v>
                </c:pt>
                <c:pt idx="71">
                  <c:v>39171</c:v>
                </c:pt>
                <c:pt idx="72">
                  <c:v>39178</c:v>
                </c:pt>
                <c:pt idx="73">
                  <c:v>39185</c:v>
                </c:pt>
                <c:pt idx="74">
                  <c:v>39192</c:v>
                </c:pt>
                <c:pt idx="75">
                  <c:v>39199</c:v>
                </c:pt>
                <c:pt idx="76">
                  <c:v>39206</c:v>
                </c:pt>
                <c:pt idx="77">
                  <c:v>39213</c:v>
                </c:pt>
                <c:pt idx="78">
                  <c:v>39220</c:v>
                </c:pt>
                <c:pt idx="79">
                  <c:v>39227</c:v>
                </c:pt>
                <c:pt idx="80">
                  <c:v>39234</c:v>
                </c:pt>
                <c:pt idx="81">
                  <c:v>39241</c:v>
                </c:pt>
                <c:pt idx="82">
                  <c:v>39248</c:v>
                </c:pt>
                <c:pt idx="83">
                  <c:v>39255</c:v>
                </c:pt>
                <c:pt idx="84">
                  <c:v>39262</c:v>
                </c:pt>
                <c:pt idx="85">
                  <c:v>39269</c:v>
                </c:pt>
                <c:pt idx="86">
                  <c:v>39276</c:v>
                </c:pt>
                <c:pt idx="87">
                  <c:v>39283</c:v>
                </c:pt>
                <c:pt idx="88">
                  <c:v>39290</c:v>
                </c:pt>
                <c:pt idx="89">
                  <c:v>39297</c:v>
                </c:pt>
                <c:pt idx="90">
                  <c:v>39304</c:v>
                </c:pt>
                <c:pt idx="91">
                  <c:v>39311</c:v>
                </c:pt>
                <c:pt idx="92">
                  <c:v>39318</c:v>
                </c:pt>
                <c:pt idx="93">
                  <c:v>39325</c:v>
                </c:pt>
                <c:pt idx="94">
                  <c:v>39332</c:v>
                </c:pt>
                <c:pt idx="95">
                  <c:v>39339</c:v>
                </c:pt>
                <c:pt idx="96">
                  <c:v>39346</c:v>
                </c:pt>
                <c:pt idx="97">
                  <c:v>39353</c:v>
                </c:pt>
                <c:pt idx="98">
                  <c:v>39360</c:v>
                </c:pt>
                <c:pt idx="99">
                  <c:v>39367</c:v>
                </c:pt>
                <c:pt idx="100">
                  <c:v>39374</c:v>
                </c:pt>
                <c:pt idx="101">
                  <c:v>39381</c:v>
                </c:pt>
                <c:pt idx="102">
                  <c:v>39388</c:v>
                </c:pt>
                <c:pt idx="103">
                  <c:v>39395</c:v>
                </c:pt>
                <c:pt idx="104">
                  <c:v>39402</c:v>
                </c:pt>
                <c:pt idx="105">
                  <c:v>39409</c:v>
                </c:pt>
                <c:pt idx="106">
                  <c:v>39416</c:v>
                </c:pt>
                <c:pt idx="107">
                  <c:v>39423</c:v>
                </c:pt>
                <c:pt idx="108">
                  <c:v>39430</c:v>
                </c:pt>
                <c:pt idx="109">
                  <c:v>39437</c:v>
                </c:pt>
                <c:pt idx="110">
                  <c:v>39447</c:v>
                </c:pt>
                <c:pt idx="111">
                  <c:v>39451</c:v>
                </c:pt>
                <c:pt idx="112">
                  <c:v>39458</c:v>
                </c:pt>
                <c:pt idx="113">
                  <c:v>39465</c:v>
                </c:pt>
                <c:pt idx="114">
                  <c:v>39472</c:v>
                </c:pt>
                <c:pt idx="115">
                  <c:v>39479</c:v>
                </c:pt>
                <c:pt idx="116">
                  <c:v>39486</c:v>
                </c:pt>
                <c:pt idx="117">
                  <c:v>39493</c:v>
                </c:pt>
                <c:pt idx="118">
                  <c:v>39500</c:v>
                </c:pt>
                <c:pt idx="119">
                  <c:v>39507</c:v>
                </c:pt>
                <c:pt idx="120">
                  <c:v>39514</c:v>
                </c:pt>
                <c:pt idx="121">
                  <c:v>39521</c:v>
                </c:pt>
                <c:pt idx="122">
                  <c:v>39528</c:v>
                </c:pt>
                <c:pt idx="123">
                  <c:v>39538</c:v>
                </c:pt>
                <c:pt idx="124">
                  <c:v>39542</c:v>
                </c:pt>
                <c:pt idx="125">
                  <c:v>39549</c:v>
                </c:pt>
                <c:pt idx="126">
                  <c:v>39556</c:v>
                </c:pt>
                <c:pt idx="127">
                  <c:v>39563</c:v>
                </c:pt>
                <c:pt idx="128">
                  <c:v>39570</c:v>
                </c:pt>
                <c:pt idx="129">
                  <c:v>39577</c:v>
                </c:pt>
                <c:pt idx="130">
                  <c:v>39584</c:v>
                </c:pt>
                <c:pt idx="131">
                  <c:v>39591</c:v>
                </c:pt>
                <c:pt idx="132">
                  <c:v>39598</c:v>
                </c:pt>
                <c:pt idx="133">
                  <c:v>39605</c:v>
                </c:pt>
                <c:pt idx="134">
                  <c:v>39612</c:v>
                </c:pt>
                <c:pt idx="135">
                  <c:v>39619</c:v>
                </c:pt>
                <c:pt idx="136">
                  <c:v>39626</c:v>
                </c:pt>
                <c:pt idx="137">
                  <c:v>39633</c:v>
                </c:pt>
                <c:pt idx="138">
                  <c:v>39640</c:v>
                </c:pt>
                <c:pt idx="139">
                  <c:v>39647</c:v>
                </c:pt>
                <c:pt idx="140">
                  <c:v>39654</c:v>
                </c:pt>
                <c:pt idx="141">
                  <c:v>39661</c:v>
                </c:pt>
                <c:pt idx="142">
                  <c:v>39668</c:v>
                </c:pt>
                <c:pt idx="143">
                  <c:v>39675</c:v>
                </c:pt>
                <c:pt idx="144">
                  <c:v>39682</c:v>
                </c:pt>
                <c:pt idx="145">
                  <c:v>39689</c:v>
                </c:pt>
                <c:pt idx="146">
                  <c:v>39696</c:v>
                </c:pt>
                <c:pt idx="147">
                  <c:v>39703</c:v>
                </c:pt>
                <c:pt idx="148">
                  <c:v>39710</c:v>
                </c:pt>
                <c:pt idx="149">
                  <c:v>39717</c:v>
                </c:pt>
                <c:pt idx="150">
                  <c:v>39724</c:v>
                </c:pt>
                <c:pt idx="151">
                  <c:v>39731</c:v>
                </c:pt>
                <c:pt idx="152">
                  <c:v>39738</c:v>
                </c:pt>
                <c:pt idx="153">
                  <c:v>39745</c:v>
                </c:pt>
                <c:pt idx="154">
                  <c:v>39752</c:v>
                </c:pt>
                <c:pt idx="155">
                  <c:v>39759</c:v>
                </c:pt>
                <c:pt idx="156">
                  <c:v>39766</c:v>
                </c:pt>
                <c:pt idx="157">
                  <c:v>39773</c:v>
                </c:pt>
                <c:pt idx="158">
                  <c:v>39780</c:v>
                </c:pt>
                <c:pt idx="159">
                  <c:v>39787</c:v>
                </c:pt>
                <c:pt idx="160">
                  <c:v>39794</c:v>
                </c:pt>
                <c:pt idx="161">
                  <c:v>39801</c:v>
                </c:pt>
                <c:pt idx="162">
                  <c:v>39808</c:v>
                </c:pt>
                <c:pt idx="163">
                  <c:v>39815</c:v>
                </c:pt>
                <c:pt idx="164">
                  <c:v>39822</c:v>
                </c:pt>
                <c:pt idx="165">
                  <c:v>39829</c:v>
                </c:pt>
                <c:pt idx="166">
                  <c:v>39836</c:v>
                </c:pt>
                <c:pt idx="167">
                  <c:v>39843</c:v>
                </c:pt>
                <c:pt idx="168">
                  <c:v>39850</c:v>
                </c:pt>
                <c:pt idx="169">
                  <c:v>39857</c:v>
                </c:pt>
                <c:pt idx="170">
                  <c:v>39864</c:v>
                </c:pt>
                <c:pt idx="171">
                  <c:v>39871</c:v>
                </c:pt>
                <c:pt idx="172">
                  <c:v>39878</c:v>
                </c:pt>
                <c:pt idx="173">
                  <c:v>39885</c:v>
                </c:pt>
                <c:pt idx="174">
                  <c:v>39892</c:v>
                </c:pt>
                <c:pt idx="175">
                  <c:v>39899</c:v>
                </c:pt>
                <c:pt idx="176">
                  <c:v>39906</c:v>
                </c:pt>
                <c:pt idx="177">
                  <c:v>39913</c:v>
                </c:pt>
                <c:pt idx="178">
                  <c:v>39920</c:v>
                </c:pt>
                <c:pt idx="179">
                  <c:v>39927</c:v>
                </c:pt>
                <c:pt idx="180">
                  <c:v>39934</c:v>
                </c:pt>
                <c:pt idx="181">
                  <c:v>39941</c:v>
                </c:pt>
                <c:pt idx="182">
                  <c:v>39948</c:v>
                </c:pt>
                <c:pt idx="183">
                  <c:v>39955</c:v>
                </c:pt>
                <c:pt idx="184">
                  <c:v>39962</c:v>
                </c:pt>
                <c:pt idx="185">
                  <c:v>39969</c:v>
                </c:pt>
                <c:pt idx="186">
                  <c:v>39976</c:v>
                </c:pt>
                <c:pt idx="187">
                  <c:v>39983</c:v>
                </c:pt>
                <c:pt idx="188">
                  <c:v>39990</c:v>
                </c:pt>
                <c:pt idx="189">
                  <c:v>39997</c:v>
                </c:pt>
                <c:pt idx="190">
                  <c:v>40004</c:v>
                </c:pt>
                <c:pt idx="191">
                  <c:v>40011</c:v>
                </c:pt>
                <c:pt idx="192">
                  <c:v>40018</c:v>
                </c:pt>
                <c:pt idx="193">
                  <c:v>40025</c:v>
                </c:pt>
                <c:pt idx="194">
                  <c:v>40032</c:v>
                </c:pt>
                <c:pt idx="195">
                  <c:v>40039</c:v>
                </c:pt>
                <c:pt idx="196">
                  <c:v>40046</c:v>
                </c:pt>
                <c:pt idx="197">
                  <c:v>40053</c:v>
                </c:pt>
                <c:pt idx="198">
                  <c:v>40060</c:v>
                </c:pt>
                <c:pt idx="199">
                  <c:v>40067</c:v>
                </c:pt>
                <c:pt idx="200">
                  <c:v>40074</c:v>
                </c:pt>
                <c:pt idx="201">
                  <c:v>40081</c:v>
                </c:pt>
                <c:pt idx="202">
                  <c:v>40088</c:v>
                </c:pt>
                <c:pt idx="203">
                  <c:v>40095</c:v>
                </c:pt>
                <c:pt idx="204">
                  <c:v>40102</c:v>
                </c:pt>
                <c:pt idx="205">
                  <c:v>40109</c:v>
                </c:pt>
                <c:pt idx="206">
                  <c:v>40116</c:v>
                </c:pt>
                <c:pt idx="207">
                  <c:v>40123</c:v>
                </c:pt>
                <c:pt idx="208">
                  <c:v>40130</c:v>
                </c:pt>
                <c:pt idx="209">
                  <c:v>40137</c:v>
                </c:pt>
                <c:pt idx="210">
                  <c:v>40144</c:v>
                </c:pt>
                <c:pt idx="211">
                  <c:v>40151</c:v>
                </c:pt>
                <c:pt idx="212">
                  <c:v>40158</c:v>
                </c:pt>
                <c:pt idx="213">
                  <c:v>40165</c:v>
                </c:pt>
                <c:pt idx="214">
                  <c:v>40172</c:v>
                </c:pt>
                <c:pt idx="215">
                  <c:v>40179</c:v>
                </c:pt>
                <c:pt idx="216">
                  <c:v>40186</c:v>
                </c:pt>
                <c:pt idx="217">
                  <c:v>40193</c:v>
                </c:pt>
                <c:pt idx="218">
                  <c:v>40200</c:v>
                </c:pt>
                <c:pt idx="219">
                  <c:v>40207</c:v>
                </c:pt>
                <c:pt idx="220">
                  <c:v>40214</c:v>
                </c:pt>
                <c:pt idx="221">
                  <c:v>40221</c:v>
                </c:pt>
                <c:pt idx="222">
                  <c:v>40228</c:v>
                </c:pt>
                <c:pt idx="223">
                  <c:v>40235</c:v>
                </c:pt>
                <c:pt idx="224">
                  <c:v>40242</c:v>
                </c:pt>
                <c:pt idx="225">
                  <c:v>40249</c:v>
                </c:pt>
                <c:pt idx="226">
                  <c:v>40256</c:v>
                </c:pt>
                <c:pt idx="227">
                  <c:v>40263</c:v>
                </c:pt>
                <c:pt idx="228">
                  <c:v>40270</c:v>
                </c:pt>
                <c:pt idx="229">
                  <c:v>40277</c:v>
                </c:pt>
                <c:pt idx="230">
                  <c:v>40284</c:v>
                </c:pt>
                <c:pt idx="231">
                  <c:v>40291</c:v>
                </c:pt>
                <c:pt idx="232">
                  <c:v>40298</c:v>
                </c:pt>
                <c:pt idx="233">
                  <c:v>40305</c:v>
                </c:pt>
                <c:pt idx="234">
                  <c:v>40312</c:v>
                </c:pt>
                <c:pt idx="235">
                  <c:v>40319</c:v>
                </c:pt>
                <c:pt idx="236">
                  <c:v>40326</c:v>
                </c:pt>
                <c:pt idx="237">
                  <c:v>40333</c:v>
                </c:pt>
                <c:pt idx="238">
                  <c:v>40340</c:v>
                </c:pt>
                <c:pt idx="239">
                  <c:v>40347</c:v>
                </c:pt>
                <c:pt idx="240">
                  <c:v>40354</c:v>
                </c:pt>
                <c:pt idx="241">
                  <c:v>40361</c:v>
                </c:pt>
                <c:pt idx="242">
                  <c:v>40368</c:v>
                </c:pt>
                <c:pt idx="243">
                  <c:v>40375</c:v>
                </c:pt>
                <c:pt idx="244">
                  <c:v>40382</c:v>
                </c:pt>
                <c:pt idx="245">
                  <c:v>40389</c:v>
                </c:pt>
                <c:pt idx="246">
                  <c:v>40396</c:v>
                </c:pt>
                <c:pt idx="247">
                  <c:v>40403</c:v>
                </c:pt>
                <c:pt idx="248">
                  <c:v>40410</c:v>
                </c:pt>
                <c:pt idx="249">
                  <c:v>40417</c:v>
                </c:pt>
                <c:pt idx="250">
                  <c:v>40424</c:v>
                </c:pt>
                <c:pt idx="251">
                  <c:v>40431</c:v>
                </c:pt>
                <c:pt idx="252">
                  <c:v>40438</c:v>
                </c:pt>
                <c:pt idx="253">
                  <c:v>40445</c:v>
                </c:pt>
                <c:pt idx="254">
                  <c:v>40452</c:v>
                </c:pt>
                <c:pt idx="255">
                  <c:v>40459</c:v>
                </c:pt>
                <c:pt idx="256">
                  <c:v>40466</c:v>
                </c:pt>
                <c:pt idx="257">
                  <c:v>40473</c:v>
                </c:pt>
                <c:pt idx="258">
                  <c:v>40480</c:v>
                </c:pt>
                <c:pt idx="259">
                  <c:v>40487</c:v>
                </c:pt>
                <c:pt idx="260">
                  <c:v>40494</c:v>
                </c:pt>
                <c:pt idx="261">
                  <c:v>40501</c:v>
                </c:pt>
                <c:pt idx="262">
                  <c:v>40508</c:v>
                </c:pt>
                <c:pt idx="263">
                  <c:v>40515</c:v>
                </c:pt>
                <c:pt idx="264">
                  <c:v>40522</c:v>
                </c:pt>
                <c:pt idx="265">
                  <c:v>40529</c:v>
                </c:pt>
                <c:pt idx="266">
                  <c:v>40536</c:v>
                </c:pt>
                <c:pt idx="267">
                  <c:v>40543</c:v>
                </c:pt>
                <c:pt idx="268">
                  <c:v>40550</c:v>
                </c:pt>
                <c:pt idx="269">
                  <c:v>40557</c:v>
                </c:pt>
                <c:pt idx="270">
                  <c:v>40564</c:v>
                </c:pt>
                <c:pt idx="271">
                  <c:v>40571</c:v>
                </c:pt>
                <c:pt idx="272">
                  <c:v>40578</c:v>
                </c:pt>
                <c:pt idx="273">
                  <c:v>40585</c:v>
                </c:pt>
                <c:pt idx="274">
                  <c:v>40592</c:v>
                </c:pt>
                <c:pt idx="275">
                  <c:v>40599</c:v>
                </c:pt>
                <c:pt idx="276">
                  <c:v>40606</c:v>
                </c:pt>
                <c:pt idx="277">
                  <c:v>40613</c:v>
                </c:pt>
                <c:pt idx="278">
                  <c:v>40620</c:v>
                </c:pt>
                <c:pt idx="279">
                  <c:v>40627</c:v>
                </c:pt>
                <c:pt idx="280">
                  <c:v>40634</c:v>
                </c:pt>
                <c:pt idx="281">
                  <c:v>40641</c:v>
                </c:pt>
                <c:pt idx="282">
                  <c:v>40648</c:v>
                </c:pt>
                <c:pt idx="283">
                  <c:v>40655</c:v>
                </c:pt>
                <c:pt idx="284">
                  <c:v>40662</c:v>
                </c:pt>
                <c:pt idx="285">
                  <c:v>40669</c:v>
                </c:pt>
                <c:pt idx="286">
                  <c:v>40676</c:v>
                </c:pt>
                <c:pt idx="287">
                  <c:v>40683</c:v>
                </c:pt>
                <c:pt idx="288">
                  <c:v>40690</c:v>
                </c:pt>
                <c:pt idx="289">
                  <c:v>40697</c:v>
                </c:pt>
                <c:pt idx="290">
                  <c:v>40704</c:v>
                </c:pt>
                <c:pt idx="291">
                  <c:v>40711</c:v>
                </c:pt>
                <c:pt idx="292">
                  <c:v>40718</c:v>
                </c:pt>
                <c:pt idx="293">
                  <c:v>40725</c:v>
                </c:pt>
                <c:pt idx="294">
                  <c:v>40732</c:v>
                </c:pt>
                <c:pt idx="295">
                  <c:v>40739</c:v>
                </c:pt>
                <c:pt idx="296">
                  <c:v>40746</c:v>
                </c:pt>
                <c:pt idx="297">
                  <c:v>40753</c:v>
                </c:pt>
                <c:pt idx="298">
                  <c:v>40760</c:v>
                </c:pt>
                <c:pt idx="299">
                  <c:v>40767</c:v>
                </c:pt>
                <c:pt idx="300">
                  <c:v>40774</c:v>
                </c:pt>
                <c:pt idx="301">
                  <c:v>40781</c:v>
                </c:pt>
                <c:pt idx="302">
                  <c:v>40788</c:v>
                </c:pt>
                <c:pt idx="303">
                  <c:v>40795</c:v>
                </c:pt>
                <c:pt idx="304">
                  <c:v>40802</c:v>
                </c:pt>
                <c:pt idx="305">
                  <c:v>40809</c:v>
                </c:pt>
                <c:pt idx="306">
                  <c:v>40816</c:v>
                </c:pt>
                <c:pt idx="307">
                  <c:v>40823</c:v>
                </c:pt>
                <c:pt idx="308">
                  <c:v>40830</c:v>
                </c:pt>
                <c:pt idx="309">
                  <c:v>40837</c:v>
                </c:pt>
                <c:pt idx="310">
                  <c:v>40844</c:v>
                </c:pt>
                <c:pt idx="311">
                  <c:v>40851</c:v>
                </c:pt>
                <c:pt idx="312">
                  <c:v>40858</c:v>
                </c:pt>
                <c:pt idx="313">
                  <c:v>40865</c:v>
                </c:pt>
                <c:pt idx="314">
                  <c:v>40872</c:v>
                </c:pt>
                <c:pt idx="315">
                  <c:v>40879</c:v>
                </c:pt>
                <c:pt idx="316">
                  <c:v>40886</c:v>
                </c:pt>
                <c:pt idx="317">
                  <c:v>40893</c:v>
                </c:pt>
                <c:pt idx="318">
                  <c:v>40900</c:v>
                </c:pt>
                <c:pt idx="319">
                  <c:v>40907</c:v>
                </c:pt>
                <c:pt idx="320">
                  <c:v>40914</c:v>
                </c:pt>
                <c:pt idx="321">
                  <c:v>40921</c:v>
                </c:pt>
                <c:pt idx="322">
                  <c:v>40928</c:v>
                </c:pt>
                <c:pt idx="323">
                  <c:v>40935</c:v>
                </c:pt>
                <c:pt idx="324">
                  <c:v>40942</c:v>
                </c:pt>
                <c:pt idx="325">
                  <c:v>40949</c:v>
                </c:pt>
                <c:pt idx="326">
                  <c:v>40956</c:v>
                </c:pt>
                <c:pt idx="327">
                  <c:v>40963</c:v>
                </c:pt>
                <c:pt idx="328">
                  <c:v>40970</c:v>
                </c:pt>
                <c:pt idx="329">
                  <c:v>40977</c:v>
                </c:pt>
                <c:pt idx="330">
                  <c:v>40984</c:v>
                </c:pt>
                <c:pt idx="331">
                  <c:v>40991</c:v>
                </c:pt>
                <c:pt idx="332">
                  <c:v>40998</c:v>
                </c:pt>
                <c:pt idx="333">
                  <c:v>41005</c:v>
                </c:pt>
                <c:pt idx="334">
                  <c:v>41012</c:v>
                </c:pt>
                <c:pt idx="335">
                  <c:v>41019</c:v>
                </c:pt>
                <c:pt idx="336">
                  <c:v>41026</c:v>
                </c:pt>
                <c:pt idx="337">
                  <c:v>41033</c:v>
                </c:pt>
                <c:pt idx="338">
                  <c:v>41040</c:v>
                </c:pt>
                <c:pt idx="339">
                  <c:v>41047</c:v>
                </c:pt>
                <c:pt idx="340">
                  <c:v>41054</c:v>
                </c:pt>
                <c:pt idx="341">
                  <c:v>41061</c:v>
                </c:pt>
                <c:pt idx="342">
                  <c:v>41068</c:v>
                </c:pt>
                <c:pt idx="343">
                  <c:v>41075</c:v>
                </c:pt>
                <c:pt idx="344">
                  <c:v>41082</c:v>
                </c:pt>
                <c:pt idx="345">
                  <c:v>41089</c:v>
                </c:pt>
                <c:pt idx="346">
                  <c:v>41096</c:v>
                </c:pt>
                <c:pt idx="347">
                  <c:v>41103</c:v>
                </c:pt>
                <c:pt idx="348">
                  <c:v>41110</c:v>
                </c:pt>
                <c:pt idx="349">
                  <c:v>41117</c:v>
                </c:pt>
                <c:pt idx="350">
                  <c:v>41124</c:v>
                </c:pt>
                <c:pt idx="351">
                  <c:v>41131</c:v>
                </c:pt>
                <c:pt idx="352">
                  <c:v>41138</c:v>
                </c:pt>
                <c:pt idx="353">
                  <c:v>41145</c:v>
                </c:pt>
                <c:pt idx="354">
                  <c:v>41152</c:v>
                </c:pt>
                <c:pt idx="355">
                  <c:v>41159</c:v>
                </c:pt>
                <c:pt idx="356">
                  <c:v>41166</c:v>
                </c:pt>
                <c:pt idx="357">
                  <c:v>41173</c:v>
                </c:pt>
                <c:pt idx="358">
                  <c:v>41180</c:v>
                </c:pt>
                <c:pt idx="359">
                  <c:v>41187</c:v>
                </c:pt>
                <c:pt idx="360">
                  <c:v>41194</c:v>
                </c:pt>
                <c:pt idx="361">
                  <c:v>41201</c:v>
                </c:pt>
                <c:pt idx="362">
                  <c:v>41208</c:v>
                </c:pt>
                <c:pt idx="363">
                  <c:v>41215</c:v>
                </c:pt>
                <c:pt idx="364">
                  <c:v>41222</c:v>
                </c:pt>
                <c:pt idx="365">
                  <c:v>41229</c:v>
                </c:pt>
                <c:pt idx="366">
                  <c:v>41236</c:v>
                </c:pt>
                <c:pt idx="367">
                  <c:v>41243</c:v>
                </c:pt>
                <c:pt idx="368">
                  <c:v>41250</c:v>
                </c:pt>
                <c:pt idx="369">
                  <c:v>41257</c:v>
                </c:pt>
                <c:pt idx="370">
                  <c:v>41264</c:v>
                </c:pt>
                <c:pt idx="371">
                  <c:v>41271</c:v>
                </c:pt>
                <c:pt idx="372">
                  <c:v>41278</c:v>
                </c:pt>
                <c:pt idx="373">
                  <c:v>41285</c:v>
                </c:pt>
                <c:pt idx="374">
                  <c:v>41292</c:v>
                </c:pt>
                <c:pt idx="375">
                  <c:v>41299</c:v>
                </c:pt>
                <c:pt idx="376">
                  <c:v>41306</c:v>
                </c:pt>
                <c:pt idx="377">
                  <c:v>41313</c:v>
                </c:pt>
                <c:pt idx="378">
                  <c:v>41320</c:v>
                </c:pt>
                <c:pt idx="379">
                  <c:v>41327</c:v>
                </c:pt>
                <c:pt idx="380">
                  <c:v>41334</c:v>
                </c:pt>
                <c:pt idx="381">
                  <c:v>41341</c:v>
                </c:pt>
                <c:pt idx="382">
                  <c:v>41348</c:v>
                </c:pt>
                <c:pt idx="383">
                  <c:v>41355</c:v>
                </c:pt>
                <c:pt idx="384">
                  <c:v>41362</c:v>
                </c:pt>
                <c:pt idx="385">
                  <c:v>41369</c:v>
                </c:pt>
                <c:pt idx="386">
                  <c:v>41376</c:v>
                </c:pt>
                <c:pt idx="387">
                  <c:v>41383</c:v>
                </c:pt>
                <c:pt idx="388">
                  <c:v>41390</c:v>
                </c:pt>
                <c:pt idx="389">
                  <c:v>41397</c:v>
                </c:pt>
                <c:pt idx="390">
                  <c:v>41404</c:v>
                </c:pt>
                <c:pt idx="391">
                  <c:v>41411</c:v>
                </c:pt>
                <c:pt idx="392">
                  <c:v>41418</c:v>
                </c:pt>
                <c:pt idx="393">
                  <c:v>41425</c:v>
                </c:pt>
                <c:pt idx="394">
                  <c:v>41432</c:v>
                </c:pt>
                <c:pt idx="395">
                  <c:v>41439</c:v>
                </c:pt>
                <c:pt idx="396">
                  <c:v>41446</c:v>
                </c:pt>
                <c:pt idx="397">
                  <c:v>41453</c:v>
                </c:pt>
                <c:pt idx="398">
                  <c:v>41460</c:v>
                </c:pt>
                <c:pt idx="399">
                  <c:v>41467</c:v>
                </c:pt>
                <c:pt idx="400">
                  <c:v>41474</c:v>
                </c:pt>
                <c:pt idx="401">
                  <c:v>41481</c:v>
                </c:pt>
                <c:pt idx="402">
                  <c:v>41488</c:v>
                </c:pt>
                <c:pt idx="403">
                  <c:v>41495</c:v>
                </c:pt>
                <c:pt idx="404">
                  <c:v>41502</c:v>
                </c:pt>
                <c:pt idx="405">
                  <c:v>41509</c:v>
                </c:pt>
                <c:pt idx="406">
                  <c:v>41516</c:v>
                </c:pt>
                <c:pt idx="407">
                  <c:v>41523</c:v>
                </c:pt>
                <c:pt idx="408">
                  <c:v>41530</c:v>
                </c:pt>
                <c:pt idx="409">
                  <c:v>41537</c:v>
                </c:pt>
                <c:pt idx="410">
                  <c:v>41544</c:v>
                </c:pt>
                <c:pt idx="411">
                  <c:v>41551</c:v>
                </c:pt>
                <c:pt idx="412">
                  <c:v>41558</c:v>
                </c:pt>
                <c:pt idx="413">
                  <c:v>41565</c:v>
                </c:pt>
                <c:pt idx="414">
                  <c:v>41572</c:v>
                </c:pt>
                <c:pt idx="415">
                  <c:v>41579</c:v>
                </c:pt>
                <c:pt idx="416">
                  <c:v>41586</c:v>
                </c:pt>
                <c:pt idx="417">
                  <c:v>41593</c:v>
                </c:pt>
                <c:pt idx="418">
                  <c:v>41600</c:v>
                </c:pt>
                <c:pt idx="419">
                  <c:v>41607</c:v>
                </c:pt>
                <c:pt idx="420">
                  <c:v>41614</c:v>
                </c:pt>
                <c:pt idx="421">
                  <c:v>41621</c:v>
                </c:pt>
                <c:pt idx="422">
                  <c:v>41628</c:v>
                </c:pt>
                <c:pt idx="423">
                  <c:v>41635</c:v>
                </c:pt>
                <c:pt idx="424">
                  <c:v>41642</c:v>
                </c:pt>
                <c:pt idx="425">
                  <c:v>41649</c:v>
                </c:pt>
                <c:pt idx="426">
                  <c:v>41656</c:v>
                </c:pt>
                <c:pt idx="427">
                  <c:v>41663</c:v>
                </c:pt>
                <c:pt idx="428">
                  <c:v>41670</c:v>
                </c:pt>
                <c:pt idx="429">
                  <c:v>41677</c:v>
                </c:pt>
                <c:pt idx="430">
                  <c:v>41684</c:v>
                </c:pt>
                <c:pt idx="431">
                  <c:v>41691</c:v>
                </c:pt>
                <c:pt idx="432">
                  <c:v>41698</c:v>
                </c:pt>
                <c:pt idx="433">
                  <c:v>41705</c:v>
                </c:pt>
                <c:pt idx="434">
                  <c:v>41712</c:v>
                </c:pt>
                <c:pt idx="435">
                  <c:v>41719</c:v>
                </c:pt>
                <c:pt idx="436">
                  <c:v>41726</c:v>
                </c:pt>
                <c:pt idx="437">
                  <c:v>41733</c:v>
                </c:pt>
                <c:pt idx="438">
                  <c:v>41740</c:v>
                </c:pt>
                <c:pt idx="439">
                  <c:v>41747</c:v>
                </c:pt>
                <c:pt idx="440">
                  <c:v>41754</c:v>
                </c:pt>
                <c:pt idx="441">
                  <c:v>41761</c:v>
                </c:pt>
                <c:pt idx="442">
                  <c:v>41768</c:v>
                </c:pt>
                <c:pt idx="443">
                  <c:v>41775</c:v>
                </c:pt>
                <c:pt idx="444">
                  <c:v>41782</c:v>
                </c:pt>
                <c:pt idx="445">
                  <c:v>41789</c:v>
                </c:pt>
                <c:pt idx="446">
                  <c:v>41796</c:v>
                </c:pt>
                <c:pt idx="447">
                  <c:v>41803</c:v>
                </c:pt>
                <c:pt idx="448">
                  <c:v>41810</c:v>
                </c:pt>
                <c:pt idx="449">
                  <c:v>41817</c:v>
                </c:pt>
                <c:pt idx="450">
                  <c:v>41824</c:v>
                </c:pt>
                <c:pt idx="451">
                  <c:v>41831</c:v>
                </c:pt>
                <c:pt idx="452">
                  <c:v>41838</c:v>
                </c:pt>
                <c:pt idx="453">
                  <c:v>41845</c:v>
                </c:pt>
                <c:pt idx="454">
                  <c:v>41852</c:v>
                </c:pt>
                <c:pt idx="455">
                  <c:v>41859</c:v>
                </c:pt>
                <c:pt idx="456">
                  <c:v>41866</c:v>
                </c:pt>
                <c:pt idx="457">
                  <c:v>41873</c:v>
                </c:pt>
                <c:pt idx="458">
                  <c:v>41880</c:v>
                </c:pt>
                <c:pt idx="459">
                  <c:v>41887</c:v>
                </c:pt>
                <c:pt idx="460">
                  <c:v>41894</c:v>
                </c:pt>
                <c:pt idx="461">
                  <c:v>41901</c:v>
                </c:pt>
                <c:pt idx="462">
                  <c:v>41908</c:v>
                </c:pt>
                <c:pt idx="463">
                  <c:v>41915</c:v>
                </c:pt>
                <c:pt idx="464">
                  <c:v>41922</c:v>
                </c:pt>
                <c:pt idx="465">
                  <c:v>41929</c:v>
                </c:pt>
                <c:pt idx="466">
                  <c:v>41936</c:v>
                </c:pt>
                <c:pt idx="467">
                  <c:v>41943</c:v>
                </c:pt>
                <c:pt idx="468">
                  <c:v>41950</c:v>
                </c:pt>
                <c:pt idx="469">
                  <c:v>41957</c:v>
                </c:pt>
                <c:pt idx="470">
                  <c:v>41964</c:v>
                </c:pt>
                <c:pt idx="471">
                  <c:v>41971</c:v>
                </c:pt>
                <c:pt idx="472">
                  <c:v>41978</c:v>
                </c:pt>
                <c:pt idx="473">
                  <c:v>41985</c:v>
                </c:pt>
                <c:pt idx="474">
                  <c:v>41992</c:v>
                </c:pt>
                <c:pt idx="475">
                  <c:v>41999</c:v>
                </c:pt>
                <c:pt idx="476">
                  <c:v>42006</c:v>
                </c:pt>
                <c:pt idx="477">
                  <c:v>42013</c:v>
                </c:pt>
                <c:pt idx="478">
                  <c:v>42020</c:v>
                </c:pt>
                <c:pt idx="479">
                  <c:v>42027</c:v>
                </c:pt>
                <c:pt idx="480">
                  <c:v>42034</c:v>
                </c:pt>
                <c:pt idx="481">
                  <c:v>42041</c:v>
                </c:pt>
                <c:pt idx="482">
                  <c:v>42048</c:v>
                </c:pt>
                <c:pt idx="483">
                  <c:v>42055</c:v>
                </c:pt>
                <c:pt idx="484">
                  <c:v>42062</c:v>
                </c:pt>
                <c:pt idx="485">
                  <c:v>42069</c:v>
                </c:pt>
                <c:pt idx="486">
                  <c:v>42076</c:v>
                </c:pt>
                <c:pt idx="487">
                  <c:v>42083</c:v>
                </c:pt>
                <c:pt idx="488">
                  <c:v>42090</c:v>
                </c:pt>
                <c:pt idx="489">
                  <c:v>42097</c:v>
                </c:pt>
                <c:pt idx="490">
                  <c:v>42104</c:v>
                </c:pt>
                <c:pt idx="491">
                  <c:v>42111</c:v>
                </c:pt>
                <c:pt idx="492">
                  <c:v>42118</c:v>
                </c:pt>
                <c:pt idx="493">
                  <c:v>42125</c:v>
                </c:pt>
                <c:pt idx="494">
                  <c:v>42132</c:v>
                </c:pt>
                <c:pt idx="495">
                  <c:v>42139</c:v>
                </c:pt>
                <c:pt idx="496">
                  <c:v>42146</c:v>
                </c:pt>
                <c:pt idx="497">
                  <c:v>42153</c:v>
                </c:pt>
                <c:pt idx="498">
                  <c:v>42160</c:v>
                </c:pt>
                <c:pt idx="499">
                  <c:v>42167</c:v>
                </c:pt>
                <c:pt idx="500">
                  <c:v>42174</c:v>
                </c:pt>
                <c:pt idx="501">
                  <c:v>42181</c:v>
                </c:pt>
                <c:pt idx="502">
                  <c:v>42188</c:v>
                </c:pt>
                <c:pt idx="503">
                  <c:v>42195</c:v>
                </c:pt>
                <c:pt idx="504">
                  <c:v>42202</c:v>
                </c:pt>
                <c:pt idx="505">
                  <c:v>42209</c:v>
                </c:pt>
                <c:pt idx="506">
                  <c:v>42216</c:v>
                </c:pt>
                <c:pt idx="507">
                  <c:v>42223</c:v>
                </c:pt>
                <c:pt idx="508">
                  <c:v>42230</c:v>
                </c:pt>
                <c:pt idx="509">
                  <c:v>42237</c:v>
                </c:pt>
                <c:pt idx="510">
                  <c:v>42244</c:v>
                </c:pt>
                <c:pt idx="511">
                  <c:v>42251</c:v>
                </c:pt>
                <c:pt idx="512">
                  <c:v>42258</c:v>
                </c:pt>
                <c:pt idx="513">
                  <c:v>42265</c:v>
                </c:pt>
                <c:pt idx="514">
                  <c:v>42272</c:v>
                </c:pt>
                <c:pt idx="515">
                  <c:v>42279</c:v>
                </c:pt>
                <c:pt idx="516">
                  <c:v>42286</c:v>
                </c:pt>
                <c:pt idx="517">
                  <c:v>42293</c:v>
                </c:pt>
                <c:pt idx="518">
                  <c:v>42300</c:v>
                </c:pt>
                <c:pt idx="519">
                  <c:v>42307</c:v>
                </c:pt>
                <c:pt idx="520">
                  <c:v>42314</c:v>
                </c:pt>
                <c:pt idx="521">
                  <c:v>42321</c:v>
                </c:pt>
                <c:pt idx="522">
                  <c:v>42328</c:v>
                </c:pt>
                <c:pt idx="523">
                  <c:v>42335</c:v>
                </c:pt>
                <c:pt idx="524">
                  <c:v>42342</c:v>
                </c:pt>
                <c:pt idx="525">
                  <c:v>42349</c:v>
                </c:pt>
                <c:pt idx="526">
                  <c:v>42356</c:v>
                </c:pt>
                <c:pt idx="527">
                  <c:v>42363</c:v>
                </c:pt>
                <c:pt idx="528">
                  <c:v>42370</c:v>
                </c:pt>
                <c:pt idx="529">
                  <c:v>42377</c:v>
                </c:pt>
                <c:pt idx="530">
                  <c:v>42384</c:v>
                </c:pt>
                <c:pt idx="531">
                  <c:v>42391</c:v>
                </c:pt>
                <c:pt idx="532">
                  <c:v>42398</c:v>
                </c:pt>
                <c:pt idx="533">
                  <c:v>42405</c:v>
                </c:pt>
                <c:pt idx="534">
                  <c:v>42412</c:v>
                </c:pt>
                <c:pt idx="535">
                  <c:v>42419</c:v>
                </c:pt>
                <c:pt idx="536">
                  <c:v>42426</c:v>
                </c:pt>
                <c:pt idx="537">
                  <c:v>42433</c:v>
                </c:pt>
                <c:pt idx="538">
                  <c:v>42440</c:v>
                </c:pt>
                <c:pt idx="539">
                  <c:v>42447</c:v>
                </c:pt>
              </c:numCache>
            </c:numRef>
          </c:cat>
          <c:val>
            <c:numRef>
              <c:f>Summary!$AE$564:$AE$5006</c:f>
              <c:numCache>
                <c:formatCode>0.0\x</c:formatCode>
                <c:ptCount val="4443"/>
                <c:pt idx="0">
                  <c:v>8.8948289803067926</c:v>
                </c:pt>
                <c:pt idx="1">
                  <c:v>8.9827725771998654</c:v>
                </c:pt>
                <c:pt idx="2">
                  <c:v>8.964965249092046</c:v>
                </c:pt>
                <c:pt idx="3">
                  <c:v>8.9062006006038104</c:v>
                </c:pt>
                <c:pt idx="4">
                  <c:v>8.8877079025136183</c:v>
                </c:pt>
                <c:pt idx="5">
                  <c:v>8.9858487459306993</c:v>
                </c:pt>
                <c:pt idx="6">
                  <c:v>8.9658012225408115</c:v>
                </c:pt>
                <c:pt idx="7">
                  <c:v>9.9062104414008871</c:v>
                </c:pt>
                <c:pt idx="8">
                  <c:v>9.9592267798473202</c:v>
                </c:pt>
                <c:pt idx="9">
                  <c:v>10.103016179518235</c:v>
                </c:pt>
                <c:pt idx="10">
                  <c:v>10.078163482606589</c:v>
                </c:pt>
                <c:pt idx="11">
                  <c:v>10.198675713393033</c:v>
                </c:pt>
                <c:pt idx="12">
                  <c:v>10.214149907142829</c:v>
                </c:pt>
                <c:pt idx="13">
                  <c:v>9.7035425326101183</c:v>
                </c:pt>
                <c:pt idx="14">
                  <c:v>9.729842178068127</c:v>
                </c:pt>
                <c:pt idx="15">
                  <c:v>9.7564426702429188</c:v>
                </c:pt>
                <c:pt idx="16">
                  <c:v>9.9280308199695213</c:v>
                </c:pt>
                <c:pt idx="17">
                  <c:v>9.6417810905449137</c:v>
                </c:pt>
                <c:pt idx="18">
                  <c:v>9.6344770159919246</c:v>
                </c:pt>
                <c:pt idx="19">
                  <c:v>9.6420971516752303</c:v>
                </c:pt>
                <c:pt idx="20">
                  <c:v>9.2664687510007973</c:v>
                </c:pt>
                <c:pt idx="21">
                  <c:v>9.3781684934357425</c:v>
                </c:pt>
                <c:pt idx="22">
                  <c:v>9.5656889200061208</c:v>
                </c:pt>
                <c:pt idx="23">
                  <c:v>9.42121585878456</c:v>
                </c:pt>
                <c:pt idx="24">
                  <c:v>9.4218528574134357</c:v>
                </c:pt>
                <c:pt idx="25">
                  <c:v>9.2596296802369462</c:v>
                </c:pt>
                <c:pt idx="26">
                  <c:v>9.3012059815308348</c:v>
                </c:pt>
                <c:pt idx="27">
                  <c:v>9.3147150907353744</c:v>
                </c:pt>
                <c:pt idx="28">
                  <c:v>9.3872510453752902</c:v>
                </c:pt>
                <c:pt idx="29">
                  <c:v>9.2467366296234879</c:v>
                </c:pt>
                <c:pt idx="30">
                  <c:v>9.1554899128707437</c:v>
                </c:pt>
                <c:pt idx="31">
                  <c:v>9.0481002319614703</c:v>
                </c:pt>
                <c:pt idx="32">
                  <c:v>8.8844421681266663</c:v>
                </c:pt>
                <c:pt idx="33">
                  <c:v>8.0742349687234416</c:v>
                </c:pt>
                <c:pt idx="34">
                  <c:v>7.9112178769181272</c:v>
                </c:pt>
                <c:pt idx="35">
                  <c:v>7.2859741794994717</c:v>
                </c:pt>
                <c:pt idx="36">
                  <c:v>7.2718024806988382</c:v>
                </c:pt>
                <c:pt idx="37">
                  <c:v>7.2509141564142654</c:v>
                </c:pt>
                <c:pt idx="38">
                  <c:v>7.045199967900051</c:v>
                </c:pt>
                <c:pt idx="39">
                  <c:v>7.2817204961216362</c:v>
                </c:pt>
                <c:pt idx="40">
                  <c:v>7.2112490144796171</c:v>
                </c:pt>
                <c:pt idx="41">
                  <c:v>7.3222087209084119</c:v>
                </c:pt>
                <c:pt idx="42">
                  <c:v>7.4054229768150721</c:v>
                </c:pt>
                <c:pt idx="43">
                  <c:v>7.5815373301952231</c:v>
                </c:pt>
                <c:pt idx="44">
                  <c:v>7.5876371968817553</c:v>
                </c:pt>
                <c:pt idx="45">
                  <c:v>7.6045643089982802</c:v>
                </c:pt>
                <c:pt idx="46">
                  <c:v>7.8582260869693297</c:v>
                </c:pt>
                <c:pt idx="47">
                  <c:v>7.8865569730853284</c:v>
                </c:pt>
                <c:pt idx="48">
                  <c:v>8.1070569523723535</c:v>
                </c:pt>
                <c:pt idx="49">
                  <c:v>8.0996208629198971</c:v>
                </c:pt>
                <c:pt idx="50">
                  <c:v>8.1027103844863078</c:v>
                </c:pt>
                <c:pt idx="51">
                  <c:v>8.2953614049971254</c:v>
                </c:pt>
                <c:pt idx="52">
                  <c:v>9.1132119532955791</c:v>
                </c:pt>
                <c:pt idx="53">
                  <c:v>8.814904841130069</c:v>
                </c:pt>
                <c:pt idx="54">
                  <c:v>8.8283867061447463</c:v>
                </c:pt>
                <c:pt idx="55">
                  <c:v>8.9966195634469521</c:v>
                </c:pt>
                <c:pt idx="56">
                  <c:v>9.15</c:v>
                </c:pt>
                <c:pt idx="57">
                  <c:v>9.1</c:v>
                </c:pt>
                <c:pt idx="58">
                  <c:v>9.4197798647329343</c:v>
                </c:pt>
                <c:pt idx="59">
                  <c:v>9.2797972063617653</c:v>
                </c:pt>
                <c:pt idx="60">
                  <c:v>9.4662236106433362</c:v>
                </c:pt>
                <c:pt idx="61">
                  <c:v>9.4601576126041635</c:v>
                </c:pt>
                <c:pt idx="62">
                  <c:v>9.4129169839951636</c:v>
                </c:pt>
                <c:pt idx="63">
                  <c:v>9.3204200084411344</c:v>
                </c:pt>
                <c:pt idx="64">
                  <c:v>9.4516945000000003</c:v>
                </c:pt>
                <c:pt idx="65">
                  <c:v>9.7894894000000008</c:v>
                </c:pt>
                <c:pt idx="66">
                  <c:v>10</c:v>
                </c:pt>
                <c:pt idx="67">
                  <c:v>9.8461621907129349</c:v>
                </c:pt>
                <c:pt idx="68">
                  <c:v>9.5489449999999998</c:v>
                </c:pt>
                <c:pt idx="69">
                  <c:v>9.3091335619352371</c:v>
                </c:pt>
                <c:pt idx="70">
                  <c:v>9.548571768268058</c:v>
                </c:pt>
                <c:pt idx="71">
                  <c:v>9.3820739221845741</c:v>
                </c:pt>
                <c:pt idx="72">
                  <c:v>9.5790291300720671</c:v>
                </c:pt>
                <c:pt idx="73">
                  <c:v>9.5892792257426258</c:v>
                </c:pt>
                <c:pt idx="74">
                  <c:v>9.575008551661929</c:v>
                </c:pt>
                <c:pt idx="75">
                  <c:v>9.4210503482086452</c:v>
                </c:pt>
                <c:pt idx="76">
                  <c:v>9.1136803158499458</c:v>
                </c:pt>
                <c:pt idx="77">
                  <c:v>7.825238325476608</c:v>
                </c:pt>
                <c:pt idx="78">
                  <c:v>8.6883588488608527</c:v>
                </c:pt>
                <c:pt idx="79">
                  <c:v>8.3772020196617358</c:v>
                </c:pt>
                <c:pt idx="80">
                  <c:v>8.6630495751097669</c:v>
                </c:pt>
                <c:pt idx="81">
                  <c:v>8.7777489558178239</c:v>
                </c:pt>
                <c:pt idx="82">
                  <c:v>9.8741643082147839</c:v>
                </c:pt>
                <c:pt idx="83">
                  <c:v>9.7621006227726728</c:v>
                </c:pt>
                <c:pt idx="84">
                  <c:v>9.3755545646103933</c:v>
                </c:pt>
                <c:pt idx="85">
                  <c:v>9.269071822155345</c:v>
                </c:pt>
                <c:pt idx="86">
                  <c:v>9.8887067775550559</c:v>
                </c:pt>
                <c:pt idx="87">
                  <c:v>8.5275411375643468</c:v>
                </c:pt>
                <c:pt idx="88">
                  <c:v>8.1625767249698491</c:v>
                </c:pt>
                <c:pt idx="89">
                  <c:v>8.299745598555198</c:v>
                </c:pt>
                <c:pt idx="90">
                  <c:v>8.3698959423235415</c:v>
                </c:pt>
                <c:pt idx="91">
                  <c:v>8.2646795191229909</c:v>
                </c:pt>
                <c:pt idx="92">
                  <c:v>8.2779373851485563</c:v>
                </c:pt>
                <c:pt idx="93">
                  <c:v>8.3701717172396126</c:v>
                </c:pt>
                <c:pt idx="94">
                  <c:v>8.2761797506570307</c:v>
                </c:pt>
                <c:pt idx="95">
                  <c:v>8.2897568598854043</c:v>
                </c:pt>
                <c:pt idx="96">
                  <c:v>8.3650595167740232</c:v>
                </c:pt>
                <c:pt idx="97">
                  <c:v>8.2224738044245829</c:v>
                </c:pt>
                <c:pt idx="98">
                  <c:v>8.4101579647131253</c:v>
                </c:pt>
                <c:pt idx="99">
                  <c:v>8.2657530338300198</c:v>
                </c:pt>
                <c:pt idx="100">
                  <c:v>8.1726345444685276</c:v>
                </c:pt>
                <c:pt idx="101">
                  <c:v>8.5894361033289339</c:v>
                </c:pt>
                <c:pt idx="102">
                  <c:v>7.9744513143144813</c:v>
                </c:pt>
                <c:pt idx="103">
                  <c:v>7.796006146005916</c:v>
                </c:pt>
                <c:pt idx="104">
                  <c:v>7.7739997509080023</c:v>
                </c:pt>
                <c:pt idx="105">
                  <c:v>7.7535120860538518</c:v>
                </c:pt>
                <c:pt idx="106">
                  <c:v>7.7315283944387643</c:v>
                </c:pt>
                <c:pt idx="107">
                  <c:v>7.9721746515881202</c:v>
                </c:pt>
                <c:pt idx="108">
                  <c:v>7.9721746515881202</c:v>
                </c:pt>
                <c:pt idx="109">
                  <c:v>7.9278188525685858</c:v>
                </c:pt>
                <c:pt idx="110">
                  <c:v>7.8527250532397295</c:v>
                </c:pt>
                <c:pt idx="111">
                  <c:v>7.5986441660369364</c:v>
                </c:pt>
                <c:pt idx="112">
                  <c:v>7.371659670908655</c:v>
                </c:pt>
                <c:pt idx="113">
                  <c:v>7.1632493121799659</c:v>
                </c:pt>
                <c:pt idx="114">
                  <c:v>7.6819021620813892</c:v>
                </c:pt>
                <c:pt idx="115">
                  <c:v>8.1651700491540797</c:v>
                </c:pt>
                <c:pt idx="116">
                  <c:v>7.8355486885505057</c:v>
                </c:pt>
                <c:pt idx="117">
                  <c:v>8.2710050349633857</c:v>
                </c:pt>
                <c:pt idx="118">
                  <c:v>8.5987658569823644</c:v>
                </c:pt>
                <c:pt idx="119">
                  <c:v>8.4272096340360338</c:v>
                </c:pt>
                <c:pt idx="120">
                  <c:v>8.0964315279796413</c:v>
                </c:pt>
                <c:pt idx="121">
                  <c:v>7.9188781118772136</c:v>
                </c:pt>
                <c:pt idx="122">
                  <c:v>7.2983422772570572</c:v>
                </c:pt>
                <c:pt idx="123">
                  <c:v>7.1063912115486509</c:v>
                </c:pt>
                <c:pt idx="124">
                  <c:v>6.8981530512755667</c:v>
                </c:pt>
                <c:pt idx="125">
                  <c:v>7.0047343270227911</c:v>
                </c:pt>
                <c:pt idx="126">
                  <c:v>7.0047343270227911</c:v>
                </c:pt>
                <c:pt idx="127">
                  <c:v>7.2509919716727893</c:v>
                </c:pt>
                <c:pt idx="128">
                  <c:v>7.2953702649175725</c:v>
                </c:pt>
                <c:pt idx="129">
                  <c:v>7.7776326975545294</c:v>
                </c:pt>
                <c:pt idx="130">
                  <c:v>8.2400768904982993</c:v>
                </c:pt>
                <c:pt idx="131">
                  <c:v>7.8529908688838201</c:v>
                </c:pt>
                <c:pt idx="132">
                  <c:v>7.7694845327436113</c:v>
                </c:pt>
                <c:pt idx="133">
                  <c:v>7.6350957655941105</c:v>
                </c:pt>
                <c:pt idx="134">
                  <c:v>7.6936115655481476</c:v>
                </c:pt>
                <c:pt idx="135">
                  <c:v>7.3240296530642919</c:v>
                </c:pt>
                <c:pt idx="136">
                  <c:v>7.3240296530642919</c:v>
                </c:pt>
                <c:pt idx="137">
                  <c:v>6.682577914064975</c:v>
                </c:pt>
                <c:pt idx="138">
                  <c:v>6.6281658000942976</c:v>
                </c:pt>
                <c:pt idx="139">
                  <c:v>6.8314422216321127</c:v>
                </c:pt>
                <c:pt idx="140">
                  <c:v>7.1159335263038566</c:v>
                </c:pt>
                <c:pt idx="141">
                  <c:v>7.0806439396055838</c:v>
                </c:pt>
                <c:pt idx="142">
                  <c:v>7.2203068725311335</c:v>
                </c:pt>
                <c:pt idx="143">
                  <c:v>6.8167533657571866</c:v>
                </c:pt>
                <c:pt idx="144">
                  <c:v>6.5857546789594625</c:v>
                </c:pt>
                <c:pt idx="145">
                  <c:v>6.4742981889417202</c:v>
                </c:pt>
                <c:pt idx="146">
                  <c:v>6.5275981358568593</c:v>
                </c:pt>
                <c:pt idx="147">
                  <c:v>6.6242270706789439</c:v>
                </c:pt>
                <c:pt idx="148">
                  <c:v>6.4996300529727069</c:v>
                </c:pt>
                <c:pt idx="149">
                  <c:v>6.3341361151583566</c:v>
                </c:pt>
                <c:pt idx="150">
                  <c:v>5.7755592433665885</c:v>
                </c:pt>
                <c:pt idx="151">
                  <c:v>5.0464515843253324</c:v>
                </c:pt>
                <c:pt idx="152">
                  <c:v>4.9953962263224581</c:v>
                </c:pt>
                <c:pt idx="153">
                  <c:v>4.8217453348909167</c:v>
                </c:pt>
                <c:pt idx="154">
                  <c:v>5.2141709218083081</c:v>
                </c:pt>
                <c:pt idx="155">
                  <c:v>4.8600407441996465</c:v>
                </c:pt>
                <c:pt idx="156">
                  <c:v>4.89887533928517</c:v>
                </c:pt>
                <c:pt idx="157">
                  <c:v>4.6851385022822161</c:v>
                </c:pt>
                <c:pt idx="158">
                  <c:v>5.2618057022182825</c:v>
                </c:pt>
                <c:pt idx="159">
                  <c:v>5.1500991588939149</c:v>
                </c:pt>
                <c:pt idx="160">
                  <c:v>5.1633648934406082</c:v>
                </c:pt>
                <c:pt idx="161">
                  <c:v>5.3748253009159441</c:v>
                </c:pt>
                <c:pt idx="162">
                  <c:v>5.5499203105609167</c:v>
                </c:pt>
                <c:pt idx="163">
                  <c:v>5.5499203105609167</c:v>
                </c:pt>
                <c:pt idx="164">
                  <c:v>5.4781611668199668</c:v>
                </c:pt>
                <c:pt idx="165">
                  <c:v>5.3820334307957323</c:v>
                </c:pt>
                <c:pt idx="166">
                  <c:v>5.2356123397476191</c:v>
                </c:pt>
                <c:pt idx="167">
                  <c:v>5.2568168649251135</c:v>
                </c:pt>
                <c:pt idx="168">
                  <c:v>5.7674814738026772</c:v>
                </c:pt>
                <c:pt idx="169">
                  <c:v>5.5843397953581722</c:v>
                </c:pt>
                <c:pt idx="170">
                  <c:v>5.220870947720055</c:v>
                </c:pt>
                <c:pt idx="171">
                  <c:v>5.2003214611046644</c:v>
                </c:pt>
                <c:pt idx="172">
                  <c:v>4.8709938203914414</c:v>
                </c:pt>
                <c:pt idx="173">
                  <c:v>5.2319070497660878</c:v>
                </c:pt>
                <c:pt idx="174">
                  <c:v>5.2797906308297859</c:v>
                </c:pt>
                <c:pt idx="175">
                  <c:v>5.5824820337888141</c:v>
                </c:pt>
                <c:pt idx="176">
                  <c:v>5.9561187703398577</c:v>
                </c:pt>
                <c:pt idx="177">
                  <c:v>6.1323662393944476</c:v>
                </c:pt>
                <c:pt idx="178">
                  <c:v>5.9426712569607458</c:v>
                </c:pt>
                <c:pt idx="179">
                  <c:v>6.0400887639018412</c:v>
                </c:pt>
                <c:pt idx="180">
                  <c:v>6.3438501532418066</c:v>
                </c:pt>
                <c:pt idx="181">
                  <c:v>6.7946290064279236</c:v>
                </c:pt>
                <c:pt idx="182">
                  <c:v>6.4423209746730539</c:v>
                </c:pt>
                <c:pt idx="183">
                  <c:v>6.5257500623729054</c:v>
                </c:pt>
                <c:pt idx="184">
                  <c:v>6.6004525810406198</c:v>
                </c:pt>
                <c:pt idx="185">
                  <c:v>6.7789990822817963</c:v>
                </c:pt>
                <c:pt idx="186">
                  <c:v>6.7821695497928305</c:v>
                </c:pt>
                <c:pt idx="187">
                  <c:v>6.7297348138251705</c:v>
                </c:pt>
                <c:pt idx="188">
                  <c:v>6.7393102562675926</c:v>
                </c:pt>
                <c:pt idx="189">
                  <c:v>6.6340193101667442</c:v>
                </c:pt>
                <c:pt idx="190">
                  <c:v>5.9989556995387012</c:v>
                </c:pt>
                <c:pt idx="191">
                  <c:v>6.2160484491973031</c:v>
                </c:pt>
                <c:pt idx="192">
                  <c:v>6.5086468499829868</c:v>
                </c:pt>
                <c:pt idx="193">
                  <c:v>7.0250279867506578</c:v>
                </c:pt>
                <c:pt idx="194">
                  <c:v>7.0250279867506578</c:v>
                </c:pt>
                <c:pt idx="195">
                  <c:v>6.8393076029782947</c:v>
                </c:pt>
                <c:pt idx="196">
                  <c:v>7.1303068000329359</c:v>
                </c:pt>
                <c:pt idx="197">
                  <c:v>7.0116046635837916</c:v>
                </c:pt>
                <c:pt idx="198">
                  <c:v>6.8496560372054853</c:v>
                </c:pt>
                <c:pt idx="199">
                  <c:v>6.9788721522722987</c:v>
                </c:pt>
                <c:pt idx="200">
                  <c:v>7.1582187234591812</c:v>
                </c:pt>
                <c:pt idx="201">
                  <c:v>7.024654634929365</c:v>
                </c:pt>
                <c:pt idx="202">
                  <c:v>6.9631802513800682</c:v>
                </c:pt>
                <c:pt idx="203">
                  <c:v>7.1729064638140319</c:v>
                </c:pt>
                <c:pt idx="204">
                  <c:v>7.2869826908542228</c:v>
                </c:pt>
                <c:pt idx="205">
                  <c:v>7.2075004028998348</c:v>
                </c:pt>
                <c:pt idx="206">
                  <c:v>6.8808445554068225</c:v>
                </c:pt>
                <c:pt idx="207">
                  <c:v>7.0505148904356112</c:v>
                </c:pt>
                <c:pt idx="208">
                  <c:v>7.2103390917286054</c:v>
                </c:pt>
                <c:pt idx="209">
                  <c:v>7.1691502736485297</c:v>
                </c:pt>
                <c:pt idx="210">
                  <c:v>6.8508580891225295</c:v>
                </c:pt>
                <c:pt idx="211">
                  <c:v>6.8171377881921549</c:v>
                </c:pt>
                <c:pt idx="212">
                  <c:v>7.127086001320551</c:v>
                </c:pt>
                <c:pt idx="213">
                  <c:v>7.1917181605504465</c:v>
                </c:pt>
                <c:pt idx="214">
                  <c:v>7.3201377917179702</c:v>
                </c:pt>
                <c:pt idx="215">
                  <c:v>7.3683148970301993</c:v>
                </c:pt>
                <c:pt idx="216">
                  <c:v>7.0258975111914612</c:v>
                </c:pt>
                <c:pt idx="217">
                  <c:v>6.9854710002912572</c:v>
                </c:pt>
                <c:pt idx="218">
                  <c:v>7.0765169217275794</c:v>
                </c:pt>
                <c:pt idx="219">
                  <c:v>7.0275588534234172</c:v>
                </c:pt>
                <c:pt idx="220">
                  <c:v>6.7266385012172361</c:v>
                </c:pt>
                <c:pt idx="221">
                  <c:v>6.7521361315991681</c:v>
                </c:pt>
                <c:pt idx="222">
                  <c:v>6.9874743603915714</c:v>
                </c:pt>
                <c:pt idx="223">
                  <c:v>7.1</c:v>
                </c:pt>
                <c:pt idx="224">
                  <c:v>7.3</c:v>
                </c:pt>
                <c:pt idx="225">
                  <c:v>7.2</c:v>
                </c:pt>
                <c:pt idx="226">
                  <c:v>7.1</c:v>
                </c:pt>
                <c:pt idx="227">
                  <c:v>7.3</c:v>
                </c:pt>
                <c:pt idx="228">
                  <c:v>7.2</c:v>
                </c:pt>
                <c:pt idx="229">
                  <c:v>7.4</c:v>
                </c:pt>
                <c:pt idx="230">
                  <c:v>7.3917555968602588</c:v>
                </c:pt>
                <c:pt idx="231">
                  <c:v>7.446051388056615</c:v>
                </c:pt>
                <c:pt idx="232">
                  <c:v>7.3688264134900674</c:v>
                </c:pt>
                <c:pt idx="233">
                  <c:v>7.2323149588995221</c:v>
                </c:pt>
                <c:pt idx="234">
                  <c:v>7.3890157740644566</c:v>
                </c:pt>
                <c:pt idx="235">
                  <c:v>7.3634848505928776</c:v>
                </c:pt>
                <c:pt idx="236">
                  <c:v>7.3670209185555935</c:v>
                </c:pt>
                <c:pt idx="237">
                  <c:v>7.05141330769455</c:v>
                </c:pt>
                <c:pt idx="238">
                  <c:v>7.1618758765299564</c:v>
                </c:pt>
                <c:pt idx="239">
                  <c:v>7.3703415888991657</c:v>
                </c:pt>
                <c:pt idx="240">
                  <c:v>6.7799417876831471</c:v>
                </c:pt>
                <c:pt idx="241">
                  <c:v>6.8714183263702289</c:v>
                </c:pt>
                <c:pt idx="242">
                  <c:v>6.251801917448045</c:v>
                </c:pt>
                <c:pt idx="243">
                  <c:v>6.2670168997322326</c:v>
                </c:pt>
                <c:pt idx="244">
                  <c:v>6.0336195772896302</c:v>
                </c:pt>
                <c:pt idx="245">
                  <c:v>6.0609696564135591</c:v>
                </c:pt>
                <c:pt idx="246">
                  <c:v>6.0849223969324058</c:v>
                </c:pt>
                <c:pt idx="247">
                  <c:v>5.9530300662610607</c:v>
                </c:pt>
                <c:pt idx="248">
                  <c:v>5.793517273532065</c:v>
                </c:pt>
                <c:pt idx="249">
                  <c:v>5.7682093604446401</c:v>
                </c:pt>
                <c:pt idx="250">
                  <c:v>5.919425645996256</c:v>
                </c:pt>
                <c:pt idx="251">
                  <c:v>6.0728017647140007</c:v>
                </c:pt>
                <c:pt idx="252">
                  <c:v>6.0517585020832882</c:v>
                </c:pt>
                <c:pt idx="253">
                  <c:v>6.2061244939544435</c:v>
                </c:pt>
                <c:pt idx="254">
                  <c:v>6.2766870950004217</c:v>
                </c:pt>
                <c:pt idx="255">
                  <c:v>6.377494739443855</c:v>
                </c:pt>
                <c:pt idx="256">
                  <c:v>6.536411726110452</c:v>
                </c:pt>
                <c:pt idx="257">
                  <c:v>6.6089532929316155</c:v>
                </c:pt>
                <c:pt idx="258">
                  <c:v>6.4475827341462599</c:v>
                </c:pt>
                <c:pt idx="259">
                  <c:v>6.6368495164158068</c:v>
                </c:pt>
                <c:pt idx="260">
                  <c:v>6.6120886769451923</c:v>
                </c:pt>
                <c:pt idx="261">
                  <c:v>6.6754624991282903</c:v>
                </c:pt>
                <c:pt idx="262">
                  <c:v>6.6741074193620724</c:v>
                </c:pt>
                <c:pt idx="263">
                  <c:v>6.8415866735656516</c:v>
                </c:pt>
                <c:pt idx="264">
                  <c:v>6.9789093092970909</c:v>
                </c:pt>
                <c:pt idx="265">
                  <c:v>6.9865458556799434</c:v>
                </c:pt>
                <c:pt idx="266">
                  <c:v>6.9131341294142068</c:v>
                </c:pt>
                <c:pt idx="267">
                  <c:v>6.9131341294142068</c:v>
                </c:pt>
                <c:pt idx="268">
                  <c:v>6.9131341294142068</c:v>
                </c:pt>
                <c:pt idx="269">
                  <c:v>7.0352096468848506</c:v>
                </c:pt>
                <c:pt idx="270">
                  <c:v>7.0033507854243657</c:v>
                </c:pt>
                <c:pt idx="271">
                  <c:v>6.7077500636404412</c:v>
                </c:pt>
                <c:pt idx="272">
                  <c:v>6.8</c:v>
                </c:pt>
                <c:pt idx="273">
                  <c:v>6.9</c:v>
                </c:pt>
                <c:pt idx="274">
                  <c:v>7</c:v>
                </c:pt>
                <c:pt idx="275">
                  <c:v>6.85</c:v>
                </c:pt>
                <c:pt idx="276">
                  <c:v>6.7077500636404412</c:v>
                </c:pt>
                <c:pt idx="277">
                  <c:v>6.6</c:v>
                </c:pt>
                <c:pt idx="278">
                  <c:v>6.7077500636404412</c:v>
                </c:pt>
                <c:pt idx="279">
                  <c:v>6.914098386686776</c:v>
                </c:pt>
                <c:pt idx="280">
                  <c:v>6.9790668154534972</c:v>
                </c:pt>
                <c:pt idx="281">
                  <c:v>6.8845596151586097</c:v>
                </c:pt>
                <c:pt idx="282">
                  <c:v>6.8526103803736262</c:v>
                </c:pt>
                <c:pt idx="283">
                  <c:v>6.9099079544885473</c:v>
                </c:pt>
                <c:pt idx="284">
                  <c:v>6.873329326561108</c:v>
                </c:pt>
                <c:pt idx="285">
                  <c:v>6.7467070051715154</c:v>
                </c:pt>
                <c:pt idx="286">
                  <c:v>6.7859176013640523</c:v>
                </c:pt>
                <c:pt idx="287">
                  <c:v>6.6803634529243805</c:v>
                </c:pt>
                <c:pt idx="288">
                  <c:v>6.7265059295371925</c:v>
                </c:pt>
                <c:pt idx="289">
                  <c:v>6.5777080330567852</c:v>
                </c:pt>
                <c:pt idx="290">
                  <c:v>6.632161381870624</c:v>
                </c:pt>
                <c:pt idx="291">
                  <c:v>6.505559696102841</c:v>
                </c:pt>
                <c:pt idx="292">
                  <c:v>6.582328641628246</c:v>
                </c:pt>
                <c:pt idx="293">
                  <c:v>6.582328641628246</c:v>
                </c:pt>
                <c:pt idx="294">
                  <c:v>5.8643955548861459</c:v>
                </c:pt>
                <c:pt idx="295">
                  <c:v>5.8322653494179697</c:v>
                </c:pt>
                <c:pt idx="296">
                  <c:v>5.8680266832016272</c:v>
                </c:pt>
                <c:pt idx="297">
                  <c:v>5.7309642153886324</c:v>
                </c:pt>
                <c:pt idx="298">
                  <c:v>5.2719781767674165</c:v>
                </c:pt>
                <c:pt idx="299">
                  <c:v>5.2897762716976038</c:v>
                </c:pt>
                <c:pt idx="300">
                  <c:v>4.9265079308707644</c:v>
                </c:pt>
                <c:pt idx="301">
                  <c:v>5.0515006385068491</c:v>
                </c:pt>
                <c:pt idx="302">
                  <c:v>5.0515006385068491</c:v>
                </c:pt>
                <c:pt idx="303">
                  <c:v>5.0208070699172094</c:v>
                </c:pt>
                <c:pt idx="304">
                  <c:v>5.2776628456031887</c:v>
                </c:pt>
                <c:pt idx="305">
                  <c:v>5.0499409070318437</c:v>
                </c:pt>
                <c:pt idx="306">
                  <c:v>5.1231125158067776</c:v>
                </c:pt>
                <c:pt idx="307">
                  <c:v>5.1179828767060114</c:v>
                </c:pt>
                <c:pt idx="308">
                  <c:v>5.1179828767060114</c:v>
                </c:pt>
                <c:pt idx="309">
                  <c:v>5.1179828767060114</c:v>
                </c:pt>
                <c:pt idx="310">
                  <c:v>5.8738412586634485</c:v>
                </c:pt>
                <c:pt idx="311">
                  <c:v>6.03458928866314</c:v>
                </c:pt>
                <c:pt idx="312">
                  <c:v>6.1137967336131718</c:v>
                </c:pt>
                <c:pt idx="313">
                  <c:v>5.9976014927729651</c:v>
                </c:pt>
                <c:pt idx="314">
                  <c:v>5.9976014927729651</c:v>
                </c:pt>
                <c:pt idx="315">
                  <c:v>6.2432745715632603</c:v>
                </c:pt>
                <c:pt idx="316">
                  <c:v>6.0764403731804819</c:v>
                </c:pt>
                <c:pt idx="317">
                  <c:v>6.1106278688337152</c:v>
                </c:pt>
                <c:pt idx="318">
                  <c:v>5.8059491278573434</c:v>
                </c:pt>
                <c:pt idx="319">
                  <c:v>6.2816059916878073</c:v>
                </c:pt>
                <c:pt idx="320">
                  <c:v>6.3610137323153424</c:v>
                </c:pt>
                <c:pt idx="321">
                  <c:v>6.3948371111762787</c:v>
                </c:pt>
                <c:pt idx="322">
                  <c:v>6.6263592092142272</c:v>
                </c:pt>
                <c:pt idx="323">
                  <c:v>6.5758461840647371</c:v>
                </c:pt>
                <c:pt idx="324">
                  <c:v>7.032397100182501</c:v>
                </c:pt>
                <c:pt idx="325">
                  <c:v>7.0266768258650689</c:v>
                </c:pt>
                <c:pt idx="326">
                  <c:v>7.2881896148766163</c:v>
                </c:pt>
                <c:pt idx="327">
                  <c:v>7.2771930992071212</c:v>
                </c:pt>
                <c:pt idx="328">
                  <c:v>7.2221807142943639</c:v>
                </c:pt>
                <c:pt idx="329">
                  <c:v>7.2221807142943639</c:v>
                </c:pt>
                <c:pt idx="330">
                  <c:v>7.3444475122083395</c:v>
                </c:pt>
                <c:pt idx="331">
                  <c:v>7.4842657880361081</c:v>
                </c:pt>
                <c:pt idx="332">
                  <c:v>7.5150437174978526</c:v>
                </c:pt>
                <c:pt idx="333">
                  <c:v>7.4789665628900837</c:v>
                </c:pt>
                <c:pt idx="334">
                  <c:v>7.4345133969374713</c:v>
                </c:pt>
                <c:pt idx="335">
                  <c:v>7.5920677508821308</c:v>
                </c:pt>
                <c:pt idx="336">
                  <c:v>7.5631904977807585</c:v>
                </c:pt>
                <c:pt idx="337">
                  <c:v>7.5978629458932785</c:v>
                </c:pt>
                <c:pt idx="338">
                  <c:v>7.6509276701788815</c:v>
                </c:pt>
                <c:pt idx="339">
                  <c:v>7.7674658104346452</c:v>
                </c:pt>
                <c:pt idx="340">
                  <c:v>7.8381482032555425</c:v>
                </c:pt>
                <c:pt idx="341">
                  <c:v>7.6769598533626642</c:v>
                </c:pt>
                <c:pt idx="342">
                  <c:v>8.0100970469655319</c:v>
                </c:pt>
                <c:pt idx="343">
                  <c:v>7.9715511882853995</c:v>
                </c:pt>
                <c:pt idx="344">
                  <c:v>8.0812237391819348</c:v>
                </c:pt>
                <c:pt idx="345">
                  <c:v>8.208999746041961</c:v>
                </c:pt>
                <c:pt idx="346">
                  <c:v>7.1723160773169417</c:v>
                </c:pt>
                <c:pt idx="347">
                  <c:v>7.2753194687254723</c:v>
                </c:pt>
                <c:pt idx="348">
                  <c:v>7.2313298939483603</c:v>
                </c:pt>
                <c:pt idx="349">
                  <c:v>7.2025775517965194</c:v>
                </c:pt>
                <c:pt idx="350">
                  <c:v>7.1736321451874954</c:v>
                </c:pt>
                <c:pt idx="351">
                  <c:v>7.1736321451874954</c:v>
                </c:pt>
                <c:pt idx="352">
                  <c:v>7.1663469346148112</c:v>
                </c:pt>
                <c:pt idx="353">
                  <c:v>7.0843822681123658</c:v>
                </c:pt>
                <c:pt idx="354">
                  <c:v>7.0594257488690975</c:v>
                </c:pt>
                <c:pt idx="355">
                  <c:v>7.284337188961536</c:v>
                </c:pt>
                <c:pt idx="356">
                  <c:v>7.4247628750801642</c:v>
                </c:pt>
                <c:pt idx="357">
                  <c:v>7.2693036846498371</c:v>
                </c:pt>
                <c:pt idx="358">
                  <c:v>7.1273794103227566</c:v>
                </c:pt>
                <c:pt idx="359">
                  <c:v>7.0514979372774302</c:v>
                </c:pt>
                <c:pt idx="360">
                  <c:v>7.0514979372774302</c:v>
                </c:pt>
                <c:pt idx="361">
                  <c:v>7.2526110547957439</c:v>
                </c:pt>
                <c:pt idx="362">
                  <c:v>7.4229309903240823</c:v>
                </c:pt>
                <c:pt idx="363">
                  <c:v>7.3910327051323748</c:v>
                </c:pt>
                <c:pt idx="364">
                  <c:v>7.1342046891905362</c:v>
                </c:pt>
                <c:pt idx="365">
                  <c:v>7.1633847834235747</c:v>
                </c:pt>
                <c:pt idx="366">
                  <c:v>7.3122029614651245</c:v>
                </c:pt>
                <c:pt idx="367">
                  <c:v>7.5122413103231525</c:v>
                </c:pt>
                <c:pt idx="368">
                  <c:v>7.5200322210011574</c:v>
                </c:pt>
                <c:pt idx="369">
                  <c:v>7.5703320215832788</c:v>
                </c:pt>
                <c:pt idx="370">
                  <c:v>7.6342063949030496</c:v>
                </c:pt>
                <c:pt idx="371">
                  <c:v>7.5193738487309423</c:v>
                </c:pt>
                <c:pt idx="372">
                  <c:v>7.8321065842444471</c:v>
                </c:pt>
                <c:pt idx="373">
                  <c:v>7.8912540036319427</c:v>
                </c:pt>
                <c:pt idx="374">
                  <c:v>7.9808109825615769</c:v>
                </c:pt>
                <c:pt idx="375">
                  <c:v>7.9725254328271582</c:v>
                </c:pt>
                <c:pt idx="376">
                  <c:v>8.0507409161503105</c:v>
                </c:pt>
                <c:pt idx="377">
                  <c:v>7.7356323565454028</c:v>
                </c:pt>
                <c:pt idx="378">
                  <c:v>7.8785997101876371</c:v>
                </c:pt>
                <c:pt idx="379">
                  <c:v>7.7711031742085162</c:v>
                </c:pt>
                <c:pt idx="380">
                  <c:v>7.6225183444611186</c:v>
                </c:pt>
                <c:pt idx="381">
                  <c:v>7.3459780367652954</c:v>
                </c:pt>
                <c:pt idx="382">
                  <c:v>7.4119378823711912</c:v>
                </c:pt>
                <c:pt idx="383">
                  <c:v>7.2525805735188982</c:v>
                </c:pt>
                <c:pt idx="384">
                  <c:v>7.3701297553937843</c:v>
                </c:pt>
                <c:pt idx="385">
                  <c:v>7.2041562575107045</c:v>
                </c:pt>
                <c:pt idx="386">
                  <c:v>7.3187082934698084</c:v>
                </c:pt>
                <c:pt idx="387">
                  <c:v>7.3398758759798985</c:v>
                </c:pt>
                <c:pt idx="388">
                  <c:v>7.5043729473465692</c:v>
                </c:pt>
                <c:pt idx="389">
                  <c:v>7.5762006795535131</c:v>
                </c:pt>
                <c:pt idx="390">
                  <c:v>7.6174488592319172</c:v>
                </c:pt>
                <c:pt idx="391">
                  <c:v>7.7738860305460022</c:v>
                </c:pt>
                <c:pt idx="392">
                  <c:v>7.8994165744753673</c:v>
                </c:pt>
                <c:pt idx="393">
                  <c:v>8.0232760492425399</c:v>
                </c:pt>
                <c:pt idx="394">
                  <c:v>7.8526743085924826</c:v>
                </c:pt>
                <c:pt idx="395">
                  <c:v>7.8889795244426244</c:v>
                </c:pt>
                <c:pt idx="396">
                  <c:v>7.8010957161997219</c:v>
                </c:pt>
                <c:pt idx="397">
                  <c:v>7.7625919119810343</c:v>
                </c:pt>
                <c:pt idx="398">
                  <c:v>8.1339373038732337</c:v>
                </c:pt>
                <c:pt idx="399">
                  <c:v>8.3505676025257287</c:v>
                </c:pt>
                <c:pt idx="400">
                  <c:v>8.5497766976139857</c:v>
                </c:pt>
                <c:pt idx="401">
                  <c:v>8.518894672888754</c:v>
                </c:pt>
                <c:pt idx="402">
                  <c:v>8.7078542114710871</c:v>
                </c:pt>
                <c:pt idx="403">
                  <c:v>8.4606225227395999</c:v>
                </c:pt>
                <c:pt idx="404">
                  <c:v>8.3625655032686979</c:v>
                </c:pt>
                <c:pt idx="405">
                  <c:v>8.3939499423276462</c:v>
                </c:pt>
                <c:pt idx="406">
                  <c:v>8.2523198991155198</c:v>
                </c:pt>
                <c:pt idx="407">
                  <c:v>8.4030981636014843</c:v>
                </c:pt>
                <c:pt idx="408">
                  <c:v>8.5428028973647745</c:v>
                </c:pt>
                <c:pt idx="409">
                  <c:v>8.8034387964699174</c:v>
                </c:pt>
                <c:pt idx="410">
                  <c:v>8.8837174141568997</c:v>
                </c:pt>
                <c:pt idx="411">
                  <c:v>8.9085267976096567</c:v>
                </c:pt>
                <c:pt idx="412">
                  <c:v>9.0727636509096801</c:v>
                </c:pt>
                <c:pt idx="413">
                  <c:v>9.4474028114387156</c:v>
                </c:pt>
                <c:pt idx="414">
                  <c:v>9.4483240105217412</c:v>
                </c:pt>
                <c:pt idx="415">
                  <c:v>9.4635783302779775</c:v>
                </c:pt>
                <c:pt idx="416">
                  <c:v>9.3475979709161976</c:v>
                </c:pt>
                <c:pt idx="417">
                  <c:v>9.596151304126316</c:v>
                </c:pt>
                <c:pt idx="418">
                  <c:v>9.4184436876783675</c:v>
                </c:pt>
                <c:pt idx="419">
                  <c:v>9.3892700017948396</c:v>
                </c:pt>
                <c:pt idx="420">
                  <c:v>9.3575644245482348</c:v>
                </c:pt>
                <c:pt idx="421">
                  <c:v>9.0455197553616458</c:v>
                </c:pt>
                <c:pt idx="422">
                  <c:v>9.3789045355590996</c:v>
                </c:pt>
                <c:pt idx="423">
                  <c:v>9.5488595508068972</c:v>
                </c:pt>
                <c:pt idx="424">
                  <c:v>9.4541006109336703</c:v>
                </c:pt>
                <c:pt idx="425">
                  <c:v>9.3778210702816409</c:v>
                </c:pt>
                <c:pt idx="426">
                  <c:v>9.2818568576933433</c:v>
                </c:pt>
                <c:pt idx="427">
                  <c:v>8.8166828983134646</c:v>
                </c:pt>
                <c:pt idx="428">
                  <c:v>8.8211356634223019</c:v>
                </c:pt>
                <c:pt idx="429">
                  <c:v>9.6337993704892728</c:v>
                </c:pt>
                <c:pt idx="430">
                  <c:v>9.7721672434785614</c:v>
                </c:pt>
                <c:pt idx="431">
                  <c:v>9.8274674249020926</c:v>
                </c:pt>
                <c:pt idx="432">
                  <c:v>9.6375185092275046</c:v>
                </c:pt>
                <c:pt idx="433">
                  <c:v>9.9761682974502719</c:v>
                </c:pt>
                <c:pt idx="434">
                  <c:v>9.8053032771181865</c:v>
                </c:pt>
                <c:pt idx="435">
                  <c:v>9.8891609635312303</c:v>
                </c:pt>
                <c:pt idx="436">
                  <c:v>9.535971259478103</c:v>
                </c:pt>
                <c:pt idx="437">
                  <c:v>9.5095204663424884</c:v>
                </c:pt>
                <c:pt idx="438">
                  <c:v>9.3818676355393933</c:v>
                </c:pt>
                <c:pt idx="439">
                  <c:v>9.6910791467687396</c:v>
                </c:pt>
                <c:pt idx="440">
                  <c:v>9.5432128145024357</c:v>
                </c:pt>
                <c:pt idx="441">
                  <c:v>9.3691269244867552</c:v>
                </c:pt>
                <c:pt idx="442">
                  <c:v>9.3491720421054065</c:v>
                </c:pt>
                <c:pt idx="443">
                  <c:v>8.2077062069236479</c:v>
                </c:pt>
                <c:pt idx="444">
                  <c:v>8.3756623434816397</c:v>
                </c:pt>
                <c:pt idx="445">
                  <c:v>8.4178352272713788</c:v>
                </c:pt>
                <c:pt idx="446">
                  <c:v>8.5089960354382601</c:v>
                </c:pt>
                <c:pt idx="447">
                  <c:v>8.3606566355538678</c:v>
                </c:pt>
                <c:pt idx="448">
                  <c:v>8.4802772835087676</c:v>
                </c:pt>
                <c:pt idx="449">
                  <c:v>8.5513927833640313</c:v>
                </c:pt>
                <c:pt idx="450">
                  <c:v>8.496069319096156</c:v>
                </c:pt>
                <c:pt idx="451">
                  <c:v>8.3041392770716751</c:v>
                </c:pt>
                <c:pt idx="452">
                  <c:v>8.2619243703594716</c:v>
                </c:pt>
                <c:pt idx="453">
                  <c:v>8.1878452041458072</c:v>
                </c:pt>
                <c:pt idx="454">
                  <c:v>8.0371935010325242</c:v>
                </c:pt>
                <c:pt idx="455">
                  <c:v>8.3000000000000007</c:v>
                </c:pt>
                <c:pt idx="456">
                  <c:v>8.5</c:v>
                </c:pt>
                <c:pt idx="457">
                  <c:v>8.8411998162254015</c:v>
                </c:pt>
                <c:pt idx="458">
                  <c:v>8.8393680937527765</c:v>
                </c:pt>
                <c:pt idx="459">
                  <c:v>8.8457370094269798</c:v>
                </c:pt>
                <c:pt idx="460">
                  <c:v>8.8457870239706473</c:v>
                </c:pt>
                <c:pt idx="461">
                  <c:v>8.8457870239706473</c:v>
                </c:pt>
                <c:pt idx="462">
                  <c:v>8.8553834136013325</c:v>
                </c:pt>
                <c:pt idx="463">
                  <c:v>8.8465977483608373</c:v>
                </c:pt>
                <c:pt idx="464">
                  <c:v>8.8511084913155536</c:v>
                </c:pt>
                <c:pt idx="465">
                  <c:v>8.7244676298737982</c:v>
                </c:pt>
                <c:pt idx="466">
                  <c:v>8.2043535140155299</c:v>
                </c:pt>
                <c:pt idx="467">
                  <c:v>8.8899736383862251</c:v>
                </c:pt>
                <c:pt idx="468">
                  <c:v>9.1519497757678057</c:v>
                </c:pt>
                <c:pt idx="469">
                  <c:v>8.9561812025914538</c:v>
                </c:pt>
                <c:pt idx="470">
                  <c:v>8.9999506757202532</c:v>
                </c:pt>
                <c:pt idx="471">
                  <c:v>9.0704491219057974</c:v>
                </c:pt>
                <c:pt idx="472">
                  <c:v>9.2212168242573291</c:v>
                </c:pt>
                <c:pt idx="473">
                  <c:v>9.1743048719991194</c:v>
                </c:pt>
                <c:pt idx="474">
                  <c:v>9.2847753420666557</c:v>
                </c:pt>
                <c:pt idx="475">
                  <c:v>9.417895050088692</c:v>
                </c:pt>
                <c:pt idx="476">
                  <c:v>9.2639980045142121</c:v>
                </c:pt>
                <c:pt idx="477">
                  <c:v>9.1007016878939204</c:v>
                </c:pt>
                <c:pt idx="478">
                  <c:v>9.152078445987156</c:v>
                </c:pt>
                <c:pt idx="479">
                  <c:v>9.2595147487670477</c:v>
                </c:pt>
                <c:pt idx="480">
                  <c:v>9.1068217294993818</c:v>
                </c:pt>
                <c:pt idx="481">
                  <c:v>9.3704619004304899</c:v>
                </c:pt>
                <c:pt idx="482">
                  <c:v>9.4180546814640476</c:v>
                </c:pt>
                <c:pt idx="483">
                  <c:v>9.5041347862513028</c:v>
                </c:pt>
                <c:pt idx="484">
                  <c:v>9.4741212601137903</c:v>
                </c:pt>
                <c:pt idx="485">
                  <c:v>9.3483939158230189</c:v>
                </c:pt>
                <c:pt idx="486">
                  <c:v>9.3185968284275482</c:v>
                </c:pt>
                <c:pt idx="487">
                  <c:v>9.4742143634204545</c:v>
                </c:pt>
                <c:pt idx="488">
                  <c:v>9.3822256581381662</c:v>
                </c:pt>
                <c:pt idx="489">
                  <c:v>9.3541425243897169</c:v>
                </c:pt>
                <c:pt idx="490">
                  <c:v>9.4081198010223854</c:v>
                </c:pt>
                <c:pt idx="491">
                  <c:v>9.3752423427100844</c:v>
                </c:pt>
                <c:pt idx="492">
                  <c:v>9.4726193885514114</c:v>
                </c:pt>
                <c:pt idx="493">
                  <c:v>9.0886937483524122</c:v>
                </c:pt>
                <c:pt idx="494">
                  <c:v>9.2466053045507159</c:v>
                </c:pt>
                <c:pt idx="495">
                  <c:v>9.2522791864488916</c:v>
                </c:pt>
                <c:pt idx="496">
                  <c:v>9.6799635528730015</c:v>
                </c:pt>
                <c:pt idx="497">
                  <c:v>9.2731406657445099</c:v>
                </c:pt>
                <c:pt idx="498">
                  <c:v>9.6398538017990916</c:v>
                </c:pt>
                <c:pt idx="499">
                  <c:v>9.5938746373873478</c:v>
                </c:pt>
                <c:pt idx="500">
                  <c:v>9.5973840472437217</c:v>
                </c:pt>
                <c:pt idx="501">
                  <c:v>9.9583119954771764</c:v>
                </c:pt>
                <c:pt idx="502">
                  <c:v>9.5199187869606909</c:v>
                </c:pt>
                <c:pt idx="503">
                  <c:v>9.607118777571177</c:v>
                </c:pt>
                <c:pt idx="504">
                  <c:v>9.914314433488066</c:v>
                </c:pt>
                <c:pt idx="505">
                  <c:v>9.5601124943583429</c:v>
                </c:pt>
                <c:pt idx="506">
                  <c:v>9.7345428549965334</c:v>
                </c:pt>
                <c:pt idx="507">
                  <c:v>9.7080129553829764</c:v>
                </c:pt>
                <c:pt idx="508">
                  <c:v>9.6236562666538301</c:v>
                </c:pt>
                <c:pt idx="509">
                  <c:v>9.1209676882773625</c:v>
                </c:pt>
                <c:pt idx="510">
                  <c:v>8.9788426178306615</c:v>
                </c:pt>
                <c:pt idx="511">
                  <c:v>8.4950817604872064</c:v>
                </c:pt>
                <c:pt idx="512">
                  <c:v>8.5448717059851056</c:v>
                </c:pt>
                <c:pt idx="513">
                  <c:v>8.5291510633818923</c:v>
                </c:pt>
                <c:pt idx="514">
                  <c:v>8.4014872115938797</c:v>
                </c:pt>
                <c:pt idx="515">
                  <c:v>8.4419064325470838</c:v>
                </c:pt>
                <c:pt idx="516">
                  <c:v>8.8788387887493165</c:v>
                </c:pt>
                <c:pt idx="517">
                  <c:v>8.7109846827669539</c:v>
                </c:pt>
                <c:pt idx="518">
                  <c:v>8.8317341048703319</c:v>
                </c:pt>
                <c:pt idx="519">
                  <c:v>8.7788349744944014</c:v>
                </c:pt>
                <c:pt idx="520">
                  <c:v>10.048348869986333</c:v>
                </c:pt>
                <c:pt idx="521">
                  <c:v>9.5067456303332971</c:v>
                </c:pt>
                <c:pt idx="522">
                  <c:v>9.6248207037207454</c:v>
                </c:pt>
                <c:pt idx="523">
                  <c:v>9.6783054223178251</c:v>
                </c:pt>
                <c:pt idx="524">
                  <c:v>9.7017452299800357</c:v>
                </c:pt>
                <c:pt idx="525">
                  <c:v>9.173903882459415</c:v>
                </c:pt>
                <c:pt idx="526">
                  <c:v>9.0771164274205844</c:v>
                </c:pt>
                <c:pt idx="527">
                  <c:v>9.3847668110565401</c:v>
                </c:pt>
                <c:pt idx="528">
                  <c:v>9.1957928513954048</c:v>
                </c:pt>
                <c:pt idx="529">
                  <c:v>8.453973162576732</c:v>
                </c:pt>
                <c:pt idx="530">
                  <c:v>8.9531440396514235</c:v>
                </c:pt>
                <c:pt idx="531">
                  <c:v>8.8977028330700865</c:v>
                </c:pt>
                <c:pt idx="532">
                  <c:v>8.0877946076793457</c:v>
                </c:pt>
                <c:pt idx="533">
                  <c:v>7.9587984989350931</c:v>
                </c:pt>
                <c:pt idx="534">
                  <c:v>7.8768897385581624</c:v>
                </c:pt>
                <c:pt idx="535">
                  <c:v>8.0727798601894225</c:v>
                </c:pt>
                <c:pt idx="536">
                  <c:v>8.4059488092980832</c:v>
                </c:pt>
                <c:pt idx="537">
                  <c:v>8.6275416388912198</c:v>
                </c:pt>
                <c:pt idx="538">
                  <c:v>8.0580495712137186</c:v>
                </c:pt>
                <c:pt idx="539">
                  <c:v>7.9182473456906752</c:v>
                </c:pt>
              </c:numCache>
            </c:numRef>
          </c:val>
          <c:smooth val="0"/>
          <c:extLst>
            <c:ext xmlns:c16="http://schemas.microsoft.com/office/drawing/2014/chart" uri="{C3380CC4-5D6E-409C-BE32-E72D297353CC}">
              <c16:uniqueId val="{00000002-F620-48D4-8207-C5A941E212BF}"/>
            </c:ext>
          </c:extLst>
        </c:ser>
        <c:dLbls>
          <c:showLegendKey val="0"/>
          <c:showVal val="0"/>
          <c:showCatName val="0"/>
          <c:showSerName val="0"/>
          <c:showPercent val="0"/>
          <c:showBubbleSize val="0"/>
        </c:dLbls>
        <c:smooth val="0"/>
        <c:axId val="243795072"/>
        <c:axId val="243796608"/>
      </c:lineChart>
      <c:dateAx>
        <c:axId val="243795072"/>
        <c:scaling>
          <c:orientation val="minMax"/>
        </c:scaling>
        <c:delete val="0"/>
        <c:axPos val="b"/>
        <c:numFmt formatCode="[$-409]mmm\-yy;@" sourceLinked="0"/>
        <c:majorTickMark val="none"/>
        <c:minorTickMark val="none"/>
        <c:tickLblPos val="nextTo"/>
        <c:spPr>
          <a:ln w="9525">
            <a:noFill/>
          </a:ln>
        </c:spPr>
        <c:txPr>
          <a:bodyPr rot="-4500000" vert="horz"/>
          <a:lstStyle/>
          <a:p>
            <a:pPr>
              <a:defRPr sz="800" b="0" i="0" u="none" strike="noStrike" baseline="0">
                <a:solidFill>
                  <a:srgbClr val="000000"/>
                </a:solidFill>
                <a:latin typeface="Book Antiqua"/>
                <a:ea typeface="Book Antiqua"/>
                <a:cs typeface="Book Antiqua"/>
              </a:defRPr>
            </a:pPr>
            <a:endParaRPr lang="en-US"/>
          </a:p>
        </c:txPr>
        <c:crossAx val="243796608"/>
        <c:crosses val="autoZero"/>
        <c:auto val="1"/>
        <c:lblOffset val="100"/>
        <c:baseTimeUnit val="days"/>
        <c:majorUnit val="3"/>
        <c:majorTimeUnit val="months"/>
        <c:minorUnit val="1"/>
        <c:minorTimeUnit val="months"/>
      </c:dateAx>
      <c:valAx>
        <c:axId val="243796608"/>
        <c:scaling>
          <c:orientation val="minMax"/>
          <c:max val="14"/>
          <c:min val="2"/>
        </c:scaling>
        <c:delete val="0"/>
        <c:axPos val="l"/>
        <c:majorGridlines>
          <c:spPr>
            <a:ln w="3175">
              <a:solidFill>
                <a:srgbClr val="C0C0C0"/>
              </a:solidFill>
              <a:prstDash val="sysDash"/>
            </a:ln>
          </c:spPr>
        </c:majorGridlines>
        <c:numFmt formatCode="0.0\x" sourceLinked="1"/>
        <c:majorTickMark val="none"/>
        <c:minorTickMark val="none"/>
        <c:tickLblPos val="nextTo"/>
        <c:spPr>
          <a:ln w="9525">
            <a:noFill/>
          </a:ln>
        </c:spPr>
        <c:txPr>
          <a:bodyPr rot="0" vert="horz"/>
          <a:lstStyle/>
          <a:p>
            <a:pPr>
              <a:defRPr sz="800" b="0" i="0" u="none" strike="noStrike" baseline="0">
                <a:solidFill>
                  <a:srgbClr val="000000"/>
                </a:solidFill>
                <a:latin typeface="Book Antiqua"/>
                <a:ea typeface="Book Antiqua"/>
                <a:cs typeface="Book Antiqua"/>
              </a:defRPr>
            </a:pPr>
            <a:endParaRPr lang="en-US"/>
          </a:p>
        </c:txPr>
        <c:crossAx val="243795072"/>
        <c:crosses val="autoZero"/>
        <c:crossBetween val="between"/>
        <c:majorUnit val="2"/>
      </c:valAx>
      <c:spPr>
        <a:noFill/>
        <a:ln w="25400">
          <a:noFill/>
        </a:ln>
      </c:spPr>
    </c:plotArea>
    <c:legend>
      <c:legendPos val="r"/>
      <c:layout>
        <c:manualLayout>
          <c:xMode val="edge"/>
          <c:yMode val="edge"/>
          <c:x val="0.41499985068238149"/>
          <c:y val="7.6923076923076927E-2"/>
          <c:w val="0.31000023227185097"/>
          <c:h val="0.19230798073317756"/>
        </c:manualLayout>
      </c:layout>
      <c:overlay val="0"/>
      <c:spPr>
        <a:noFill/>
        <a:ln w="25400">
          <a:noFill/>
        </a:ln>
      </c:spPr>
      <c:txPr>
        <a:bodyPr/>
        <a:lstStyle/>
        <a:p>
          <a:pPr>
            <a:defRPr sz="475" b="0" i="0" u="none" strike="noStrike" baseline="0">
              <a:solidFill>
                <a:srgbClr val="000000"/>
              </a:solidFill>
              <a:latin typeface="Book Antiqua"/>
              <a:ea typeface="Book Antiqua"/>
              <a:cs typeface="Book Antiqua"/>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Book Antiqua"/>
          <a:ea typeface="Book Antiqua"/>
          <a:cs typeface="Book Antiqua"/>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8898884454828326E-2"/>
          <c:y val="5.2307770895088486E-2"/>
          <c:w val="0.92957804596098625"/>
          <c:h val="0.70461644323383898"/>
        </c:manualLayout>
      </c:layout>
      <c:lineChart>
        <c:grouping val="standard"/>
        <c:varyColors val="0"/>
        <c:ser>
          <c:idx val="0"/>
          <c:order val="0"/>
          <c:tx>
            <c:strRef>
              <c:f>Summary!$AF$100</c:f>
              <c:strCache>
                <c:ptCount val="1"/>
                <c:pt idx="0">
                  <c:v>ACXM P/E</c:v>
                </c:pt>
              </c:strCache>
            </c:strRef>
          </c:tx>
          <c:spPr>
            <a:ln w="25400">
              <a:solidFill>
                <a:srgbClr val="000080"/>
              </a:solidFill>
              <a:prstDash val="solid"/>
            </a:ln>
          </c:spPr>
          <c:marker>
            <c:symbol val="none"/>
          </c:marker>
          <c:cat>
            <c:numRef>
              <c:f>Summary!$AB$101:$AB$5006</c:f>
              <c:numCache>
                <c:formatCode>m/d/yyyy</c:formatCode>
                <c:ptCount val="4906"/>
                <c:pt idx="0">
                  <c:v>35433</c:v>
                </c:pt>
                <c:pt idx="1">
                  <c:v>35440</c:v>
                </c:pt>
                <c:pt idx="2">
                  <c:v>35447</c:v>
                </c:pt>
                <c:pt idx="3">
                  <c:v>35454</c:v>
                </c:pt>
                <c:pt idx="4">
                  <c:v>35461</c:v>
                </c:pt>
                <c:pt idx="5">
                  <c:v>35468</c:v>
                </c:pt>
                <c:pt idx="6">
                  <c:v>35475</c:v>
                </c:pt>
                <c:pt idx="7">
                  <c:v>35482</c:v>
                </c:pt>
                <c:pt idx="8">
                  <c:v>35489</c:v>
                </c:pt>
                <c:pt idx="9">
                  <c:v>35496</c:v>
                </c:pt>
                <c:pt idx="10">
                  <c:v>35503</c:v>
                </c:pt>
                <c:pt idx="11">
                  <c:v>35510</c:v>
                </c:pt>
                <c:pt idx="12">
                  <c:v>35517</c:v>
                </c:pt>
                <c:pt idx="13">
                  <c:v>35524</c:v>
                </c:pt>
                <c:pt idx="14">
                  <c:v>35531</c:v>
                </c:pt>
                <c:pt idx="15">
                  <c:v>35538</c:v>
                </c:pt>
                <c:pt idx="16">
                  <c:v>35545</c:v>
                </c:pt>
                <c:pt idx="17">
                  <c:v>35552</c:v>
                </c:pt>
                <c:pt idx="18">
                  <c:v>35559</c:v>
                </c:pt>
                <c:pt idx="19">
                  <c:v>35566</c:v>
                </c:pt>
                <c:pt idx="20">
                  <c:v>35573</c:v>
                </c:pt>
                <c:pt idx="21">
                  <c:v>35580</c:v>
                </c:pt>
                <c:pt idx="22">
                  <c:v>35587</c:v>
                </c:pt>
                <c:pt idx="23">
                  <c:v>35594</c:v>
                </c:pt>
                <c:pt idx="24">
                  <c:v>35601</c:v>
                </c:pt>
                <c:pt idx="25">
                  <c:v>35608</c:v>
                </c:pt>
                <c:pt idx="26">
                  <c:v>35615</c:v>
                </c:pt>
                <c:pt idx="27">
                  <c:v>35622</c:v>
                </c:pt>
                <c:pt idx="28">
                  <c:v>35629</c:v>
                </c:pt>
                <c:pt idx="29">
                  <c:v>35636</c:v>
                </c:pt>
                <c:pt idx="30">
                  <c:v>35643</c:v>
                </c:pt>
                <c:pt idx="31">
                  <c:v>35650</c:v>
                </c:pt>
                <c:pt idx="32">
                  <c:v>35657</c:v>
                </c:pt>
                <c:pt idx="33">
                  <c:v>35664</c:v>
                </c:pt>
                <c:pt idx="34">
                  <c:v>35671</c:v>
                </c:pt>
                <c:pt idx="35">
                  <c:v>35678</c:v>
                </c:pt>
                <c:pt idx="36">
                  <c:v>35685</c:v>
                </c:pt>
                <c:pt idx="37">
                  <c:v>35692</c:v>
                </c:pt>
                <c:pt idx="38">
                  <c:v>35699</c:v>
                </c:pt>
                <c:pt idx="39">
                  <c:v>35706</c:v>
                </c:pt>
                <c:pt idx="40">
                  <c:v>35713</c:v>
                </c:pt>
                <c:pt idx="41">
                  <c:v>35720</c:v>
                </c:pt>
                <c:pt idx="42">
                  <c:v>35727</c:v>
                </c:pt>
                <c:pt idx="43">
                  <c:v>35734</c:v>
                </c:pt>
                <c:pt idx="44">
                  <c:v>35741</c:v>
                </c:pt>
                <c:pt idx="45">
                  <c:v>35748</c:v>
                </c:pt>
                <c:pt idx="46">
                  <c:v>35755</c:v>
                </c:pt>
                <c:pt idx="47">
                  <c:v>35762</c:v>
                </c:pt>
                <c:pt idx="48">
                  <c:v>35769</c:v>
                </c:pt>
                <c:pt idx="49">
                  <c:v>35776</c:v>
                </c:pt>
                <c:pt idx="50">
                  <c:v>35783</c:v>
                </c:pt>
                <c:pt idx="51">
                  <c:v>35790</c:v>
                </c:pt>
                <c:pt idx="52">
                  <c:v>35797</c:v>
                </c:pt>
                <c:pt idx="53">
                  <c:v>35804</c:v>
                </c:pt>
                <c:pt idx="54">
                  <c:v>35811</c:v>
                </c:pt>
                <c:pt idx="55">
                  <c:v>35818</c:v>
                </c:pt>
                <c:pt idx="56">
                  <c:v>35825</c:v>
                </c:pt>
                <c:pt idx="57">
                  <c:v>35832</c:v>
                </c:pt>
                <c:pt idx="58">
                  <c:v>35839</c:v>
                </c:pt>
                <c:pt idx="59">
                  <c:v>35846</c:v>
                </c:pt>
                <c:pt idx="60">
                  <c:v>35853</c:v>
                </c:pt>
                <c:pt idx="61">
                  <c:v>35860</c:v>
                </c:pt>
                <c:pt idx="62">
                  <c:v>35867</c:v>
                </c:pt>
                <c:pt idx="63">
                  <c:v>35874</c:v>
                </c:pt>
                <c:pt idx="64">
                  <c:v>35881</c:v>
                </c:pt>
                <c:pt idx="65">
                  <c:v>35888</c:v>
                </c:pt>
                <c:pt idx="66">
                  <c:v>35895</c:v>
                </c:pt>
                <c:pt idx="67">
                  <c:v>35902</c:v>
                </c:pt>
                <c:pt idx="68">
                  <c:v>35909</c:v>
                </c:pt>
                <c:pt idx="69">
                  <c:v>35916</c:v>
                </c:pt>
                <c:pt idx="70">
                  <c:v>35923</c:v>
                </c:pt>
                <c:pt idx="71">
                  <c:v>35930</c:v>
                </c:pt>
                <c:pt idx="72">
                  <c:v>35937</c:v>
                </c:pt>
                <c:pt idx="73">
                  <c:v>35944</c:v>
                </c:pt>
                <c:pt idx="74">
                  <c:v>35951</c:v>
                </c:pt>
                <c:pt idx="75">
                  <c:v>35958</c:v>
                </c:pt>
                <c:pt idx="76">
                  <c:v>35965</c:v>
                </c:pt>
                <c:pt idx="77">
                  <c:v>35972</c:v>
                </c:pt>
                <c:pt idx="78">
                  <c:v>35979</c:v>
                </c:pt>
                <c:pt idx="79">
                  <c:v>35986</c:v>
                </c:pt>
                <c:pt idx="80">
                  <c:v>35993</c:v>
                </c:pt>
                <c:pt idx="81">
                  <c:v>36000</c:v>
                </c:pt>
                <c:pt idx="82">
                  <c:v>36007</c:v>
                </c:pt>
                <c:pt idx="83">
                  <c:v>36014</c:v>
                </c:pt>
                <c:pt idx="84">
                  <c:v>36021</c:v>
                </c:pt>
                <c:pt idx="85">
                  <c:v>36028</c:v>
                </c:pt>
                <c:pt idx="86">
                  <c:v>36035</c:v>
                </c:pt>
                <c:pt idx="87">
                  <c:v>36042</c:v>
                </c:pt>
                <c:pt idx="88">
                  <c:v>36049</c:v>
                </c:pt>
                <c:pt idx="89">
                  <c:v>36056</c:v>
                </c:pt>
                <c:pt idx="90">
                  <c:v>36063</c:v>
                </c:pt>
                <c:pt idx="91">
                  <c:v>36070</c:v>
                </c:pt>
                <c:pt idx="92">
                  <c:v>36077</c:v>
                </c:pt>
                <c:pt idx="93">
                  <c:v>36084</c:v>
                </c:pt>
                <c:pt idx="94">
                  <c:v>36091</c:v>
                </c:pt>
                <c:pt idx="95">
                  <c:v>36098</c:v>
                </c:pt>
                <c:pt idx="96">
                  <c:v>36105</c:v>
                </c:pt>
                <c:pt idx="97">
                  <c:v>36112</c:v>
                </c:pt>
                <c:pt idx="98">
                  <c:v>36119</c:v>
                </c:pt>
                <c:pt idx="99">
                  <c:v>36126</c:v>
                </c:pt>
                <c:pt idx="100">
                  <c:v>36133</c:v>
                </c:pt>
                <c:pt idx="101">
                  <c:v>36140</c:v>
                </c:pt>
                <c:pt idx="102">
                  <c:v>36147</c:v>
                </c:pt>
                <c:pt idx="103">
                  <c:v>36154</c:v>
                </c:pt>
                <c:pt idx="104">
                  <c:v>36161</c:v>
                </c:pt>
                <c:pt idx="105">
                  <c:v>36168</c:v>
                </c:pt>
                <c:pt idx="106">
                  <c:v>36175</c:v>
                </c:pt>
                <c:pt idx="107">
                  <c:v>36182</c:v>
                </c:pt>
                <c:pt idx="108">
                  <c:v>36189</c:v>
                </c:pt>
                <c:pt idx="109">
                  <c:v>36196</c:v>
                </c:pt>
                <c:pt idx="110">
                  <c:v>36203</c:v>
                </c:pt>
                <c:pt idx="111">
                  <c:v>36210</c:v>
                </c:pt>
                <c:pt idx="112">
                  <c:v>36217</c:v>
                </c:pt>
                <c:pt idx="113">
                  <c:v>36224</c:v>
                </c:pt>
                <c:pt idx="114">
                  <c:v>36231</c:v>
                </c:pt>
                <c:pt idx="115">
                  <c:v>36238</c:v>
                </c:pt>
                <c:pt idx="116">
                  <c:v>36245</c:v>
                </c:pt>
                <c:pt idx="117">
                  <c:v>36252</c:v>
                </c:pt>
                <c:pt idx="118">
                  <c:v>36259</c:v>
                </c:pt>
                <c:pt idx="119">
                  <c:v>36266</c:v>
                </c:pt>
                <c:pt idx="120">
                  <c:v>36273</c:v>
                </c:pt>
                <c:pt idx="121">
                  <c:v>36280</c:v>
                </c:pt>
                <c:pt idx="122">
                  <c:v>36287</c:v>
                </c:pt>
                <c:pt idx="123">
                  <c:v>36294</c:v>
                </c:pt>
                <c:pt idx="124">
                  <c:v>36301</c:v>
                </c:pt>
                <c:pt idx="125">
                  <c:v>36308</c:v>
                </c:pt>
                <c:pt idx="126">
                  <c:v>36315</c:v>
                </c:pt>
                <c:pt idx="127">
                  <c:v>36322</c:v>
                </c:pt>
                <c:pt idx="128">
                  <c:v>36329</c:v>
                </c:pt>
                <c:pt idx="129">
                  <c:v>36336</c:v>
                </c:pt>
                <c:pt idx="130">
                  <c:v>36343</c:v>
                </c:pt>
                <c:pt idx="131">
                  <c:v>36350</c:v>
                </c:pt>
                <c:pt idx="132">
                  <c:v>36357</c:v>
                </c:pt>
                <c:pt idx="133">
                  <c:v>36364</c:v>
                </c:pt>
                <c:pt idx="134">
                  <c:v>36371</c:v>
                </c:pt>
                <c:pt idx="135">
                  <c:v>36378</c:v>
                </c:pt>
                <c:pt idx="136">
                  <c:v>36385</c:v>
                </c:pt>
                <c:pt idx="137">
                  <c:v>36392</c:v>
                </c:pt>
                <c:pt idx="138">
                  <c:v>36399</c:v>
                </c:pt>
                <c:pt idx="139">
                  <c:v>36406</c:v>
                </c:pt>
                <c:pt idx="140">
                  <c:v>36413</c:v>
                </c:pt>
                <c:pt idx="141">
                  <c:v>36420</c:v>
                </c:pt>
                <c:pt idx="142">
                  <c:v>36427</c:v>
                </c:pt>
                <c:pt idx="143">
                  <c:v>36434</c:v>
                </c:pt>
                <c:pt idx="144">
                  <c:v>36441</c:v>
                </c:pt>
                <c:pt idx="145">
                  <c:v>36448</c:v>
                </c:pt>
                <c:pt idx="146">
                  <c:v>36455</c:v>
                </c:pt>
                <c:pt idx="147">
                  <c:v>36462</c:v>
                </c:pt>
                <c:pt idx="148">
                  <c:v>36469</c:v>
                </c:pt>
                <c:pt idx="149">
                  <c:v>36476</c:v>
                </c:pt>
                <c:pt idx="150">
                  <c:v>36483</c:v>
                </c:pt>
                <c:pt idx="151">
                  <c:v>36490</c:v>
                </c:pt>
                <c:pt idx="152">
                  <c:v>36497</c:v>
                </c:pt>
                <c:pt idx="153">
                  <c:v>36504</c:v>
                </c:pt>
                <c:pt idx="154">
                  <c:v>36511</c:v>
                </c:pt>
                <c:pt idx="155">
                  <c:v>36518</c:v>
                </c:pt>
                <c:pt idx="156">
                  <c:v>36525</c:v>
                </c:pt>
                <c:pt idx="157">
                  <c:v>36532</c:v>
                </c:pt>
                <c:pt idx="158">
                  <c:v>36539</c:v>
                </c:pt>
                <c:pt idx="159">
                  <c:v>36546</c:v>
                </c:pt>
                <c:pt idx="160">
                  <c:v>36553</c:v>
                </c:pt>
                <c:pt idx="161">
                  <c:v>36560</c:v>
                </c:pt>
                <c:pt idx="162">
                  <c:v>36567</c:v>
                </c:pt>
                <c:pt idx="163">
                  <c:v>36574</c:v>
                </c:pt>
                <c:pt idx="164">
                  <c:v>36581</c:v>
                </c:pt>
                <c:pt idx="165">
                  <c:v>36588</c:v>
                </c:pt>
                <c:pt idx="166">
                  <c:v>36595</c:v>
                </c:pt>
                <c:pt idx="167">
                  <c:v>36602</c:v>
                </c:pt>
                <c:pt idx="168">
                  <c:v>36609</c:v>
                </c:pt>
                <c:pt idx="169">
                  <c:v>36616</c:v>
                </c:pt>
                <c:pt idx="170">
                  <c:v>36623</c:v>
                </c:pt>
                <c:pt idx="171">
                  <c:v>36630</c:v>
                </c:pt>
                <c:pt idx="172">
                  <c:v>36637</c:v>
                </c:pt>
                <c:pt idx="173">
                  <c:v>36644</c:v>
                </c:pt>
                <c:pt idx="174">
                  <c:v>36651</c:v>
                </c:pt>
                <c:pt idx="175">
                  <c:v>36658</c:v>
                </c:pt>
                <c:pt idx="176">
                  <c:v>36665</c:v>
                </c:pt>
                <c:pt idx="177">
                  <c:v>36672</c:v>
                </c:pt>
                <c:pt idx="178">
                  <c:v>36679</c:v>
                </c:pt>
                <c:pt idx="179">
                  <c:v>36686</c:v>
                </c:pt>
                <c:pt idx="180">
                  <c:v>36693</c:v>
                </c:pt>
                <c:pt idx="181">
                  <c:v>36700</c:v>
                </c:pt>
                <c:pt idx="182">
                  <c:v>36707</c:v>
                </c:pt>
                <c:pt idx="183">
                  <c:v>36714</c:v>
                </c:pt>
                <c:pt idx="184">
                  <c:v>36721</c:v>
                </c:pt>
                <c:pt idx="185">
                  <c:v>36728</c:v>
                </c:pt>
                <c:pt idx="186">
                  <c:v>36735</c:v>
                </c:pt>
                <c:pt idx="187">
                  <c:v>36742</c:v>
                </c:pt>
                <c:pt idx="188">
                  <c:v>36749</c:v>
                </c:pt>
                <c:pt idx="189">
                  <c:v>36756</c:v>
                </c:pt>
                <c:pt idx="190">
                  <c:v>36763</c:v>
                </c:pt>
                <c:pt idx="191">
                  <c:v>36770</c:v>
                </c:pt>
                <c:pt idx="192">
                  <c:v>36777</c:v>
                </c:pt>
                <c:pt idx="193">
                  <c:v>36784</c:v>
                </c:pt>
                <c:pt idx="194">
                  <c:v>36791</c:v>
                </c:pt>
                <c:pt idx="195">
                  <c:v>36798</c:v>
                </c:pt>
                <c:pt idx="196">
                  <c:v>36805</c:v>
                </c:pt>
                <c:pt idx="197">
                  <c:v>36812</c:v>
                </c:pt>
                <c:pt idx="198">
                  <c:v>36819</c:v>
                </c:pt>
                <c:pt idx="199">
                  <c:v>36826</c:v>
                </c:pt>
                <c:pt idx="200">
                  <c:v>36833</c:v>
                </c:pt>
                <c:pt idx="201">
                  <c:v>36840</c:v>
                </c:pt>
                <c:pt idx="202">
                  <c:v>36847</c:v>
                </c:pt>
                <c:pt idx="203">
                  <c:v>36854</c:v>
                </c:pt>
                <c:pt idx="204">
                  <c:v>36861</c:v>
                </c:pt>
                <c:pt idx="205">
                  <c:v>36868</c:v>
                </c:pt>
                <c:pt idx="206">
                  <c:v>36875</c:v>
                </c:pt>
                <c:pt idx="207">
                  <c:v>36882</c:v>
                </c:pt>
                <c:pt idx="208">
                  <c:v>36889</c:v>
                </c:pt>
                <c:pt idx="209">
                  <c:v>36896</c:v>
                </c:pt>
                <c:pt idx="210">
                  <c:v>36903</c:v>
                </c:pt>
                <c:pt idx="211">
                  <c:v>36910</c:v>
                </c:pt>
                <c:pt idx="212">
                  <c:v>36917</c:v>
                </c:pt>
                <c:pt idx="213">
                  <c:v>36924</c:v>
                </c:pt>
                <c:pt idx="214">
                  <c:v>36931</c:v>
                </c:pt>
                <c:pt idx="215">
                  <c:v>36938</c:v>
                </c:pt>
                <c:pt idx="216">
                  <c:v>36945</c:v>
                </c:pt>
                <c:pt idx="217">
                  <c:v>36952</c:v>
                </c:pt>
                <c:pt idx="218">
                  <c:v>36959</c:v>
                </c:pt>
                <c:pt idx="219">
                  <c:v>36966</c:v>
                </c:pt>
                <c:pt idx="220">
                  <c:v>36973</c:v>
                </c:pt>
                <c:pt idx="221">
                  <c:v>36980</c:v>
                </c:pt>
                <c:pt idx="222">
                  <c:v>36987</c:v>
                </c:pt>
                <c:pt idx="223">
                  <c:v>36994</c:v>
                </c:pt>
                <c:pt idx="224">
                  <c:v>37001</c:v>
                </c:pt>
                <c:pt idx="225">
                  <c:v>37008</c:v>
                </c:pt>
                <c:pt idx="226">
                  <c:v>37015</c:v>
                </c:pt>
                <c:pt idx="227">
                  <c:v>37022</c:v>
                </c:pt>
                <c:pt idx="228">
                  <c:v>37029</c:v>
                </c:pt>
                <c:pt idx="229">
                  <c:v>37036</c:v>
                </c:pt>
                <c:pt idx="230">
                  <c:v>37043</c:v>
                </c:pt>
                <c:pt idx="231">
                  <c:v>37050</c:v>
                </c:pt>
                <c:pt idx="232">
                  <c:v>37057</c:v>
                </c:pt>
                <c:pt idx="233">
                  <c:v>37064</c:v>
                </c:pt>
                <c:pt idx="234">
                  <c:v>37071</c:v>
                </c:pt>
                <c:pt idx="235">
                  <c:v>37078</c:v>
                </c:pt>
                <c:pt idx="236">
                  <c:v>37085</c:v>
                </c:pt>
                <c:pt idx="237">
                  <c:v>37092</c:v>
                </c:pt>
                <c:pt idx="238">
                  <c:v>37099</c:v>
                </c:pt>
                <c:pt idx="239">
                  <c:v>37106</c:v>
                </c:pt>
                <c:pt idx="240">
                  <c:v>37113</c:v>
                </c:pt>
                <c:pt idx="241">
                  <c:v>37120</c:v>
                </c:pt>
                <c:pt idx="242">
                  <c:v>37127</c:v>
                </c:pt>
                <c:pt idx="243">
                  <c:v>37134</c:v>
                </c:pt>
                <c:pt idx="244">
                  <c:v>37141</c:v>
                </c:pt>
                <c:pt idx="245">
                  <c:v>37148</c:v>
                </c:pt>
                <c:pt idx="246">
                  <c:v>37155</c:v>
                </c:pt>
                <c:pt idx="247">
                  <c:v>37162</c:v>
                </c:pt>
                <c:pt idx="248">
                  <c:v>37169</c:v>
                </c:pt>
                <c:pt idx="249">
                  <c:v>37176</c:v>
                </c:pt>
                <c:pt idx="250">
                  <c:v>37183</c:v>
                </c:pt>
                <c:pt idx="251">
                  <c:v>37190</c:v>
                </c:pt>
                <c:pt idx="252">
                  <c:v>37197</c:v>
                </c:pt>
                <c:pt idx="253">
                  <c:v>37204</c:v>
                </c:pt>
                <c:pt idx="254">
                  <c:v>37211</c:v>
                </c:pt>
                <c:pt idx="255">
                  <c:v>37218</c:v>
                </c:pt>
                <c:pt idx="256">
                  <c:v>37225</c:v>
                </c:pt>
                <c:pt idx="257">
                  <c:v>37232</c:v>
                </c:pt>
                <c:pt idx="258">
                  <c:v>37239</c:v>
                </c:pt>
                <c:pt idx="259">
                  <c:v>37246</c:v>
                </c:pt>
                <c:pt idx="260">
                  <c:v>37253</c:v>
                </c:pt>
                <c:pt idx="261">
                  <c:v>37260</c:v>
                </c:pt>
                <c:pt idx="262">
                  <c:v>37267</c:v>
                </c:pt>
                <c:pt idx="263">
                  <c:v>37274</c:v>
                </c:pt>
                <c:pt idx="264">
                  <c:v>37281</c:v>
                </c:pt>
                <c:pt idx="265">
                  <c:v>37288</c:v>
                </c:pt>
                <c:pt idx="266">
                  <c:v>37295</c:v>
                </c:pt>
                <c:pt idx="267">
                  <c:v>37302</c:v>
                </c:pt>
                <c:pt idx="268">
                  <c:v>37309</c:v>
                </c:pt>
                <c:pt idx="269">
                  <c:v>37316</c:v>
                </c:pt>
                <c:pt idx="270">
                  <c:v>37323</c:v>
                </c:pt>
                <c:pt idx="271">
                  <c:v>37330</c:v>
                </c:pt>
                <c:pt idx="272">
                  <c:v>37337</c:v>
                </c:pt>
                <c:pt idx="273">
                  <c:v>37344</c:v>
                </c:pt>
                <c:pt idx="274">
                  <c:v>37351</c:v>
                </c:pt>
                <c:pt idx="275">
                  <c:v>37358</c:v>
                </c:pt>
                <c:pt idx="276">
                  <c:v>37365</c:v>
                </c:pt>
                <c:pt idx="277">
                  <c:v>37372</c:v>
                </c:pt>
                <c:pt idx="278">
                  <c:v>37379</c:v>
                </c:pt>
                <c:pt idx="279">
                  <c:v>37386</c:v>
                </c:pt>
                <c:pt idx="280">
                  <c:v>37393</c:v>
                </c:pt>
                <c:pt idx="281">
                  <c:v>37400</c:v>
                </c:pt>
                <c:pt idx="282">
                  <c:v>37407</c:v>
                </c:pt>
                <c:pt idx="283">
                  <c:v>37414</c:v>
                </c:pt>
                <c:pt idx="284">
                  <c:v>37421</c:v>
                </c:pt>
                <c:pt idx="285">
                  <c:v>37428</c:v>
                </c:pt>
                <c:pt idx="286">
                  <c:v>37435</c:v>
                </c:pt>
                <c:pt idx="287">
                  <c:v>37442</c:v>
                </c:pt>
                <c:pt idx="288">
                  <c:v>37449</c:v>
                </c:pt>
                <c:pt idx="289">
                  <c:v>37456</c:v>
                </c:pt>
                <c:pt idx="290">
                  <c:v>37463</c:v>
                </c:pt>
                <c:pt idx="291">
                  <c:v>37470</c:v>
                </c:pt>
                <c:pt idx="292">
                  <c:v>37477</c:v>
                </c:pt>
                <c:pt idx="293">
                  <c:v>37484</c:v>
                </c:pt>
                <c:pt idx="294">
                  <c:v>37491</c:v>
                </c:pt>
                <c:pt idx="295">
                  <c:v>37498</c:v>
                </c:pt>
                <c:pt idx="296">
                  <c:v>37505</c:v>
                </c:pt>
                <c:pt idx="297">
                  <c:v>37512</c:v>
                </c:pt>
                <c:pt idx="298">
                  <c:v>37519</c:v>
                </c:pt>
                <c:pt idx="299">
                  <c:v>37526</c:v>
                </c:pt>
                <c:pt idx="300">
                  <c:v>37533</c:v>
                </c:pt>
                <c:pt idx="301">
                  <c:v>37540</c:v>
                </c:pt>
                <c:pt idx="302">
                  <c:v>37547</c:v>
                </c:pt>
                <c:pt idx="303">
                  <c:v>37554</c:v>
                </c:pt>
                <c:pt idx="304">
                  <c:v>37561</c:v>
                </c:pt>
                <c:pt idx="305">
                  <c:v>37568</c:v>
                </c:pt>
                <c:pt idx="306">
                  <c:v>37575</c:v>
                </c:pt>
                <c:pt idx="307">
                  <c:v>37582</c:v>
                </c:pt>
                <c:pt idx="308">
                  <c:v>37589</c:v>
                </c:pt>
                <c:pt idx="309">
                  <c:v>37596</c:v>
                </c:pt>
                <c:pt idx="310">
                  <c:v>37603</c:v>
                </c:pt>
                <c:pt idx="311">
                  <c:v>37610</c:v>
                </c:pt>
                <c:pt idx="312">
                  <c:v>37617</c:v>
                </c:pt>
                <c:pt idx="313">
                  <c:v>37624</c:v>
                </c:pt>
                <c:pt idx="314">
                  <c:v>37631</c:v>
                </c:pt>
                <c:pt idx="315">
                  <c:v>37638</c:v>
                </c:pt>
                <c:pt idx="316">
                  <c:v>37645</c:v>
                </c:pt>
                <c:pt idx="317">
                  <c:v>37652</c:v>
                </c:pt>
                <c:pt idx="318">
                  <c:v>37659</c:v>
                </c:pt>
                <c:pt idx="319">
                  <c:v>37666</c:v>
                </c:pt>
                <c:pt idx="320">
                  <c:v>37673</c:v>
                </c:pt>
                <c:pt idx="321">
                  <c:v>37680</c:v>
                </c:pt>
                <c:pt idx="322">
                  <c:v>37687</c:v>
                </c:pt>
                <c:pt idx="323">
                  <c:v>37694</c:v>
                </c:pt>
                <c:pt idx="324">
                  <c:v>37701</c:v>
                </c:pt>
                <c:pt idx="325">
                  <c:v>37708</c:v>
                </c:pt>
                <c:pt idx="326">
                  <c:v>37715</c:v>
                </c:pt>
                <c:pt idx="327">
                  <c:v>37722</c:v>
                </c:pt>
                <c:pt idx="328">
                  <c:v>37729</c:v>
                </c:pt>
                <c:pt idx="329">
                  <c:v>37736</c:v>
                </c:pt>
                <c:pt idx="330">
                  <c:v>37743</c:v>
                </c:pt>
                <c:pt idx="331">
                  <c:v>37750</c:v>
                </c:pt>
                <c:pt idx="332">
                  <c:v>37757</c:v>
                </c:pt>
                <c:pt idx="333">
                  <c:v>37764</c:v>
                </c:pt>
                <c:pt idx="334">
                  <c:v>37771</c:v>
                </c:pt>
                <c:pt idx="335">
                  <c:v>37778</c:v>
                </c:pt>
                <c:pt idx="336">
                  <c:v>37785</c:v>
                </c:pt>
                <c:pt idx="337">
                  <c:v>37792</c:v>
                </c:pt>
                <c:pt idx="338">
                  <c:v>37799</c:v>
                </c:pt>
                <c:pt idx="339">
                  <c:v>37806</c:v>
                </c:pt>
                <c:pt idx="340">
                  <c:v>37813</c:v>
                </c:pt>
                <c:pt idx="341">
                  <c:v>37820</c:v>
                </c:pt>
                <c:pt idx="342">
                  <c:v>37827</c:v>
                </c:pt>
                <c:pt idx="343">
                  <c:v>37834</c:v>
                </c:pt>
                <c:pt idx="344">
                  <c:v>37841</c:v>
                </c:pt>
                <c:pt idx="345">
                  <c:v>37848</c:v>
                </c:pt>
                <c:pt idx="346">
                  <c:v>37855</c:v>
                </c:pt>
                <c:pt idx="347">
                  <c:v>37862</c:v>
                </c:pt>
                <c:pt idx="348">
                  <c:v>37869</c:v>
                </c:pt>
                <c:pt idx="349">
                  <c:v>37876</c:v>
                </c:pt>
                <c:pt idx="350">
                  <c:v>37883</c:v>
                </c:pt>
                <c:pt idx="351">
                  <c:v>37890</c:v>
                </c:pt>
                <c:pt idx="352">
                  <c:v>37897</c:v>
                </c:pt>
                <c:pt idx="353">
                  <c:v>37904</c:v>
                </c:pt>
                <c:pt idx="354">
                  <c:v>37911</c:v>
                </c:pt>
                <c:pt idx="355">
                  <c:v>37918</c:v>
                </c:pt>
                <c:pt idx="356">
                  <c:v>37925</c:v>
                </c:pt>
                <c:pt idx="357">
                  <c:v>37932</c:v>
                </c:pt>
                <c:pt idx="358">
                  <c:v>37939</c:v>
                </c:pt>
                <c:pt idx="359">
                  <c:v>37946</c:v>
                </c:pt>
                <c:pt idx="360">
                  <c:v>37953</c:v>
                </c:pt>
                <c:pt idx="361">
                  <c:v>37960</c:v>
                </c:pt>
                <c:pt idx="362">
                  <c:v>37967</c:v>
                </c:pt>
                <c:pt idx="363">
                  <c:v>37974</c:v>
                </c:pt>
                <c:pt idx="364">
                  <c:v>37981</c:v>
                </c:pt>
                <c:pt idx="365">
                  <c:v>37988</c:v>
                </c:pt>
                <c:pt idx="366">
                  <c:v>37995</c:v>
                </c:pt>
                <c:pt idx="367">
                  <c:v>38002</c:v>
                </c:pt>
                <c:pt idx="368">
                  <c:v>38009</c:v>
                </c:pt>
                <c:pt idx="369">
                  <c:v>38016</c:v>
                </c:pt>
                <c:pt idx="370">
                  <c:v>38023</c:v>
                </c:pt>
                <c:pt idx="371">
                  <c:v>38030</c:v>
                </c:pt>
                <c:pt idx="372">
                  <c:v>38037</c:v>
                </c:pt>
                <c:pt idx="373">
                  <c:v>38044</c:v>
                </c:pt>
                <c:pt idx="374">
                  <c:v>38051</c:v>
                </c:pt>
                <c:pt idx="375">
                  <c:v>38058</c:v>
                </c:pt>
                <c:pt idx="376">
                  <c:v>38065</c:v>
                </c:pt>
                <c:pt idx="377">
                  <c:v>38072</c:v>
                </c:pt>
                <c:pt idx="378">
                  <c:v>38079</c:v>
                </c:pt>
                <c:pt idx="379">
                  <c:v>38086</c:v>
                </c:pt>
                <c:pt idx="380">
                  <c:v>38093</c:v>
                </c:pt>
                <c:pt idx="381">
                  <c:v>38100</c:v>
                </c:pt>
                <c:pt idx="382">
                  <c:v>38107</c:v>
                </c:pt>
                <c:pt idx="383">
                  <c:v>38114</c:v>
                </c:pt>
                <c:pt idx="384">
                  <c:v>38121</c:v>
                </c:pt>
                <c:pt idx="385">
                  <c:v>38128</c:v>
                </c:pt>
                <c:pt idx="386">
                  <c:v>38135</c:v>
                </c:pt>
                <c:pt idx="387">
                  <c:v>38142</c:v>
                </c:pt>
                <c:pt idx="388">
                  <c:v>38149</c:v>
                </c:pt>
                <c:pt idx="389">
                  <c:v>38156</c:v>
                </c:pt>
                <c:pt idx="390">
                  <c:v>38163</c:v>
                </c:pt>
                <c:pt idx="391">
                  <c:v>38170</c:v>
                </c:pt>
                <c:pt idx="392">
                  <c:v>38177</c:v>
                </c:pt>
                <c:pt idx="393">
                  <c:v>38184</c:v>
                </c:pt>
                <c:pt idx="394">
                  <c:v>38191</c:v>
                </c:pt>
                <c:pt idx="395">
                  <c:v>38198</c:v>
                </c:pt>
                <c:pt idx="396">
                  <c:v>38205</c:v>
                </c:pt>
                <c:pt idx="397">
                  <c:v>38212</c:v>
                </c:pt>
                <c:pt idx="398">
                  <c:v>38219</c:v>
                </c:pt>
                <c:pt idx="399">
                  <c:v>38226</c:v>
                </c:pt>
                <c:pt idx="400">
                  <c:v>38233</c:v>
                </c:pt>
                <c:pt idx="401">
                  <c:v>38240</c:v>
                </c:pt>
                <c:pt idx="402">
                  <c:v>38247</c:v>
                </c:pt>
                <c:pt idx="403">
                  <c:v>38254</c:v>
                </c:pt>
                <c:pt idx="404">
                  <c:v>38261</c:v>
                </c:pt>
                <c:pt idx="405">
                  <c:v>38268</c:v>
                </c:pt>
                <c:pt idx="406">
                  <c:v>38275</c:v>
                </c:pt>
                <c:pt idx="407">
                  <c:v>38282</c:v>
                </c:pt>
                <c:pt idx="408">
                  <c:v>38289</c:v>
                </c:pt>
                <c:pt idx="409">
                  <c:v>38296</c:v>
                </c:pt>
                <c:pt idx="410">
                  <c:v>38303</c:v>
                </c:pt>
                <c:pt idx="411">
                  <c:v>38310</c:v>
                </c:pt>
                <c:pt idx="412">
                  <c:v>38317</c:v>
                </c:pt>
                <c:pt idx="413">
                  <c:v>38324</c:v>
                </c:pt>
                <c:pt idx="414">
                  <c:v>38331</c:v>
                </c:pt>
                <c:pt idx="415">
                  <c:v>38338</c:v>
                </c:pt>
                <c:pt idx="416">
                  <c:v>38345</c:v>
                </c:pt>
                <c:pt idx="417">
                  <c:v>38352</c:v>
                </c:pt>
                <c:pt idx="418">
                  <c:v>38359</c:v>
                </c:pt>
                <c:pt idx="419">
                  <c:v>38366</c:v>
                </c:pt>
                <c:pt idx="420">
                  <c:v>38373</c:v>
                </c:pt>
                <c:pt idx="421">
                  <c:v>38380</c:v>
                </c:pt>
                <c:pt idx="422">
                  <c:v>38387</c:v>
                </c:pt>
                <c:pt idx="423">
                  <c:v>38394</c:v>
                </c:pt>
                <c:pt idx="424">
                  <c:v>38401</c:v>
                </c:pt>
                <c:pt idx="425">
                  <c:v>38408</c:v>
                </c:pt>
                <c:pt idx="426">
                  <c:v>38415</c:v>
                </c:pt>
                <c:pt idx="427">
                  <c:v>38422</c:v>
                </c:pt>
                <c:pt idx="428">
                  <c:v>38429</c:v>
                </c:pt>
                <c:pt idx="429">
                  <c:v>38436</c:v>
                </c:pt>
                <c:pt idx="430">
                  <c:v>38443</c:v>
                </c:pt>
                <c:pt idx="431">
                  <c:v>38450</c:v>
                </c:pt>
                <c:pt idx="432">
                  <c:v>38457</c:v>
                </c:pt>
                <c:pt idx="433">
                  <c:v>38464</c:v>
                </c:pt>
                <c:pt idx="434">
                  <c:v>38471</c:v>
                </c:pt>
                <c:pt idx="435">
                  <c:v>38478</c:v>
                </c:pt>
                <c:pt idx="436">
                  <c:v>38485</c:v>
                </c:pt>
                <c:pt idx="437">
                  <c:v>38492</c:v>
                </c:pt>
                <c:pt idx="438">
                  <c:v>38499</c:v>
                </c:pt>
                <c:pt idx="439">
                  <c:v>38506</c:v>
                </c:pt>
                <c:pt idx="440">
                  <c:v>38513</c:v>
                </c:pt>
                <c:pt idx="441">
                  <c:v>38520</c:v>
                </c:pt>
                <c:pt idx="442">
                  <c:v>38527</c:v>
                </c:pt>
                <c:pt idx="443">
                  <c:v>38534</c:v>
                </c:pt>
                <c:pt idx="444">
                  <c:v>38541</c:v>
                </c:pt>
                <c:pt idx="445">
                  <c:v>38548</c:v>
                </c:pt>
                <c:pt idx="446">
                  <c:v>38555</c:v>
                </c:pt>
                <c:pt idx="447">
                  <c:v>38562</c:v>
                </c:pt>
                <c:pt idx="448">
                  <c:v>38569</c:v>
                </c:pt>
                <c:pt idx="449">
                  <c:v>38576</c:v>
                </c:pt>
                <c:pt idx="450">
                  <c:v>38583</c:v>
                </c:pt>
                <c:pt idx="451">
                  <c:v>38590</c:v>
                </c:pt>
                <c:pt idx="452">
                  <c:v>38597</c:v>
                </c:pt>
                <c:pt idx="453">
                  <c:v>38604</c:v>
                </c:pt>
                <c:pt idx="454">
                  <c:v>38611</c:v>
                </c:pt>
                <c:pt idx="455">
                  <c:v>38618</c:v>
                </c:pt>
                <c:pt idx="456">
                  <c:v>38625</c:v>
                </c:pt>
                <c:pt idx="457">
                  <c:v>38632</c:v>
                </c:pt>
                <c:pt idx="458">
                  <c:v>38639</c:v>
                </c:pt>
                <c:pt idx="459">
                  <c:v>38646</c:v>
                </c:pt>
                <c:pt idx="460">
                  <c:v>38653</c:v>
                </c:pt>
                <c:pt idx="461">
                  <c:v>38660</c:v>
                </c:pt>
                <c:pt idx="462">
                  <c:v>38667</c:v>
                </c:pt>
                <c:pt idx="463">
                  <c:v>38674</c:v>
                </c:pt>
                <c:pt idx="464">
                  <c:v>38681</c:v>
                </c:pt>
                <c:pt idx="465">
                  <c:v>38688</c:v>
                </c:pt>
                <c:pt idx="466">
                  <c:v>38695</c:v>
                </c:pt>
                <c:pt idx="467">
                  <c:v>38702</c:v>
                </c:pt>
                <c:pt idx="468">
                  <c:v>38709</c:v>
                </c:pt>
                <c:pt idx="469">
                  <c:v>38716</c:v>
                </c:pt>
                <c:pt idx="470">
                  <c:v>38723</c:v>
                </c:pt>
                <c:pt idx="471">
                  <c:v>38730</c:v>
                </c:pt>
                <c:pt idx="472">
                  <c:v>38737</c:v>
                </c:pt>
                <c:pt idx="473">
                  <c:v>38744</c:v>
                </c:pt>
                <c:pt idx="474">
                  <c:v>38751</c:v>
                </c:pt>
                <c:pt idx="475">
                  <c:v>38758</c:v>
                </c:pt>
                <c:pt idx="476">
                  <c:v>38765</c:v>
                </c:pt>
                <c:pt idx="477">
                  <c:v>38772</c:v>
                </c:pt>
                <c:pt idx="478">
                  <c:v>38779</c:v>
                </c:pt>
                <c:pt idx="479">
                  <c:v>38786</c:v>
                </c:pt>
                <c:pt idx="480">
                  <c:v>38793</c:v>
                </c:pt>
                <c:pt idx="481">
                  <c:v>38800</c:v>
                </c:pt>
                <c:pt idx="482">
                  <c:v>38807</c:v>
                </c:pt>
                <c:pt idx="483">
                  <c:v>38814</c:v>
                </c:pt>
                <c:pt idx="484">
                  <c:v>38821</c:v>
                </c:pt>
                <c:pt idx="485">
                  <c:v>38828</c:v>
                </c:pt>
                <c:pt idx="486">
                  <c:v>38835</c:v>
                </c:pt>
                <c:pt idx="487">
                  <c:v>38842</c:v>
                </c:pt>
                <c:pt idx="488">
                  <c:v>38849</c:v>
                </c:pt>
                <c:pt idx="489">
                  <c:v>38856</c:v>
                </c:pt>
                <c:pt idx="490">
                  <c:v>38863</c:v>
                </c:pt>
                <c:pt idx="491">
                  <c:v>38870</c:v>
                </c:pt>
                <c:pt idx="492">
                  <c:v>38877</c:v>
                </c:pt>
                <c:pt idx="493">
                  <c:v>38884</c:v>
                </c:pt>
                <c:pt idx="494">
                  <c:v>38891</c:v>
                </c:pt>
                <c:pt idx="495">
                  <c:v>38898</c:v>
                </c:pt>
                <c:pt idx="496">
                  <c:v>38905</c:v>
                </c:pt>
                <c:pt idx="497">
                  <c:v>38912</c:v>
                </c:pt>
                <c:pt idx="498">
                  <c:v>38919</c:v>
                </c:pt>
                <c:pt idx="499">
                  <c:v>38926</c:v>
                </c:pt>
                <c:pt idx="500">
                  <c:v>38933</c:v>
                </c:pt>
                <c:pt idx="501">
                  <c:v>38940</c:v>
                </c:pt>
                <c:pt idx="502">
                  <c:v>38947</c:v>
                </c:pt>
                <c:pt idx="503">
                  <c:v>38954</c:v>
                </c:pt>
                <c:pt idx="504">
                  <c:v>38961</c:v>
                </c:pt>
                <c:pt idx="505">
                  <c:v>38968</c:v>
                </c:pt>
                <c:pt idx="506">
                  <c:v>38975</c:v>
                </c:pt>
                <c:pt idx="507">
                  <c:v>38982</c:v>
                </c:pt>
                <c:pt idx="508">
                  <c:v>38989</c:v>
                </c:pt>
                <c:pt idx="509">
                  <c:v>38996</c:v>
                </c:pt>
                <c:pt idx="510">
                  <c:v>39003</c:v>
                </c:pt>
                <c:pt idx="511">
                  <c:v>39010</c:v>
                </c:pt>
                <c:pt idx="512">
                  <c:v>39017</c:v>
                </c:pt>
                <c:pt idx="513">
                  <c:v>39024</c:v>
                </c:pt>
                <c:pt idx="514">
                  <c:v>39031</c:v>
                </c:pt>
                <c:pt idx="515">
                  <c:v>39038</c:v>
                </c:pt>
                <c:pt idx="516">
                  <c:v>39045</c:v>
                </c:pt>
                <c:pt idx="517">
                  <c:v>39052</c:v>
                </c:pt>
                <c:pt idx="518">
                  <c:v>39059</c:v>
                </c:pt>
                <c:pt idx="519">
                  <c:v>39066</c:v>
                </c:pt>
                <c:pt idx="520">
                  <c:v>39073</c:v>
                </c:pt>
                <c:pt idx="521">
                  <c:v>39081</c:v>
                </c:pt>
                <c:pt idx="522">
                  <c:v>39087</c:v>
                </c:pt>
                <c:pt idx="523">
                  <c:v>39094</c:v>
                </c:pt>
                <c:pt idx="524">
                  <c:v>39101</c:v>
                </c:pt>
                <c:pt idx="525">
                  <c:v>39108</c:v>
                </c:pt>
                <c:pt idx="526">
                  <c:v>39115</c:v>
                </c:pt>
                <c:pt idx="527">
                  <c:v>39122</c:v>
                </c:pt>
                <c:pt idx="528">
                  <c:v>39129</c:v>
                </c:pt>
                <c:pt idx="529">
                  <c:v>39136</c:v>
                </c:pt>
                <c:pt idx="530">
                  <c:v>39143</c:v>
                </c:pt>
                <c:pt idx="531">
                  <c:v>39150</c:v>
                </c:pt>
                <c:pt idx="532">
                  <c:v>39157</c:v>
                </c:pt>
                <c:pt idx="533">
                  <c:v>39164</c:v>
                </c:pt>
                <c:pt idx="534">
                  <c:v>39171</c:v>
                </c:pt>
                <c:pt idx="535">
                  <c:v>39178</c:v>
                </c:pt>
                <c:pt idx="536">
                  <c:v>39185</c:v>
                </c:pt>
                <c:pt idx="537">
                  <c:v>39192</c:v>
                </c:pt>
                <c:pt idx="538">
                  <c:v>39199</c:v>
                </c:pt>
                <c:pt idx="539">
                  <c:v>39206</c:v>
                </c:pt>
                <c:pt idx="540">
                  <c:v>39213</c:v>
                </c:pt>
                <c:pt idx="541">
                  <c:v>39220</c:v>
                </c:pt>
                <c:pt idx="542">
                  <c:v>39227</c:v>
                </c:pt>
                <c:pt idx="543">
                  <c:v>39234</c:v>
                </c:pt>
                <c:pt idx="544">
                  <c:v>39241</c:v>
                </c:pt>
                <c:pt idx="545">
                  <c:v>39248</c:v>
                </c:pt>
                <c:pt idx="546">
                  <c:v>39255</c:v>
                </c:pt>
                <c:pt idx="547">
                  <c:v>39262</c:v>
                </c:pt>
                <c:pt idx="548">
                  <c:v>39269</c:v>
                </c:pt>
                <c:pt idx="549">
                  <c:v>39276</c:v>
                </c:pt>
                <c:pt idx="550">
                  <c:v>39283</c:v>
                </c:pt>
                <c:pt idx="551">
                  <c:v>39290</c:v>
                </c:pt>
                <c:pt idx="552">
                  <c:v>39297</c:v>
                </c:pt>
                <c:pt idx="553">
                  <c:v>39304</c:v>
                </c:pt>
                <c:pt idx="554">
                  <c:v>39311</c:v>
                </c:pt>
                <c:pt idx="555">
                  <c:v>39318</c:v>
                </c:pt>
                <c:pt idx="556">
                  <c:v>39325</c:v>
                </c:pt>
                <c:pt idx="557">
                  <c:v>39332</c:v>
                </c:pt>
                <c:pt idx="558">
                  <c:v>39339</c:v>
                </c:pt>
                <c:pt idx="559">
                  <c:v>39346</c:v>
                </c:pt>
                <c:pt idx="560">
                  <c:v>39353</c:v>
                </c:pt>
                <c:pt idx="561">
                  <c:v>39360</c:v>
                </c:pt>
                <c:pt idx="562">
                  <c:v>39367</c:v>
                </c:pt>
                <c:pt idx="563">
                  <c:v>39374</c:v>
                </c:pt>
                <c:pt idx="564">
                  <c:v>39381</c:v>
                </c:pt>
                <c:pt idx="565">
                  <c:v>39388</c:v>
                </c:pt>
                <c:pt idx="566">
                  <c:v>39395</c:v>
                </c:pt>
                <c:pt idx="567">
                  <c:v>39402</c:v>
                </c:pt>
                <c:pt idx="568">
                  <c:v>39409</c:v>
                </c:pt>
                <c:pt idx="569">
                  <c:v>39416</c:v>
                </c:pt>
                <c:pt idx="570">
                  <c:v>39423</c:v>
                </c:pt>
                <c:pt idx="571">
                  <c:v>39430</c:v>
                </c:pt>
                <c:pt idx="572">
                  <c:v>39437</c:v>
                </c:pt>
                <c:pt idx="573">
                  <c:v>39447</c:v>
                </c:pt>
                <c:pt idx="574">
                  <c:v>39451</c:v>
                </c:pt>
                <c:pt idx="575">
                  <c:v>39458</c:v>
                </c:pt>
                <c:pt idx="576">
                  <c:v>39465</c:v>
                </c:pt>
                <c:pt idx="577">
                  <c:v>39472</c:v>
                </c:pt>
                <c:pt idx="578">
                  <c:v>39479</c:v>
                </c:pt>
                <c:pt idx="579">
                  <c:v>39486</c:v>
                </c:pt>
                <c:pt idx="580">
                  <c:v>39493</c:v>
                </c:pt>
                <c:pt idx="581">
                  <c:v>39500</c:v>
                </c:pt>
                <c:pt idx="582">
                  <c:v>39507</c:v>
                </c:pt>
                <c:pt idx="583">
                  <c:v>39514</c:v>
                </c:pt>
                <c:pt idx="584">
                  <c:v>39521</c:v>
                </c:pt>
                <c:pt idx="585">
                  <c:v>39528</c:v>
                </c:pt>
                <c:pt idx="586">
                  <c:v>39538</c:v>
                </c:pt>
                <c:pt idx="587">
                  <c:v>39542</c:v>
                </c:pt>
                <c:pt idx="588">
                  <c:v>39549</c:v>
                </c:pt>
                <c:pt idx="589">
                  <c:v>39556</c:v>
                </c:pt>
                <c:pt idx="590">
                  <c:v>39563</c:v>
                </c:pt>
                <c:pt idx="591">
                  <c:v>39570</c:v>
                </c:pt>
                <c:pt idx="592">
                  <c:v>39577</c:v>
                </c:pt>
                <c:pt idx="593">
                  <c:v>39584</c:v>
                </c:pt>
                <c:pt idx="594">
                  <c:v>39591</c:v>
                </c:pt>
                <c:pt idx="595">
                  <c:v>39598</c:v>
                </c:pt>
                <c:pt idx="596">
                  <c:v>39605</c:v>
                </c:pt>
                <c:pt idx="597">
                  <c:v>39612</c:v>
                </c:pt>
                <c:pt idx="598">
                  <c:v>39619</c:v>
                </c:pt>
                <c:pt idx="599">
                  <c:v>39626</c:v>
                </c:pt>
                <c:pt idx="600">
                  <c:v>39633</c:v>
                </c:pt>
                <c:pt idx="601">
                  <c:v>39640</c:v>
                </c:pt>
                <c:pt idx="602">
                  <c:v>39647</c:v>
                </c:pt>
                <c:pt idx="603">
                  <c:v>39654</c:v>
                </c:pt>
                <c:pt idx="604">
                  <c:v>39661</c:v>
                </c:pt>
                <c:pt idx="605">
                  <c:v>39668</c:v>
                </c:pt>
                <c:pt idx="606">
                  <c:v>39675</c:v>
                </c:pt>
                <c:pt idx="607">
                  <c:v>39682</c:v>
                </c:pt>
                <c:pt idx="608">
                  <c:v>39689</c:v>
                </c:pt>
                <c:pt idx="609">
                  <c:v>39696</c:v>
                </c:pt>
                <c:pt idx="610">
                  <c:v>39703</c:v>
                </c:pt>
                <c:pt idx="611">
                  <c:v>39710</c:v>
                </c:pt>
                <c:pt idx="612">
                  <c:v>39717</c:v>
                </c:pt>
                <c:pt idx="613">
                  <c:v>39724</c:v>
                </c:pt>
                <c:pt idx="614">
                  <c:v>39731</c:v>
                </c:pt>
                <c:pt idx="615">
                  <c:v>39738</c:v>
                </c:pt>
                <c:pt idx="616">
                  <c:v>39745</c:v>
                </c:pt>
                <c:pt idx="617">
                  <c:v>39752</c:v>
                </c:pt>
                <c:pt idx="618">
                  <c:v>39759</c:v>
                </c:pt>
                <c:pt idx="619">
                  <c:v>39766</c:v>
                </c:pt>
                <c:pt idx="620">
                  <c:v>39773</c:v>
                </c:pt>
                <c:pt idx="621">
                  <c:v>39780</c:v>
                </c:pt>
                <c:pt idx="622">
                  <c:v>39787</c:v>
                </c:pt>
                <c:pt idx="623">
                  <c:v>39794</c:v>
                </c:pt>
                <c:pt idx="624">
                  <c:v>39801</c:v>
                </c:pt>
                <c:pt idx="625">
                  <c:v>39808</c:v>
                </c:pt>
                <c:pt idx="626">
                  <c:v>39815</c:v>
                </c:pt>
                <c:pt idx="627">
                  <c:v>39822</c:v>
                </c:pt>
                <c:pt idx="628">
                  <c:v>39829</c:v>
                </c:pt>
                <c:pt idx="629">
                  <c:v>39836</c:v>
                </c:pt>
                <c:pt idx="630">
                  <c:v>39843</c:v>
                </c:pt>
                <c:pt idx="631">
                  <c:v>39850</c:v>
                </c:pt>
                <c:pt idx="632">
                  <c:v>39857</c:v>
                </c:pt>
                <c:pt idx="633">
                  <c:v>39864</c:v>
                </c:pt>
                <c:pt idx="634">
                  <c:v>39871</c:v>
                </c:pt>
                <c:pt idx="635">
                  <c:v>39878</c:v>
                </c:pt>
                <c:pt idx="636">
                  <c:v>39885</c:v>
                </c:pt>
                <c:pt idx="637">
                  <c:v>39892</c:v>
                </c:pt>
                <c:pt idx="638">
                  <c:v>39899</c:v>
                </c:pt>
                <c:pt idx="639">
                  <c:v>39906</c:v>
                </c:pt>
                <c:pt idx="640">
                  <c:v>39913</c:v>
                </c:pt>
                <c:pt idx="641">
                  <c:v>39920</c:v>
                </c:pt>
                <c:pt idx="642">
                  <c:v>39927</c:v>
                </c:pt>
                <c:pt idx="643">
                  <c:v>39934</c:v>
                </c:pt>
                <c:pt idx="644">
                  <c:v>39941</c:v>
                </c:pt>
                <c:pt idx="645">
                  <c:v>39948</c:v>
                </c:pt>
                <c:pt idx="646">
                  <c:v>39955</c:v>
                </c:pt>
                <c:pt idx="647">
                  <c:v>39962</c:v>
                </c:pt>
                <c:pt idx="648">
                  <c:v>39969</c:v>
                </c:pt>
                <c:pt idx="649">
                  <c:v>39976</c:v>
                </c:pt>
                <c:pt idx="650">
                  <c:v>39983</c:v>
                </c:pt>
                <c:pt idx="651">
                  <c:v>39990</c:v>
                </c:pt>
                <c:pt idx="652">
                  <c:v>39997</c:v>
                </c:pt>
                <c:pt idx="653">
                  <c:v>40004</c:v>
                </c:pt>
                <c:pt idx="654">
                  <c:v>40011</c:v>
                </c:pt>
                <c:pt idx="655">
                  <c:v>40018</c:v>
                </c:pt>
                <c:pt idx="656">
                  <c:v>40025</c:v>
                </c:pt>
                <c:pt idx="657">
                  <c:v>40032</c:v>
                </c:pt>
                <c:pt idx="658">
                  <c:v>40039</c:v>
                </c:pt>
                <c:pt idx="659">
                  <c:v>40046</c:v>
                </c:pt>
                <c:pt idx="660">
                  <c:v>40053</c:v>
                </c:pt>
                <c:pt idx="661">
                  <c:v>40060</c:v>
                </c:pt>
                <c:pt idx="662">
                  <c:v>40067</c:v>
                </c:pt>
                <c:pt idx="663">
                  <c:v>40074</c:v>
                </c:pt>
                <c:pt idx="664">
                  <c:v>40081</c:v>
                </c:pt>
                <c:pt idx="665">
                  <c:v>40088</c:v>
                </c:pt>
                <c:pt idx="666">
                  <c:v>40095</c:v>
                </c:pt>
                <c:pt idx="667">
                  <c:v>40102</c:v>
                </c:pt>
                <c:pt idx="668">
                  <c:v>40109</c:v>
                </c:pt>
                <c:pt idx="669">
                  <c:v>40116</c:v>
                </c:pt>
                <c:pt idx="670">
                  <c:v>40123</c:v>
                </c:pt>
                <c:pt idx="671">
                  <c:v>40130</c:v>
                </c:pt>
                <c:pt idx="672">
                  <c:v>40137</c:v>
                </c:pt>
                <c:pt idx="673">
                  <c:v>40144</c:v>
                </c:pt>
                <c:pt idx="674">
                  <c:v>40151</c:v>
                </c:pt>
                <c:pt idx="675">
                  <c:v>40158</c:v>
                </c:pt>
                <c:pt idx="676">
                  <c:v>40165</c:v>
                </c:pt>
                <c:pt idx="677">
                  <c:v>40172</c:v>
                </c:pt>
                <c:pt idx="678">
                  <c:v>40179</c:v>
                </c:pt>
                <c:pt idx="679">
                  <c:v>40186</c:v>
                </c:pt>
                <c:pt idx="680">
                  <c:v>40193</c:v>
                </c:pt>
                <c:pt idx="681">
                  <c:v>40200</c:v>
                </c:pt>
                <c:pt idx="682">
                  <c:v>40207</c:v>
                </c:pt>
                <c:pt idx="683">
                  <c:v>40214</c:v>
                </c:pt>
                <c:pt idx="684">
                  <c:v>40221</c:v>
                </c:pt>
                <c:pt idx="685">
                  <c:v>40228</c:v>
                </c:pt>
                <c:pt idx="686">
                  <c:v>40235</c:v>
                </c:pt>
                <c:pt idx="687">
                  <c:v>40242</c:v>
                </c:pt>
                <c:pt idx="688">
                  <c:v>40249</c:v>
                </c:pt>
                <c:pt idx="689">
                  <c:v>40256</c:v>
                </c:pt>
                <c:pt idx="690">
                  <c:v>40263</c:v>
                </c:pt>
                <c:pt idx="691">
                  <c:v>40270</c:v>
                </c:pt>
                <c:pt idx="692">
                  <c:v>40277</c:v>
                </c:pt>
                <c:pt idx="693">
                  <c:v>40284</c:v>
                </c:pt>
                <c:pt idx="694">
                  <c:v>40291</c:v>
                </c:pt>
                <c:pt idx="695">
                  <c:v>40298</c:v>
                </c:pt>
                <c:pt idx="696">
                  <c:v>40305</c:v>
                </c:pt>
                <c:pt idx="697">
                  <c:v>40312</c:v>
                </c:pt>
                <c:pt idx="698">
                  <c:v>40319</c:v>
                </c:pt>
                <c:pt idx="699">
                  <c:v>40326</c:v>
                </c:pt>
                <c:pt idx="700">
                  <c:v>40333</c:v>
                </c:pt>
                <c:pt idx="701">
                  <c:v>40340</c:v>
                </c:pt>
                <c:pt idx="702">
                  <c:v>40347</c:v>
                </c:pt>
                <c:pt idx="703">
                  <c:v>40354</c:v>
                </c:pt>
                <c:pt idx="704">
                  <c:v>40361</c:v>
                </c:pt>
                <c:pt idx="705">
                  <c:v>40368</c:v>
                </c:pt>
                <c:pt idx="706">
                  <c:v>40375</c:v>
                </c:pt>
                <c:pt idx="707">
                  <c:v>40382</c:v>
                </c:pt>
                <c:pt idx="708">
                  <c:v>40389</c:v>
                </c:pt>
                <c:pt idx="709">
                  <c:v>40396</c:v>
                </c:pt>
                <c:pt idx="710">
                  <c:v>40403</c:v>
                </c:pt>
                <c:pt idx="711">
                  <c:v>40410</c:v>
                </c:pt>
                <c:pt idx="712">
                  <c:v>40417</c:v>
                </c:pt>
                <c:pt idx="713">
                  <c:v>40424</c:v>
                </c:pt>
                <c:pt idx="714">
                  <c:v>40431</c:v>
                </c:pt>
                <c:pt idx="715">
                  <c:v>40438</c:v>
                </c:pt>
                <c:pt idx="716">
                  <c:v>40445</c:v>
                </c:pt>
                <c:pt idx="717">
                  <c:v>40452</c:v>
                </c:pt>
                <c:pt idx="718">
                  <c:v>40459</c:v>
                </c:pt>
                <c:pt idx="719">
                  <c:v>40466</c:v>
                </c:pt>
                <c:pt idx="720">
                  <c:v>40473</c:v>
                </c:pt>
                <c:pt idx="721">
                  <c:v>40480</c:v>
                </c:pt>
                <c:pt idx="722">
                  <c:v>40487</c:v>
                </c:pt>
                <c:pt idx="723">
                  <c:v>40494</c:v>
                </c:pt>
                <c:pt idx="724">
                  <c:v>40501</c:v>
                </c:pt>
                <c:pt idx="725">
                  <c:v>40508</c:v>
                </c:pt>
                <c:pt idx="726">
                  <c:v>40515</c:v>
                </c:pt>
                <c:pt idx="727">
                  <c:v>40522</c:v>
                </c:pt>
                <c:pt idx="728">
                  <c:v>40529</c:v>
                </c:pt>
                <c:pt idx="729">
                  <c:v>40536</c:v>
                </c:pt>
                <c:pt idx="730">
                  <c:v>40543</c:v>
                </c:pt>
                <c:pt idx="731">
                  <c:v>40550</c:v>
                </c:pt>
                <c:pt idx="732">
                  <c:v>40557</c:v>
                </c:pt>
                <c:pt idx="733">
                  <c:v>40564</c:v>
                </c:pt>
                <c:pt idx="734">
                  <c:v>40571</c:v>
                </c:pt>
                <c:pt idx="735">
                  <c:v>40578</c:v>
                </c:pt>
                <c:pt idx="736">
                  <c:v>40585</c:v>
                </c:pt>
                <c:pt idx="737">
                  <c:v>40592</c:v>
                </c:pt>
                <c:pt idx="738">
                  <c:v>40599</c:v>
                </c:pt>
                <c:pt idx="739">
                  <c:v>40606</c:v>
                </c:pt>
                <c:pt idx="740">
                  <c:v>40613</c:v>
                </c:pt>
                <c:pt idx="741">
                  <c:v>40620</c:v>
                </c:pt>
                <c:pt idx="742">
                  <c:v>40627</c:v>
                </c:pt>
                <c:pt idx="743">
                  <c:v>40634</c:v>
                </c:pt>
                <c:pt idx="744">
                  <c:v>40641</c:v>
                </c:pt>
                <c:pt idx="745">
                  <c:v>40648</c:v>
                </c:pt>
                <c:pt idx="746">
                  <c:v>40655</c:v>
                </c:pt>
                <c:pt idx="747">
                  <c:v>40662</c:v>
                </c:pt>
                <c:pt idx="748">
                  <c:v>40669</c:v>
                </c:pt>
                <c:pt idx="749">
                  <c:v>40676</c:v>
                </c:pt>
                <c:pt idx="750">
                  <c:v>40683</c:v>
                </c:pt>
                <c:pt idx="751">
                  <c:v>40690</c:v>
                </c:pt>
                <c:pt idx="752">
                  <c:v>40697</c:v>
                </c:pt>
                <c:pt idx="753">
                  <c:v>40704</c:v>
                </c:pt>
                <c:pt idx="754">
                  <c:v>40711</c:v>
                </c:pt>
                <c:pt idx="755">
                  <c:v>40718</c:v>
                </c:pt>
                <c:pt idx="756">
                  <c:v>40725</c:v>
                </c:pt>
                <c:pt idx="757">
                  <c:v>40732</c:v>
                </c:pt>
                <c:pt idx="758">
                  <c:v>40739</c:v>
                </c:pt>
                <c:pt idx="759">
                  <c:v>40746</c:v>
                </c:pt>
                <c:pt idx="760">
                  <c:v>40753</c:v>
                </c:pt>
                <c:pt idx="761">
                  <c:v>40760</c:v>
                </c:pt>
                <c:pt idx="762">
                  <c:v>40767</c:v>
                </c:pt>
                <c:pt idx="763">
                  <c:v>40774</c:v>
                </c:pt>
                <c:pt idx="764">
                  <c:v>40781</c:v>
                </c:pt>
                <c:pt idx="765">
                  <c:v>40788</c:v>
                </c:pt>
                <c:pt idx="766">
                  <c:v>40795</c:v>
                </c:pt>
                <c:pt idx="767">
                  <c:v>40802</c:v>
                </c:pt>
                <c:pt idx="768">
                  <c:v>40809</c:v>
                </c:pt>
                <c:pt idx="769">
                  <c:v>40816</c:v>
                </c:pt>
                <c:pt idx="770">
                  <c:v>40823</c:v>
                </c:pt>
                <c:pt idx="771">
                  <c:v>40830</c:v>
                </c:pt>
                <c:pt idx="772">
                  <c:v>40837</c:v>
                </c:pt>
                <c:pt idx="773">
                  <c:v>40844</c:v>
                </c:pt>
                <c:pt idx="774">
                  <c:v>40851</c:v>
                </c:pt>
                <c:pt idx="775">
                  <c:v>40858</c:v>
                </c:pt>
                <c:pt idx="776">
                  <c:v>40865</c:v>
                </c:pt>
                <c:pt idx="777">
                  <c:v>40872</c:v>
                </c:pt>
                <c:pt idx="778">
                  <c:v>40879</c:v>
                </c:pt>
                <c:pt idx="779">
                  <c:v>40886</c:v>
                </c:pt>
                <c:pt idx="780">
                  <c:v>40893</c:v>
                </c:pt>
                <c:pt idx="781">
                  <c:v>40900</c:v>
                </c:pt>
                <c:pt idx="782">
                  <c:v>40907</c:v>
                </c:pt>
                <c:pt idx="783">
                  <c:v>40914</c:v>
                </c:pt>
                <c:pt idx="784">
                  <c:v>40921</c:v>
                </c:pt>
                <c:pt idx="785">
                  <c:v>40928</c:v>
                </c:pt>
                <c:pt idx="786">
                  <c:v>40935</c:v>
                </c:pt>
                <c:pt idx="787">
                  <c:v>40942</c:v>
                </c:pt>
                <c:pt idx="788">
                  <c:v>40949</c:v>
                </c:pt>
                <c:pt idx="789">
                  <c:v>40956</c:v>
                </c:pt>
                <c:pt idx="790">
                  <c:v>40963</c:v>
                </c:pt>
                <c:pt idx="791">
                  <c:v>40970</c:v>
                </c:pt>
                <c:pt idx="792">
                  <c:v>40977</c:v>
                </c:pt>
                <c:pt idx="793">
                  <c:v>40984</c:v>
                </c:pt>
                <c:pt idx="794">
                  <c:v>40991</c:v>
                </c:pt>
                <c:pt idx="795">
                  <c:v>40998</c:v>
                </c:pt>
                <c:pt idx="796">
                  <c:v>41005</c:v>
                </c:pt>
                <c:pt idx="797">
                  <c:v>41012</c:v>
                </c:pt>
                <c:pt idx="798">
                  <c:v>41019</c:v>
                </c:pt>
                <c:pt idx="799">
                  <c:v>41026</c:v>
                </c:pt>
                <c:pt idx="800">
                  <c:v>41033</c:v>
                </c:pt>
                <c:pt idx="801">
                  <c:v>41040</c:v>
                </c:pt>
                <c:pt idx="802">
                  <c:v>41047</c:v>
                </c:pt>
                <c:pt idx="803">
                  <c:v>41054</c:v>
                </c:pt>
                <c:pt idx="804">
                  <c:v>41061</c:v>
                </c:pt>
                <c:pt idx="805">
                  <c:v>41068</c:v>
                </c:pt>
                <c:pt idx="806">
                  <c:v>41075</c:v>
                </c:pt>
                <c:pt idx="807">
                  <c:v>41082</c:v>
                </c:pt>
                <c:pt idx="808">
                  <c:v>41089</c:v>
                </c:pt>
                <c:pt idx="809">
                  <c:v>41096</c:v>
                </c:pt>
                <c:pt idx="810">
                  <c:v>41103</c:v>
                </c:pt>
                <c:pt idx="811">
                  <c:v>41110</c:v>
                </c:pt>
                <c:pt idx="812">
                  <c:v>41117</c:v>
                </c:pt>
                <c:pt idx="813">
                  <c:v>41124</c:v>
                </c:pt>
                <c:pt idx="814">
                  <c:v>41131</c:v>
                </c:pt>
                <c:pt idx="815">
                  <c:v>41138</c:v>
                </c:pt>
                <c:pt idx="816">
                  <c:v>41145</c:v>
                </c:pt>
                <c:pt idx="817">
                  <c:v>41152</c:v>
                </c:pt>
                <c:pt idx="818">
                  <c:v>41159</c:v>
                </c:pt>
                <c:pt idx="819">
                  <c:v>41166</c:v>
                </c:pt>
                <c:pt idx="820">
                  <c:v>41173</c:v>
                </c:pt>
                <c:pt idx="821">
                  <c:v>41180</c:v>
                </c:pt>
                <c:pt idx="822">
                  <c:v>41187</c:v>
                </c:pt>
                <c:pt idx="823">
                  <c:v>41194</c:v>
                </c:pt>
                <c:pt idx="824">
                  <c:v>41201</c:v>
                </c:pt>
                <c:pt idx="825">
                  <c:v>41208</c:v>
                </c:pt>
                <c:pt idx="826">
                  <c:v>41215</c:v>
                </c:pt>
                <c:pt idx="827">
                  <c:v>41222</c:v>
                </c:pt>
                <c:pt idx="828">
                  <c:v>41229</c:v>
                </c:pt>
                <c:pt idx="829">
                  <c:v>41236</c:v>
                </c:pt>
                <c:pt idx="830">
                  <c:v>41243</c:v>
                </c:pt>
                <c:pt idx="831">
                  <c:v>41250</c:v>
                </c:pt>
                <c:pt idx="832">
                  <c:v>41257</c:v>
                </c:pt>
                <c:pt idx="833">
                  <c:v>41264</c:v>
                </c:pt>
                <c:pt idx="834">
                  <c:v>41271</c:v>
                </c:pt>
                <c:pt idx="835">
                  <c:v>41278</c:v>
                </c:pt>
                <c:pt idx="836">
                  <c:v>41285</c:v>
                </c:pt>
                <c:pt idx="837">
                  <c:v>41292</c:v>
                </c:pt>
                <c:pt idx="838">
                  <c:v>41299</c:v>
                </c:pt>
                <c:pt idx="839">
                  <c:v>41306</c:v>
                </c:pt>
                <c:pt idx="840">
                  <c:v>41313</c:v>
                </c:pt>
                <c:pt idx="841">
                  <c:v>41320</c:v>
                </c:pt>
                <c:pt idx="842">
                  <c:v>41327</c:v>
                </c:pt>
                <c:pt idx="843">
                  <c:v>41334</c:v>
                </c:pt>
                <c:pt idx="844">
                  <c:v>41341</c:v>
                </c:pt>
                <c:pt idx="845">
                  <c:v>41348</c:v>
                </c:pt>
                <c:pt idx="846">
                  <c:v>41355</c:v>
                </c:pt>
                <c:pt idx="847">
                  <c:v>41362</c:v>
                </c:pt>
                <c:pt idx="848">
                  <c:v>41369</c:v>
                </c:pt>
                <c:pt idx="849">
                  <c:v>41376</c:v>
                </c:pt>
                <c:pt idx="850">
                  <c:v>41383</c:v>
                </c:pt>
                <c:pt idx="851">
                  <c:v>41390</c:v>
                </c:pt>
                <c:pt idx="852">
                  <c:v>41397</c:v>
                </c:pt>
                <c:pt idx="853">
                  <c:v>41404</c:v>
                </c:pt>
                <c:pt idx="854">
                  <c:v>41411</c:v>
                </c:pt>
                <c:pt idx="855">
                  <c:v>41418</c:v>
                </c:pt>
                <c:pt idx="856">
                  <c:v>41425</c:v>
                </c:pt>
                <c:pt idx="857">
                  <c:v>41432</c:v>
                </c:pt>
                <c:pt idx="858">
                  <c:v>41439</c:v>
                </c:pt>
                <c:pt idx="859">
                  <c:v>41446</c:v>
                </c:pt>
                <c:pt idx="860">
                  <c:v>41453</c:v>
                </c:pt>
                <c:pt idx="861">
                  <c:v>41460</c:v>
                </c:pt>
                <c:pt idx="862">
                  <c:v>41467</c:v>
                </c:pt>
                <c:pt idx="863">
                  <c:v>41474</c:v>
                </c:pt>
                <c:pt idx="864">
                  <c:v>41481</c:v>
                </c:pt>
                <c:pt idx="865">
                  <c:v>41488</c:v>
                </c:pt>
                <c:pt idx="866">
                  <c:v>41495</c:v>
                </c:pt>
                <c:pt idx="867">
                  <c:v>41502</c:v>
                </c:pt>
                <c:pt idx="868">
                  <c:v>41509</c:v>
                </c:pt>
                <c:pt idx="869">
                  <c:v>41516</c:v>
                </c:pt>
                <c:pt idx="870">
                  <c:v>41523</c:v>
                </c:pt>
                <c:pt idx="871">
                  <c:v>41530</c:v>
                </c:pt>
                <c:pt idx="872">
                  <c:v>41537</c:v>
                </c:pt>
                <c:pt idx="873">
                  <c:v>41544</c:v>
                </c:pt>
                <c:pt idx="874">
                  <c:v>41551</c:v>
                </c:pt>
                <c:pt idx="875">
                  <c:v>41558</c:v>
                </c:pt>
                <c:pt idx="876">
                  <c:v>41565</c:v>
                </c:pt>
                <c:pt idx="877">
                  <c:v>41572</c:v>
                </c:pt>
                <c:pt idx="878">
                  <c:v>41579</c:v>
                </c:pt>
                <c:pt idx="879">
                  <c:v>41586</c:v>
                </c:pt>
                <c:pt idx="880">
                  <c:v>41593</c:v>
                </c:pt>
                <c:pt idx="881">
                  <c:v>41600</c:v>
                </c:pt>
                <c:pt idx="882">
                  <c:v>41607</c:v>
                </c:pt>
                <c:pt idx="883">
                  <c:v>41614</c:v>
                </c:pt>
                <c:pt idx="884">
                  <c:v>41621</c:v>
                </c:pt>
                <c:pt idx="885">
                  <c:v>41628</c:v>
                </c:pt>
                <c:pt idx="886">
                  <c:v>41635</c:v>
                </c:pt>
                <c:pt idx="887">
                  <c:v>41642</c:v>
                </c:pt>
                <c:pt idx="888">
                  <c:v>41649</c:v>
                </c:pt>
                <c:pt idx="889">
                  <c:v>41656</c:v>
                </c:pt>
                <c:pt idx="890">
                  <c:v>41663</c:v>
                </c:pt>
                <c:pt idx="891">
                  <c:v>41670</c:v>
                </c:pt>
                <c:pt idx="892">
                  <c:v>41677</c:v>
                </c:pt>
                <c:pt idx="893">
                  <c:v>41684</c:v>
                </c:pt>
                <c:pt idx="894">
                  <c:v>41691</c:v>
                </c:pt>
                <c:pt idx="895">
                  <c:v>41698</c:v>
                </c:pt>
                <c:pt idx="896">
                  <c:v>41705</c:v>
                </c:pt>
                <c:pt idx="897">
                  <c:v>41712</c:v>
                </c:pt>
                <c:pt idx="898">
                  <c:v>41719</c:v>
                </c:pt>
                <c:pt idx="899">
                  <c:v>41726</c:v>
                </c:pt>
                <c:pt idx="900">
                  <c:v>41733</c:v>
                </c:pt>
                <c:pt idx="901">
                  <c:v>41740</c:v>
                </c:pt>
                <c:pt idx="902">
                  <c:v>41747</c:v>
                </c:pt>
                <c:pt idx="903">
                  <c:v>41754</c:v>
                </c:pt>
                <c:pt idx="904">
                  <c:v>41761</c:v>
                </c:pt>
                <c:pt idx="905">
                  <c:v>41768</c:v>
                </c:pt>
                <c:pt idx="906">
                  <c:v>41775</c:v>
                </c:pt>
                <c:pt idx="907">
                  <c:v>41782</c:v>
                </c:pt>
                <c:pt idx="908">
                  <c:v>41789</c:v>
                </c:pt>
                <c:pt idx="909">
                  <c:v>41796</c:v>
                </c:pt>
                <c:pt idx="910">
                  <c:v>41803</c:v>
                </c:pt>
                <c:pt idx="911">
                  <c:v>41810</c:v>
                </c:pt>
                <c:pt idx="912">
                  <c:v>41817</c:v>
                </c:pt>
                <c:pt idx="913">
                  <c:v>41824</c:v>
                </c:pt>
                <c:pt idx="914">
                  <c:v>41831</c:v>
                </c:pt>
                <c:pt idx="915">
                  <c:v>41838</c:v>
                </c:pt>
                <c:pt idx="916">
                  <c:v>41845</c:v>
                </c:pt>
                <c:pt idx="917">
                  <c:v>41852</c:v>
                </c:pt>
                <c:pt idx="918">
                  <c:v>41859</c:v>
                </c:pt>
                <c:pt idx="919">
                  <c:v>41866</c:v>
                </c:pt>
                <c:pt idx="920">
                  <c:v>41873</c:v>
                </c:pt>
                <c:pt idx="921">
                  <c:v>41880</c:v>
                </c:pt>
                <c:pt idx="922">
                  <c:v>41887</c:v>
                </c:pt>
                <c:pt idx="923">
                  <c:v>41894</c:v>
                </c:pt>
                <c:pt idx="924">
                  <c:v>41901</c:v>
                </c:pt>
                <c:pt idx="925">
                  <c:v>41908</c:v>
                </c:pt>
                <c:pt idx="926">
                  <c:v>41915</c:v>
                </c:pt>
                <c:pt idx="927">
                  <c:v>41922</c:v>
                </c:pt>
                <c:pt idx="928">
                  <c:v>41929</c:v>
                </c:pt>
                <c:pt idx="929">
                  <c:v>41936</c:v>
                </c:pt>
                <c:pt idx="930">
                  <c:v>41943</c:v>
                </c:pt>
                <c:pt idx="931">
                  <c:v>41950</c:v>
                </c:pt>
                <c:pt idx="932">
                  <c:v>41957</c:v>
                </c:pt>
                <c:pt idx="933">
                  <c:v>41964</c:v>
                </c:pt>
                <c:pt idx="934">
                  <c:v>41971</c:v>
                </c:pt>
                <c:pt idx="935">
                  <c:v>41978</c:v>
                </c:pt>
                <c:pt idx="936">
                  <c:v>41985</c:v>
                </c:pt>
                <c:pt idx="937">
                  <c:v>41992</c:v>
                </c:pt>
                <c:pt idx="938">
                  <c:v>41999</c:v>
                </c:pt>
                <c:pt idx="939">
                  <c:v>42006</c:v>
                </c:pt>
                <c:pt idx="940">
                  <c:v>42013</c:v>
                </c:pt>
                <c:pt idx="941">
                  <c:v>42020</c:v>
                </c:pt>
                <c:pt idx="942">
                  <c:v>42027</c:v>
                </c:pt>
                <c:pt idx="943">
                  <c:v>42034</c:v>
                </c:pt>
                <c:pt idx="944">
                  <c:v>42041</c:v>
                </c:pt>
                <c:pt idx="945">
                  <c:v>42048</c:v>
                </c:pt>
                <c:pt idx="946">
                  <c:v>42055</c:v>
                </c:pt>
                <c:pt idx="947">
                  <c:v>42062</c:v>
                </c:pt>
                <c:pt idx="948">
                  <c:v>42069</c:v>
                </c:pt>
                <c:pt idx="949">
                  <c:v>42076</c:v>
                </c:pt>
                <c:pt idx="950">
                  <c:v>42083</c:v>
                </c:pt>
                <c:pt idx="951">
                  <c:v>42090</c:v>
                </c:pt>
                <c:pt idx="952">
                  <c:v>42097</c:v>
                </c:pt>
                <c:pt idx="953">
                  <c:v>42104</c:v>
                </c:pt>
                <c:pt idx="954">
                  <c:v>42111</c:v>
                </c:pt>
                <c:pt idx="955">
                  <c:v>42118</c:v>
                </c:pt>
                <c:pt idx="956">
                  <c:v>42125</c:v>
                </c:pt>
                <c:pt idx="957">
                  <c:v>42132</c:v>
                </c:pt>
                <c:pt idx="958">
                  <c:v>42139</c:v>
                </c:pt>
                <c:pt idx="959">
                  <c:v>42146</c:v>
                </c:pt>
                <c:pt idx="960">
                  <c:v>42153</c:v>
                </c:pt>
                <c:pt idx="961">
                  <c:v>42160</c:v>
                </c:pt>
                <c:pt idx="962">
                  <c:v>42167</c:v>
                </c:pt>
                <c:pt idx="963">
                  <c:v>42174</c:v>
                </c:pt>
                <c:pt idx="964">
                  <c:v>42181</c:v>
                </c:pt>
                <c:pt idx="965">
                  <c:v>42188</c:v>
                </c:pt>
                <c:pt idx="966">
                  <c:v>42195</c:v>
                </c:pt>
                <c:pt idx="967">
                  <c:v>42202</c:v>
                </c:pt>
                <c:pt idx="968">
                  <c:v>42209</c:v>
                </c:pt>
                <c:pt idx="969">
                  <c:v>42216</c:v>
                </c:pt>
                <c:pt idx="970">
                  <c:v>42223</c:v>
                </c:pt>
                <c:pt idx="971">
                  <c:v>42230</c:v>
                </c:pt>
                <c:pt idx="972">
                  <c:v>42237</c:v>
                </c:pt>
                <c:pt idx="973">
                  <c:v>42244</c:v>
                </c:pt>
                <c:pt idx="974">
                  <c:v>42251</c:v>
                </c:pt>
                <c:pt idx="975">
                  <c:v>42258</c:v>
                </c:pt>
                <c:pt idx="976">
                  <c:v>42265</c:v>
                </c:pt>
                <c:pt idx="977">
                  <c:v>42272</c:v>
                </c:pt>
                <c:pt idx="978">
                  <c:v>42279</c:v>
                </c:pt>
                <c:pt idx="979">
                  <c:v>42286</c:v>
                </c:pt>
                <c:pt idx="980">
                  <c:v>42293</c:v>
                </c:pt>
                <c:pt idx="981">
                  <c:v>42300</c:v>
                </c:pt>
                <c:pt idx="982">
                  <c:v>42307</c:v>
                </c:pt>
                <c:pt idx="983">
                  <c:v>42314</c:v>
                </c:pt>
                <c:pt idx="984">
                  <c:v>42321</c:v>
                </c:pt>
                <c:pt idx="985">
                  <c:v>42328</c:v>
                </c:pt>
                <c:pt idx="986">
                  <c:v>42335</c:v>
                </c:pt>
                <c:pt idx="987">
                  <c:v>42342</c:v>
                </c:pt>
                <c:pt idx="988">
                  <c:v>42349</c:v>
                </c:pt>
                <c:pt idx="989">
                  <c:v>42356</c:v>
                </c:pt>
                <c:pt idx="990">
                  <c:v>42363</c:v>
                </c:pt>
                <c:pt idx="991">
                  <c:v>42370</c:v>
                </c:pt>
                <c:pt idx="992">
                  <c:v>42377</c:v>
                </c:pt>
                <c:pt idx="993">
                  <c:v>42384</c:v>
                </c:pt>
                <c:pt idx="994">
                  <c:v>42391</c:v>
                </c:pt>
                <c:pt idx="995">
                  <c:v>42398</c:v>
                </c:pt>
                <c:pt idx="996">
                  <c:v>42405</c:v>
                </c:pt>
                <c:pt idx="997">
                  <c:v>42412</c:v>
                </c:pt>
                <c:pt idx="998">
                  <c:v>42419</c:v>
                </c:pt>
                <c:pt idx="999">
                  <c:v>42426</c:v>
                </c:pt>
                <c:pt idx="1000">
                  <c:v>42433</c:v>
                </c:pt>
                <c:pt idx="1001">
                  <c:v>42440</c:v>
                </c:pt>
                <c:pt idx="1002">
                  <c:v>42447</c:v>
                </c:pt>
              </c:numCache>
            </c:numRef>
          </c:cat>
          <c:val>
            <c:numRef>
              <c:f>Summary!$AF$101:$AF$5006</c:f>
              <c:numCache>
                <c:formatCode>0.0\x</c:formatCode>
                <c:ptCount val="4906"/>
                <c:pt idx="0">
                  <c:v>47.207447000000002</c:v>
                </c:pt>
                <c:pt idx="1">
                  <c:v>47.340426999999998</c:v>
                </c:pt>
                <c:pt idx="2">
                  <c:v>36.037235000000003</c:v>
                </c:pt>
                <c:pt idx="3">
                  <c:v>38.031914</c:v>
                </c:pt>
                <c:pt idx="4">
                  <c:v>37.5</c:v>
                </c:pt>
                <c:pt idx="5">
                  <c:v>36.436169999999997</c:v>
                </c:pt>
                <c:pt idx="6">
                  <c:v>35.372340000000001</c:v>
                </c:pt>
                <c:pt idx="7">
                  <c:v>33.510640000000002</c:v>
                </c:pt>
                <c:pt idx="8">
                  <c:v>32.446807999999997</c:v>
                </c:pt>
                <c:pt idx="9">
                  <c:v>33.510640000000002</c:v>
                </c:pt>
                <c:pt idx="10">
                  <c:v>35.372340000000001</c:v>
                </c:pt>
                <c:pt idx="11">
                  <c:v>32.712764999999997</c:v>
                </c:pt>
                <c:pt idx="12">
                  <c:v>31.914894</c:v>
                </c:pt>
                <c:pt idx="13">
                  <c:v>29.255320000000001</c:v>
                </c:pt>
                <c:pt idx="14">
                  <c:v>28.723403999999999</c:v>
                </c:pt>
                <c:pt idx="15">
                  <c:v>30.053191999999999</c:v>
                </c:pt>
                <c:pt idx="16">
                  <c:v>28.457446999999998</c:v>
                </c:pt>
                <c:pt idx="17">
                  <c:v>27.925530999999999</c:v>
                </c:pt>
                <c:pt idx="18">
                  <c:v>32.712764999999997</c:v>
                </c:pt>
                <c:pt idx="19">
                  <c:v>34.308509999999998</c:v>
                </c:pt>
                <c:pt idx="20">
                  <c:v>33.776595999999998</c:v>
                </c:pt>
                <c:pt idx="21">
                  <c:v>28.333331999999999</c:v>
                </c:pt>
                <c:pt idx="22">
                  <c:v>29.791665999999999</c:v>
                </c:pt>
                <c:pt idx="23">
                  <c:v>30.208331999999999</c:v>
                </c:pt>
                <c:pt idx="24">
                  <c:v>29.999998000000001</c:v>
                </c:pt>
                <c:pt idx="25">
                  <c:v>31.979165999999999</c:v>
                </c:pt>
                <c:pt idx="26">
                  <c:v>34.631144999999997</c:v>
                </c:pt>
                <c:pt idx="27">
                  <c:v>32.786884000000001</c:v>
                </c:pt>
                <c:pt idx="28">
                  <c:v>29.713114000000001</c:v>
                </c:pt>
                <c:pt idx="29">
                  <c:v>30.532785000000001</c:v>
                </c:pt>
                <c:pt idx="30">
                  <c:v>32.708331999999999</c:v>
                </c:pt>
                <c:pt idx="31">
                  <c:v>30.208331999999999</c:v>
                </c:pt>
                <c:pt idx="32">
                  <c:v>31.354165999999999</c:v>
                </c:pt>
                <c:pt idx="33">
                  <c:v>30.104165999999999</c:v>
                </c:pt>
                <c:pt idx="34">
                  <c:v>29.583331999999999</c:v>
                </c:pt>
                <c:pt idx="35">
                  <c:v>30.312498000000001</c:v>
                </c:pt>
                <c:pt idx="36">
                  <c:v>31.041665999999999</c:v>
                </c:pt>
                <c:pt idx="37">
                  <c:v>31.458331999999999</c:v>
                </c:pt>
                <c:pt idx="38">
                  <c:v>30.624998000000001</c:v>
                </c:pt>
                <c:pt idx="39">
                  <c:v>31.249998000000001</c:v>
                </c:pt>
                <c:pt idx="40">
                  <c:v>30.520831999999999</c:v>
                </c:pt>
                <c:pt idx="41">
                  <c:v>27.499998000000001</c:v>
                </c:pt>
                <c:pt idx="42">
                  <c:v>27.291665999999999</c:v>
                </c:pt>
                <c:pt idx="43">
                  <c:v>27.395831999999999</c:v>
                </c:pt>
                <c:pt idx="44">
                  <c:v>26.458331999999999</c:v>
                </c:pt>
                <c:pt idx="45">
                  <c:v>26.874998000000001</c:v>
                </c:pt>
                <c:pt idx="46">
                  <c:v>28.229165999999999</c:v>
                </c:pt>
                <c:pt idx="47">
                  <c:v>28.645831999999999</c:v>
                </c:pt>
                <c:pt idx="48">
                  <c:v>27.708331999999999</c:v>
                </c:pt>
                <c:pt idx="49">
                  <c:v>26.979165999999999</c:v>
                </c:pt>
                <c:pt idx="50">
                  <c:v>27.291665999999999</c:v>
                </c:pt>
                <c:pt idx="51">
                  <c:v>28.541665999999999</c:v>
                </c:pt>
                <c:pt idx="52">
                  <c:v>32.083331999999999</c:v>
                </c:pt>
                <c:pt idx="53">
                  <c:v>29.270831999999999</c:v>
                </c:pt>
                <c:pt idx="54">
                  <c:v>29.479165999999999</c:v>
                </c:pt>
                <c:pt idx="55">
                  <c:v>28.958331999999999</c:v>
                </c:pt>
                <c:pt idx="56">
                  <c:v>28.333331999999999</c:v>
                </c:pt>
                <c:pt idx="57">
                  <c:v>31.874998000000001</c:v>
                </c:pt>
                <c:pt idx="58">
                  <c:v>33.75</c:v>
                </c:pt>
                <c:pt idx="59">
                  <c:v>34.791663999999997</c:v>
                </c:pt>
                <c:pt idx="60">
                  <c:v>35</c:v>
                </c:pt>
                <c:pt idx="61">
                  <c:v>33.75</c:v>
                </c:pt>
                <c:pt idx="62">
                  <c:v>34.895831999999999</c:v>
                </c:pt>
                <c:pt idx="63">
                  <c:v>39.6875</c:v>
                </c:pt>
                <c:pt idx="64">
                  <c:v>41.979163999999997</c:v>
                </c:pt>
                <c:pt idx="65">
                  <c:v>41.458331999999999</c:v>
                </c:pt>
                <c:pt idx="66">
                  <c:v>41.666663999999997</c:v>
                </c:pt>
                <c:pt idx="67">
                  <c:v>41.666663999999997</c:v>
                </c:pt>
                <c:pt idx="68">
                  <c:v>40.416663999999997</c:v>
                </c:pt>
                <c:pt idx="69">
                  <c:v>40.833331999999999</c:v>
                </c:pt>
                <c:pt idx="70">
                  <c:v>40.833331999999999</c:v>
                </c:pt>
                <c:pt idx="71">
                  <c:v>39.895831999999999</c:v>
                </c:pt>
                <c:pt idx="72">
                  <c:v>37.083331999999999</c:v>
                </c:pt>
                <c:pt idx="73">
                  <c:v>28.453946999999999</c:v>
                </c:pt>
                <c:pt idx="74">
                  <c:v>28.700659000000002</c:v>
                </c:pt>
                <c:pt idx="75">
                  <c:v>27.960526999999999</c:v>
                </c:pt>
                <c:pt idx="76">
                  <c:v>28.947368999999998</c:v>
                </c:pt>
                <c:pt idx="77">
                  <c:v>31.661183999999999</c:v>
                </c:pt>
                <c:pt idx="78">
                  <c:v>34.166668000000001</c:v>
                </c:pt>
                <c:pt idx="79">
                  <c:v>35.166668000000001</c:v>
                </c:pt>
                <c:pt idx="80">
                  <c:v>36.666668000000001</c:v>
                </c:pt>
                <c:pt idx="81">
                  <c:v>33</c:v>
                </c:pt>
                <c:pt idx="82">
                  <c:v>30.5</c:v>
                </c:pt>
                <c:pt idx="83">
                  <c:v>30.916665999999999</c:v>
                </c:pt>
                <c:pt idx="84">
                  <c:v>31.166665999999999</c:v>
                </c:pt>
                <c:pt idx="85">
                  <c:v>31.083334000000001</c:v>
                </c:pt>
                <c:pt idx="86">
                  <c:v>27</c:v>
                </c:pt>
                <c:pt idx="87">
                  <c:v>26.31579</c:v>
                </c:pt>
                <c:pt idx="88">
                  <c:v>26.726973999999998</c:v>
                </c:pt>
                <c:pt idx="89">
                  <c:v>30.263159000000002</c:v>
                </c:pt>
                <c:pt idx="90">
                  <c:v>33.717106000000001</c:v>
                </c:pt>
                <c:pt idx="91">
                  <c:v>30.756578000000001</c:v>
                </c:pt>
                <c:pt idx="92">
                  <c:v>26.069078000000001</c:v>
                </c:pt>
                <c:pt idx="93">
                  <c:v>28.782896000000001</c:v>
                </c:pt>
                <c:pt idx="94">
                  <c:v>33.388157</c:v>
                </c:pt>
                <c:pt idx="95">
                  <c:v>33.05921</c:v>
                </c:pt>
                <c:pt idx="96">
                  <c:v>35.279606000000001</c:v>
                </c:pt>
                <c:pt idx="97">
                  <c:v>33.30592</c:v>
                </c:pt>
                <c:pt idx="98">
                  <c:v>32.8125</c:v>
                </c:pt>
                <c:pt idx="99">
                  <c:v>32.730263000000001</c:v>
                </c:pt>
                <c:pt idx="100">
                  <c:v>30.194804999999999</c:v>
                </c:pt>
                <c:pt idx="101">
                  <c:v>29.9513</c:v>
                </c:pt>
                <c:pt idx="102">
                  <c:v>36.201298000000001</c:v>
                </c:pt>
                <c:pt idx="103">
                  <c:v>37.987015</c:v>
                </c:pt>
                <c:pt idx="104">
                  <c:v>40.259743</c:v>
                </c:pt>
                <c:pt idx="105">
                  <c:v>36.688313000000001</c:v>
                </c:pt>
                <c:pt idx="106">
                  <c:v>37.256492999999999</c:v>
                </c:pt>
                <c:pt idx="107">
                  <c:v>31.493507000000001</c:v>
                </c:pt>
                <c:pt idx="108">
                  <c:v>33.116881999999997</c:v>
                </c:pt>
                <c:pt idx="109">
                  <c:v>30.519482</c:v>
                </c:pt>
                <c:pt idx="110">
                  <c:v>31.858767</c:v>
                </c:pt>
                <c:pt idx="111">
                  <c:v>30.438313000000001</c:v>
                </c:pt>
                <c:pt idx="112">
                  <c:v>31.087664</c:v>
                </c:pt>
                <c:pt idx="113">
                  <c:v>34.577922999999998</c:v>
                </c:pt>
                <c:pt idx="114">
                  <c:v>34.172077000000002</c:v>
                </c:pt>
                <c:pt idx="115">
                  <c:v>32.629869999999997</c:v>
                </c:pt>
                <c:pt idx="116">
                  <c:v>33.928573999999998</c:v>
                </c:pt>
                <c:pt idx="117">
                  <c:v>32.954548000000003</c:v>
                </c:pt>
                <c:pt idx="118">
                  <c:v>29.87013</c:v>
                </c:pt>
                <c:pt idx="119">
                  <c:v>32.142856999999999</c:v>
                </c:pt>
                <c:pt idx="120">
                  <c:v>32.954548000000003</c:v>
                </c:pt>
                <c:pt idx="121">
                  <c:v>32.792209999999997</c:v>
                </c:pt>
                <c:pt idx="122">
                  <c:v>32.467533000000003</c:v>
                </c:pt>
                <c:pt idx="123">
                  <c:v>36.404220000000002</c:v>
                </c:pt>
                <c:pt idx="124">
                  <c:v>36.282466999999997</c:v>
                </c:pt>
                <c:pt idx="125">
                  <c:v>26.732673999999999</c:v>
                </c:pt>
                <c:pt idx="126">
                  <c:v>28.712872000000001</c:v>
                </c:pt>
                <c:pt idx="127">
                  <c:v>27.351486000000001</c:v>
                </c:pt>
                <c:pt idx="128">
                  <c:v>27.846534999999999</c:v>
                </c:pt>
                <c:pt idx="129">
                  <c:v>26.361387000000001</c:v>
                </c:pt>
                <c:pt idx="130">
                  <c:v>26.206683999999999</c:v>
                </c:pt>
                <c:pt idx="131">
                  <c:v>27.568069999999999</c:v>
                </c:pt>
                <c:pt idx="132">
                  <c:v>29.084157999999999</c:v>
                </c:pt>
                <c:pt idx="133">
                  <c:v>27.351486000000001</c:v>
                </c:pt>
                <c:pt idx="134">
                  <c:v>26.608912</c:v>
                </c:pt>
                <c:pt idx="135">
                  <c:v>25.433167999999998</c:v>
                </c:pt>
                <c:pt idx="136">
                  <c:v>23.205445999999998</c:v>
                </c:pt>
                <c:pt idx="137">
                  <c:v>21.844059000000001</c:v>
                </c:pt>
                <c:pt idx="138">
                  <c:v>20.358912</c:v>
                </c:pt>
                <c:pt idx="139">
                  <c:v>17.945544999999999</c:v>
                </c:pt>
                <c:pt idx="140">
                  <c:v>16.584157999999999</c:v>
                </c:pt>
                <c:pt idx="141">
                  <c:v>16.893564000000001</c:v>
                </c:pt>
                <c:pt idx="142">
                  <c:v>16.831683999999999</c:v>
                </c:pt>
                <c:pt idx="143">
                  <c:v>19.121286000000001</c:v>
                </c:pt>
                <c:pt idx="144">
                  <c:v>19.430693000000002</c:v>
                </c:pt>
                <c:pt idx="145">
                  <c:v>19.740099000000001</c:v>
                </c:pt>
                <c:pt idx="146">
                  <c:v>22.896039999999999</c:v>
                </c:pt>
                <c:pt idx="147">
                  <c:v>16.5</c:v>
                </c:pt>
                <c:pt idx="148">
                  <c:v>15.875</c:v>
                </c:pt>
                <c:pt idx="149">
                  <c:v>17.375</c:v>
                </c:pt>
                <c:pt idx="150">
                  <c:v>18</c:v>
                </c:pt>
                <c:pt idx="151">
                  <c:v>19.0625</c:v>
                </c:pt>
                <c:pt idx="152">
                  <c:v>17.25</c:v>
                </c:pt>
                <c:pt idx="153">
                  <c:v>18.1875</c:v>
                </c:pt>
                <c:pt idx="154">
                  <c:v>21.1875</c:v>
                </c:pt>
                <c:pt idx="155">
                  <c:v>23.625</c:v>
                </c:pt>
                <c:pt idx="156">
                  <c:v>24</c:v>
                </c:pt>
                <c:pt idx="157">
                  <c:v>25.5</c:v>
                </c:pt>
                <c:pt idx="158">
                  <c:v>26.3125</c:v>
                </c:pt>
                <c:pt idx="159">
                  <c:v>25.9375</c:v>
                </c:pt>
                <c:pt idx="160">
                  <c:v>25.40625</c:v>
                </c:pt>
                <c:pt idx="161">
                  <c:v>25.9375</c:v>
                </c:pt>
                <c:pt idx="162">
                  <c:v>29.0625</c:v>
                </c:pt>
                <c:pt idx="163">
                  <c:v>26.75</c:v>
                </c:pt>
                <c:pt idx="164">
                  <c:v>26.03125</c:v>
                </c:pt>
                <c:pt idx="165">
                  <c:v>31.890625</c:v>
                </c:pt>
                <c:pt idx="166">
                  <c:v>35.375</c:v>
                </c:pt>
                <c:pt idx="167">
                  <c:v>33.0625</c:v>
                </c:pt>
                <c:pt idx="168">
                  <c:v>32.25</c:v>
                </c:pt>
                <c:pt idx="169">
                  <c:v>33.25</c:v>
                </c:pt>
                <c:pt idx="170">
                  <c:v>30.5625</c:v>
                </c:pt>
                <c:pt idx="171">
                  <c:v>25.25</c:v>
                </c:pt>
                <c:pt idx="172">
                  <c:v>26.75</c:v>
                </c:pt>
                <c:pt idx="173">
                  <c:v>27</c:v>
                </c:pt>
                <c:pt idx="174">
                  <c:v>31.375</c:v>
                </c:pt>
                <c:pt idx="175">
                  <c:v>29.6875</c:v>
                </c:pt>
                <c:pt idx="176">
                  <c:v>28.25</c:v>
                </c:pt>
                <c:pt idx="177">
                  <c:v>27.9375</c:v>
                </c:pt>
                <c:pt idx="178">
                  <c:v>26.616379999999999</c:v>
                </c:pt>
                <c:pt idx="179">
                  <c:v>26.778019</c:v>
                </c:pt>
                <c:pt idx="180">
                  <c:v>25.969828</c:v>
                </c:pt>
                <c:pt idx="181">
                  <c:v>24.892242</c:v>
                </c:pt>
                <c:pt idx="182">
                  <c:v>23.491379999999999</c:v>
                </c:pt>
                <c:pt idx="183">
                  <c:v>26.023707999999999</c:v>
                </c:pt>
                <c:pt idx="184">
                  <c:v>25.107759999999999</c:v>
                </c:pt>
                <c:pt idx="185">
                  <c:v>22.737069999999999</c:v>
                </c:pt>
                <c:pt idx="186">
                  <c:v>17.403016999999998</c:v>
                </c:pt>
                <c:pt idx="187">
                  <c:v>19.881466</c:v>
                </c:pt>
                <c:pt idx="188">
                  <c:v>20.905172</c:v>
                </c:pt>
                <c:pt idx="189">
                  <c:v>21.551725000000001</c:v>
                </c:pt>
                <c:pt idx="190">
                  <c:v>22.090516999999998</c:v>
                </c:pt>
                <c:pt idx="191">
                  <c:v>23.114225000000001</c:v>
                </c:pt>
                <c:pt idx="192">
                  <c:v>23.275863999999999</c:v>
                </c:pt>
                <c:pt idx="193">
                  <c:v>25.75431</c:v>
                </c:pt>
                <c:pt idx="194">
                  <c:v>26.131466</c:v>
                </c:pt>
                <c:pt idx="195">
                  <c:v>27.370691000000001</c:v>
                </c:pt>
                <c:pt idx="196">
                  <c:v>28.717672</c:v>
                </c:pt>
                <c:pt idx="197">
                  <c:v>28.448277000000001</c:v>
                </c:pt>
                <c:pt idx="198">
                  <c:v>29.202587000000001</c:v>
                </c:pt>
                <c:pt idx="199">
                  <c:v>34.698276999999997</c:v>
                </c:pt>
                <c:pt idx="200">
                  <c:v>34.829059999999998</c:v>
                </c:pt>
                <c:pt idx="201">
                  <c:v>37.232906</c:v>
                </c:pt>
                <c:pt idx="202">
                  <c:v>34.02778</c:v>
                </c:pt>
                <c:pt idx="203">
                  <c:v>31.837607999999999</c:v>
                </c:pt>
                <c:pt idx="204">
                  <c:v>27.840907999999999</c:v>
                </c:pt>
                <c:pt idx="205">
                  <c:v>32.489669999999997</c:v>
                </c:pt>
                <c:pt idx="206">
                  <c:v>30.074895999999999</c:v>
                </c:pt>
                <c:pt idx="207">
                  <c:v>29.545453999999999</c:v>
                </c:pt>
                <c:pt idx="208">
                  <c:v>32.179752000000001</c:v>
                </c:pt>
                <c:pt idx="209">
                  <c:v>30.681818</c:v>
                </c:pt>
                <c:pt idx="210">
                  <c:v>23.605371000000002</c:v>
                </c:pt>
                <c:pt idx="211">
                  <c:v>26.084710000000001</c:v>
                </c:pt>
                <c:pt idx="212">
                  <c:v>26.911155999999998</c:v>
                </c:pt>
                <c:pt idx="213">
                  <c:v>27.324379</c:v>
                </c:pt>
                <c:pt idx="214">
                  <c:v>25.723139</c:v>
                </c:pt>
                <c:pt idx="215">
                  <c:v>25.36157</c:v>
                </c:pt>
                <c:pt idx="216">
                  <c:v>23.979855000000001</c:v>
                </c:pt>
                <c:pt idx="217">
                  <c:v>20.351237999999999</c:v>
                </c:pt>
                <c:pt idx="218">
                  <c:v>19.6281</c:v>
                </c:pt>
                <c:pt idx="219">
                  <c:v>18.026859999999999</c:v>
                </c:pt>
                <c:pt idx="220">
                  <c:v>17.923552999999998</c:v>
                </c:pt>
                <c:pt idx="221">
                  <c:v>17.252065999999999</c:v>
                </c:pt>
                <c:pt idx="222">
                  <c:v>10.898759999999999</c:v>
                </c:pt>
                <c:pt idx="223">
                  <c:v>11.214874999999999</c:v>
                </c:pt>
                <c:pt idx="224">
                  <c:v>12.975206</c:v>
                </c:pt>
                <c:pt idx="225">
                  <c:v>12.157024</c:v>
                </c:pt>
                <c:pt idx="226">
                  <c:v>18.157302999999999</c:v>
                </c:pt>
                <c:pt idx="227">
                  <c:v>16.202248000000001</c:v>
                </c:pt>
                <c:pt idx="228">
                  <c:v>20.977528</c:v>
                </c:pt>
                <c:pt idx="229">
                  <c:v>21.089887999999998</c:v>
                </c:pt>
                <c:pt idx="230">
                  <c:v>25.432836999999999</c:v>
                </c:pt>
                <c:pt idx="231">
                  <c:v>25.70149</c:v>
                </c:pt>
                <c:pt idx="232">
                  <c:v>24.343283</c:v>
                </c:pt>
                <c:pt idx="233">
                  <c:v>18.223880000000001</c:v>
                </c:pt>
                <c:pt idx="234">
                  <c:v>22.186440999999999</c:v>
                </c:pt>
                <c:pt idx="235">
                  <c:v>19.44068</c:v>
                </c:pt>
                <c:pt idx="236">
                  <c:v>17.813559999999999</c:v>
                </c:pt>
                <c:pt idx="237">
                  <c:v>18.423729000000002</c:v>
                </c:pt>
                <c:pt idx="238">
                  <c:v>18.83051</c:v>
                </c:pt>
                <c:pt idx="239">
                  <c:v>18.559999999999999</c:v>
                </c:pt>
                <c:pt idx="240">
                  <c:v>19.75</c:v>
                </c:pt>
                <c:pt idx="241">
                  <c:v>20.84</c:v>
                </c:pt>
                <c:pt idx="242">
                  <c:v>20</c:v>
                </c:pt>
                <c:pt idx="243">
                  <c:v>22.65</c:v>
                </c:pt>
                <c:pt idx="244">
                  <c:v>21.5</c:v>
                </c:pt>
                <c:pt idx="245">
                  <c:v>24.5</c:v>
                </c:pt>
                <c:pt idx="246">
                  <c:v>27.413793999999999</c:v>
                </c:pt>
                <c:pt idx="247">
                  <c:v>32.413789999999999</c:v>
                </c:pt>
                <c:pt idx="248">
                  <c:v>44.482757999999997</c:v>
                </c:pt>
                <c:pt idx="249">
                  <c:v>46.31035</c:v>
                </c:pt>
                <c:pt idx="250">
                  <c:v>43.034480000000002</c:v>
                </c:pt>
                <c:pt idx="251">
                  <c:v>44.827587000000001</c:v>
                </c:pt>
                <c:pt idx="252">
                  <c:v>39.482757999999997</c:v>
                </c:pt>
                <c:pt idx="253">
                  <c:v>42.137929999999997</c:v>
                </c:pt>
                <c:pt idx="254">
                  <c:v>43.241379999999999</c:v>
                </c:pt>
                <c:pt idx="255">
                  <c:v>42.379309999999997</c:v>
                </c:pt>
                <c:pt idx="256">
                  <c:v>44.551727</c:v>
                </c:pt>
                <c:pt idx="257">
                  <c:v>47.655174000000002</c:v>
                </c:pt>
                <c:pt idx="258">
                  <c:v>49.7</c:v>
                </c:pt>
                <c:pt idx="259">
                  <c:v>52.2</c:v>
                </c:pt>
                <c:pt idx="260">
                  <c:v>55.744999999999997</c:v>
                </c:pt>
                <c:pt idx="261">
                  <c:v>55</c:v>
                </c:pt>
                <c:pt idx="262">
                  <c:v>57</c:v>
                </c:pt>
                <c:pt idx="263">
                  <c:v>56</c:v>
                </c:pt>
                <c:pt idx="264">
                  <c:v>52</c:v>
                </c:pt>
                <c:pt idx="265">
                  <c:v>47.137929999999997</c:v>
                </c:pt>
                <c:pt idx="266">
                  <c:v>45.862071999999998</c:v>
                </c:pt>
                <c:pt idx="267">
                  <c:v>47.724139999999998</c:v>
                </c:pt>
                <c:pt idx="268">
                  <c:v>48.758625000000002</c:v>
                </c:pt>
                <c:pt idx="269">
                  <c:v>50.655174000000002</c:v>
                </c:pt>
                <c:pt idx="270">
                  <c:v>55.31035</c:v>
                </c:pt>
                <c:pt idx="271">
                  <c:v>55.172417000000003</c:v>
                </c:pt>
                <c:pt idx="272">
                  <c:v>52.1</c:v>
                </c:pt>
                <c:pt idx="273">
                  <c:v>46.87</c:v>
                </c:pt>
                <c:pt idx="274">
                  <c:v>44.268000000000001</c:v>
                </c:pt>
                <c:pt idx="275">
                  <c:v>45.12</c:v>
                </c:pt>
                <c:pt idx="276">
                  <c:v>40.244999999999997</c:v>
                </c:pt>
                <c:pt idx="277">
                  <c:v>35.465767800000002</c:v>
                </c:pt>
                <c:pt idx="278">
                  <c:v>36.568435139999998</c:v>
                </c:pt>
                <c:pt idx="279">
                  <c:v>32.465423100000002</c:v>
                </c:pt>
                <c:pt idx="280">
                  <c:v>33.545639999999999</c:v>
                </c:pt>
                <c:pt idx="281">
                  <c:v>29.654654000000001</c:v>
                </c:pt>
                <c:pt idx="282">
                  <c:v>26.939394</c:v>
                </c:pt>
                <c:pt idx="283">
                  <c:v>25.818182</c:v>
                </c:pt>
                <c:pt idx="284">
                  <c:v>25.530301999999999</c:v>
                </c:pt>
                <c:pt idx="285">
                  <c:v>25.878786000000002</c:v>
                </c:pt>
                <c:pt idx="286">
                  <c:v>25.720586999999998</c:v>
                </c:pt>
                <c:pt idx="287">
                  <c:v>25.10294</c:v>
                </c:pt>
                <c:pt idx="288">
                  <c:v>23.104412</c:v>
                </c:pt>
                <c:pt idx="289">
                  <c:v>19.838234</c:v>
                </c:pt>
                <c:pt idx="290">
                  <c:v>21.882352999999998</c:v>
                </c:pt>
                <c:pt idx="291">
                  <c:v>23.426472</c:v>
                </c:pt>
                <c:pt idx="292">
                  <c:v>24</c:v>
                </c:pt>
                <c:pt idx="293">
                  <c:v>25.441175000000001</c:v>
                </c:pt>
                <c:pt idx="294">
                  <c:v>25.720586999999998</c:v>
                </c:pt>
                <c:pt idx="295">
                  <c:v>25.579709999999999</c:v>
                </c:pt>
                <c:pt idx="296">
                  <c:v>27.057971999999999</c:v>
                </c:pt>
                <c:pt idx="297">
                  <c:v>26.695651999999999</c:v>
                </c:pt>
                <c:pt idx="298">
                  <c:v>24.028986</c:v>
                </c:pt>
                <c:pt idx="299">
                  <c:v>20.652173999999999</c:v>
                </c:pt>
                <c:pt idx="300">
                  <c:v>20.202898000000001</c:v>
                </c:pt>
                <c:pt idx="301">
                  <c:v>22.202898000000001</c:v>
                </c:pt>
                <c:pt idx="302">
                  <c:v>20.028986</c:v>
                </c:pt>
                <c:pt idx="303">
                  <c:v>20.449273999999999</c:v>
                </c:pt>
                <c:pt idx="304">
                  <c:v>19.594204000000001</c:v>
                </c:pt>
                <c:pt idx="305">
                  <c:v>20.275362000000001</c:v>
                </c:pt>
                <c:pt idx="306">
                  <c:v>19.840579999999999</c:v>
                </c:pt>
                <c:pt idx="307">
                  <c:v>21.782608</c:v>
                </c:pt>
                <c:pt idx="308">
                  <c:v>22.573530000000002</c:v>
                </c:pt>
                <c:pt idx="309">
                  <c:v>22.220586999999998</c:v>
                </c:pt>
                <c:pt idx="310">
                  <c:v>21.397058000000001</c:v>
                </c:pt>
                <c:pt idx="311">
                  <c:v>21.513235000000002</c:v>
                </c:pt>
                <c:pt idx="312">
                  <c:v>22.661764000000002</c:v>
                </c:pt>
                <c:pt idx="313">
                  <c:v>23.308824999999999</c:v>
                </c:pt>
                <c:pt idx="314">
                  <c:v>22.867647000000002</c:v>
                </c:pt>
                <c:pt idx="315">
                  <c:v>22.308823</c:v>
                </c:pt>
                <c:pt idx="316">
                  <c:v>21.823530000000002</c:v>
                </c:pt>
                <c:pt idx="317">
                  <c:v>21.838235999999998</c:v>
                </c:pt>
                <c:pt idx="318">
                  <c:v>20.808823</c:v>
                </c:pt>
                <c:pt idx="319">
                  <c:v>21.647058000000001</c:v>
                </c:pt>
                <c:pt idx="320">
                  <c:v>22.259412999999999</c:v>
                </c:pt>
                <c:pt idx="321">
                  <c:v>22.115942</c:v>
                </c:pt>
                <c:pt idx="322">
                  <c:v>21.710144</c:v>
                </c:pt>
                <c:pt idx="323">
                  <c:v>21.89855</c:v>
                </c:pt>
                <c:pt idx="324">
                  <c:v>23.913043999999999</c:v>
                </c:pt>
                <c:pt idx="325">
                  <c:v>23.913043999999999</c:v>
                </c:pt>
                <c:pt idx="326">
                  <c:v>24.028986</c:v>
                </c:pt>
                <c:pt idx="327">
                  <c:v>19.10145</c:v>
                </c:pt>
                <c:pt idx="328">
                  <c:v>19.333334000000001</c:v>
                </c:pt>
                <c:pt idx="329">
                  <c:v>19.971014</c:v>
                </c:pt>
                <c:pt idx="330">
                  <c:v>28.44</c:v>
                </c:pt>
                <c:pt idx="331">
                  <c:v>28.94</c:v>
                </c:pt>
                <c:pt idx="332">
                  <c:v>30.44</c:v>
                </c:pt>
                <c:pt idx="333">
                  <c:v>28.86</c:v>
                </c:pt>
                <c:pt idx="334">
                  <c:v>22.712119999999999</c:v>
                </c:pt>
                <c:pt idx="335">
                  <c:v>23.5</c:v>
                </c:pt>
                <c:pt idx="336">
                  <c:v>23.590907999999999</c:v>
                </c:pt>
                <c:pt idx="337">
                  <c:v>23.287877999999999</c:v>
                </c:pt>
                <c:pt idx="338">
                  <c:v>22.863636</c:v>
                </c:pt>
                <c:pt idx="339">
                  <c:v>25.875</c:v>
                </c:pt>
                <c:pt idx="340">
                  <c:v>26.828125</c:v>
                </c:pt>
                <c:pt idx="341">
                  <c:v>26.453126999999999</c:v>
                </c:pt>
                <c:pt idx="342">
                  <c:v>24.500001999999999</c:v>
                </c:pt>
                <c:pt idx="343">
                  <c:v>24.921875</c:v>
                </c:pt>
                <c:pt idx="344">
                  <c:v>23.875</c:v>
                </c:pt>
                <c:pt idx="345">
                  <c:v>24.484375</c:v>
                </c:pt>
                <c:pt idx="346">
                  <c:v>24.921875</c:v>
                </c:pt>
                <c:pt idx="347">
                  <c:v>26.064516000000001</c:v>
                </c:pt>
                <c:pt idx="348">
                  <c:v>27.774193</c:v>
                </c:pt>
                <c:pt idx="349">
                  <c:v>25.403224999999999</c:v>
                </c:pt>
                <c:pt idx="350">
                  <c:v>26.064516000000001</c:v>
                </c:pt>
                <c:pt idx="351">
                  <c:v>25.790320999999999</c:v>
                </c:pt>
                <c:pt idx="352">
                  <c:v>26.564513999999999</c:v>
                </c:pt>
                <c:pt idx="353">
                  <c:v>26.322579999999999</c:v>
                </c:pt>
                <c:pt idx="354">
                  <c:v>26.935486000000001</c:v>
                </c:pt>
                <c:pt idx="355">
                  <c:v>25.516128999999999</c:v>
                </c:pt>
                <c:pt idx="356">
                  <c:v>25.238094</c:v>
                </c:pt>
                <c:pt idx="357">
                  <c:v>25.714286999999999</c:v>
                </c:pt>
                <c:pt idx="358">
                  <c:v>25.253966999999999</c:v>
                </c:pt>
                <c:pt idx="359">
                  <c:v>25.396826000000001</c:v>
                </c:pt>
                <c:pt idx="360">
                  <c:v>29.157896000000001</c:v>
                </c:pt>
                <c:pt idx="361">
                  <c:v>29.175438</c:v>
                </c:pt>
                <c:pt idx="362">
                  <c:v>31.385963</c:v>
                </c:pt>
                <c:pt idx="363">
                  <c:v>31.947367</c:v>
                </c:pt>
                <c:pt idx="364">
                  <c:v>32.421050000000001</c:v>
                </c:pt>
                <c:pt idx="365">
                  <c:v>34.199997000000003</c:v>
                </c:pt>
                <c:pt idx="366">
                  <c:v>33.890906999999999</c:v>
                </c:pt>
                <c:pt idx="367">
                  <c:v>34.181815999999998</c:v>
                </c:pt>
                <c:pt idx="368">
                  <c:v>34.363636</c:v>
                </c:pt>
                <c:pt idx="369">
                  <c:v>34.727271999999999</c:v>
                </c:pt>
                <c:pt idx="370">
                  <c:v>34.581817999999998</c:v>
                </c:pt>
                <c:pt idx="371">
                  <c:v>36.090907999999999</c:v>
                </c:pt>
                <c:pt idx="372">
                  <c:v>35.836359999999999</c:v>
                </c:pt>
                <c:pt idx="373">
                  <c:v>35.41818</c:v>
                </c:pt>
                <c:pt idx="374">
                  <c:v>38.745452999999998</c:v>
                </c:pt>
                <c:pt idx="375">
                  <c:v>37.345455000000001</c:v>
                </c:pt>
                <c:pt idx="376">
                  <c:v>37.836359999999999</c:v>
                </c:pt>
                <c:pt idx="377">
                  <c:v>36.018180000000001</c:v>
                </c:pt>
                <c:pt idx="378">
                  <c:v>42.581817999999998</c:v>
                </c:pt>
                <c:pt idx="379">
                  <c:v>43.181815999999998</c:v>
                </c:pt>
                <c:pt idx="380">
                  <c:v>43.090907999999999</c:v>
                </c:pt>
                <c:pt idx="381">
                  <c:v>43.945453999999998</c:v>
                </c:pt>
                <c:pt idx="382">
                  <c:v>41.071429999999999</c:v>
                </c:pt>
                <c:pt idx="383">
                  <c:v>40.178570000000001</c:v>
                </c:pt>
                <c:pt idx="384">
                  <c:v>40.107140000000001</c:v>
                </c:pt>
                <c:pt idx="385">
                  <c:v>41.375</c:v>
                </c:pt>
                <c:pt idx="386">
                  <c:v>30.506329000000001</c:v>
                </c:pt>
                <c:pt idx="387">
                  <c:v>29.860759999999999</c:v>
                </c:pt>
                <c:pt idx="388">
                  <c:v>31.278479000000001</c:v>
                </c:pt>
                <c:pt idx="389">
                  <c:v>31.594933999999999</c:v>
                </c:pt>
                <c:pt idx="390">
                  <c:v>31.025316</c:v>
                </c:pt>
                <c:pt idx="391">
                  <c:v>30.443037</c:v>
                </c:pt>
                <c:pt idx="392">
                  <c:v>29.063289999999999</c:v>
                </c:pt>
                <c:pt idx="393">
                  <c:v>28.265820999999999</c:v>
                </c:pt>
                <c:pt idx="394">
                  <c:v>27.797466</c:v>
                </c:pt>
                <c:pt idx="395">
                  <c:v>27.848099999999999</c:v>
                </c:pt>
                <c:pt idx="396">
                  <c:v>27.683544000000001</c:v>
                </c:pt>
                <c:pt idx="397">
                  <c:v>27.075949000000001</c:v>
                </c:pt>
                <c:pt idx="398">
                  <c:v>28.088608000000001</c:v>
                </c:pt>
                <c:pt idx="399">
                  <c:v>28.151897000000002</c:v>
                </c:pt>
                <c:pt idx="400">
                  <c:v>28</c:v>
                </c:pt>
                <c:pt idx="401">
                  <c:v>27.860759999999999</c:v>
                </c:pt>
                <c:pt idx="402">
                  <c:v>28.455694000000001</c:v>
                </c:pt>
                <c:pt idx="403">
                  <c:v>28.974682000000001</c:v>
                </c:pt>
                <c:pt idx="404">
                  <c:v>30.316455999999999</c:v>
                </c:pt>
                <c:pt idx="405">
                  <c:v>30.569617999999998</c:v>
                </c:pt>
                <c:pt idx="406">
                  <c:v>28.999998000000001</c:v>
                </c:pt>
                <c:pt idx="407">
                  <c:v>30</c:v>
                </c:pt>
                <c:pt idx="408">
                  <c:v>31.645568999999998</c:v>
                </c:pt>
                <c:pt idx="409">
                  <c:v>33.329113</c:v>
                </c:pt>
                <c:pt idx="410">
                  <c:v>33.367089999999997</c:v>
                </c:pt>
                <c:pt idx="411">
                  <c:v>32.873417000000003</c:v>
                </c:pt>
                <c:pt idx="412">
                  <c:v>32.822783999999999</c:v>
                </c:pt>
                <c:pt idx="413">
                  <c:v>32.543210000000002</c:v>
                </c:pt>
                <c:pt idx="414">
                  <c:v>32.901234000000002</c:v>
                </c:pt>
                <c:pt idx="415">
                  <c:v>32.716050000000003</c:v>
                </c:pt>
                <c:pt idx="416">
                  <c:v>32.543210000000002</c:v>
                </c:pt>
                <c:pt idx="417">
                  <c:v>32.469135000000001</c:v>
                </c:pt>
                <c:pt idx="418">
                  <c:v>28.555554999999998</c:v>
                </c:pt>
                <c:pt idx="419">
                  <c:v>28.493828000000001</c:v>
                </c:pt>
                <c:pt idx="420">
                  <c:v>27.308643</c:v>
                </c:pt>
                <c:pt idx="421">
                  <c:v>28</c:v>
                </c:pt>
                <c:pt idx="422">
                  <c:v>29.734176999999999</c:v>
                </c:pt>
                <c:pt idx="423">
                  <c:v>28.481012</c:v>
                </c:pt>
                <c:pt idx="424">
                  <c:v>28.354430000000001</c:v>
                </c:pt>
                <c:pt idx="425">
                  <c:v>28.455694000000001</c:v>
                </c:pt>
                <c:pt idx="426">
                  <c:v>28.164556999999999</c:v>
                </c:pt>
                <c:pt idx="427">
                  <c:v>27.898734999999999</c:v>
                </c:pt>
                <c:pt idx="428">
                  <c:v>26.886074000000001</c:v>
                </c:pt>
                <c:pt idx="429">
                  <c:v>27.050632</c:v>
                </c:pt>
                <c:pt idx="430">
                  <c:v>26.113921999999999</c:v>
                </c:pt>
                <c:pt idx="431">
                  <c:v>24.98734</c:v>
                </c:pt>
                <c:pt idx="432">
                  <c:v>24.430378000000001</c:v>
                </c:pt>
                <c:pt idx="433">
                  <c:v>24.455694000000001</c:v>
                </c:pt>
                <c:pt idx="434">
                  <c:v>24.358974</c:v>
                </c:pt>
                <c:pt idx="435">
                  <c:v>24.987179999999999</c:v>
                </c:pt>
                <c:pt idx="436">
                  <c:v>21.871796</c:v>
                </c:pt>
                <c:pt idx="437">
                  <c:v>23.243590000000001</c:v>
                </c:pt>
                <c:pt idx="438">
                  <c:v>24.102564000000001</c:v>
                </c:pt>
                <c:pt idx="439">
                  <c:v>22.518518</c:v>
                </c:pt>
                <c:pt idx="440">
                  <c:v>26.629629999999999</c:v>
                </c:pt>
                <c:pt idx="441">
                  <c:v>25.876541</c:v>
                </c:pt>
                <c:pt idx="442">
                  <c:v>25.246914</c:v>
                </c:pt>
                <c:pt idx="443">
                  <c:v>25.780487000000001</c:v>
                </c:pt>
                <c:pt idx="444">
                  <c:v>26.329270000000001</c:v>
                </c:pt>
                <c:pt idx="445">
                  <c:v>25.7561</c:v>
                </c:pt>
                <c:pt idx="446">
                  <c:v>25.158535000000001</c:v>
                </c:pt>
                <c:pt idx="447">
                  <c:v>27.999998000000001</c:v>
                </c:pt>
                <c:pt idx="448">
                  <c:v>27.291664000000001</c:v>
                </c:pt>
                <c:pt idx="449">
                  <c:v>27.499998000000001</c:v>
                </c:pt>
                <c:pt idx="450">
                  <c:v>26.944443</c:v>
                </c:pt>
                <c:pt idx="451">
                  <c:v>27.624998000000001</c:v>
                </c:pt>
                <c:pt idx="452">
                  <c:v>28.144928</c:v>
                </c:pt>
                <c:pt idx="453">
                  <c:v>28.695651999999999</c:v>
                </c:pt>
                <c:pt idx="454">
                  <c:v>28.637682000000002</c:v>
                </c:pt>
                <c:pt idx="455">
                  <c:v>27.536231999999998</c:v>
                </c:pt>
                <c:pt idx="456">
                  <c:v>27.130434000000001</c:v>
                </c:pt>
                <c:pt idx="457">
                  <c:v>27.855072</c:v>
                </c:pt>
                <c:pt idx="458">
                  <c:v>27.144926000000002</c:v>
                </c:pt>
                <c:pt idx="459">
                  <c:v>29.043479999999999</c:v>
                </c:pt>
                <c:pt idx="460">
                  <c:v>30.855073999999998</c:v>
                </c:pt>
                <c:pt idx="461">
                  <c:v>30.042857999999999</c:v>
                </c:pt>
                <c:pt idx="462">
                  <c:v>30.442858000000001</c:v>
                </c:pt>
                <c:pt idx="463">
                  <c:v>32.1</c:v>
                </c:pt>
                <c:pt idx="464">
                  <c:v>31.300001000000002</c:v>
                </c:pt>
                <c:pt idx="465">
                  <c:v>30.635135999999999</c:v>
                </c:pt>
                <c:pt idx="466">
                  <c:v>31.256755999999999</c:v>
                </c:pt>
                <c:pt idx="467">
                  <c:v>31.62162</c:v>
                </c:pt>
                <c:pt idx="468">
                  <c:v>31.783785000000002</c:v>
                </c:pt>
                <c:pt idx="469">
                  <c:v>31.081081000000001</c:v>
                </c:pt>
                <c:pt idx="470">
                  <c:v>32.581074324324327</c:v>
                </c:pt>
                <c:pt idx="471">
                  <c:v>31.499991891891892</c:v>
                </c:pt>
                <c:pt idx="472">
                  <c:v>31.21620945945946</c:v>
                </c:pt>
                <c:pt idx="473">
                  <c:v>32.635127027027025</c:v>
                </c:pt>
                <c:pt idx="474">
                  <c:v>32.162155405405407</c:v>
                </c:pt>
                <c:pt idx="475">
                  <c:v>32.891883783783783</c:v>
                </c:pt>
                <c:pt idx="476">
                  <c:v>30.740735802469136</c:v>
                </c:pt>
                <c:pt idx="477">
                  <c:v>30.925919753086415</c:v>
                </c:pt>
                <c:pt idx="478">
                  <c:v>32.320985185185187</c:v>
                </c:pt>
                <c:pt idx="479">
                  <c:v>32.308637037037037</c:v>
                </c:pt>
                <c:pt idx="480">
                  <c:v>32.592590123456787</c:v>
                </c:pt>
                <c:pt idx="481">
                  <c:v>32.259255555555555</c:v>
                </c:pt>
                <c:pt idx="482">
                  <c:v>31.901232098765433</c:v>
                </c:pt>
                <c:pt idx="483">
                  <c:v>31.851848148148147</c:v>
                </c:pt>
                <c:pt idx="484">
                  <c:v>32.283945679012348</c:v>
                </c:pt>
                <c:pt idx="485">
                  <c:v>32.756527420202126</c:v>
                </c:pt>
                <c:pt idx="486">
                  <c:v>32.088027972247517</c:v>
                </c:pt>
                <c:pt idx="487">
                  <c:v>31.617602801602192</c:v>
                </c:pt>
                <c:pt idx="488">
                  <c:v>30.107285199154649</c:v>
                </c:pt>
                <c:pt idx="489">
                  <c:v>27.265419999999999</c:v>
                </c:pt>
                <c:pt idx="490">
                  <c:v>25.984515609999999</c:v>
                </c:pt>
                <c:pt idx="491">
                  <c:v>24.598765143510001</c:v>
                </c:pt>
                <c:pt idx="492">
                  <c:v>22.5494564</c:v>
                </c:pt>
                <c:pt idx="493">
                  <c:v>21.39611386352664</c:v>
                </c:pt>
                <c:pt idx="494">
                  <c:v>20.654216739999999</c:v>
                </c:pt>
                <c:pt idx="495">
                  <c:v>19.598462099999999</c:v>
                </c:pt>
                <c:pt idx="496">
                  <c:v>18.687316166505322</c:v>
                </c:pt>
                <c:pt idx="497">
                  <c:v>18.594383736689252</c:v>
                </c:pt>
                <c:pt idx="498">
                  <c:v>18.29664918660287</c:v>
                </c:pt>
                <c:pt idx="499">
                  <c:v>18.847846124401915</c:v>
                </c:pt>
                <c:pt idx="500">
                  <c:v>18.748323827751197</c:v>
                </c:pt>
                <c:pt idx="501">
                  <c:v>18.54928076555024</c:v>
                </c:pt>
                <c:pt idx="502">
                  <c:v>18.11320603773585</c:v>
                </c:pt>
                <c:pt idx="503">
                  <c:v>18.686790943396225</c:v>
                </c:pt>
                <c:pt idx="504">
                  <c:v>18.467920754716982</c:v>
                </c:pt>
                <c:pt idx="505">
                  <c:v>18.603770566037738</c:v>
                </c:pt>
                <c:pt idx="506">
                  <c:v>19.201838066001535</c:v>
                </c:pt>
                <c:pt idx="507">
                  <c:v>19.301608595548736</c:v>
                </c:pt>
                <c:pt idx="508">
                  <c:v>18.925553338449731</c:v>
                </c:pt>
                <c:pt idx="509">
                  <c:v>19.194164236377592</c:v>
                </c:pt>
                <c:pt idx="510">
                  <c:v>19.163466615502685</c:v>
                </c:pt>
                <c:pt idx="511">
                  <c:v>19.785202068416869</c:v>
                </c:pt>
                <c:pt idx="512">
                  <c:v>19.753379474940335</c:v>
                </c:pt>
                <c:pt idx="513">
                  <c:v>19.721559268098648</c:v>
                </c:pt>
                <c:pt idx="514">
                  <c:v>20.023866348448692</c:v>
                </c:pt>
                <c:pt idx="515">
                  <c:v>20.162672505682892</c:v>
                </c:pt>
                <c:pt idx="516">
                  <c:v>19.803195380977773</c:v>
                </c:pt>
                <c:pt idx="517">
                  <c:v>19.82716052262478</c:v>
                </c:pt>
                <c:pt idx="518">
                  <c:v>20.242556311172923</c:v>
                </c:pt>
                <c:pt idx="519">
                  <c:v>20.57987855</c:v>
                </c:pt>
                <c:pt idx="520">
                  <c:v>20.2</c:v>
                </c:pt>
                <c:pt idx="521">
                  <c:v>20.490196108192006</c:v>
                </c:pt>
                <c:pt idx="522">
                  <c:v>20.263788968824944</c:v>
                </c:pt>
                <c:pt idx="523">
                  <c:v>20.439648281374904</c:v>
                </c:pt>
                <c:pt idx="524">
                  <c:v>19.92006394884093</c:v>
                </c:pt>
                <c:pt idx="525">
                  <c:v>17.953637090327739</c:v>
                </c:pt>
                <c:pt idx="526">
                  <c:v>18.353317346123102</c:v>
                </c:pt>
                <c:pt idx="527">
                  <c:v>20.097609481682831</c:v>
                </c:pt>
                <c:pt idx="528">
                  <c:v>19.864541753527721</c:v>
                </c:pt>
                <c:pt idx="529">
                  <c:v>19.891434183699467</c:v>
                </c:pt>
                <c:pt idx="530">
                  <c:v>19.12051785210949</c:v>
                </c:pt>
                <c:pt idx="531">
                  <c:v>19.497011874513898</c:v>
                </c:pt>
                <c:pt idx="532">
                  <c:v>22.536756178615533</c:v>
                </c:pt>
                <c:pt idx="533">
                  <c:v>23.019836693161814</c:v>
                </c:pt>
                <c:pt idx="534">
                  <c:v>22.463243926401969</c:v>
                </c:pt>
                <c:pt idx="535">
                  <c:v>22.326721172291066</c:v>
                </c:pt>
                <c:pt idx="536">
                  <c:v>22.410735174820854</c:v>
                </c:pt>
                <c:pt idx="537">
                  <c:v>22.55775967924798</c:v>
                </c:pt>
                <c:pt idx="538">
                  <c:v>23.555425959289209</c:v>
                </c:pt>
                <c:pt idx="539">
                  <c:v>24.679113243125119</c:v>
                </c:pt>
                <c:pt idx="540">
                  <c:v>25.677588466579291</c:v>
                </c:pt>
                <c:pt idx="541">
                  <c:v>29.252948885976409</c:v>
                </c:pt>
                <c:pt idx="542">
                  <c:v>26.29036642141212</c:v>
                </c:pt>
                <c:pt idx="543">
                  <c:v>26.622795187578824</c:v>
                </c:pt>
                <c:pt idx="544">
                  <c:v>26.090909161712101</c:v>
                </c:pt>
                <c:pt idx="545">
                  <c:v>26.166892879693062</c:v>
                </c:pt>
                <c:pt idx="546">
                  <c:v>25.299362976753621</c:v>
                </c:pt>
                <c:pt idx="547">
                  <c:v>21.974522223011078</c:v>
                </c:pt>
                <c:pt idx="548">
                  <c:v>21.974522223011078</c:v>
                </c:pt>
                <c:pt idx="549">
                  <c:v>22.099141441667097</c:v>
                </c:pt>
                <c:pt idx="550">
                  <c:v>21.775131473161451</c:v>
                </c:pt>
                <c:pt idx="551">
                  <c:v>21.143727431970962</c:v>
                </c:pt>
                <c:pt idx="552">
                  <c:v>21.126405909014604</c:v>
                </c:pt>
                <c:pt idx="553">
                  <c:v>19.80862850428068</c:v>
                </c:pt>
                <c:pt idx="554">
                  <c:v>20.060433103911365</c:v>
                </c:pt>
                <c:pt idx="555">
                  <c:v>20.706731576296797</c:v>
                </c:pt>
                <c:pt idx="556">
                  <c:v>20.374667905967094</c:v>
                </c:pt>
                <c:pt idx="557">
                  <c:v>20.072696706043335</c:v>
                </c:pt>
                <c:pt idx="558">
                  <c:v>19.744245524296677</c:v>
                </c:pt>
                <c:pt idx="559">
                  <c:v>18.908780903665818</c:v>
                </c:pt>
                <c:pt idx="560">
                  <c:v>16.871270247229329</c:v>
                </c:pt>
                <c:pt idx="561">
                  <c:v>15.043478260869566</c:v>
                </c:pt>
                <c:pt idx="562">
                  <c:v>13.14975845410628</c:v>
                </c:pt>
                <c:pt idx="563">
                  <c:v>13.14975845410628</c:v>
                </c:pt>
                <c:pt idx="564">
                  <c:v>17.298335467349553</c:v>
                </c:pt>
                <c:pt idx="565">
                  <c:v>16.517285531370039</c:v>
                </c:pt>
                <c:pt idx="566">
                  <c:v>15.749039692701665</c:v>
                </c:pt>
                <c:pt idx="567">
                  <c:v>15.902688860435338</c:v>
                </c:pt>
                <c:pt idx="568">
                  <c:v>15.83866837387964</c:v>
                </c:pt>
                <c:pt idx="569">
                  <c:v>15.774647887323944</c:v>
                </c:pt>
                <c:pt idx="570">
                  <c:v>14.073359127696367</c:v>
                </c:pt>
                <c:pt idx="571">
                  <c:v>12.915057964923005</c:v>
                </c:pt>
                <c:pt idx="572">
                  <c:v>13.482625534681953</c:v>
                </c:pt>
                <c:pt idx="573">
                  <c:v>13.366795418404614</c:v>
                </c:pt>
                <c:pt idx="574">
                  <c:v>12.335907383536322</c:v>
                </c:pt>
                <c:pt idx="575">
                  <c:v>11.594594639361368</c:v>
                </c:pt>
                <c:pt idx="576">
                  <c:v>10.864864906814152</c:v>
                </c:pt>
                <c:pt idx="577">
                  <c:v>13.906666666666666</c:v>
                </c:pt>
                <c:pt idx="578">
                  <c:v>15.013333333333334</c:v>
                </c:pt>
                <c:pt idx="579">
                  <c:v>15.293333333333335</c:v>
                </c:pt>
                <c:pt idx="580">
                  <c:v>17.16</c:v>
                </c:pt>
                <c:pt idx="581">
                  <c:v>17.920000000000002</c:v>
                </c:pt>
                <c:pt idx="582">
                  <c:v>16.946666666666669</c:v>
                </c:pt>
                <c:pt idx="583">
                  <c:v>15.946666666666667</c:v>
                </c:pt>
                <c:pt idx="584">
                  <c:v>15.133333333333333</c:v>
                </c:pt>
                <c:pt idx="585">
                  <c:v>15.586666666666666</c:v>
                </c:pt>
                <c:pt idx="586">
                  <c:v>15.826666666666666</c:v>
                </c:pt>
                <c:pt idx="587">
                  <c:v>15.706666666666665</c:v>
                </c:pt>
                <c:pt idx="588">
                  <c:v>14.14</c:v>
                </c:pt>
                <c:pt idx="589">
                  <c:v>14.14</c:v>
                </c:pt>
                <c:pt idx="590">
                  <c:v>15.786666666666667</c:v>
                </c:pt>
                <c:pt idx="591">
                  <c:v>16.32</c:v>
                </c:pt>
                <c:pt idx="592">
                  <c:v>16.013157894736842</c:v>
                </c:pt>
                <c:pt idx="593">
                  <c:v>16.5</c:v>
                </c:pt>
                <c:pt idx="594">
                  <c:v>15.846994535519125</c:v>
                </c:pt>
                <c:pt idx="595">
                  <c:v>16.178032786885243</c:v>
                </c:pt>
                <c:pt idx="596">
                  <c:v>15.934426229508196</c:v>
                </c:pt>
                <c:pt idx="597">
                  <c:v>16.295081967213115</c:v>
                </c:pt>
                <c:pt idx="598">
                  <c:v>14.545082026824108</c:v>
                </c:pt>
                <c:pt idx="599">
                  <c:v>14.545082026824108</c:v>
                </c:pt>
                <c:pt idx="600">
                  <c:v>14.188524648313626</c:v>
                </c:pt>
                <c:pt idx="601">
                  <c:v>14.766393503140957</c:v>
                </c:pt>
                <c:pt idx="602">
                  <c:v>14.004098418049585</c:v>
                </c:pt>
                <c:pt idx="603">
                  <c:v>15.258196783845069</c:v>
                </c:pt>
                <c:pt idx="604">
                  <c:v>15.722891566265062</c:v>
                </c:pt>
                <c:pt idx="605">
                  <c:v>17.289156626506024</c:v>
                </c:pt>
                <c:pt idx="606">
                  <c:v>16.650602409638555</c:v>
                </c:pt>
                <c:pt idx="607">
                  <c:v>16.722891566265062</c:v>
                </c:pt>
                <c:pt idx="608">
                  <c:v>17.409638554216869</c:v>
                </c:pt>
                <c:pt idx="609">
                  <c:v>17.578313253012048</c:v>
                </c:pt>
                <c:pt idx="610">
                  <c:v>18.024096385542169</c:v>
                </c:pt>
                <c:pt idx="611">
                  <c:v>16.180722891566266</c:v>
                </c:pt>
                <c:pt idx="612">
                  <c:v>15.493975903614459</c:v>
                </c:pt>
                <c:pt idx="613">
                  <c:v>13.722891566265062</c:v>
                </c:pt>
                <c:pt idx="614">
                  <c:v>10.867469879518072</c:v>
                </c:pt>
                <c:pt idx="615">
                  <c:v>10.803738317757009</c:v>
                </c:pt>
                <c:pt idx="616">
                  <c:v>9.3333333333333339</c:v>
                </c:pt>
                <c:pt idx="617">
                  <c:v>9.7037037037037042</c:v>
                </c:pt>
                <c:pt idx="618">
                  <c:v>8.845177664974619</c:v>
                </c:pt>
                <c:pt idx="619">
                  <c:v>8.6040609137055846</c:v>
                </c:pt>
                <c:pt idx="620">
                  <c:v>8.8578680203045685</c:v>
                </c:pt>
                <c:pt idx="621">
                  <c:v>9.5304568527918772</c:v>
                </c:pt>
                <c:pt idx="622">
                  <c:v>9.0101522842639579</c:v>
                </c:pt>
                <c:pt idx="623">
                  <c:v>9.3006134969325167</c:v>
                </c:pt>
                <c:pt idx="624">
                  <c:v>10.539877300613497</c:v>
                </c:pt>
                <c:pt idx="625">
                  <c:v>9.6746987951807224</c:v>
                </c:pt>
                <c:pt idx="626">
                  <c:v>9.6746987951807224</c:v>
                </c:pt>
                <c:pt idx="627">
                  <c:v>10.349397590361447</c:v>
                </c:pt>
                <c:pt idx="628">
                  <c:v>10.481927710843372</c:v>
                </c:pt>
                <c:pt idx="629">
                  <c:v>10.265060240963855</c:v>
                </c:pt>
                <c:pt idx="630">
                  <c:v>11.457831325301205</c:v>
                </c:pt>
                <c:pt idx="631">
                  <c:v>11.134831460674157</c:v>
                </c:pt>
                <c:pt idx="632">
                  <c:v>10.561797752808989</c:v>
                </c:pt>
                <c:pt idx="633">
                  <c:v>9.910224719101123</c:v>
                </c:pt>
                <c:pt idx="634">
                  <c:v>9.3033707865168527</c:v>
                </c:pt>
                <c:pt idx="635">
                  <c:v>8.0898876404494384</c:v>
                </c:pt>
                <c:pt idx="636">
                  <c:v>8.2471910112359552</c:v>
                </c:pt>
                <c:pt idx="637">
                  <c:v>8.0786516853932593</c:v>
                </c:pt>
                <c:pt idx="638">
                  <c:v>8.4943820224719104</c:v>
                </c:pt>
                <c:pt idx="639">
                  <c:v>9.5056179775280913</c:v>
                </c:pt>
                <c:pt idx="640">
                  <c:v>10.539325842696631</c:v>
                </c:pt>
                <c:pt idx="641">
                  <c:v>9.7415730337078656</c:v>
                </c:pt>
                <c:pt idx="642">
                  <c:v>10.269662921348315</c:v>
                </c:pt>
                <c:pt idx="643">
                  <c:v>10.730337078651687</c:v>
                </c:pt>
                <c:pt idx="644">
                  <c:v>10.932584269662922</c:v>
                </c:pt>
                <c:pt idx="645">
                  <c:v>10.574468085106384</c:v>
                </c:pt>
                <c:pt idx="646">
                  <c:v>10.74468085106383</c:v>
                </c:pt>
                <c:pt idx="647">
                  <c:v>11.340425531914894</c:v>
                </c:pt>
                <c:pt idx="648">
                  <c:v>12.627659574468085</c:v>
                </c:pt>
                <c:pt idx="649">
                  <c:v>12.765957446808512</c:v>
                </c:pt>
                <c:pt idx="650">
                  <c:v>12.659574468085108</c:v>
                </c:pt>
                <c:pt idx="651">
                  <c:v>17.22580634047867</c:v>
                </c:pt>
                <c:pt idx="652">
                  <c:v>16.625806344349638</c:v>
                </c:pt>
                <c:pt idx="653">
                  <c:v>11.135135135135135</c:v>
                </c:pt>
                <c:pt idx="654">
                  <c:v>11.783783783783784</c:v>
                </c:pt>
                <c:pt idx="655">
                  <c:v>12.675675675675677</c:v>
                </c:pt>
                <c:pt idx="656">
                  <c:v>14.126213523659155</c:v>
                </c:pt>
                <c:pt idx="657">
                  <c:v>14.126213523659155</c:v>
                </c:pt>
                <c:pt idx="658">
                  <c:v>14.257281484187953</c:v>
                </c:pt>
                <c:pt idx="659">
                  <c:v>14.38834944471675</c:v>
                </c:pt>
                <c:pt idx="660">
                  <c:v>13.499999934466018</c:v>
                </c:pt>
                <c:pt idx="661">
                  <c:v>13.004854305801677</c:v>
                </c:pt>
                <c:pt idx="662">
                  <c:v>13.820388282425299</c:v>
                </c:pt>
                <c:pt idx="663">
                  <c:v>14.228155270737108</c:v>
                </c:pt>
                <c:pt idx="664">
                  <c:v>13.601941681543972</c:v>
                </c:pt>
                <c:pt idx="665">
                  <c:v>13.398058187388065</c:v>
                </c:pt>
                <c:pt idx="666">
                  <c:v>14.563106725421811</c:v>
                </c:pt>
                <c:pt idx="667">
                  <c:v>14.47572808506928</c:v>
                </c:pt>
                <c:pt idx="668">
                  <c:v>14.024271776581205</c:v>
                </c:pt>
                <c:pt idx="669">
                  <c:v>16.718446520784241</c:v>
                </c:pt>
                <c:pt idx="670">
                  <c:v>17.382352941176471</c:v>
                </c:pt>
                <c:pt idx="671">
                  <c:v>18.117647058823529</c:v>
                </c:pt>
                <c:pt idx="672">
                  <c:v>18</c:v>
                </c:pt>
                <c:pt idx="673">
                  <c:v>16.735294117647058</c:v>
                </c:pt>
                <c:pt idx="674">
                  <c:v>16.970588235294116</c:v>
                </c:pt>
                <c:pt idx="675">
                  <c:v>17.573529411764703</c:v>
                </c:pt>
                <c:pt idx="676">
                  <c:v>19.102941176470587</c:v>
                </c:pt>
                <c:pt idx="677">
                  <c:v>20.132352941176467</c:v>
                </c:pt>
                <c:pt idx="678">
                  <c:v>20.338235294117645</c:v>
                </c:pt>
                <c:pt idx="679">
                  <c:v>20.382352941176467</c:v>
                </c:pt>
                <c:pt idx="680">
                  <c:v>20.235294117647058</c:v>
                </c:pt>
                <c:pt idx="681">
                  <c:v>20.441176470588236</c:v>
                </c:pt>
                <c:pt idx="682">
                  <c:v>22.289855072463769</c:v>
                </c:pt>
                <c:pt idx="683">
                  <c:v>21.265486819758792</c:v>
                </c:pt>
                <c:pt idx="684">
                  <c:v>21.013274429262275</c:v>
                </c:pt>
                <c:pt idx="685">
                  <c:v>24</c:v>
                </c:pt>
                <c:pt idx="686">
                  <c:v>25</c:v>
                </c:pt>
                <c:pt idx="687">
                  <c:v>27</c:v>
                </c:pt>
                <c:pt idx="688">
                  <c:v>31</c:v>
                </c:pt>
                <c:pt idx="689">
                  <c:v>36</c:v>
                </c:pt>
                <c:pt idx="690">
                  <c:v>33</c:v>
                </c:pt>
                <c:pt idx="691">
                  <c:v>35</c:v>
                </c:pt>
                <c:pt idx="692">
                  <c:v>36</c:v>
                </c:pt>
                <c:pt idx="693">
                  <c:v>35.754711320754716</c:v>
                </c:pt>
                <c:pt idx="694">
                  <c:v>37.075470978359007</c:v>
                </c:pt>
                <c:pt idx="695">
                  <c:v>35.999999856049158</c:v>
                </c:pt>
                <c:pt idx="696">
                  <c:v>32.584906524082399</c:v>
                </c:pt>
                <c:pt idx="697">
                  <c:v>35.226415238290464</c:v>
                </c:pt>
                <c:pt idx="698">
                  <c:v>30.754715541623671</c:v>
                </c:pt>
                <c:pt idx="699">
                  <c:v>24.986406901754339</c:v>
                </c:pt>
                <c:pt idx="700">
                  <c:v>22.790588623601039</c:v>
                </c:pt>
                <c:pt idx="701">
                  <c:v>22.273925901885587</c:v>
                </c:pt>
                <c:pt idx="702">
                  <c:v>23.163733238272702</c:v>
                </c:pt>
                <c:pt idx="703">
                  <c:v>21.082728898278393</c:v>
                </c:pt>
                <c:pt idx="704">
                  <c:v>20.810046137323319</c:v>
                </c:pt>
                <c:pt idx="705">
                  <c:v>16.249737210632137</c:v>
                </c:pt>
                <c:pt idx="706">
                  <c:v>16.014396146210689</c:v>
                </c:pt>
                <c:pt idx="707">
                  <c:v>17.123860706159387</c:v>
                </c:pt>
                <c:pt idx="708">
                  <c:v>17.05716595304386</c:v>
                </c:pt>
                <c:pt idx="709">
                  <c:v>18.335896992423859</c:v>
                </c:pt>
                <c:pt idx="710">
                  <c:v>16.567911581844751</c:v>
                </c:pt>
                <c:pt idx="711">
                  <c:v>15.144628162811788</c:v>
                </c:pt>
                <c:pt idx="712">
                  <c:v>14.366270092735746</c:v>
                </c:pt>
                <c:pt idx="713">
                  <c:v>15.333658116171126</c:v>
                </c:pt>
                <c:pt idx="714">
                  <c:v>17.791046449413532</c:v>
                </c:pt>
                <c:pt idx="715">
                  <c:v>16.779180852271775</c:v>
                </c:pt>
                <c:pt idx="716">
                  <c:v>16.756941535204088</c:v>
                </c:pt>
                <c:pt idx="717">
                  <c:v>17.713210960534628</c:v>
                </c:pt>
                <c:pt idx="718">
                  <c:v>18.280300820612645</c:v>
                </c:pt>
                <c:pt idx="719">
                  <c:v>19.336642931031768</c:v>
                </c:pt>
                <c:pt idx="720">
                  <c:v>20.237316184551094</c:v>
                </c:pt>
                <c:pt idx="721">
                  <c:v>19.155375814755281</c:v>
                </c:pt>
                <c:pt idx="722">
                  <c:v>19.657455145613007</c:v>
                </c:pt>
                <c:pt idx="723">
                  <c:v>18.653298565719862</c:v>
                </c:pt>
                <c:pt idx="724">
                  <c:v>18.729701444327659</c:v>
                </c:pt>
                <c:pt idx="725">
                  <c:v>19.013485051886843</c:v>
                </c:pt>
                <c:pt idx="726">
                  <c:v>20.393235556090428</c:v>
                </c:pt>
                <c:pt idx="727">
                  <c:v>20.23807030663389</c:v>
                </c:pt>
                <c:pt idx="728">
                  <c:v>19.927737693752835</c:v>
                </c:pt>
                <c:pt idx="729">
                  <c:v>18.985658434978184</c:v>
                </c:pt>
                <c:pt idx="730">
                  <c:v>18.985658434978184</c:v>
                </c:pt>
                <c:pt idx="731">
                  <c:v>18.985658434978184</c:v>
                </c:pt>
                <c:pt idx="732">
                  <c:v>20.12723707960723</c:v>
                </c:pt>
                <c:pt idx="733">
                  <c:v>20.288279471986367</c:v>
                </c:pt>
                <c:pt idx="734">
                  <c:v>20.154</c:v>
                </c:pt>
                <c:pt idx="735">
                  <c:v>19.84564</c:v>
                </c:pt>
                <c:pt idx="736">
                  <c:v>19.394250092633548</c:v>
                </c:pt>
                <c:pt idx="737">
                  <c:v>19.646540000000002</c:v>
                </c:pt>
                <c:pt idx="738">
                  <c:v>19.846540000000001</c:v>
                </c:pt>
                <c:pt idx="739">
                  <c:v>19.394250092633548</c:v>
                </c:pt>
                <c:pt idx="740">
                  <c:v>18.836587032403493</c:v>
                </c:pt>
                <c:pt idx="741">
                  <c:v>20.2</c:v>
                </c:pt>
                <c:pt idx="742">
                  <c:v>20.359093078466323</c:v>
                </c:pt>
                <c:pt idx="743">
                  <c:v>18.229173885363309</c:v>
                </c:pt>
                <c:pt idx="744">
                  <c:v>18.365861196779218</c:v>
                </c:pt>
                <c:pt idx="745">
                  <c:v>18.5025496932459</c:v>
                </c:pt>
                <c:pt idx="746">
                  <c:v>18.291304912389005</c:v>
                </c:pt>
                <c:pt idx="747">
                  <c:v>18.092486573947404</c:v>
                </c:pt>
                <c:pt idx="748">
                  <c:v>17.657570569818319</c:v>
                </c:pt>
                <c:pt idx="749">
                  <c:v>19.119491455043402</c:v>
                </c:pt>
                <c:pt idx="750">
                  <c:v>18.396991477161393</c:v>
                </c:pt>
                <c:pt idx="751">
                  <c:v>18.089260595832467</c:v>
                </c:pt>
                <c:pt idx="752">
                  <c:v>16.992130054618332</c:v>
                </c:pt>
                <c:pt idx="753">
                  <c:v>16.162593137493133</c:v>
                </c:pt>
                <c:pt idx="754">
                  <c:v>16.189353010294415</c:v>
                </c:pt>
                <c:pt idx="755">
                  <c:v>16.082316071051224</c:v>
                </c:pt>
                <c:pt idx="756">
                  <c:v>16.857718694389252</c:v>
                </c:pt>
                <c:pt idx="757">
                  <c:v>13.203600599987952</c:v>
                </c:pt>
                <c:pt idx="758">
                  <c:v>12.889228966776834</c:v>
                </c:pt>
                <c:pt idx="759">
                  <c:v>12.878749679152493</c:v>
                </c:pt>
                <c:pt idx="760">
                  <c:v>14.401819354885104</c:v>
                </c:pt>
                <c:pt idx="761">
                  <c:v>11.974189749753025</c:v>
                </c:pt>
                <c:pt idx="762">
                  <c:v>11.498184162406842</c:v>
                </c:pt>
                <c:pt idx="763">
                  <c:v>9.9432316355407266</c:v>
                </c:pt>
                <c:pt idx="764">
                  <c:v>10.725997477634465</c:v>
                </c:pt>
                <c:pt idx="765">
                  <c:v>10.725997477634465</c:v>
                </c:pt>
                <c:pt idx="766">
                  <c:v>10.630796158407675</c:v>
                </c:pt>
                <c:pt idx="767">
                  <c:v>11.498184162406842</c:v>
                </c:pt>
                <c:pt idx="768">
                  <c:v>11.117181811858382</c:v>
                </c:pt>
                <c:pt idx="769">
                  <c:v>11.473174412753172</c:v>
                </c:pt>
                <c:pt idx="770">
                  <c:v>11.614006081064733</c:v>
                </c:pt>
                <c:pt idx="771">
                  <c:v>11.614006081064733</c:v>
                </c:pt>
                <c:pt idx="772">
                  <c:v>11.614006081064733</c:v>
                </c:pt>
                <c:pt idx="773">
                  <c:v>14.934194675995903</c:v>
                </c:pt>
                <c:pt idx="774">
                  <c:v>14.030061089344221</c:v>
                </c:pt>
                <c:pt idx="775">
                  <c:v>14.190717885588096</c:v>
                </c:pt>
                <c:pt idx="776">
                  <c:v>13.717080914928454</c:v>
                </c:pt>
                <c:pt idx="777">
                  <c:v>13.717080914928454</c:v>
                </c:pt>
                <c:pt idx="778">
                  <c:v>13.641190981433052</c:v>
                </c:pt>
                <c:pt idx="779">
                  <c:v>13.923677007094515</c:v>
                </c:pt>
                <c:pt idx="780">
                  <c:v>14.153440437126083</c:v>
                </c:pt>
                <c:pt idx="781">
                  <c:v>14.475110334768734</c:v>
                </c:pt>
                <c:pt idx="782">
                  <c:v>13.774330503674381</c:v>
                </c:pt>
                <c:pt idx="783">
                  <c:v>14.233858459335973</c:v>
                </c:pt>
                <c:pt idx="784">
                  <c:v>14.164928882527274</c:v>
                </c:pt>
                <c:pt idx="785">
                  <c:v>15.888156251161721</c:v>
                </c:pt>
                <c:pt idx="786">
                  <c:v>15.888156251161721</c:v>
                </c:pt>
                <c:pt idx="787">
                  <c:v>20.5348765895429</c:v>
                </c:pt>
                <c:pt idx="788">
                  <c:v>20.229060735596192</c:v>
                </c:pt>
                <c:pt idx="789">
                  <c:v>20.98441907360883</c:v>
                </c:pt>
                <c:pt idx="790">
                  <c:v>21.014268146336441</c:v>
                </c:pt>
                <c:pt idx="791">
                  <c:v>21.029193394375245</c:v>
                </c:pt>
                <c:pt idx="792">
                  <c:v>21.029193394375245</c:v>
                </c:pt>
                <c:pt idx="793">
                  <c:v>21.059042467102856</c:v>
                </c:pt>
                <c:pt idx="794">
                  <c:v>21.924686926453507</c:v>
                </c:pt>
                <c:pt idx="795">
                  <c:v>21.835138284920678</c:v>
                </c:pt>
                <c:pt idx="796">
                  <c:v>21.014268146336441</c:v>
                </c:pt>
                <c:pt idx="797">
                  <c:v>21.088892963180463</c:v>
                </c:pt>
                <c:pt idx="798">
                  <c:v>20.70126728072664</c:v>
                </c:pt>
                <c:pt idx="799">
                  <c:v>21.089323104486009</c:v>
                </c:pt>
                <c:pt idx="800">
                  <c:v>19.566950914374189</c:v>
                </c:pt>
                <c:pt idx="801">
                  <c:v>19.432625212345815</c:v>
                </c:pt>
                <c:pt idx="802">
                  <c:v>21.696217595062922</c:v>
                </c:pt>
                <c:pt idx="803">
                  <c:v>22.074737535981779</c:v>
                </c:pt>
                <c:pt idx="804">
                  <c:v>21.650204897915799</c:v>
                </c:pt>
                <c:pt idx="805">
                  <c:v>21.318497153377866</c:v>
                </c:pt>
                <c:pt idx="806">
                  <c:v>21.034040835534963</c:v>
                </c:pt>
                <c:pt idx="807">
                  <c:v>22.393114263544383</c:v>
                </c:pt>
                <c:pt idx="808">
                  <c:v>23.884145842537304</c:v>
                </c:pt>
                <c:pt idx="809">
                  <c:v>18.528560862773386</c:v>
                </c:pt>
                <c:pt idx="810">
                  <c:v>18.981920182396284</c:v>
                </c:pt>
                <c:pt idx="811">
                  <c:v>18.840721489753854</c:v>
                </c:pt>
                <c:pt idx="812">
                  <c:v>19.088936818218098</c:v>
                </c:pt>
                <c:pt idx="813">
                  <c:v>19.275942536399658</c:v>
                </c:pt>
                <c:pt idx="814">
                  <c:v>19.275942536399658</c:v>
                </c:pt>
                <c:pt idx="815">
                  <c:v>19.932942982255973</c:v>
                </c:pt>
                <c:pt idx="816">
                  <c:v>19.686568654209474</c:v>
                </c:pt>
                <c:pt idx="817">
                  <c:v>20.015067758271471</c:v>
                </c:pt>
                <c:pt idx="818">
                  <c:v>21.399463233196514</c:v>
                </c:pt>
                <c:pt idx="819">
                  <c:v>21.704499713920026</c:v>
                </c:pt>
                <c:pt idx="820">
                  <c:v>21.880481696486427</c:v>
                </c:pt>
                <c:pt idx="821">
                  <c:v>21.434660524802723</c:v>
                </c:pt>
                <c:pt idx="822">
                  <c:v>20.214514601908679</c:v>
                </c:pt>
                <c:pt idx="823">
                  <c:v>20.214514601908679</c:v>
                </c:pt>
                <c:pt idx="824">
                  <c:v>20.032667522940734</c:v>
                </c:pt>
                <c:pt idx="825">
                  <c:v>21.567620777676851</c:v>
                </c:pt>
                <c:pt idx="826">
                  <c:v>20.660182615743654</c:v>
                </c:pt>
                <c:pt idx="827">
                  <c:v>20.437272587653609</c:v>
                </c:pt>
                <c:pt idx="828">
                  <c:v>20.386912467292628</c:v>
                </c:pt>
                <c:pt idx="829">
                  <c:v>20.633245726500704</c:v>
                </c:pt>
                <c:pt idx="830">
                  <c:v>20.750547171964598</c:v>
                </c:pt>
                <c:pt idx="831">
                  <c:v>20.386912467292628</c:v>
                </c:pt>
                <c:pt idx="832">
                  <c:v>20.739286644870436</c:v>
                </c:pt>
                <c:pt idx="833">
                  <c:v>20.8795767483698</c:v>
                </c:pt>
                <c:pt idx="834">
                  <c:v>21.161101112418738</c:v>
                </c:pt>
                <c:pt idx="835">
                  <c:v>21.161101112418738</c:v>
                </c:pt>
                <c:pt idx="836">
                  <c:v>21.688954260997786</c:v>
                </c:pt>
                <c:pt idx="837">
                  <c:v>21.216919800795395</c:v>
                </c:pt>
                <c:pt idx="838">
                  <c:v>21.355367232363896</c:v>
                </c:pt>
                <c:pt idx="839">
                  <c:v>21.698676222412328</c:v>
                </c:pt>
                <c:pt idx="840">
                  <c:v>21.046531093172007</c:v>
                </c:pt>
                <c:pt idx="841">
                  <c:v>21.236246122099427</c:v>
                </c:pt>
                <c:pt idx="842">
                  <c:v>21.449676095038164</c:v>
                </c:pt>
                <c:pt idx="843">
                  <c:v>21.578840734507203</c:v>
                </c:pt>
                <c:pt idx="844">
                  <c:v>22.62353868461966</c:v>
                </c:pt>
                <c:pt idx="845">
                  <c:v>23.099602597058745</c:v>
                </c:pt>
                <c:pt idx="846">
                  <c:v>23.753238706561522</c:v>
                </c:pt>
                <c:pt idx="847">
                  <c:v>27.196106969092359</c:v>
                </c:pt>
                <c:pt idx="848">
                  <c:v>26.142925697834425</c:v>
                </c:pt>
                <c:pt idx="849">
                  <c:v>26.862821338238856</c:v>
                </c:pt>
                <c:pt idx="850">
                  <c:v>25.076410153442673</c:v>
                </c:pt>
                <c:pt idx="851">
                  <c:v>25.822971797347169</c:v>
                </c:pt>
                <c:pt idx="852">
                  <c:v>26.769501768442687</c:v>
                </c:pt>
                <c:pt idx="853">
                  <c:v>27.062792208197443</c:v>
                </c:pt>
                <c:pt idx="854">
                  <c:v>28.97852427337801</c:v>
                </c:pt>
                <c:pt idx="855">
                  <c:v>28.737482528467101</c:v>
                </c:pt>
                <c:pt idx="856">
                  <c:v>29.447216271353007</c:v>
                </c:pt>
                <c:pt idx="857">
                  <c:v>30.223904919307092</c:v>
                </c:pt>
                <c:pt idx="858">
                  <c:v>30.290862378541181</c:v>
                </c:pt>
                <c:pt idx="859">
                  <c:v>29.48739074689346</c:v>
                </c:pt>
                <c:pt idx="860">
                  <c:v>29.112436637680283</c:v>
                </c:pt>
                <c:pt idx="861">
                  <c:v>32.995879877450712</c:v>
                </c:pt>
                <c:pt idx="862">
                  <c:v>34.736735505048429</c:v>
                </c:pt>
                <c:pt idx="863">
                  <c:v>34.736735505048429</c:v>
                </c:pt>
                <c:pt idx="864">
                  <c:v>34.361781395835251</c:v>
                </c:pt>
                <c:pt idx="865">
                  <c:v>34.072581289822459</c:v>
                </c:pt>
                <c:pt idx="866">
                  <c:v>34.298667988849076</c:v>
                </c:pt>
                <c:pt idx="867">
                  <c:v>33.781471611754839</c:v>
                </c:pt>
                <c:pt idx="868">
                  <c:v>34.419882063136164</c:v>
                </c:pt>
                <c:pt idx="869">
                  <c:v>33.795052552793898</c:v>
                </c:pt>
                <c:pt idx="870">
                  <c:v>33.944468812161489</c:v>
                </c:pt>
                <c:pt idx="871">
                  <c:v>35.533705765492172</c:v>
                </c:pt>
                <c:pt idx="872">
                  <c:v>35.818954752394497</c:v>
                </c:pt>
                <c:pt idx="873">
                  <c:v>37.842854361201304</c:v>
                </c:pt>
                <c:pt idx="874">
                  <c:v>40.627413617091321</c:v>
                </c:pt>
                <c:pt idx="875">
                  <c:v>40.654580680757029</c:v>
                </c:pt>
                <c:pt idx="876">
                  <c:v>44.10472004248787</c:v>
                </c:pt>
                <c:pt idx="877">
                  <c:v>44.539382697963994</c:v>
                </c:pt>
                <c:pt idx="878">
                  <c:v>45.191376681178177</c:v>
                </c:pt>
                <c:pt idx="879">
                  <c:v>41.275822134535609</c:v>
                </c:pt>
                <c:pt idx="880">
                  <c:v>43.969965586318523</c:v>
                </c:pt>
                <c:pt idx="881">
                  <c:v>43.26098150266786</c:v>
                </c:pt>
                <c:pt idx="882">
                  <c:v>42.900040306487817</c:v>
                </c:pt>
                <c:pt idx="883">
                  <c:v>46.715672768611164</c:v>
                </c:pt>
                <c:pt idx="884">
                  <c:v>45.950870298366617</c:v>
                </c:pt>
                <c:pt idx="885">
                  <c:v>48.683768273421144</c:v>
                </c:pt>
                <c:pt idx="886">
                  <c:v>47.00589462997663</c:v>
                </c:pt>
                <c:pt idx="887">
                  <c:v>46.077980027838784</c:v>
                </c:pt>
                <c:pt idx="888">
                  <c:v>46.001711280800265</c:v>
                </c:pt>
                <c:pt idx="889">
                  <c:v>44.158595958827</c:v>
                </c:pt>
                <c:pt idx="890">
                  <c:v>41.463825083903686</c:v>
                </c:pt>
                <c:pt idx="891">
                  <c:v>42.4</c:v>
                </c:pt>
                <c:pt idx="892">
                  <c:v>42.470177951232451</c:v>
                </c:pt>
                <c:pt idx="893">
                  <c:v>43.295987867011263</c:v>
                </c:pt>
                <c:pt idx="894">
                  <c:v>43.614514741681745</c:v>
                </c:pt>
                <c:pt idx="895">
                  <c:v>45.262559752798033</c:v>
                </c:pt>
                <c:pt idx="896">
                  <c:v>46.636364251728182</c:v>
                </c:pt>
                <c:pt idx="897">
                  <c:v>43.779337114347129</c:v>
                </c:pt>
                <c:pt idx="898">
                  <c:v>44.083275875489534</c:v>
                </c:pt>
                <c:pt idx="899">
                  <c:v>41.785499583290964</c:v>
                </c:pt>
                <c:pt idx="900">
                  <c:v>38.916316936068696</c:v>
                </c:pt>
                <c:pt idx="901">
                  <c:v>35.88908947222334</c:v>
                </c:pt>
                <c:pt idx="902">
                  <c:v>38.259810417812844</c:v>
                </c:pt>
                <c:pt idx="903">
                  <c:v>35.536519396241168</c:v>
                </c:pt>
                <c:pt idx="904">
                  <c:v>34.782752567174491</c:v>
                </c:pt>
                <c:pt idx="905">
                  <c:v>32.497131784817142</c:v>
                </c:pt>
                <c:pt idx="906">
                  <c:v>25.496671648267373</c:v>
                </c:pt>
                <c:pt idx="907">
                  <c:v>27.834793551528684</c:v>
                </c:pt>
                <c:pt idx="908">
                  <c:v>28.119326430421765</c:v>
                </c:pt>
                <c:pt idx="909">
                  <c:v>27.575003277648399</c:v>
                </c:pt>
                <c:pt idx="910">
                  <c:v>25.892543890133343</c:v>
                </c:pt>
                <c:pt idx="911">
                  <c:v>26.820370341850964</c:v>
                </c:pt>
                <c:pt idx="912">
                  <c:v>26.671917071358884</c:v>
                </c:pt>
                <c:pt idx="913">
                  <c:v>26.820370341850964</c:v>
                </c:pt>
                <c:pt idx="914">
                  <c:v>24.92760353089653</c:v>
                </c:pt>
                <c:pt idx="915">
                  <c:v>24.432763228564067</c:v>
                </c:pt>
                <c:pt idx="916">
                  <c:v>23.603904837312935</c:v>
                </c:pt>
                <c:pt idx="917">
                  <c:v>22.750303841049011</c:v>
                </c:pt>
                <c:pt idx="918">
                  <c:v>24.255169834595158</c:v>
                </c:pt>
                <c:pt idx="919">
                  <c:v>23.958718684100294</c:v>
                </c:pt>
                <c:pt idx="920">
                  <c:v>24.726798650968565</c:v>
                </c:pt>
                <c:pt idx="921">
                  <c:v>24.989562579616099</c:v>
                </c:pt>
                <c:pt idx="922">
                  <c:v>25.17821307809735</c:v>
                </c:pt>
                <c:pt idx="923">
                  <c:v>25.104099647931065</c:v>
                </c:pt>
                <c:pt idx="924">
                  <c:v>24.376445889381756</c:v>
                </c:pt>
                <c:pt idx="925">
                  <c:v>23.089574481519769</c:v>
                </c:pt>
                <c:pt idx="926">
                  <c:v>22.981773829506157</c:v>
                </c:pt>
                <c:pt idx="927">
                  <c:v>22.072203418606669</c:v>
                </c:pt>
                <c:pt idx="928">
                  <c:v>22.503408596831395</c:v>
                </c:pt>
                <c:pt idx="929">
                  <c:v>22.719009900858619</c:v>
                </c:pt>
                <c:pt idx="930">
                  <c:v>25.38707796582322</c:v>
                </c:pt>
                <c:pt idx="931">
                  <c:v>25.474428754492816</c:v>
                </c:pt>
                <c:pt idx="932">
                  <c:v>24.619094532609374</c:v>
                </c:pt>
                <c:pt idx="933">
                  <c:v>25.229100491120967</c:v>
                </c:pt>
                <c:pt idx="934">
                  <c:v>25.235732420296898</c:v>
                </c:pt>
                <c:pt idx="935">
                  <c:v>26.19052534510022</c:v>
                </c:pt>
                <c:pt idx="936">
                  <c:v>25.288775207004917</c:v>
                </c:pt>
                <c:pt idx="937">
                  <c:v>26.336397434892071</c:v>
                </c:pt>
                <c:pt idx="938">
                  <c:v>27.463582578171312</c:v>
                </c:pt>
                <c:pt idx="939">
                  <c:v>25.713127618028615</c:v>
                </c:pt>
                <c:pt idx="940">
                  <c:v>25.57442489719795</c:v>
                </c:pt>
                <c:pt idx="941">
                  <c:v>23.963028528943632</c:v>
                </c:pt>
                <c:pt idx="942">
                  <c:v>25.132590129283439</c:v>
                </c:pt>
                <c:pt idx="943">
                  <c:v>23.651145600761364</c:v>
                </c:pt>
                <c:pt idx="944">
                  <c:v>25.341339174830527</c:v>
                </c:pt>
                <c:pt idx="945">
                  <c:v>25.117777706705276</c:v>
                </c:pt>
                <c:pt idx="946">
                  <c:v>25.433393454360161</c:v>
                </c:pt>
                <c:pt idx="947">
                  <c:v>26.656406044204719</c:v>
                </c:pt>
                <c:pt idx="948">
                  <c:v>25.564900642955781</c:v>
                </c:pt>
                <c:pt idx="949">
                  <c:v>24.723256140918419</c:v>
                </c:pt>
                <c:pt idx="950">
                  <c:v>25.207674204843737</c:v>
                </c:pt>
                <c:pt idx="951">
                  <c:v>23.89517604109556</c:v>
                </c:pt>
                <c:pt idx="952">
                  <c:v>23.959515630085786</c:v>
                </c:pt>
                <c:pt idx="953">
                  <c:v>24.512821369575516</c:v>
                </c:pt>
                <c:pt idx="954">
                  <c:v>23.496280406573636</c:v>
                </c:pt>
                <c:pt idx="955">
                  <c:v>23.586353376855584</c:v>
                </c:pt>
                <c:pt idx="956">
                  <c:v>22.351062719895676</c:v>
                </c:pt>
                <c:pt idx="957">
                  <c:v>22.363928183389355</c:v>
                </c:pt>
                <c:pt idx="958">
                  <c:v>22.132313025937648</c:v>
                </c:pt>
                <c:pt idx="959">
                  <c:v>34.574079939519017</c:v>
                </c:pt>
                <c:pt idx="960">
                  <c:v>22.055105519149379</c:v>
                </c:pt>
                <c:pt idx="961">
                  <c:v>35.468939565280138</c:v>
                </c:pt>
                <c:pt idx="962">
                  <c:v>38.621280596358069</c:v>
                </c:pt>
                <c:pt idx="963">
                  <c:v>38.560266117633233</c:v>
                </c:pt>
                <c:pt idx="964">
                  <c:v>37.401018175612407</c:v>
                </c:pt>
                <c:pt idx="965">
                  <c:v>34.777457656161175</c:v>
                </c:pt>
                <c:pt idx="966">
                  <c:v>34.472393020751582</c:v>
                </c:pt>
                <c:pt idx="967">
                  <c:v>35.0686906316527</c:v>
                </c:pt>
                <c:pt idx="968">
                  <c:v>35.718862714572815</c:v>
                </c:pt>
                <c:pt idx="969">
                  <c:v>36.389353159500601</c:v>
                </c:pt>
                <c:pt idx="970">
                  <c:v>41.827712103750336</c:v>
                </c:pt>
                <c:pt idx="971">
                  <c:v>41.47992036493698</c:v>
                </c:pt>
                <c:pt idx="972">
                  <c:v>39.46081134953161</c:v>
                </c:pt>
                <c:pt idx="973">
                  <c:v>41.460316929178902</c:v>
                </c:pt>
                <c:pt idx="974">
                  <c:v>40.048903205354783</c:v>
                </c:pt>
                <c:pt idx="975">
                  <c:v>39.656841968139332</c:v>
                </c:pt>
                <c:pt idx="976">
                  <c:v>39.735255711171646</c:v>
                </c:pt>
                <c:pt idx="977">
                  <c:v>38.657089178315687</c:v>
                </c:pt>
                <c:pt idx="978">
                  <c:v>39.166767291106552</c:v>
                </c:pt>
                <c:pt idx="979">
                  <c:v>42.205232532093646</c:v>
                </c:pt>
                <c:pt idx="980">
                  <c:v>42.381659714943289</c:v>
                </c:pt>
                <c:pt idx="981">
                  <c:v>42.891334088761091</c:v>
                </c:pt>
                <c:pt idx="982">
                  <c:v>43.361809069008864</c:v>
                </c:pt>
                <c:pt idx="983">
                  <c:v>43.583735479043632</c:v>
                </c:pt>
                <c:pt idx="984">
                  <c:v>41.479825891664383</c:v>
                </c:pt>
                <c:pt idx="985">
                  <c:v>42.387014811849831</c:v>
                </c:pt>
                <c:pt idx="986">
                  <c:v>43.583735479043632</c:v>
                </c:pt>
                <c:pt idx="987">
                  <c:v>43.834658820695232</c:v>
                </c:pt>
                <c:pt idx="988">
                  <c:v>42.942704814806959</c:v>
                </c:pt>
                <c:pt idx="989">
                  <c:v>41.650448275208539</c:v>
                </c:pt>
                <c:pt idx="990">
                  <c:v>42.604729677498703</c:v>
                </c:pt>
                <c:pt idx="991">
                  <c:v>41.590804265573944</c:v>
                </c:pt>
                <c:pt idx="992">
                  <c:v>37.554983954419768</c:v>
                </c:pt>
                <c:pt idx="993">
                  <c:v>36.541058542495009</c:v>
                </c:pt>
                <c:pt idx="994">
                  <c:v>36.938677689437853</c:v>
                </c:pt>
                <c:pt idx="995">
                  <c:v>37.177249935999008</c:v>
                </c:pt>
                <c:pt idx="996">
                  <c:v>35.756578557771199</c:v>
                </c:pt>
                <c:pt idx="997">
                  <c:v>35.269725677498641</c:v>
                </c:pt>
                <c:pt idx="998">
                  <c:v>36.495872143705085</c:v>
                </c:pt>
                <c:pt idx="999">
                  <c:v>37.469577904250201</c:v>
                </c:pt>
                <c:pt idx="1000">
                  <c:v>38.695720931209976</c:v>
                </c:pt>
                <c:pt idx="1001">
                  <c:v>35.280015787072976</c:v>
                </c:pt>
                <c:pt idx="1002">
                  <c:v>36.625299563062221</c:v>
                </c:pt>
              </c:numCache>
            </c:numRef>
          </c:val>
          <c:smooth val="0"/>
          <c:extLst>
            <c:ext xmlns:c16="http://schemas.microsoft.com/office/drawing/2014/chart" uri="{C3380CC4-5D6E-409C-BE32-E72D297353CC}">
              <c16:uniqueId val="{00000000-1830-48A6-A779-4C0B64650E3D}"/>
            </c:ext>
          </c:extLst>
        </c:ser>
        <c:ser>
          <c:idx val="1"/>
          <c:order val="1"/>
          <c:tx>
            <c:strRef>
              <c:f>Summary!$AG$100</c:f>
              <c:strCache>
                <c:ptCount val="1"/>
                <c:pt idx="0">
                  <c:v>ACXM Mean</c:v>
                </c:pt>
              </c:strCache>
            </c:strRef>
          </c:tx>
          <c:spPr>
            <a:ln w="12700">
              <a:solidFill>
                <a:srgbClr val="7979FF"/>
              </a:solidFill>
              <a:prstDash val="lgDash"/>
            </a:ln>
          </c:spPr>
          <c:marker>
            <c:symbol val="none"/>
          </c:marker>
          <c:cat>
            <c:numRef>
              <c:f>Summary!$AB$101:$AB$5006</c:f>
              <c:numCache>
                <c:formatCode>m/d/yyyy</c:formatCode>
                <c:ptCount val="4906"/>
                <c:pt idx="0">
                  <c:v>35433</c:v>
                </c:pt>
                <c:pt idx="1">
                  <c:v>35440</c:v>
                </c:pt>
                <c:pt idx="2">
                  <c:v>35447</c:v>
                </c:pt>
                <c:pt idx="3">
                  <c:v>35454</c:v>
                </c:pt>
                <c:pt idx="4">
                  <c:v>35461</c:v>
                </c:pt>
                <c:pt idx="5">
                  <c:v>35468</c:v>
                </c:pt>
                <c:pt idx="6">
                  <c:v>35475</c:v>
                </c:pt>
                <c:pt idx="7">
                  <c:v>35482</c:v>
                </c:pt>
                <c:pt idx="8">
                  <c:v>35489</c:v>
                </c:pt>
                <c:pt idx="9">
                  <c:v>35496</c:v>
                </c:pt>
                <c:pt idx="10">
                  <c:v>35503</c:v>
                </c:pt>
                <c:pt idx="11">
                  <c:v>35510</c:v>
                </c:pt>
                <c:pt idx="12">
                  <c:v>35517</c:v>
                </c:pt>
                <c:pt idx="13">
                  <c:v>35524</c:v>
                </c:pt>
                <c:pt idx="14">
                  <c:v>35531</c:v>
                </c:pt>
                <c:pt idx="15">
                  <c:v>35538</c:v>
                </c:pt>
                <c:pt idx="16">
                  <c:v>35545</c:v>
                </c:pt>
                <c:pt idx="17">
                  <c:v>35552</c:v>
                </c:pt>
                <c:pt idx="18">
                  <c:v>35559</c:v>
                </c:pt>
                <c:pt idx="19">
                  <c:v>35566</c:v>
                </c:pt>
                <c:pt idx="20">
                  <c:v>35573</c:v>
                </c:pt>
                <c:pt idx="21">
                  <c:v>35580</c:v>
                </c:pt>
                <c:pt idx="22">
                  <c:v>35587</c:v>
                </c:pt>
                <c:pt idx="23">
                  <c:v>35594</c:v>
                </c:pt>
                <c:pt idx="24">
                  <c:v>35601</c:v>
                </c:pt>
                <c:pt idx="25">
                  <c:v>35608</c:v>
                </c:pt>
                <c:pt idx="26">
                  <c:v>35615</c:v>
                </c:pt>
                <c:pt idx="27">
                  <c:v>35622</c:v>
                </c:pt>
                <c:pt idx="28">
                  <c:v>35629</c:v>
                </c:pt>
                <c:pt idx="29">
                  <c:v>35636</c:v>
                </c:pt>
                <c:pt idx="30">
                  <c:v>35643</c:v>
                </c:pt>
                <c:pt idx="31">
                  <c:v>35650</c:v>
                </c:pt>
                <c:pt idx="32">
                  <c:v>35657</c:v>
                </c:pt>
                <c:pt idx="33">
                  <c:v>35664</c:v>
                </c:pt>
                <c:pt idx="34">
                  <c:v>35671</c:v>
                </c:pt>
                <c:pt idx="35">
                  <c:v>35678</c:v>
                </c:pt>
                <c:pt idx="36">
                  <c:v>35685</c:v>
                </c:pt>
                <c:pt idx="37">
                  <c:v>35692</c:v>
                </c:pt>
                <c:pt idx="38">
                  <c:v>35699</c:v>
                </c:pt>
                <c:pt idx="39">
                  <c:v>35706</c:v>
                </c:pt>
                <c:pt idx="40">
                  <c:v>35713</c:v>
                </c:pt>
                <c:pt idx="41">
                  <c:v>35720</c:v>
                </c:pt>
                <c:pt idx="42">
                  <c:v>35727</c:v>
                </c:pt>
                <c:pt idx="43">
                  <c:v>35734</c:v>
                </c:pt>
                <c:pt idx="44">
                  <c:v>35741</c:v>
                </c:pt>
                <c:pt idx="45">
                  <c:v>35748</c:v>
                </c:pt>
                <c:pt idx="46">
                  <c:v>35755</c:v>
                </c:pt>
                <c:pt idx="47">
                  <c:v>35762</c:v>
                </c:pt>
                <c:pt idx="48">
                  <c:v>35769</c:v>
                </c:pt>
                <c:pt idx="49">
                  <c:v>35776</c:v>
                </c:pt>
                <c:pt idx="50">
                  <c:v>35783</c:v>
                </c:pt>
                <c:pt idx="51">
                  <c:v>35790</c:v>
                </c:pt>
                <c:pt idx="52">
                  <c:v>35797</c:v>
                </c:pt>
                <c:pt idx="53">
                  <c:v>35804</c:v>
                </c:pt>
                <c:pt idx="54">
                  <c:v>35811</c:v>
                </c:pt>
                <c:pt idx="55">
                  <c:v>35818</c:v>
                </c:pt>
                <c:pt idx="56">
                  <c:v>35825</c:v>
                </c:pt>
                <c:pt idx="57">
                  <c:v>35832</c:v>
                </c:pt>
                <c:pt idx="58">
                  <c:v>35839</c:v>
                </c:pt>
                <c:pt idx="59">
                  <c:v>35846</c:v>
                </c:pt>
                <c:pt idx="60">
                  <c:v>35853</c:v>
                </c:pt>
                <c:pt idx="61">
                  <c:v>35860</c:v>
                </c:pt>
                <c:pt idx="62">
                  <c:v>35867</c:v>
                </c:pt>
                <c:pt idx="63">
                  <c:v>35874</c:v>
                </c:pt>
                <c:pt idx="64">
                  <c:v>35881</c:v>
                </c:pt>
                <c:pt idx="65">
                  <c:v>35888</c:v>
                </c:pt>
                <c:pt idx="66">
                  <c:v>35895</c:v>
                </c:pt>
                <c:pt idx="67">
                  <c:v>35902</c:v>
                </c:pt>
                <c:pt idx="68">
                  <c:v>35909</c:v>
                </c:pt>
                <c:pt idx="69">
                  <c:v>35916</c:v>
                </c:pt>
                <c:pt idx="70">
                  <c:v>35923</c:v>
                </c:pt>
                <c:pt idx="71">
                  <c:v>35930</c:v>
                </c:pt>
                <c:pt idx="72">
                  <c:v>35937</c:v>
                </c:pt>
                <c:pt idx="73">
                  <c:v>35944</c:v>
                </c:pt>
                <c:pt idx="74">
                  <c:v>35951</c:v>
                </c:pt>
                <c:pt idx="75">
                  <c:v>35958</c:v>
                </c:pt>
                <c:pt idx="76">
                  <c:v>35965</c:v>
                </c:pt>
                <c:pt idx="77">
                  <c:v>35972</c:v>
                </c:pt>
                <c:pt idx="78">
                  <c:v>35979</c:v>
                </c:pt>
                <c:pt idx="79">
                  <c:v>35986</c:v>
                </c:pt>
                <c:pt idx="80">
                  <c:v>35993</c:v>
                </c:pt>
                <c:pt idx="81">
                  <c:v>36000</c:v>
                </c:pt>
                <c:pt idx="82">
                  <c:v>36007</c:v>
                </c:pt>
                <c:pt idx="83">
                  <c:v>36014</c:v>
                </c:pt>
                <c:pt idx="84">
                  <c:v>36021</c:v>
                </c:pt>
                <c:pt idx="85">
                  <c:v>36028</c:v>
                </c:pt>
                <c:pt idx="86">
                  <c:v>36035</c:v>
                </c:pt>
                <c:pt idx="87">
                  <c:v>36042</c:v>
                </c:pt>
                <c:pt idx="88">
                  <c:v>36049</c:v>
                </c:pt>
                <c:pt idx="89">
                  <c:v>36056</c:v>
                </c:pt>
                <c:pt idx="90">
                  <c:v>36063</c:v>
                </c:pt>
                <c:pt idx="91">
                  <c:v>36070</c:v>
                </c:pt>
                <c:pt idx="92">
                  <c:v>36077</c:v>
                </c:pt>
                <c:pt idx="93">
                  <c:v>36084</c:v>
                </c:pt>
                <c:pt idx="94">
                  <c:v>36091</c:v>
                </c:pt>
                <c:pt idx="95">
                  <c:v>36098</c:v>
                </c:pt>
                <c:pt idx="96">
                  <c:v>36105</c:v>
                </c:pt>
                <c:pt idx="97">
                  <c:v>36112</c:v>
                </c:pt>
                <c:pt idx="98">
                  <c:v>36119</c:v>
                </c:pt>
                <c:pt idx="99">
                  <c:v>36126</c:v>
                </c:pt>
                <c:pt idx="100">
                  <c:v>36133</c:v>
                </c:pt>
                <c:pt idx="101">
                  <c:v>36140</c:v>
                </c:pt>
                <c:pt idx="102">
                  <c:v>36147</c:v>
                </c:pt>
                <c:pt idx="103">
                  <c:v>36154</c:v>
                </c:pt>
                <c:pt idx="104">
                  <c:v>36161</c:v>
                </c:pt>
                <c:pt idx="105">
                  <c:v>36168</c:v>
                </c:pt>
                <c:pt idx="106">
                  <c:v>36175</c:v>
                </c:pt>
                <c:pt idx="107">
                  <c:v>36182</c:v>
                </c:pt>
                <c:pt idx="108">
                  <c:v>36189</c:v>
                </c:pt>
                <c:pt idx="109">
                  <c:v>36196</c:v>
                </c:pt>
                <c:pt idx="110">
                  <c:v>36203</c:v>
                </c:pt>
                <c:pt idx="111">
                  <c:v>36210</c:v>
                </c:pt>
                <c:pt idx="112">
                  <c:v>36217</c:v>
                </c:pt>
                <c:pt idx="113">
                  <c:v>36224</c:v>
                </c:pt>
                <c:pt idx="114">
                  <c:v>36231</c:v>
                </c:pt>
                <c:pt idx="115">
                  <c:v>36238</c:v>
                </c:pt>
                <c:pt idx="116">
                  <c:v>36245</c:v>
                </c:pt>
                <c:pt idx="117">
                  <c:v>36252</c:v>
                </c:pt>
                <c:pt idx="118">
                  <c:v>36259</c:v>
                </c:pt>
                <c:pt idx="119">
                  <c:v>36266</c:v>
                </c:pt>
                <c:pt idx="120">
                  <c:v>36273</c:v>
                </c:pt>
                <c:pt idx="121">
                  <c:v>36280</c:v>
                </c:pt>
                <c:pt idx="122">
                  <c:v>36287</c:v>
                </c:pt>
                <c:pt idx="123">
                  <c:v>36294</c:v>
                </c:pt>
                <c:pt idx="124">
                  <c:v>36301</c:v>
                </c:pt>
                <c:pt idx="125">
                  <c:v>36308</c:v>
                </c:pt>
                <c:pt idx="126">
                  <c:v>36315</c:v>
                </c:pt>
                <c:pt idx="127">
                  <c:v>36322</c:v>
                </c:pt>
                <c:pt idx="128">
                  <c:v>36329</c:v>
                </c:pt>
                <c:pt idx="129">
                  <c:v>36336</c:v>
                </c:pt>
                <c:pt idx="130">
                  <c:v>36343</c:v>
                </c:pt>
                <c:pt idx="131">
                  <c:v>36350</c:v>
                </c:pt>
                <c:pt idx="132">
                  <c:v>36357</c:v>
                </c:pt>
                <c:pt idx="133">
                  <c:v>36364</c:v>
                </c:pt>
                <c:pt idx="134">
                  <c:v>36371</c:v>
                </c:pt>
                <c:pt idx="135">
                  <c:v>36378</c:v>
                </c:pt>
                <c:pt idx="136">
                  <c:v>36385</c:v>
                </c:pt>
                <c:pt idx="137">
                  <c:v>36392</c:v>
                </c:pt>
                <c:pt idx="138">
                  <c:v>36399</c:v>
                </c:pt>
                <c:pt idx="139">
                  <c:v>36406</c:v>
                </c:pt>
                <c:pt idx="140">
                  <c:v>36413</c:v>
                </c:pt>
                <c:pt idx="141">
                  <c:v>36420</c:v>
                </c:pt>
                <c:pt idx="142">
                  <c:v>36427</c:v>
                </c:pt>
                <c:pt idx="143">
                  <c:v>36434</c:v>
                </c:pt>
                <c:pt idx="144">
                  <c:v>36441</c:v>
                </c:pt>
                <c:pt idx="145">
                  <c:v>36448</c:v>
                </c:pt>
                <c:pt idx="146">
                  <c:v>36455</c:v>
                </c:pt>
                <c:pt idx="147">
                  <c:v>36462</c:v>
                </c:pt>
                <c:pt idx="148">
                  <c:v>36469</c:v>
                </c:pt>
                <c:pt idx="149">
                  <c:v>36476</c:v>
                </c:pt>
                <c:pt idx="150">
                  <c:v>36483</c:v>
                </c:pt>
                <c:pt idx="151">
                  <c:v>36490</c:v>
                </c:pt>
                <c:pt idx="152">
                  <c:v>36497</c:v>
                </c:pt>
                <c:pt idx="153">
                  <c:v>36504</c:v>
                </c:pt>
                <c:pt idx="154">
                  <c:v>36511</c:v>
                </c:pt>
                <c:pt idx="155">
                  <c:v>36518</c:v>
                </c:pt>
                <c:pt idx="156">
                  <c:v>36525</c:v>
                </c:pt>
                <c:pt idx="157">
                  <c:v>36532</c:v>
                </c:pt>
                <c:pt idx="158">
                  <c:v>36539</c:v>
                </c:pt>
                <c:pt idx="159">
                  <c:v>36546</c:v>
                </c:pt>
                <c:pt idx="160">
                  <c:v>36553</c:v>
                </c:pt>
                <c:pt idx="161">
                  <c:v>36560</c:v>
                </c:pt>
                <c:pt idx="162">
                  <c:v>36567</c:v>
                </c:pt>
                <c:pt idx="163">
                  <c:v>36574</c:v>
                </c:pt>
                <c:pt idx="164">
                  <c:v>36581</c:v>
                </c:pt>
                <c:pt idx="165">
                  <c:v>36588</c:v>
                </c:pt>
                <c:pt idx="166">
                  <c:v>36595</c:v>
                </c:pt>
                <c:pt idx="167">
                  <c:v>36602</c:v>
                </c:pt>
                <c:pt idx="168">
                  <c:v>36609</c:v>
                </c:pt>
                <c:pt idx="169">
                  <c:v>36616</c:v>
                </c:pt>
                <c:pt idx="170">
                  <c:v>36623</c:v>
                </c:pt>
                <c:pt idx="171">
                  <c:v>36630</c:v>
                </c:pt>
                <c:pt idx="172">
                  <c:v>36637</c:v>
                </c:pt>
                <c:pt idx="173">
                  <c:v>36644</c:v>
                </c:pt>
                <c:pt idx="174">
                  <c:v>36651</c:v>
                </c:pt>
                <c:pt idx="175">
                  <c:v>36658</c:v>
                </c:pt>
                <c:pt idx="176">
                  <c:v>36665</c:v>
                </c:pt>
                <c:pt idx="177">
                  <c:v>36672</c:v>
                </c:pt>
                <c:pt idx="178">
                  <c:v>36679</c:v>
                </c:pt>
                <c:pt idx="179">
                  <c:v>36686</c:v>
                </c:pt>
                <c:pt idx="180">
                  <c:v>36693</c:v>
                </c:pt>
                <c:pt idx="181">
                  <c:v>36700</c:v>
                </c:pt>
                <c:pt idx="182">
                  <c:v>36707</c:v>
                </c:pt>
                <c:pt idx="183">
                  <c:v>36714</c:v>
                </c:pt>
                <c:pt idx="184">
                  <c:v>36721</c:v>
                </c:pt>
                <c:pt idx="185">
                  <c:v>36728</c:v>
                </c:pt>
                <c:pt idx="186">
                  <c:v>36735</c:v>
                </c:pt>
                <c:pt idx="187">
                  <c:v>36742</c:v>
                </c:pt>
                <c:pt idx="188">
                  <c:v>36749</c:v>
                </c:pt>
                <c:pt idx="189">
                  <c:v>36756</c:v>
                </c:pt>
                <c:pt idx="190">
                  <c:v>36763</c:v>
                </c:pt>
                <c:pt idx="191">
                  <c:v>36770</c:v>
                </c:pt>
                <c:pt idx="192">
                  <c:v>36777</c:v>
                </c:pt>
                <c:pt idx="193">
                  <c:v>36784</c:v>
                </c:pt>
                <c:pt idx="194">
                  <c:v>36791</c:v>
                </c:pt>
                <c:pt idx="195">
                  <c:v>36798</c:v>
                </c:pt>
                <c:pt idx="196">
                  <c:v>36805</c:v>
                </c:pt>
                <c:pt idx="197">
                  <c:v>36812</c:v>
                </c:pt>
                <c:pt idx="198">
                  <c:v>36819</c:v>
                </c:pt>
                <c:pt idx="199">
                  <c:v>36826</c:v>
                </c:pt>
                <c:pt idx="200">
                  <c:v>36833</c:v>
                </c:pt>
                <c:pt idx="201">
                  <c:v>36840</c:v>
                </c:pt>
                <c:pt idx="202">
                  <c:v>36847</c:v>
                </c:pt>
                <c:pt idx="203">
                  <c:v>36854</c:v>
                </c:pt>
                <c:pt idx="204">
                  <c:v>36861</c:v>
                </c:pt>
                <c:pt idx="205">
                  <c:v>36868</c:v>
                </c:pt>
                <c:pt idx="206">
                  <c:v>36875</c:v>
                </c:pt>
                <c:pt idx="207">
                  <c:v>36882</c:v>
                </c:pt>
                <c:pt idx="208">
                  <c:v>36889</c:v>
                </c:pt>
                <c:pt idx="209">
                  <c:v>36896</c:v>
                </c:pt>
                <c:pt idx="210">
                  <c:v>36903</c:v>
                </c:pt>
                <c:pt idx="211">
                  <c:v>36910</c:v>
                </c:pt>
                <c:pt idx="212">
                  <c:v>36917</c:v>
                </c:pt>
                <c:pt idx="213">
                  <c:v>36924</c:v>
                </c:pt>
                <c:pt idx="214">
                  <c:v>36931</c:v>
                </c:pt>
                <c:pt idx="215">
                  <c:v>36938</c:v>
                </c:pt>
                <c:pt idx="216">
                  <c:v>36945</c:v>
                </c:pt>
                <c:pt idx="217">
                  <c:v>36952</c:v>
                </c:pt>
                <c:pt idx="218">
                  <c:v>36959</c:v>
                </c:pt>
                <c:pt idx="219">
                  <c:v>36966</c:v>
                </c:pt>
                <c:pt idx="220">
                  <c:v>36973</c:v>
                </c:pt>
                <c:pt idx="221">
                  <c:v>36980</c:v>
                </c:pt>
                <c:pt idx="222">
                  <c:v>36987</c:v>
                </c:pt>
                <c:pt idx="223">
                  <c:v>36994</c:v>
                </c:pt>
                <c:pt idx="224">
                  <c:v>37001</c:v>
                </c:pt>
                <c:pt idx="225">
                  <c:v>37008</c:v>
                </c:pt>
                <c:pt idx="226">
                  <c:v>37015</c:v>
                </c:pt>
                <c:pt idx="227">
                  <c:v>37022</c:v>
                </c:pt>
                <c:pt idx="228">
                  <c:v>37029</c:v>
                </c:pt>
                <c:pt idx="229">
                  <c:v>37036</c:v>
                </c:pt>
                <c:pt idx="230">
                  <c:v>37043</c:v>
                </c:pt>
                <c:pt idx="231">
                  <c:v>37050</c:v>
                </c:pt>
                <c:pt idx="232">
                  <c:v>37057</c:v>
                </c:pt>
                <c:pt idx="233">
                  <c:v>37064</c:v>
                </c:pt>
                <c:pt idx="234">
                  <c:v>37071</c:v>
                </c:pt>
                <c:pt idx="235">
                  <c:v>37078</c:v>
                </c:pt>
                <c:pt idx="236">
                  <c:v>37085</c:v>
                </c:pt>
                <c:pt idx="237">
                  <c:v>37092</c:v>
                </c:pt>
                <c:pt idx="238">
                  <c:v>37099</c:v>
                </c:pt>
                <c:pt idx="239">
                  <c:v>37106</c:v>
                </c:pt>
                <c:pt idx="240">
                  <c:v>37113</c:v>
                </c:pt>
                <c:pt idx="241">
                  <c:v>37120</c:v>
                </c:pt>
                <c:pt idx="242">
                  <c:v>37127</c:v>
                </c:pt>
                <c:pt idx="243">
                  <c:v>37134</c:v>
                </c:pt>
                <c:pt idx="244">
                  <c:v>37141</c:v>
                </c:pt>
                <c:pt idx="245">
                  <c:v>37148</c:v>
                </c:pt>
                <c:pt idx="246">
                  <c:v>37155</c:v>
                </c:pt>
                <c:pt idx="247">
                  <c:v>37162</c:v>
                </c:pt>
                <c:pt idx="248">
                  <c:v>37169</c:v>
                </c:pt>
                <c:pt idx="249">
                  <c:v>37176</c:v>
                </c:pt>
                <c:pt idx="250">
                  <c:v>37183</c:v>
                </c:pt>
                <c:pt idx="251">
                  <c:v>37190</c:v>
                </c:pt>
                <c:pt idx="252">
                  <c:v>37197</c:v>
                </c:pt>
                <c:pt idx="253">
                  <c:v>37204</c:v>
                </c:pt>
                <c:pt idx="254">
                  <c:v>37211</c:v>
                </c:pt>
                <c:pt idx="255">
                  <c:v>37218</c:v>
                </c:pt>
                <c:pt idx="256">
                  <c:v>37225</c:v>
                </c:pt>
                <c:pt idx="257">
                  <c:v>37232</c:v>
                </c:pt>
                <c:pt idx="258">
                  <c:v>37239</c:v>
                </c:pt>
                <c:pt idx="259">
                  <c:v>37246</c:v>
                </c:pt>
                <c:pt idx="260">
                  <c:v>37253</c:v>
                </c:pt>
                <c:pt idx="261">
                  <c:v>37260</c:v>
                </c:pt>
                <c:pt idx="262">
                  <c:v>37267</c:v>
                </c:pt>
                <c:pt idx="263">
                  <c:v>37274</c:v>
                </c:pt>
                <c:pt idx="264">
                  <c:v>37281</c:v>
                </c:pt>
                <c:pt idx="265">
                  <c:v>37288</c:v>
                </c:pt>
                <c:pt idx="266">
                  <c:v>37295</c:v>
                </c:pt>
                <c:pt idx="267">
                  <c:v>37302</c:v>
                </c:pt>
                <c:pt idx="268">
                  <c:v>37309</c:v>
                </c:pt>
                <c:pt idx="269">
                  <c:v>37316</c:v>
                </c:pt>
                <c:pt idx="270">
                  <c:v>37323</c:v>
                </c:pt>
                <c:pt idx="271">
                  <c:v>37330</c:v>
                </c:pt>
                <c:pt idx="272">
                  <c:v>37337</c:v>
                </c:pt>
                <c:pt idx="273">
                  <c:v>37344</c:v>
                </c:pt>
                <c:pt idx="274">
                  <c:v>37351</c:v>
                </c:pt>
                <c:pt idx="275">
                  <c:v>37358</c:v>
                </c:pt>
                <c:pt idx="276">
                  <c:v>37365</c:v>
                </c:pt>
                <c:pt idx="277">
                  <c:v>37372</c:v>
                </c:pt>
                <c:pt idx="278">
                  <c:v>37379</c:v>
                </c:pt>
                <c:pt idx="279">
                  <c:v>37386</c:v>
                </c:pt>
                <c:pt idx="280">
                  <c:v>37393</c:v>
                </c:pt>
                <c:pt idx="281">
                  <c:v>37400</c:v>
                </c:pt>
                <c:pt idx="282">
                  <c:v>37407</c:v>
                </c:pt>
                <c:pt idx="283">
                  <c:v>37414</c:v>
                </c:pt>
                <c:pt idx="284">
                  <c:v>37421</c:v>
                </c:pt>
                <c:pt idx="285">
                  <c:v>37428</c:v>
                </c:pt>
                <c:pt idx="286">
                  <c:v>37435</c:v>
                </c:pt>
                <c:pt idx="287">
                  <c:v>37442</c:v>
                </c:pt>
                <c:pt idx="288">
                  <c:v>37449</c:v>
                </c:pt>
                <c:pt idx="289">
                  <c:v>37456</c:v>
                </c:pt>
                <c:pt idx="290">
                  <c:v>37463</c:v>
                </c:pt>
                <c:pt idx="291">
                  <c:v>37470</c:v>
                </c:pt>
                <c:pt idx="292">
                  <c:v>37477</c:v>
                </c:pt>
                <c:pt idx="293">
                  <c:v>37484</c:v>
                </c:pt>
                <c:pt idx="294">
                  <c:v>37491</c:v>
                </c:pt>
                <c:pt idx="295">
                  <c:v>37498</c:v>
                </c:pt>
                <c:pt idx="296">
                  <c:v>37505</c:v>
                </c:pt>
                <c:pt idx="297">
                  <c:v>37512</c:v>
                </c:pt>
                <c:pt idx="298">
                  <c:v>37519</c:v>
                </c:pt>
                <c:pt idx="299">
                  <c:v>37526</c:v>
                </c:pt>
                <c:pt idx="300">
                  <c:v>37533</c:v>
                </c:pt>
                <c:pt idx="301">
                  <c:v>37540</c:v>
                </c:pt>
                <c:pt idx="302">
                  <c:v>37547</c:v>
                </c:pt>
                <c:pt idx="303">
                  <c:v>37554</c:v>
                </c:pt>
                <c:pt idx="304">
                  <c:v>37561</c:v>
                </c:pt>
                <c:pt idx="305">
                  <c:v>37568</c:v>
                </c:pt>
                <c:pt idx="306">
                  <c:v>37575</c:v>
                </c:pt>
                <c:pt idx="307">
                  <c:v>37582</c:v>
                </c:pt>
                <c:pt idx="308">
                  <c:v>37589</c:v>
                </c:pt>
                <c:pt idx="309">
                  <c:v>37596</c:v>
                </c:pt>
                <c:pt idx="310">
                  <c:v>37603</c:v>
                </c:pt>
                <c:pt idx="311">
                  <c:v>37610</c:v>
                </c:pt>
                <c:pt idx="312">
                  <c:v>37617</c:v>
                </c:pt>
                <c:pt idx="313">
                  <c:v>37624</c:v>
                </c:pt>
                <c:pt idx="314">
                  <c:v>37631</c:v>
                </c:pt>
                <c:pt idx="315">
                  <c:v>37638</c:v>
                </c:pt>
                <c:pt idx="316">
                  <c:v>37645</c:v>
                </c:pt>
                <c:pt idx="317">
                  <c:v>37652</c:v>
                </c:pt>
                <c:pt idx="318">
                  <c:v>37659</c:v>
                </c:pt>
                <c:pt idx="319">
                  <c:v>37666</c:v>
                </c:pt>
                <c:pt idx="320">
                  <c:v>37673</c:v>
                </c:pt>
                <c:pt idx="321">
                  <c:v>37680</c:v>
                </c:pt>
                <c:pt idx="322">
                  <c:v>37687</c:v>
                </c:pt>
                <c:pt idx="323">
                  <c:v>37694</c:v>
                </c:pt>
                <c:pt idx="324">
                  <c:v>37701</c:v>
                </c:pt>
                <c:pt idx="325">
                  <c:v>37708</c:v>
                </c:pt>
                <c:pt idx="326">
                  <c:v>37715</c:v>
                </c:pt>
                <c:pt idx="327">
                  <c:v>37722</c:v>
                </c:pt>
                <c:pt idx="328">
                  <c:v>37729</c:v>
                </c:pt>
                <c:pt idx="329">
                  <c:v>37736</c:v>
                </c:pt>
                <c:pt idx="330">
                  <c:v>37743</c:v>
                </c:pt>
                <c:pt idx="331">
                  <c:v>37750</c:v>
                </c:pt>
                <c:pt idx="332">
                  <c:v>37757</c:v>
                </c:pt>
                <c:pt idx="333">
                  <c:v>37764</c:v>
                </c:pt>
                <c:pt idx="334">
                  <c:v>37771</c:v>
                </c:pt>
                <c:pt idx="335">
                  <c:v>37778</c:v>
                </c:pt>
                <c:pt idx="336">
                  <c:v>37785</c:v>
                </c:pt>
                <c:pt idx="337">
                  <c:v>37792</c:v>
                </c:pt>
                <c:pt idx="338">
                  <c:v>37799</c:v>
                </c:pt>
                <c:pt idx="339">
                  <c:v>37806</c:v>
                </c:pt>
                <c:pt idx="340">
                  <c:v>37813</c:v>
                </c:pt>
                <c:pt idx="341">
                  <c:v>37820</c:v>
                </c:pt>
                <c:pt idx="342">
                  <c:v>37827</c:v>
                </c:pt>
                <c:pt idx="343">
                  <c:v>37834</c:v>
                </c:pt>
                <c:pt idx="344">
                  <c:v>37841</c:v>
                </c:pt>
                <c:pt idx="345">
                  <c:v>37848</c:v>
                </c:pt>
                <c:pt idx="346">
                  <c:v>37855</c:v>
                </c:pt>
                <c:pt idx="347">
                  <c:v>37862</c:v>
                </c:pt>
                <c:pt idx="348">
                  <c:v>37869</c:v>
                </c:pt>
                <c:pt idx="349">
                  <c:v>37876</c:v>
                </c:pt>
                <c:pt idx="350">
                  <c:v>37883</c:v>
                </c:pt>
                <c:pt idx="351">
                  <c:v>37890</c:v>
                </c:pt>
                <c:pt idx="352">
                  <c:v>37897</c:v>
                </c:pt>
                <c:pt idx="353">
                  <c:v>37904</c:v>
                </c:pt>
                <c:pt idx="354">
                  <c:v>37911</c:v>
                </c:pt>
                <c:pt idx="355">
                  <c:v>37918</c:v>
                </c:pt>
                <c:pt idx="356">
                  <c:v>37925</c:v>
                </c:pt>
                <c:pt idx="357">
                  <c:v>37932</c:v>
                </c:pt>
                <c:pt idx="358">
                  <c:v>37939</c:v>
                </c:pt>
                <c:pt idx="359">
                  <c:v>37946</c:v>
                </c:pt>
                <c:pt idx="360">
                  <c:v>37953</c:v>
                </c:pt>
                <c:pt idx="361">
                  <c:v>37960</c:v>
                </c:pt>
                <c:pt idx="362">
                  <c:v>37967</c:v>
                </c:pt>
                <c:pt idx="363">
                  <c:v>37974</c:v>
                </c:pt>
                <c:pt idx="364">
                  <c:v>37981</c:v>
                </c:pt>
                <c:pt idx="365">
                  <c:v>37988</c:v>
                </c:pt>
                <c:pt idx="366">
                  <c:v>37995</c:v>
                </c:pt>
                <c:pt idx="367">
                  <c:v>38002</c:v>
                </c:pt>
                <c:pt idx="368">
                  <c:v>38009</c:v>
                </c:pt>
                <c:pt idx="369">
                  <c:v>38016</c:v>
                </c:pt>
                <c:pt idx="370">
                  <c:v>38023</c:v>
                </c:pt>
                <c:pt idx="371">
                  <c:v>38030</c:v>
                </c:pt>
                <c:pt idx="372">
                  <c:v>38037</c:v>
                </c:pt>
                <c:pt idx="373">
                  <c:v>38044</c:v>
                </c:pt>
                <c:pt idx="374">
                  <c:v>38051</c:v>
                </c:pt>
                <c:pt idx="375">
                  <c:v>38058</c:v>
                </c:pt>
                <c:pt idx="376">
                  <c:v>38065</c:v>
                </c:pt>
                <c:pt idx="377">
                  <c:v>38072</c:v>
                </c:pt>
                <c:pt idx="378">
                  <c:v>38079</c:v>
                </c:pt>
                <c:pt idx="379">
                  <c:v>38086</c:v>
                </c:pt>
                <c:pt idx="380">
                  <c:v>38093</c:v>
                </c:pt>
                <c:pt idx="381">
                  <c:v>38100</c:v>
                </c:pt>
                <c:pt idx="382">
                  <c:v>38107</c:v>
                </c:pt>
                <c:pt idx="383">
                  <c:v>38114</c:v>
                </c:pt>
                <c:pt idx="384">
                  <c:v>38121</c:v>
                </c:pt>
                <c:pt idx="385">
                  <c:v>38128</c:v>
                </c:pt>
                <c:pt idx="386">
                  <c:v>38135</c:v>
                </c:pt>
                <c:pt idx="387">
                  <c:v>38142</c:v>
                </c:pt>
                <c:pt idx="388">
                  <c:v>38149</c:v>
                </c:pt>
                <c:pt idx="389">
                  <c:v>38156</c:v>
                </c:pt>
                <c:pt idx="390">
                  <c:v>38163</c:v>
                </c:pt>
                <c:pt idx="391">
                  <c:v>38170</c:v>
                </c:pt>
                <c:pt idx="392">
                  <c:v>38177</c:v>
                </c:pt>
                <c:pt idx="393">
                  <c:v>38184</c:v>
                </c:pt>
                <c:pt idx="394">
                  <c:v>38191</c:v>
                </c:pt>
                <c:pt idx="395">
                  <c:v>38198</c:v>
                </c:pt>
                <c:pt idx="396">
                  <c:v>38205</c:v>
                </c:pt>
                <c:pt idx="397">
                  <c:v>38212</c:v>
                </c:pt>
                <c:pt idx="398">
                  <c:v>38219</c:v>
                </c:pt>
                <c:pt idx="399">
                  <c:v>38226</c:v>
                </c:pt>
                <c:pt idx="400">
                  <c:v>38233</c:v>
                </c:pt>
                <c:pt idx="401">
                  <c:v>38240</c:v>
                </c:pt>
                <c:pt idx="402">
                  <c:v>38247</c:v>
                </c:pt>
                <c:pt idx="403">
                  <c:v>38254</c:v>
                </c:pt>
                <c:pt idx="404">
                  <c:v>38261</c:v>
                </c:pt>
                <c:pt idx="405">
                  <c:v>38268</c:v>
                </c:pt>
                <c:pt idx="406">
                  <c:v>38275</c:v>
                </c:pt>
                <c:pt idx="407">
                  <c:v>38282</c:v>
                </c:pt>
                <c:pt idx="408">
                  <c:v>38289</c:v>
                </c:pt>
                <c:pt idx="409">
                  <c:v>38296</c:v>
                </c:pt>
                <c:pt idx="410">
                  <c:v>38303</c:v>
                </c:pt>
                <c:pt idx="411">
                  <c:v>38310</c:v>
                </c:pt>
                <c:pt idx="412">
                  <c:v>38317</c:v>
                </c:pt>
                <c:pt idx="413">
                  <c:v>38324</c:v>
                </c:pt>
                <c:pt idx="414">
                  <c:v>38331</c:v>
                </c:pt>
                <c:pt idx="415">
                  <c:v>38338</c:v>
                </c:pt>
                <c:pt idx="416">
                  <c:v>38345</c:v>
                </c:pt>
                <c:pt idx="417">
                  <c:v>38352</c:v>
                </c:pt>
                <c:pt idx="418">
                  <c:v>38359</c:v>
                </c:pt>
                <c:pt idx="419">
                  <c:v>38366</c:v>
                </c:pt>
                <c:pt idx="420">
                  <c:v>38373</c:v>
                </c:pt>
                <c:pt idx="421">
                  <c:v>38380</c:v>
                </c:pt>
                <c:pt idx="422">
                  <c:v>38387</c:v>
                </c:pt>
                <c:pt idx="423">
                  <c:v>38394</c:v>
                </c:pt>
                <c:pt idx="424">
                  <c:v>38401</c:v>
                </c:pt>
                <c:pt idx="425">
                  <c:v>38408</c:v>
                </c:pt>
                <c:pt idx="426">
                  <c:v>38415</c:v>
                </c:pt>
                <c:pt idx="427">
                  <c:v>38422</c:v>
                </c:pt>
                <c:pt idx="428">
                  <c:v>38429</c:v>
                </c:pt>
                <c:pt idx="429">
                  <c:v>38436</c:v>
                </c:pt>
                <c:pt idx="430">
                  <c:v>38443</c:v>
                </c:pt>
                <c:pt idx="431">
                  <c:v>38450</c:v>
                </c:pt>
                <c:pt idx="432">
                  <c:v>38457</c:v>
                </c:pt>
                <c:pt idx="433">
                  <c:v>38464</c:v>
                </c:pt>
                <c:pt idx="434">
                  <c:v>38471</c:v>
                </c:pt>
                <c:pt idx="435">
                  <c:v>38478</c:v>
                </c:pt>
                <c:pt idx="436">
                  <c:v>38485</c:v>
                </c:pt>
                <c:pt idx="437">
                  <c:v>38492</c:v>
                </c:pt>
                <c:pt idx="438">
                  <c:v>38499</c:v>
                </c:pt>
                <c:pt idx="439">
                  <c:v>38506</c:v>
                </c:pt>
                <c:pt idx="440">
                  <c:v>38513</c:v>
                </c:pt>
                <c:pt idx="441">
                  <c:v>38520</c:v>
                </c:pt>
                <c:pt idx="442">
                  <c:v>38527</c:v>
                </c:pt>
                <c:pt idx="443">
                  <c:v>38534</c:v>
                </c:pt>
                <c:pt idx="444">
                  <c:v>38541</c:v>
                </c:pt>
                <c:pt idx="445">
                  <c:v>38548</c:v>
                </c:pt>
                <c:pt idx="446">
                  <c:v>38555</c:v>
                </c:pt>
                <c:pt idx="447">
                  <c:v>38562</c:v>
                </c:pt>
                <c:pt idx="448">
                  <c:v>38569</c:v>
                </c:pt>
                <c:pt idx="449">
                  <c:v>38576</c:v>
                </c:pt>
                <c:pt idx="450">
                  <c:v>38583</c:v>
                </c:pt>
                <c:pt idx="451">
                  <c:v>38590</c:v>
                </c:pt>
                <c:pt idx="452">
                  <c:v>38597</c:v>
                </c:pt>
                <c:pt idx="453">
                  <c:v>38604</c:v>
                </c:pt>
                <c:pt idx="454">
                  <c:v>38611</c:v>
                </c:pt>
                <c:pt idx="455">
                  <c:v>38618</c:v>
                </c:pt>
                <c:pt idx="456">
                  <c:v>38625</c:v>
                </c:pt>
                <c:pt idx="457">
                  <c:v>38632</c:v>
                </c:pt>
                <c:pt idx="458">
                  <c:v>38639</c:v>
                </c:pt>
                <c:pt idx="459">
                  <c:v>38646</c:v>
                </c:pt>
                <c:pt idx="460">
                  <c:v>38653</c:v>
                </c:pt>
                <c:pt idx="461">
                  <c:v>38660</c:v>
                </c:pt>
                <c:pt idx="462">
                  <c:v>38667</c:v>
                </c:pt>
                <c:pt idx="463">
                  <c:v>38674</c:v>
                </c:pt>
                <c:pt idx="464">
                  <c:v>38681</c:v>
                </c:pt>
                <c:pt idx="465">
                  <c:v>38688</c:v>
                </c:pt>
                <c:pt idx="466">
                  <c:v>38695</c:v>
                </c:pt>
                <c:pt idx="467">
                  <c:v>38702</c:v>
                </c:pt>
                <c:pt idx="468">
                  <c:v>38709</c:v>
                </c:pt>
                <c:pt idx="469">
                  <c:v>38716</c:v>
                </c:pt>
                <c:pt idx="470">
                  <c:v>38723</c:v>
                </c:pt>
                <c:pt idx="471">
                  <c:v>38730</c:v>
                </c:pt>
                <c:pt idx="472">
                  <c:v>38737</c:v>
                </c:pt>
                <c:pt idx="473">
                  <c:v>38744</c:v>
                </c:pt>
                <c:pt idx="474">
                  <c:v>38751</c:v>
                </c:pt>
                <c:pt idx="475">
                  <c:v>38758</c:v>
                </c:pt>
                <c:pt idx="476">
                  <c:v>38765</c:v>
                </c:pt>
                <c:pt idx="477">
                  <c:v>38772</c:v>
                </c:pt>
                <c:pt idx="478">
                  <c:v>38779</c:v>
                </c:pt>
                <c:pt idx="479">
                  <c:v>38786</c:v>
                </c:pt>
                <c:pt idx="480">
                  <c:v>38793</c:v>
                </c:pt>
                <c:pt idx="481">
                  <c:v>38800</c:v>
                </c:pt>
                <c:pt idx="482">
                  <c:v>38807</c:v>
                </c:pt>
                <c:pt idx="483">
                  <c:v>38814</c:v>
                </c:pt>
                <c:pt idx="484">
                  <c:v>38821</c:v>
                </c:pt>
                <c:pt idx="485">
                  <c:v>38828</c:v>
                </c:pt>
                <c:pt idx="486">
                  <c:v>38835</c:v>
                </c:pt>
                <c:pt idx="487">
                  <c:v>38842</c:v>
                </c:pt>
                <c:pt idx="488">
                  <c:v>38849</c:v>
                </c:pt>
                <c:pt idx="489">
                  <c:v>38856</c:v>
                </c:pt>
                <c:pt idx="490">
                  <c:v>38863</c:v>
                </c:pt>
                <c:pt idx="491">
                  <c:v>38870</c:v>
                </c:pt>
                <c:pt idx="492">
                  <c:v>38877</c:v>
                </c:pt>
                <c:pt idx="493">
                  <c:v>38884</c:v>
                </c:pt>
                <c:pt idx="494">
                  <c:v>38891</c:v>
                </c:pt>
                <c:pt idx="495">
                  <c:v>38898</c:v>
                </c:pt>
                <c:pt idx="496">
                  <c:v>38905</c:v>
                </c:pt>
                <c:pt idx="497">
                  <c:v>38912</c:v>
                </c:pt>
                <c:pt idx="498">
                  <c:v>38919</c:v>
                </c:pt>
                <c:pt idx="499">
                  <c:v>38926</c:v>
                </c:pt>
                <c:pt idx="500">
                  <c:v>38933</c:v>
                </c:pt>
                <c:pt idx="501">
                  <c:v>38940</c:v>
                </c:pt>
                <c:pt idx="502">
                  <c:v>38947</c:v>
                </c:pt>
                <c:pt idx="503">
                  <c:v>38954</c:v>
                </c:pt>
                <c:pt idx="504">
                  <c:v>38961</c:v>
                </c:pt>
                <c:pt idx="505">
                  <c:v>38968</c:v>
                </c:pt>
                <c:pt idx="506">
                  <c:v>38975</c:v>
                </c:pt>
                <c:pt idx="507">
                  <c:v>38982</c:v>
                </c:pt>
                <c:pt idx="508">
                  <c:v>38989</c:v>
                </c:pt>
                <c:pt idx="509">
                  <c:v>38996</c:v>
                </c:pt>
                <c:pt idx="510">
                  <c:v>39003</c:v>
                </c:pt>
                <c:pt idx="511">
                  <c:v>39010</c:v>
                </c:pt>
                <c:pt idx="512">
                  <c:v>39017</c:v>
                </c:pt>
                <c:pt idx="513">
                  <c:v>39024</c:v>
                </c:pt>
                <c:pt idx="514">
                  <c:v>39031</c:v>
                </c:pt>
                <c:pt idx="515">
                  <c:v>39038</c:v>
                </c:pt>
                <c:pt idx="516">
                  <c:v>39045</c:v>
                </c:pt>
                <c:pt idx="517">
                  <c:v>39052</c:v>
                </c:pt>
                <c:pt idx="518">
                  <c:v>39059</c:v>
                </c:pt>
                <c:pt idx="519">
                  <c:v>39066</c:v>
                </c:pt>
                <c:pt idx="520">
                  <c:v>39073</c:v>
                </c:pt>
                <c:pt idx="521">
                  <c:v>39081</c:v>
                </c:pt>
                <c:pt idx="522">
                  <c:v>39087</c:v>
                </c:pt>
                <c:pt idx="523">
                  <c:v>39094</c:v>
                </c:pt>
                <c:pt idx="524">
                  <c:v>39101</c:v>
                </c:pt>
                <c:pt idx="525">
                  <c:v>39108</c:v>
                </c:pt>
                <c:pt idx="526">
                  <c:v>39115</c:v>
                </c:pt>
                <c:pt idx="527">
                  <c:v>39122</c:v>
                </c:pt>
                <c:pt idx="528">
                  <c:v>39129</c:v>
                </c:pt>
                <c:pt idx="529">
                  <c:v>39136</c:v>
                </c:pt>
                <c:pt idx="530">
                  <c:v>39143</c:v>
                </c:pt>
                <c:pt idx="531">
                  <c:v>39150</c:v>
                </c:pt>
                <c:pt idx="532">
                  <c:v>39157</c:v>
                </c:pt>
                <c:pt idx="533">
                  <c:v>39164</c:v>
                </c:pt>
                <c:pt idx="534">
                  <c:v>39171</c:v>
                </c:pt>
                <c:pt idx="535">
                  <c:v>39178</c:v>
                </c:pt>
                <c:pt idx="536">
                  <c:v>39185</c:v>
                </c:pt>
                <c:pt idx="537">
                  <c:v>39192</c:v>
                </c:pt>
                <c:pt idx="538">
                  <c:v>39199</c:v>
                </c:pt>
                <c:pt idx="539">
                  <c:v>39206</c:v>
                </c:pt>
                <c:pt idx="540">
                  <c:v>39213</c:v>
                </c:pt>
                <c:pt idx="541">
                  <c:v>39220</c:v>
                </c:pt>
                <c:pt idx="542">
                  <c:v>39227</c:v>
                </c:pt>
                <c:pt idx="543">
                  <c:v>39234</c:v>
                </c:pt>
                <c:pt idx="544">
                  <c:v>39241</c:v>
                </c:pt>
                <c:pt idx="545">
                  <c:v>39248</c:v>
                </c:pt>
                <c:pt idx="546">
                  <c:v>39255</c:v>
                </c:pt>
                <c:pt idx="547">
                  <c:v>39262</c:v>
                </c:pt>
                <c:pt idx="548">
                  <c:v>39269</c:v>
                </c:pt>
                <c:pt idx="549">
                  <c:v>39276</c:v>
                </c:pt>
                <c:pt idx="550">
                  <c:v>39283</c:v>
                </c:pt>
                <c:pt idx="551">
                  <c:v>39290</c:v>
                </c:pt>
                <c:pt idx="552">
                  <c:v>39297</c:v>
                </c:pt>
                <c:pt idx="553">
                  <c:v>39304</c:v>
                </c:pt>
                <c:pt idx="554">
                  <c:v>39311</c:v>
                </c:pt>
                <c:pt idx="555">
                  <c:v>39318</c:v>
                </c:pt>
                <c:pt idx="556">
                  <c:v>39325</c:v>
                </c:pt>
                <c:pt idx="557">
                  <c:v>39332</c:v>
                </c:pt>
                <c:pt idx="558">
                  <c:v>39339</c:v>
                </c:pt>
                <c:pt idx="559">
                  <c:v>39346</c:v>
                </c:pt>
                <c:pt idx="560">
                  <c:v>39353</c:v>
                </c:pt>
                <c:pt idx="561">
                  <c:v>39360</c:v>
                </c:pt>
                <c:pt idx="562">
                  <c:v>39367</c:v>
                </c:pt>
                <c:pt idx="563">
                  <c:v>39374</c:v>
                </c:pt>
                <c:pt idx="564">
                  <c:v>39381</c:v>
                </c:pt>
                <c:pt idx="565">
                  <c:v>39388</c:v>
                </c:pt>
                <c:pt idx="566">
                  <c:v>39395</c:v>
                </c:pt>
                <c:pt idx="567">
                  <c:v>39402</c:v>
                </c:pt>
                <c:pt idx="568">
                  <c:v>39409</c:v>
                </c:pt>
                <c:pt idx="569">
                  <c:v>39416</c:v>
                </c:pt>
                <c:pt idx="570">
                  <c:v>39423</c:v>
                </c:pt>
                <c:pt idx="571">
                  <c:v>39430</c:v>
                </c:pt>
                <c:pt idx="572">
                  <c:v>39437</c:v>
                </c:pt>
                <c:pt idx="573">
                  <c:v>39447</c:v>
                </c:pt>
                <c:pt idx="574">
                  <c:v>39451</c:v>
                </c:pt>
                <c:pt idx="575">
                  <c:v>39458</c:v>
                </c:pt>
                <c:pt idx="576">
                  <c:v>39465</c:v>
                </c:pt>
                <c:pt idx="577">
                  <c:v>39472</c:v>
                </c:pt>
                <c:pt idx="578">
                  <c:v>39479</c:v>
                </c:pt>
                <c:pt idx="579">
                  <c:v>39486</c:v>
                </c:pt>
                <c:pt idx="580">
                  <c:v>39493</c:v>
                </c:pt>
                <c:pt idx="581">
                  <c:v>39500</c:v>
                </c:pt>
                <c:pt idx="582">
                  <c:v>39507</c:v>
                </c:pt>
                <c:pt idx="583">
                  <c:v>39514</c:v>
                </c:pt>
                <c:pt idx="584">
                  <c:v>39521</c:v>
                </c:pt>
                <c:pt idx="585">
                  <c:v>39528</c:v>
                </c:pt>
                <c:pt idx="586">
                  <c:v>39538</c:v>
                </c:pt>
                <c:pt idx="587">
                  <c:v>39542</c:v>
                </c:pt>
                <c:pt idx="588">
                  <c:v>39549</c:v>
                </c:pt>
                <c:pt idx="589">
                  <c:v>39556</c:v>
                </c:pt>
                <c:pt idx="590">
                  <c:v>39563</c:v>
                </c:pt>
                <c:pt idx="591">
                  <c:v>39570</c:v>
                </c:pt>
                <c:pt idx="592">
                  <c:v>39577</c:v>
                </c:pt>
                <c:pt idx="593">
                  <c:v>39584</c:v>
                </c:pt>
                <c:pt idx="594">
                  <c:v>39591</c:v>
                </c:pt>
                <c:pt idx="595">
                  <c:v>39598</c:v>
                </c:pt>
                <c:pt idx="596">
                  <c:v>39605</c:v>
                </c:pt>
                <c:pt idx="597">
                  <c:v>39612</c:v>
                </c:pt>
                <c:pt idx="598">
                  <c:v>39619</c:v>
                </c:pt>
                <c:pt idx="599">
                  <c:v>39626</c:v>
                </c:pt>
                <c:pt idx="600">
                  <c:v>39633</c:v>
                </c:pt>
                <c:pt idx="601">
                  <c:v>39640</c:v>
                </c:pt>
                <c:pt idx="602">
                  <c:v>39647</c:v>
                </c:pt>
                <c:pt idx="603">
                  <c:v>39654</c:v>
                </c:pt>
                <c:pt idx="604">
                  <c:v>39661</c:v>
                </c:pt>
                <c:pt idx="605">
                  <c:v>39668</c:v>
                </c:pt>
                <c:pt idx="606">
                  <c:v>39675</c:v>
                </c:pt>
                <c:pt idx="607">
                  <c:v>39682</c:v>
                </c:pt>
                <c:pt idx="608">
                  <c:v>39689</c:v>
                </c:pt>
                <c:pt idx="609">
                  <c:v>39696</c:v>
                </c:pt>
                <c:pt idx="610">
                  <c:v>39703</c:v>
                </c:pt>
                <c:pt idx="611">
                  <c:v>39710</c:v>
                </c:pt>
                <c:pt idx="612">
                  <c:v>39717</c:v>
                </c:pt>
                <c:pt idx="613">
                  <c:v>39724</c:v>
                </c:pt>
                <c:pt idx="614">
                  <c:v>39731</c:v>
                </c:pt>
                <c:pt idx="615">
                  <c:v>39738</c:v>
                </c:pt>
                <c:pt idx="616">
                  <c:v>39745</c:v>
                </c:pt>
                <c:pt idx="617">
                  <c:v>39752</c:v>
                </c:pt>
                <c:pt idx="618">
                  <c:v>39759</c:v>
                </c:pt>
                <c:pt idx="619">
                  <c:v>39766</c:v>
                </c:pt>
                <c:pt idx="620">
                  <c:v>39773</c:v>
                </c:pt>
                <c:pt idx="621">
                  <c:v>39780</c:v>
                </c:pt>
                <c:pt idx="622">
                  <c:v>39787</c:v>
                </c:pt>
                <c:pt idx="623">
                  <c:v>39794</c:v>
                </c:pt>
                <c:pt idx="624">
                  <c:v>39801</c:v>
                </c:pt>
                <c:pt idx="625">
                  <c:v>39808</c:v>
                </c:pt>
                <c:pt idx="626">
                  <c:v>39815</c:v>
                </c:pt>
                <c:pt idx="627">
                  <c:v>39822</c:v>
                </c:pt>
                <c:pt idx="628">
                  <c:v>39829</c:v>
                </c:pt>
                <c:pt idx="629">
                  <c:v>39836</c:v>
                </c:pt>
                <c:pt idx="630">
                  <c:v>39843</c:v>
                </c:pt>
                <c:pt idx="631">
                  <c:v>39850</c:v>
                </c:pt>
                <c:pt idx="632">
                  <c:v>39857</c:v>
                </c:pt>
                <c:pt idx="633">
                  <c:v>39864</c:v>
                </c:pt>
                <c:pt idx="634">
                  <c:v>39871</c:v>
                </c:pt>
                <c:pt idx="635">
                  <c:v>39878</c:v>
                </c:pt>
                <c:pt idx="636">
                  <c:v>39885</c:v>
                </c:pt>
                <c:pt idx="637">
                  <c:v>39892</c:v>
                </c:pt>
                <c:pt idx="638">
                  <c:v>39899</c:v>
                </c:pt>
                <c:pt idx="639">
                  <c:v>39906</c:v>
                </c:pt>
                <c:pt idx="640">
                  <c:v>39913</c:v>
                </c:pt>
                <c:pt idx="641">
                  <c:v>39920</c:v>
                </c:pt>
                <c:pt idx="642">
                  <c:v>39927</c:v>
                </c:pt>
                <c:pt idx="643">
                  <c:v>39934</c:v>
                </c:pt>
                <c:pt idx="644">
                  <c:v>39941</c:v>
                </c:pt>
                <c:pt idx="645">
                  <c:v>39948</c:v>
                </c:pt>
                <c:pt idx="646">
                  <c:v>39955</c:v>
                </c:pt>
                <c:pt idx="647">
                  <c:v>39962</c:v>
                </c:pt>
                <c:pt idx="648">
                  <c:v>39969</c:v>
                </c:pt>
                <c:pt idx="649">
                  <c:v>39976</c:v>
                </c:pt>
                <c:pt idx="650">
                  <c:v>39983</c:v>
                </c:pt>
                <c:pt idx="651">
                  <c:v>39990</c:v>
                </c:pt>
                <c:pt idx="652">
                  <c:v>39997</c:v>
                </c:pt>
                <c:pt idx="653">
                  <c:v>40004</c:v>
                </c:pt>
                <c:pt idx="654">
                  <c:v>40011</c:v>
                </c:pt>
                <c:pt idx="655">
                  <c:v>40018</c:v>
                </c:pt>
                <c:pt idx="656">
                  <c:v>40025</c:v>
                </c:pt>
                <c:pt idx="657">
                  <c:v>40032</c:v>
                </c:pt>
                <c:pt idx="658">
                  <c:v>40039</c:v>
                </c:pt>
                <c:pt idx="659">
                  <c:v>40046</c:v>
                </c:pt>
                <c:pt idx="660">
                  <c:v>40053</c:v>
                </c:pt>
                <c:pt idx="661">
                  <c:v>40060</c:v>
                </c:pt>
                <c:pt idx="662">
                  <c:v>40067</c:v>
                </c:pt>
                <c:pt idx="663">
                  <c:v>40074</c:v>
                </c:pt>
                <c:pt idx="664">
                  <c:v>40081</c:v>
                </c:pt>
                <c:pt idx="665">
                  <c:v>40088</c:v>
                </c:pt>
                <c:pt idx="666">
                  <c:v>40095</c:v>
                </c:pt>
                <c:pt idx="667">
                  <c:v>40102</c:v>
                </c:pt>
                <c:pt idx="668">
                  <c:v>40109</c:v>
                </c:pt>
                <c:pt idx="669">
                  <c:v>40116</c:v>
                </c:pt>
                <c:pt idx="670">
                  <c:v>40123</c:v>
                </c:pt>
                <c:pt idx="671">
                  <c:v>40130</c:v>
                </c:pt>
                <c:pt idx="672">
                  <c:v>40137</c:v>
                </c:pt>
                <c:pt idx="673">
                  <c:v>40144</c:v>
                </c:pt>
                <c:pt idx="674">
                  <c:v>40151</c:v>
                </c:pt>
                <c:pt idx="675">
                  <c:v>40158</c:v>
                </c:pt>
                <c:pt idx="676">
                  <c:v>40165</c:v>
                </c:pt>
                <c:pt idx="677">
                  <c:v>40172</c:v>
                </c:pt>
                <c:pt idx="678">
                  <c:v>40179</c:v>
                </c:pt>
                <c:pt idx="679">
                  <c:v>40186</c:v>
                </c:pt>
                <c:pt idx="680">
                  <c:v>40193</c:v>
                </c:pt>
                <c:pt idx="681">
                  <c:v>40200</c:v>
                </c:pt>
                <c:pt idx="682">
                  <c:v>40207</c:v>
                </c:pt>
                <c:pt idx="683">
                  <c:v>40214</c:v>
                </c:pt>
                <c:pt idx="684">
                  <c:v>40221</c:v>
                </c:pt>
                <c:pt idx="685">
                  <c:v>40228</c:v>
                </c:pt>
                <c:pt idx="686">
                  <c:v>40235</c:v>
                </c:pt>
                <c:pt idx="687">
                  <c:v>40242</c:v>
                </c:pt>
                <c:pt idx="688">
                  <c:v>40249</c:v>
                </c:pt>
                <c:pt idx="689">
                  <c:v>40256</c:v>
                </c:pt>
                <c:pt idx="690">
                  <c:v>40263</c:v>
                </c:pt>
                <c:pt idx="691">
                  <c:v>40270</c:v>
                </c:pt>
                <c:pt idx="692">
                  <c:v>40277</c:v>
                </c:pt>
                <c:pt idx="693">
                  <c:v>40284</c:v>
                </c:pt>
                <c:pt idx="694">
                  <c:v>40291</c:v>
                </c:pt>
                <c:pt idx="695">
                  <c:v>40298</c:v>
                </c:pt>
                <c:pt idx="696">
                  <c:v>40305</c:v>
                </c:pt>
                <c:pt idx="697">
                  <c:v>40312</c:v>
                </c:pt>
                <c:pt idx="698">
                  <c:v>40319</c:v>
                </c:pt>
                <c:pt idx="699">
                  <c:v>40326</c:v>
                </c:pt>
                <c:pt idx="700">
                  <c:v>40333</c:v>
                </c:pt>
                <c:pt idx="701">
                  <c:v>40340</c:v>
                </c:pt>
                <c:pt idx="702">
                  <c:v>40347</c:v>
                </c:pt>
                <c:pt idx="703">
                  <c:v>40354</c:v>
                </c:pt>
                <c:pt idx="704">
                  <c:v>40361</c:v>
                </c:pt>
                <c:pt idx="705">
                  <c:v>40368</c:v>
                </c:pt>
                <c:pt idx="706">
                  <c:v>40375</c:v>
                </c:pt>
                <c:pt idx="707">
                  <c:v>40382</c:v>
                </c:pt>
                <c:pt idx="708">
                  <c:v>40389</c:v>
                </c:pt>
                <c:pt idx="709">
                  <c:v>40396</c:v>
                </c:pt>
                <c:pt idx="710">
                  <c:v>40403</c:v>
                </c:pt>
                <c:pt idx="711">
                  <c:v>40410</c:v>
                </c:pt>
                <c:pt idx="712">
                  <c:v>40417</c:v>
                </c:pt>
                <c:pt idx="713">
                  <c:v>40424</c:v>
                </c:pt>
                <c:pt idx="714">
                  <c:v>40431</c:v>
                </c:pt>
                <c:pt idx="715">
                  <c:v>40438</c:v>
                </c:pt>
                <c:pt idx="716">
                  <c:v>40445</c:v>
                </c:pt>
                <c:pt idx="717">
                  <c:v>40452</c:v>
                </c:pt>
                <c:pt idx="718">
                  <c:v>40459</c:v>
                </c:pt>
                <c:pt idx="719">
                  <c:v>40466</c:v>
                </c:pt>
                <c:pt idx="720">
                  <c:v>40473</c:v>
                </c:pt>
                <c:pt idx="721">
                  <c:v>40480</c:v>
                </c:pt>
                <c:pt idx="722">
                  <c:v>40487</c:v>
                </c:pt>
                <c:pt idx="723">
                  <c:v>40494</c:v>
                </c:pt>
                <c:pt idx="724">
                  <c:v>40501</c:v>
                </c:pt>
                <c:pt idx="725">
                  <c:v>40508</c:v>
                </c:pt>
                <c:pt idx="726">
                  <c:v>40515</c:v>
                </c:pt>
                <c:pt idx="727">
                  <c:v>40522</c:v>
                </c:pt>
                <c:pt idx="728">
                  <c:v>40529</c:v>
                </c:pt>
                <c:pt idx="729">
                  <c:v>40536</c:v>
                </c:pt>
                <c:pt idx="730">
                  <c:v>40543</c:v>
                </c:pt>
                <c:pt idx="731">
                  <c:v>40550</c:v>
                </c:pt>
                <c:pt idx="732">
                  <c:v>40557</c:v>
                </c:pt>
                <c:pt idx="733">
                  <c:v>40564</c:v>
                </c:pt>
                <c:pt idx="734">
                  <c:v>40571</c:v>
                </c:pt>
                <c:pt idx="735">
                  <c:v>40578</c:v>
                </c:pt>
                <c:pt idx="736">
                  <c:v>40585</c:v>
                </c:pt>
                <c:pt idx="737">
                  <c:v>40592</c:v>
                </c:pt>
                <c:pt idx="738">
                  <c:v>40599</c:v>
                </c:pt>
                <c:pt idx="739">
                  <c:v>40606</c:v>
                </c:pt>
                <c:pt idx="740">
                  <c:v>40613</c:v>
                </c:pt>
                <c:pt idx="741">
                  <c:v>40620</c:v>
                </c:pt>
                <c:pt idx="742">
                  <c:v>40627</c:v>
                </c:pt>
                <c:pt idx="743">
                  <c:v>40634</c:v>
                </c:pt>
                <c:pt idx="744">
                  <c:v>40641</c:v>
                </c:pt>
                <c:pt idx="745">
                  <c:v>40648</c:v>
                </c:pt>
                <c:pt idx="746">
                  <c:v>40655</c:v>
                </c:pt>
                <c:pt idx="747">
                  <c:v>40662</c:v>
                </c:pt>
                <c:pt idx="748">
                  <c:v>40669</c:v>
                </c:pt>
                <c:pt idx="749">
                  <c:v>40676</c:v>
                </c:pt>
                <c:pt idx="750">
                  <c:v>40683</c:v>
                </c:pt>
                <c:pt idx="751">
                  <c:v>40690</c:v>
                </c:pt>
                <c:pt idx="752">
                  <c:v>40697</c:v>
                </c:pt>
                <c:pt idx="753">
                  <c:v>40704</c:v>
                </c:pt>
                <c:pt idx="754">
                  <c:v>40711</c:v>
                </c:pt>
                <c:pt idx="755">
                  <c:v>40718</c:v>
                </c:pt>
                <c:pt idx="756">
                  <c:v>40725</c:v>
                </c:pt>
                <c:pt idx="757">
                  <c:v>40732</c:v>
                </c:pt>
                <c:pt idx="758">
                  <c:v>40739</c:v>
                </c:pt>
                <c:pt idx="759">
                  <c:v>40746</c:v>
                </c:pt>
                <c:pt idx="760">
                  <c:v>40753</c:v>
                </c:pt>
                <c:pt idx="761">
                  <c:v>40760</c:v>
                </c:pt>
                <c:pt idx="762">
                  <c:v>40767</c:v>
                </c:pt>
                <c:pt idx="763">
                  <c:v>40774</c:v>
                </c:pt>
                <c:pt idx="764">
                  <c:v>40781</c:v>
                </c:pt>
                <c:pt idx="765">
                  <c:v>40788</c:v>
                </c:pt>
                <c:pt idx="766">
                  <c:v>40795</c:v>
                </c:pt>
                <c:pt idx="767">
                  <c:v>40802</c:v>
                </c:pt>
                <c:pt idx="768">
                  <c:v>40809</c:v>
                </c:pt>
                <c:pt idx="769">
                  <c:v>40816</c:v>
                </c:pt>
                <c:pt idx="770">
                  <c:v>40823</c:v>
                </c:pt>
                <c:pt idx="771">
                  <c:v>40830</c:v>
                </c:pt>
                <c:pt idx="772">
                  <c:v>40837</c:v>
                </c:pt>
                <c:pt idx="773">
                  <c:v>40844</c:v>
                </c:pt>
                <c:pt idx="774">
                  <c:v>40851</c:v>
                </c:pt>
                <c:pt idx="775">
                  <c:v>40858</c:v>
                </c:pt>
                <c:pt idx="776">
                  <c:v>40865</c:v>
                </c:pt>
                <c:pt idx="777">
                  <c:v>40872</c:v>
                </c:pt>
                <c:pt idx="778">
                  <c:v>40879</c:v>
                </c:pt>
                <c:pt idx="779">
                  <c:v>40886</c:v>
                </c:pt>
                <c:pt idx="780">
                  <c:v>40893</c:v>
                </c:pt>
                <c:pt idx="781">
                  <c:v>40900</c:v>
                </c:pt>
                <c:pt idx="782">
                  <c:v>40907</c:v>
                </c:pt>
                <c:pt idx="783">
                  <c:v>40914</c:v>
                </c:pt>
                <c:pt idx="784">
                  <c:v>40921</c:v>
                </c:pt>
                <c:pt idx="785">
                  <c:v>40928</c:v>
                </c:pt>
                <c:pt idx="786">
                  <c:v>40935</c:v>
                </c:pt>
                <c:pt idx="787">
                  <c:v>40942</c:v>
                </c:pt>
                <c:pt idx="788">
                  <c:v>40949</c:v>
                </c:pt>
                <c:pt idx="789">
                  <c:v>40956</c:v>
                </c:pt>
                <c:pt idx="790">
                  <c:v>40963</c:v>
                </c:pt>
                <c:pt idx="791">
                  <c:v>40970</c:v>
                </c:pt>
                <c:pt idx="792">
                  <c:v>40977</c:v>
                </c:pt>
                <c:pt idx="793">
                  <c:v>40984</c:v>
                </c:pt>
                <c:pt idx="794">
                  <c:v>40991</c:v>
                </c:pt>
                <c:pt idx="795">
                  <c:v>40998</c:v>
                </c:pt>
                <c:pt idx="796">
                  <c:v>41005</c:v>
                </c:pt>
                <c:pt idx="797">
                  <c:v>41012</c:v>
                </c:pt>
                <c:pt idx="798">
                  <c:v>41019</c:v>
                </c:pt>
                <c:pt idx="799">
                  <c:v>41026</c:v>
                </c:pt>
                <c:pt idx="800">
                  <c:v>41033</c:v>
                </c:pt>
                <c:pt idx="801">
                  <c:v>41040</c:v>
                </c:pt>
                <c:pt idx="802">
                  <c:v>41047</c:v>
                </c:pt>
                <c:pt idx="803">
                  <c:v>41054</c:v>
                </c:pt>
                <c:pt idx="804">
                  <c:v>41061</c:v>
                </c:pt>
                <c:pt idx="805">
                  <c:v>41068</c:v>
                </c:pt>
                <c:pt idx="806">
                  <c:v>41075</c:v>
                </c:pt>
                <c:pt idx="807">
                  <c:v>41082</c:v>
                </c:pt>
                <c:pt idx="808">
                  <c:v>41089</c:v>
                </c:pt>
                <c:pt idx="809">
                  <c:v>41096</c:v>
                </c:pt>
                <c:pt idx="810">
                  <c:v>41103</c:v>
                </c:pt>
                <c:pt idx="811">
                  <c:v>41110</c:v>
                </c:pt>
                <c:pt idx="812">
                  <c:v>41117</c:v>
                </c:pt>
                <c:pt idx="813">
                  <c:v>41124</c:v>
                </c:pt>
                <c:pt idx="814">
                  <c:v>41131</c:v>
                </c:pt>
                <c:pt idx="815">
                  <c:v>41138</c:v>
                </c:pt>
                <c:pt idx="816">
                  <c:v>41145</c:v>
                </c:pt>
                <c:pt idx="817">
                  <c:v>41152</c:v>
                </c:pt>
                <c:pt idx="818">
                  <c:v>41159</c:v>
                </c:pt>
                <c:pt idx="819">
                  <c:v>41166</c:v>
                </c:pt>
                <c:pt idx="820">
                  <c:v>41173</c:v>
                </c:pt>
                <c:pt idx="821">
                  <c:v>41180</c:v>
                </c:pt>
                <c:pt idx="822">
                  <c:v>41187</c:v>
                </c:pt>
                <c:pt idx="823">
                  <c:v>41194</c:v>
                </c:pt>
                <c:pt idx="824">
                  <c:v>41201</c:v>
                </c:pt>
                <c:pt idx="825">
                  <c:v>41208</c:v>
                </c:pt>
                <c:pt idx="826">
                  <c:v>41215</c:v>
                </c:pt>
                <c:pt idx="827">
                  <c:v>41222</c:v>
                </c:pt>
                <c:pt idx="828">
                  <c:v>41229</c:v>
                </c:pt>
                <c:pt idx="829">
                  <c:v>41236</c:v>
                </c:pt>
                <c:pt idx="830">
                  <c:v>41243</c:v>
                </c:pt>
                <c:pt idx="831">
                  <c:v>41250</c:v>
                </c:pt>
                <c:pt idx="832">
                  <c:v>41257</c:v>
                </c:pt>
                <c:pt idx="833">
                  <c:v>41264</c:v>
                </c:pt>
                <c:pt idx="834">
                  <c:v>41271</c:v>
                </c:pt>
                <c:pt idx="835">
                  <c:v>41278</c:v>
                </c:pt>
                <c:pt idx="836">
                  <c:v>41285</c:v>
                </c:pt>
                <c:pt idx="837">
                  <c:v>41292</c:v>
                </c:pt>
                <c:pt idx="838">
                  <c:v>41299</c:v>
                </c:pt>
                <c:pt idx="839">
                  <c:v>41306</c:v>
                </c:pt>
                <c:pt idx="840">
                  <c:v>41313</c:v>
                </c:pt>
                <c:pt idx="841">
                  <c:v>41320</c:v>
                </c:pt>
                <c:pt idx="842">
                  <c:v>41327</c:v>
                </c:pt>
                <c:pt idx="843">
                  <c:v>41334</c:v>
                </c:pt>
                <c:pt idx="844">
                  <c:v>41341</c:v>
                </c:pt>
                <c:pt idx="845">
                  <c:v>41348</c:v>
                </c:pt>
                <c:pt idx="846">
                  <c:v>41355</c:v>
                </c:pt>
                <c:pt idx="847">
                  <c:v>41362</c:v>
                </c:pt>
                <c:pt idx="848">
                  <c:v>41369</c:v>
                </c:pt>
                <c:pt idx="849">
                  <c:v>41376</c:v>
                </c:pt>
                <c:pt idx="850">
                  <c:v>41383</c:v>
                </c:pt>
                <c:pt idx="851">
                  <c:v>41390</c:v>
                </c:pt>
                <c:pt idx="852">
                  <c:v>41397</c:v>
                </c:pt>
                <c:pt idx="853">
                  <c:v>41404</c:v>
                </c:pt>
                <c:pt idx="854">
                  <c:v>41411</c:v>
                </c:pt>
                <c:pt idx="855">
                  <c:v>41418</c:v>
                </c:pt>
                <c:pt idx="856">
                  <c:v>41425</c:v>
                </c:pt>
                <c:pt idx="857">
                  <c:v>41432</c:v>
                </c:pt>
                <c:pt idx="858">
                  <c:v>41439</c:v>
                </c:pt>
                <c:pt idx="859">
                  <c:v>41446</c:v>
                </c:pt>
                <c:pt idx="860">
                  <c:v>41453</c:v>
                </c:pt>
                <c:pt idx="861">
                  <c:v>41460</c:v>
                </c:pt>
                <c:pt idx="862">
                  <c:v>41467</c:v>
                </c:pt>
                <c:pt idx="863">
                  <c:v>41474</c:v>
                </c:pt>
                <c:pt idx="864">
                  <c:v>41481</c:v>
                </c:pt>
                <c:pt idx="865">
                  <c:v>41488</c:v>
                </c:pt>
                <c:pt idx="866">
                  <c:v>41495</c:v>
                </c:pt>
                <c:pt idx="867">
                  <c:v>41502</c:v>
                </c:pt>
                <c:pt idx="868">
                  <c:v>41509</c:v>
                </c:pt>
                <c:pt idx="869">
                  <c:v>41516</c:v>
                </c:pt>
                <c:pt idx="870">
                  <c:v>41523</c:v>
                </c:pt>
                <c:pt idx="871">
                  <c:v>41530</c:v>
                </c:pt>
                <c:pt idx="872">
                  <c:v>41537</c:v>
                </c:pt>
                <c:pt idx="873">
                  <c:v>41544</c:v>
                </c:pt>
                <c:pt idx="874">
                  <c:v>41551</c:v>
                </c:pt>
                <c:pt idx="875">
                  <c:v>41558</c:v>
                </c:pt>
                <c:pt idx="876">
                  <c:v>41565</c:v>
                </c:pt>
                <c:pt idx="877">
                  <c:v>41572</c:v>
                </c:pt>
                <c:pt idx="878">
                  <c:v>41579</c:v>
                </c:pt>
                <c:pt idx="879">
                  <c:v>41586</c:v>
                </c:pt>
                <c:pt idx="880">
                  <c:v>41593</c:v>
                </c:pt>
                <c:pt idx="881">
                  <c:v>41600</c:v>
                </c:pt>
                <c:pt idx="882">
                  <c:v>41607</c:v>
                </c:pt>
                <c:pt idx="883">
                  <c:v>41614</c:v>
                </c:pt>
                <c:pt idx="884">
                  <c:v>41621</c:v>
                </c:pt>
                <c:pt idx="885">
                  <c:v>41628</c:v>
                </c:pt>
                <c:pt idx="886">
                  <c:v>41635</c:v>
                </c:pt>
                <c:pt idx="887">
                  <c:v>41642</c:v>
                </c:pt>
                <c:pt idx="888">
                  <c:v>41649</c:v>
                </c:pt>
                <c:pt idx="889">
                  <c:v>41656</c:v>
                </c:pt>
                <c:pt idx="890">
                  <c:v>41663</c:v>
                </c:pt>
                <c:pt idx="891">
                  <c:v>41670</c:v>
                </c:pt>
                <c:pt idx="892">
                  <c:v>41677</c:v>
                </c:pt>
                <c:pt idx="893">
                  <c:v>41684</c:v>
                </c:pt>
                <c:pt idx="894">
                  <c:v>41691</c:v>
                </c:pt>
                <c:pt idx="895">
                  <c:v>41698</c:v>
                </c:pt>
                <c:pt idx="896">
                  <c:v>41705</c:v>
                </c:pt>
                <c:pt idx="897">
                  <c:v>41712</c:v>
                </c:pt>
                <c:pt idx="898">
                  <c:v>41719</c:v>
                </c:pt>
                <c:pt idx="899">
                  <c:v>41726</c:v>
                </c:pt>
                <c:pt idx="900">
                  <c:v>41733</c:v>
                </c:pt>
                <c:pt idx="901">
                  <c:v>41740</c:v>
                </c:pt>
                <c:pt idx="902">
                  <c:v>41747</c:v>
                </c:pt>
                <c:pt idx="903">
                  <c:v>41754</c:v>
                </c:pt>
                <c:pt idx="904">
                  <c:v>41761</c:v>
                </c:pt>
                <c:pt idx="905">
                  <c:v>41768</c:v>
                </c:pt>
                <c:pt idx="906">
                  <c:v>41775</c:v>
                </c:pt>
                <c:pt idx="907">
                  <c:v>41782</c:v>
                </c:pt>
                <c:pt idx="908">
                  <c:v>41789</c:v>
                </c:pt>
                <c:pt idx="909">
                  <c:v>41796</c:v>
                </c:pt>
                <c:pt idx="910">
                  <c:v>41803</c:v>
                </c:pt>
                <c:pt idx="911">
                  <c:v>41810</c:v>
                </c:pt>
                <c:pt idx="912">
                  <c:v>41817</c:v>
                </c:pt>
                <c:pt idx="913">
                  <c:v>41824</c:v>
                </c:pt>
                <c:pt idx="914">
                  <c:v>41831</c:v>
                </c:pt>
                <c:pt idx="915">
                  <c:v>41838</c:v>
                </c:pt>
                <c:pt idx="916">
                  <c:v>41845</c:v>
                </c:pt>
                <c:pt idx="917">
                  <c:v>41852</c:v>
                </c:pt>
                <c:pt idx="918">
                  <c:v>41859</c:v>
                </c:pt>
                <c:pt idx="919">
                  <c:v>41866</c:v>
                </c:pt>
                <c:pt idx="920">
                  <c:v>41873</c:v>
                </c:pt>
                <c:pt idx="921">
                  <c:v>41880</c:v>
                </c:pt>
                <c:pt idx="922">
                  <c:v>41887</c:v>
                </c:pt>
                <c:pt idx="923">
                  <c:v>41894</c:v>
                </c:pt>
                <c:pt idx="924">
                  <c:v>41901</c:v>
                </c:pt>
                <c:pt idx="925">
                  <c:v>41908</c:v>
                </c:pt>
                <c:pt idx="926">
                  <c:v>41915</c:v>
                </c:pt>
                <c:pt idx="927">
                  <c:v>41922</c:v>
                </c:pt>
                <c:pt idx="928">
                  <c:v>41929</c:v>
                </c:pt>
                <c:pt idx="929">
                  <c:v>41936</c:v>
                </c:pt>
                <c:pt idx="930">
                  <c:v>41943</c:v>
                </c:pt>
                <c:pt idx="931">
                  <c:v>41950</c:v>
                </c:pt>
                <c:pt idx="932">
                  <c:v>41957</c:v>
                </c:pt>
                <c:pt idx="933">
                  <c:v>41964</c:v>
                </c:pt>
                <c:pt idx="934">
                  <c:v>41971</c:v>
                </c:pt>
                <c:pt idx="935">
                  <c:v>41978</c:v>
                </c:pt>
                <c:pt idx="936">
                  <c:v>41985</c:v>
                </c:pt>
                <c:pt idx="937">
                  <c:v>41992</c:v>
                </c:pt>
                <c:pt idx="938">
                  <c:v>41999</c:v>
                </c:pt>
                <c:pt idx="939">
                  <c:v>42006</c:v>
                </c:pt>
                <c:pt idx="940">
                  <c:v>42013</c:v>
                </c:pt>
                <c:pt idx="941">
                  <c:v>42020</c:v>
                </c:pt>
                <c:pt idx="942">
                  <c:v>42027</c:v>
                </c:pt>
                <c:pt idx="943">
                  <c:v>42034</c:v>
                </c:pt>
                <c:pt idx="944">
                  <c:v>42041</c:v>
                </c:pt>
                <c:pt idx="945">
                  <c:v>42048</c:v>
                </c:pt>
                <c:pt idx="946">
                  <c:v>42055</c:v>
                </c:pt>
                <c:pt idx="947">
                  <c:v>42062</c:v>
                </c:pt>
                <c:pt idx="948">
                  <c:v>42069</c:v>
                </c:pt>
                <c:pt idx="949">
                  <c:v>42076</c:v>
                </c:pt>
                <c:pt idx="950">
                  <c:v>42083</c:v>
                </c:pt>
                <c:pt idx="951">
                  <c:v>42090</c:v>
                </c:pt>
                <c:pt idx="952">
                  <c:v>42097</c:v>
                </c:pt>
                <c:pt idx="953">
                  <c:v>42104</c:v>
                </c:pt>
                <c:pt idx="954">
                  <c:v>42111</c:v>
                </c:pt>
                <c:pt idx="955">
                  <c:v>42118</c:v>
                </c:pt>
                <c:pt idx="956">
                  <c:v>42125</c:v>
                </c:pt>
                <c:pt idx="957">
                  <c:v>42132</c:v>
                </c:pt>
                <c:pt idx="958">
                  <c:v>42139</c:v>
                </c:pt>
                <c:pt idx="959">
                  <c:v>42146</c:v>
                </c:pt>
                <c:pt idx="960">
                  <c:v>42153</c:v>
                </c:pt>
                <c:pt idx="961">
                  <c:v>42160</c:v>
                </c:pt>
                <c:pt idx="962">
                  <c:v>42167</c:v>
                </c:pt>
                <c:pt idx="963">
                  <c:v>42174</c:v>
                </c:pt>
                <c:pt idx="964">
                  <c:v>42181</c:v>
                </c:pt>
                <c:pt idx="965">
                  <c:v>42188</c:v>
                </c:pt>
                <c:pt idx="966">
                  <c:v>42195</c:v>
                </c:pt>
                <c:pt idx="967">
                  <c:v>42202</c:v>
                </c:pt>
                <c:pt idx="968">
                  <c:v>42209</c:v>
                </c:pt>
                <c:pt idx="969">
                  <c:v>42216</c:v>
                </c:pt>
                <c:pt idx="970">
                  <c:v>42223</c:v>
                </c:pt>
                <c:pt idx="971">
                  <c:v>42230</c:v>
                </c:pt>
                <c:pt idx="972">
                  <c:v>42237</c:v>
                </c:pt>
                <c:pt idx="973">
                  <c:v>42244</c:v>
                </c:pt>
                <c:pt idx="974">
                  <c:v>42251</c:v>
                </c:pt>
                <c:pt idx="975">
                  <c:v>42258</c:v>
                </c:pt>
                <c:pt idx="976">
                  <c:v>42265</c:v>
                </c:pt>
                <c:pt idx="977">
                  <c:v>42272</c:v>
                </c:pt>
                <c:pt idx="978">
                  <c:v>42279</c:v>
                </c:pt>
                <c:pt idx="979">
                  <c:v>42286</c:v>
                </c:pt>
                <c:pt idx="980">
                  <c:v>42293</c:v>
                </c:pt>
                <c:pt idx="981">
                  <c:v>42300</c:v>
                </c:pt>
                <c:pt idx="982">
                  <c:v>42307</c:v>
                </c:pt>
                <c:pt idx="983">
                  <c:v>42314</c:v>
                </c:pt>
                <c:pt idx="984">
                  <c:v>42321</c:v>
                </c:pt>
                <c:pt idx="985">
                  <c:v>42328</c:v>
                </c:pt>
                <c:pt idx="986">
                  <c:v>42335</c:v>
                </c:pt>
                <c:pt idx="987">
                  <c:v>42342</c:v>
                </c:pt>
                <c:pt idx="988">
                  <c:v>42349</c:v>
                </c:pt>
                <c:pt idx="989">
                  <c:v>42356</c:v>
                </c:pt>
                <c:pt idx="990">
                  <c:v>42363</c:v>
                </c:pt>
                <c:pt idx="991">
                  <c:v>42370</c:v>
                </c:pt>
                <c:pt idx="992">
                  <c:v>42377</c:v>
                </c:pt>
                <c:pt idx="993">
                  <c:v>42384</c:v>
                </c:pt>
                <c:pt idx="994">
                  <c:v>42391</c:v>
                </c:pt>
                <c:pt idx="995">
                  <c:v>42398</c:v>
                </c:pt>
                <c:pt idx="996">
                  <c:v>42405</c:v>
                </c:pt>
                <c:pt idx="997">
                  <c:v>42412</c:v>
                </c:pt>
                <c:pt idx="998">
                  <c:v>42419</c:v>
                </c:pt>
                <c:pt idx="999">
                  <c:v>42426</c:v>
                </c:pt>
                <c:pt idx="1000">
                  <c:v>42433</c:v>
                </c:pt>
                <c:pt idx="1001">
                  <c:v>42440</c:v>
                </c:pt>
                <c:pt idx="1002">
                  <c:v>42447</c:v>
                </c:pt>
              </c:numCache>
            </c:numRef>
          </c:cat>
          <c:val>
            <c:numRef>
              <c:f>Summary!$AG$101:$AG$5006</c:f>
              <c:numCache>
                <c:formatCode>0.0\x</c:formatCode>
                <c:ptCount val="4906"/>
                <c:pt idx="0">
                  <c:v>26.02373316844486</c:v>
                </c:pt>
                <c:pt idx="1">
                  <c:v>26.02373316844486</c:v>
                </c:pt>
                <c:pt idx="2">
                  <c:v>26.02373316844486</c:v>
                </c:pt>
                <c:pt idx="3">
                  <c:v>26.02373316844486</c:v>
                </c:pt>
                <c:pt idx="4">
                  <c:v>26.02373316844486</c:v>
                </c:pt>
                <c:pt idx="5">
                  <c:v>26.02373316844486</c:v>
                </c:pt>
                <c:pt idx="6">
                  <c:v>26.02373316844486</c:v>
                </c:pt>
                <c:pt idx="7">
                  <c:v>26.02373316844486</c:v>
                </c:pt>
                <c:pt idx="8">
                  <c:v>26.02373316844486</c:v>
                </c:pt>
                <c:pt idx="9">
                  <c:v>26.02373316844486</c:v>
                </c:pt>
                <c:pt idx="10">
                  <c:v>26.02373316844486</c:v>
                </c:pt>
                <c:pt idx="11">
                  <c:v>26.02373316844486</c:v>
                </c:pt>
                <c:pt idx="12">
                  <c:v>26.02373316844486</c:v>
                </c:pt>
                <c:pt idx="13">
                  <c:v>26.02373316844486</c:v>
                </c:pt>
                <c:pt idx="14">
                  <c:v>26.02373316844486</c:v>
                </c:pt>
                <c:pt idx="15">
                  <c:v>26.02373316844486</c:v>
                </c:pt>
                <c:pt idx="16">
                  <c:v>26.02373316844486</c:v>
                </c:pt>
                <c:pt idx="17">
                  <c:v>26.02373316844486</c:v>
                </c:pt>
                <c:pt idx="18">
                  <c:v>26.02373316844486</c:v>
                </c:pt>
                <c:pt idx="19">
                  <c:v>26.02373316844486</c:v>
                </c:pt>
                <c:pt idx="20">
                  <c:v>26.02373316844486</c:v>
                </c:pt>
                <c:pt idx="21">
                  <c:v>26.02373316844486</c:v>
                </c:pt>
                <c:pt idx="22">
                  <c:v>26.02373316844486</c:v>
                </c:pt>
                <c:pt idx="23">
                  <c:v>26.02373316844486</c:v>
                </c:pt>
                <c:pt idx="24">
                  <c:v>26.02373316844486</c:v>
                </c:pt>
                <c:pt idx="25">
                  <c:v>26.02373316844486</c:v>
                </c:pt>
                <c:pt idx="26">
                  <c:v>26.02373316844486</c:v>
                </c:pt>
                <c:pt idx="27">
                  <c:v>26.02373316844486</c:v>
                </c:pt>
                <c:pt idx="28">
                  <c:v>26.02373316844486</c:v>
                </c:pt>
                <c:pt idx="29">
                  <c:v>26.02373316844486</c:v>
                </c:pt>
                <c:pt idx="30">
                  <c:v>26.02373316844486</c:v>
                </c:pt>
                <c:pt idx="31">
                  <c:v>26.02373316844486</c:v>
                </c:pt>
                <c:pt idx="32">
                  <c:v>26.02373316844486</c:v>
                </c:pt>
                <c:pt idx="33">
                  <c:v>26.02373316844486</c:v>
                </c:pt>
                <c:pt idx="34">
                  <c:v>26.02373316844486</c:v>
                </c:pt>
                <c:pt idx="35">
                  <c:v>26.02373316844486</c:v>
                </c:pt>
                <c:pt idx="36">
                  <c:v>26.02373316844486</c:v>
                </c:pt>
                <c:pt idx="37">
                  <c:v>26.02373316844486</c:v>
                </c:pt>
                <c:pt idx="38">
                  <c:v>26.02373316844486</c:v>
                </c:pt>
                <c:pt idx="39">
                  <c:v>26.02373316844486</c:v>
                </c:pt>
                <c:pt idx="40">
                  <c:v>26.02373316844486</c:v>
                </c:pt>
                <c:pt idx="41">
                  <c:v>26.02373316844486</c:v>
                </c:pt>
                <c:pt idx="42">
                  <c:v>26.02373316844486</c:v>
                </c:pt>
                <c:pt idx="43">
                  <c:v>26.02373316844486</c:v>
                </c:pt>
                <c:pt idx="44">
                  <c:v>26.02373316844486</c:v>
                </c:pt>
                <c:pt idx="45">
                  <c:v>26.02373316844486</c:v>
                </c:pt>
                <c:pt idx="46">
                  <c:v>26.02373316844486</c:v>
                </c:pt>
                <c:pt idx="47">
                  <c:v>26.02373316844486</c:v>
                </c:pt>
                <c:pt idx="48">
                  <c:v>26.02373316844486</c:v>
                </c:pt>
                <c:pt idx="49">
                  <c:v>26.02373316844486</c:v>
                </c:pt>
                <c:pt idx="50">
                  <c:v>26.02373316844486</c:v>
                </c:pt>
                <c:pt idx="51">
                  <c:v>26.02373316844486</c:v>
                </c:pt>
                <c:pt idx="52">
                  <c:v>26.02373316844486</c:v>
                </c:pt>
                <c:pt idx="53">
                  <c:v>26.02373316844486</c:v>
                </c:pt>
                <c:pt idx="54">
                  <c:v>26.02373316844486</c:v>
                </c:pt>
                <c:pt idx="55">
                  <c:v>26.02373316844486</c:v>
                </c:pt>
                <c:pt idx="56">
                  <c:v>26.02373316844486</c:v>
                </c:pt>
                <c:pt idx="57">
                  <c:v>26.02373316844486</c:v>
                </c:pt>
                <c:pt idx="58">
                  <c:v>26.02373316844486</c:v>
                </c:pt>
                <c:pt idx="59">
                  <c:v>26.02373316844486</c:v>
                </c:pt>
                <c:pt idx="60">
                  <c:v>26.02373316844486</c:v>
                </c:pt>
                <c:pt idx="61">
                  <c:v>26.02373316844486</c:v>
                </c:pt>
                <c:pt idx="62">
                  <c:v>26.02373316844486</c:v>
                </c:pt>
                <c:pt idx="63">
                  <c:v>26.02373316844486</c:v>
                </c:pt>
                <c:pt idx="64">
                  <c:v>26.02373316844486</c:v>
                </c:pt>
                <c:pt idx="65">
                  <c:v>26.02373316844486</c:v>
                </c:pt>
                <c:pt idx="66">
                  <c:v>26.02373316844486</c:v>
                </c:pt>
                <c:pt idx="67">
                  <c:v>26.02373316844486</c:v>
                </c:pt>
                <c:pt idx="68">
                  <c:v>26.02373316844486</c:v>
                </c:pt>
                <c:pt idx="69">
                  <c:v>26.02373316844486</c:v>
                </c:pt>
                <c:pt idx="70">
                  <c:v>26.02373316844486</c:v>
                </c:pt>
                <c:pt idx="71">
                  <c:v>26.02373316844486</c:v>
                </c:pt>
                <c:pt idx="72">
                  <c:v>26.02373316844486</c:v>
                </c:pt>
                <c:pt idx="73">
                  <c:v>26.02373316844486</c:v>
                </c:pt>
                <c:pt idx="74">
                  <c:v>26.02373316844486</c:v>
                </c:pt>
                <c:pt idx="75">
                  <c:v>26.02373316844486</c:v>
                </c:pt>
                <c:pt idx="76">
                  <c:v>26.02373316844486</c:v>
                </c:pt>
                <c:pt idx="77">
                  <c:v>26.02373316844486</c:v>
                </c:pt>
                <c:pt idx="78">
                  <c:v>26.02373316844486</c:v>
                </c:pt>
                <c:pt idx="79">
                  <c:v>26.02373316844486</c:v>
                </c:pt>
                <c:pt idx="80">
                  <c:v>26.02373316844486</c:v>
                </c:pt>
                <c:pt idx="81">
                  <c:v>26.02373316844486</c:v>
                </c:pt>
                <c:pt idx="82">
                  <c:v>26.02373316844486</c:v>
                </c:pt>
                <c:pt idx="83">
                  <c:v>26.02373316844486</c:v>
                </c:pt>
                <c:pt idx="84">
                  <c:v>26.02373316844486</c:v>
                </c:pt>
                <c:pt idx="85">
                  <c:v>26.02373316844486</c:v>
                </c:pt>
                <c:pt idx="86">
                  <c:v>26.02373316844486</c:v>
                </c:pt>
                <c:pt idx="87">
                  <c:v>26.02373316844486</c:v>
                </c:pt>
                <c:pt idx="88">
                  <c:v>26.02373316844486</c:v>
                </c:pt>
                <c:pt idx="89">
                  <c:v>26.02373316844486</c:v>
                </c:pt>
                <c:pt idx="90">
                  <c:v>26.02373316844486</c:v>
                </c:pt>
                <c:pt idx="91">
                  <c:v>26.02373316844486</c:v>
                </c:pt>
                <c:pt idx="92">
                  <c:v>26.02373316844486</c:v>
                </c:pt>
                <c:pt idx="93">
                  <c:v>26.02373316844486</c:v>
                </c:pt>
                <c:pt idx="94">
                  <c:v>26.02373316844486</c:v>
                </c:pt>
                <c:pt idx="95">
                  <c:v>26.02373316844486</c:v>
                </c:pt>
                <c:pt idx="96">
                  <c:v>26.02373316844486</c:v>
                </c:pt>
                <c:pt idx="97">
                  <c:v>26.02373316844486</c:v>
                </c:pt>
                <c:pt idx="98">
                  <c:v>26.02373316844486</c:v>
                </c:pt>
                <c:pt idx="99">
                  <c:v>26.02373316844486</c:v>
                </c:pt>
                <c:pt idx="100">
                  <c:v>26.02373316844486</c:v>
                </c:pt>
                <c:pt idx="101">
                  <c:v>26.02373316844486</c:v>
                </c:pt>
                <c:pt idx="102">
                  <c:v>26.02373316844486</c:v>
                </c:pt>
                <c:pt idx="103">
                  <c:v>26.02373316844486</c:v>
                </c:pt>
                <c:pt idx="104">
                  <c:v>26.02373316844486</c:v>
                </c:pt>
                <c:pt idx="105">
                  <c:v>26.02373316844486</c:v>
                </c:pt>
                <c:pt idx="106">
                  <c:v>26.02373316844486</c:v>
                </c:pt>
                <c:pt idx="107">
                  <c:v>26.02373316844486</c:v>
                </c:pt>
                <c:pt idx="108">
                  <c:v>26.02373316844486</c:v>
                </c:pt>
                <c:pt idx="109">
                  <c:v>26.02373316844486</c:v>
                </c:pt>
                <c:pt idx="110">
                  <c:v>26.02373316844486</c:v>
                </c:pt>
                <c:pt idx="111">
                  <c:v>26.02373316844486</c:v>
                </c:pt>
                <c:pt idx="112">
                  <c:v>26.02373316844486</c:v>
                </c:pt>
                <c:pt idx="113">
                  <c:v>26.02373316844486</c:v>
                </c:pt>
                <c:pt idx="114">
                  <c:v>26.02373316844486</c:v>
                </c:pt>
                <c:pt idx="115">
                  <c:v>26.02373316844486</c:v>
                </c:pt>
                <c:pt idx="116">
                  <c:v>26.02373316844486</c:v>
                </c:pt>
                <c:pt idx="117">
                  <c:v>26.02373316844486</c:v>
                </c:pt>
                <c:pt idx="118">
                  <c:v>26.02373316844486</c:v>
                </c:pt>
                <c:pt idx="119">
                  <c:v>26.02373316844486</c:v>
                </c:pt>
                <c:pt idx="120">
                  <c:v>26.02373316844486</c:v>
                </c:pt>
                <c:pt idx="121">
                  <c:v>26.02373316844486</c:v>
                </c:pt>
                <c:pt idx="122">
                  <c:v>26.02373316844486</c:v>
                </c:pt>
                <c:pt idx="123">
                  <c:v>26.02373316844486</c:v>
                </c:pt>
                <c:pt idx="124">
                  <c:v>26.02373316844486</c:v>
                </c:pt>
                <c:pt idx="125">
                  <c:v>26.02373316844486</c:v>
                </c:pt>
                <c:pt idx="126">
                  <c:v>26.02373316844486</c:v>
                </c:pt>
                <c:pt idx="127">
                  <c:v>26.02373316844486</c:v>
                </c:pt>
                <c:pt idx="128">
                  <c:v>26.02373316844486</c:v>
                </c:pt>
                <c:pt idx="129">
                  <c:v>26.02373316844486</c:v>
                </c:pt>
                <c:pt idx="130">
                  <c:v>26.02373316844486</c:v>
                </c:pt>
                <c:pt idx="131">
                  <c:v>26.02373316844486</c:v>
                </c:pt>
                <c:pt idx="132">
                  <c:v>26.02373316844486</c:v>
                </c:pt>
                <c:pt idx="133">
                  <c:v>26.02373316844486</c:v>
                </c:pt>
                <c:pt idx="134">
                  <c:v>26.02373316844486</c:v>
                </c:pt>
                <c:pt idx="135">
                  <c:v>26.02373316844486</c:v>
                </c:pt>
                <c:pt idx="136">
                  <c:v>26.02373316844486</c:v>
                </c:pt>
                <c:pt idx="137">
                  <c:v>26.02373316844486</c:v>
                </c:pt>
                <c:pt idx="138">
                  <c:v>26.02373316844486</c:v>
                </c:pt>
                <c:pt idx="139">
                  <c:v>26.02373316844486</c:v>
                </c:pt>
                <c:pt idx="140">
                  <c:v>26.02373316844486</c:v>
                </c:pt>
                <c:pt idx="141">
                  <c:v>26.02373316844486</c:v>
                </c:pt>
                <c:pt idx="142">
                  <c:v>26.02373316844486</c:v>
                </c:pt>
                <c:pt idx="143">
                  <c:v>26.02373316844486</c:v>
                </c:pt>
                <c:pt idx="144">
                  <c:v>26.02373316844486</c:v>
                </c:pt>
                <c:pt idx="145">
                  <c:v>26.02373316844486</c:v>
                </c:pt>
                <c:pt idx="146">
                  <c:v>26.02373316844486</c:v>
                </c:pt>
                <c:pt idx="147">
                  <c:v>26.02373316844486</c:v>
                </c:pt>
                <c:pt idx="148">
                  <c:v>26.02373316844486</c:v>
                </c:pt>
                <c:pt idx="149">
                  <c:v>26.02373316844486</c:v>
                </c:pt>
                <c:pt idx="150">
                  <c:v>26.02373316844486</c:v>
                </c:pt>
                <c:pt idx="151">
                  <c:v>26.02373316844486</c:v>
                </c:pt>
                <c:pt idx="152">
                  <c:v>26.02373316844486</c:v>
                </c:pt>
                <c:pt idx="153">
                  <c:v>26.02373316844486</c:v>
                </c:pt>
                <c:pt idx="154">
                  <c:v>26.02373316844486</c:v>
                </c:pt>
                <c:pt idx="155">
                  <c:v>26.02373316844486</c:v>
                </c:pt>
                <c:pt idx="156">
                  <c:v>26.02373316844486</c:v>
                </c:pt>
                <c:pt idx="157">
                  <c:v>26.02373316844486</c:v>
                </c:pt>
                <c:pt idx="158">
                  <c:v>26.02373316844486</c:v>
                </c:pt>
                <c:pt idx="159">
                  <c:v>26.02373316844486</c:v>
                </c:pt>
                <c:pt idx="160">
                  <c:v>26.02373316844486</c:v>
                </c:pt>
                <c:pt idx="161">
                  <c:v>26.02373316844486</c:v>
                </c:pt>
                <c:pt idx="162">
                  <c:v>26.02373316844486</c:v>
                </c:pt>
                <c:pt idx="163">
                  <c:v>26.02373316844486</c:v>
                </c:pt>
                <c:pt idx="164">
                  <c:v>26.02373316844486</c:v>
                </c:pt>
                <c:pt idx="165">
                  <c:v>26.02373316844486</c:v>
                </c:pt>
                <c:pt idx="166">
                  <c:v>26.02373316844486</c:v>
                </c:pt>
                <c:pt idx="167">
                  <c:v>26.02373316844486</c:v>
                </c:pt>
                <c:pt idx="168">
                  <c:v>26.02373316844486</c:v>
                </c:pt>
                <c:pt idx="169">
                  <c:v>26.02373316844486</c:v>
                </c:pt>
                <c:pt idx="170">
                  <c:v>26.02373316844486</c:v>
                </c:pt>
                <c:pt idx="171">
                  <c:v>26.02373316844486</c:v>
                </c:pt>
                <c:pt idx="172">
                  <c:v>26.02373316844486</c:v>
                </c:pt>
                <c:pt idx="173">
                  <c:v>26.02373316844486</c:v>
                </c:pt>
                <c:pt idx="174">
                  <c:v>26.02373316844486</c:v>
                </c:pt>
                <c:pt idx="175">
                  <c:v>26.02373316844486</c:v>
                </c:pt>
                <c:pt idx="176">
                  <c:v>26.02373316844486</c:v>
                </c:pt>
                <c:pt idx="177">
                  <c:v>26.02373316844486</c:v>
                </c:pt>
                <c:pt idx="178">
                  <c:v>26.02373316844486</c:v>
                </c:pt>
                <c:pt idx="179">
                  <c:v>26.02373316844486</c:v>
                </c:pt>
                <c:pt idx="180">
                  <c:v>26.02373316844486</c:v>
                </c:pt>
                <c:pt idx="181">
                  <c:v>26.02373316844486</c:v>
                </c:pt>
                <c:pt idx="182">
                  <c:v>26.02373316844486</c:v>
                </c:pt>
                <c:pt idx="183">
                  <c:v>26.02373316844486</c:v>
                </c:pt>
                <c:pt idx="184">
                  <c:v>26.02373316844486</c:v>
                </c:pt>
                <c:pt idx="185">
                  <c:v>26.02373316844486</c:v>
                </c:pt>
                <c:pt idx="186">
                  <c:v>26.02373316844486</c:v>
                </c:pt>
                <c:pt idx="187">
                  <c:v>26.02373316844486</c:v>
                </c:pt>
                <c:pt idx="188">
                  <c:v>26.02373316844486</c:v>
                </c:pt>
                <c:pt idx="189">
                  <c:v>26.02373316844486</c:v>
                </c:pt>
                <c:pt idx="190">
                  <c:v>26.02373316844486</c:v>
                </c:pt>
                <c:pt idx="191">
                  <c:v>26.02373316844486</c:v>
                </c:pt>
                <c:pt idx="192">
                  <c:v>26.02373316844486</c:v>
                </c:pt>
                <c:pt idx="193">
                  <c:v>26.02373316844486</c:v>
                </c:pt>
                <c:pt idx="194">
                  <c:v>26.02373316844486</c:v>
                </c:pt>
                <c:pt idx="195">
                  <c:v>26.02373316844486</c:v>
                </c:pt>
                <c:pt idx="196">
                  <c:v>26.02373316844486</c:v>
                </c:pt>
                <c:pt idx="197">
                  <c:v>26.02373316844486</c:v>
                </c:pt>
                <c:pt idx="198">
                  <c:v>26.02373316844486</c:v>
                </c:pt>
                <c:pt idx="199">
                  <c:v>26.02373316844486</c:v>
                </c:pt>
                <c:pt idx="200">
                  <c:v>26.02373316844486</c:v>
                </c:pt>
                <c:pt idx="201">
                  <c:v>26.02373316844486</c:v>
                </c:pt>
                <c:pt idx="202">
                  <c:v>26.02373316844486</c:v>
                </c:pt>
                <c:pt idx="203">
                  <c:v>26.02373316844486</c:v>
                </c:pt>
                <c:pt idx="204">
                  <c:v>26.02373316844486</c:v>
                </c:pt>
                <c:pt idx="205">
                  <c:v>26.02373316844486</c:v>
                </c:pt>
                <c:pt idx="206">
                  <c:v>26.02373316844486</c:v>
                </c:pt>
                <c:pt idx="207">
                  <c:v>26.02373316844486</c:v>
                </c:pt>
                <c:pt idx="208">
                  <c:v>26.02373316844486</c:v>
                </c:pt>
                <c:pt idx="209">
                  <c:v>26.02373316844486</c:v>
                </c:pt>
                <c:pt idx="210">
                  <c:v>26.02373316844486</c:v>
                </c:pt>
                <c:pt idx="211">
                  <c:v>26.02373316844486</c:v>
                </c:pt>
                <c:pt idx="212">
                  <c:v>26.02373316844486</c:v>
                </c:pt>
                <c:pt idx="213">
                  <c:v>26.02373316844486</c:v>
                </c:pt>
                <c:pt idx="214">
                  <c:v>26.02373316844486</c:v>
                </c:pt>
                <c:pt idx="215">
                  <c:v>26.02373316844486</c:v>
                </c:pt>
                <c:pt idx="216">
                  <c:v>26.02373316844486</c:v>
                </c:pt>
                <c:pt idx="217">
                  <c:v>26.02373316844486</c:v>
                </c:pt>
                <c:pt idx="218">
                  <c:v>26.02373316844486</c:v>
                </c:pt>
                <c:pt idx="219">
                  <c:v>26.02373316844486</c:v>
                </c:pt>
                <c:pt idx="220">
                  <c:v>26.02373316844486</c:v>
                </c:pt>
                <c:pt idx="221">
                  <c:v>26.02373316844486</c:v>
                </c:pt>
                <c:pt idx="222">
                  <c:v>26.02373316844486</c:v>
                </c:pt>
                <c:pt idx="223">
                  <c:v>26.02373316844486</c:v>
                </c:pt>
                <c:pt idx="224">
                  <c:v>26.02373316844486</c:v>
                </c:pt>
                <c:pt idx="225">
                  <c:v>26.02373316844486</c:v>
                </c:pt>
                <c:pt idx="226">
                  <c:v>26.02373316844486</c:v>
                </c:pt>
                <c:pt idx="227">
                  <c:v>26.02373316844486</c:v>
                </c:pt>
                <c:pt idx="228">
                  <c:v>26.02373316844486</c:v>
                </c:pt>
                <c:pt idx="229">
                  <c:v>26.02373316844486</c:v>
                </c:pt>
                <c:pt idx="230">
                  <c:v>26.02373316844486</c:v>
                </c:pt>
                <c:pt idx="231">
                  <c:v>26.02373316844486</c:v>
                </c:pt>
                <c:pt idx="232">
                  <c:v>26.02373316844486</c:v>
                </c:pt>
                <c:pt idx="233">
                  <c:v>26.02373316844486</c:v>
                </c:pt>
                <c:pt idx="234">
                  <c:v>26.02373316844486</c:v>
                </c:pt>
                <c:pt idx="235">
                  <c:v>26.02373316844486</c:v>
                </c:pt>
                <c:pt idx="236">
                  <c:v>26.02373316844486</c:v>
                </c:pt>
                <c:pt idx="237">
                  <c:v>26.02373316844486</c:v>
                </c:pt>
                <c:pt idx="238">
                  <c:v>26.02373316844486</c:v>
                </c:pt>
                <c:pt idx="239">
                  <c:v>26.02373316844486</c:v>
                </c:pt>
                <c:pt idx="240">
                  <c:v>26.02373316844486</c:v>
                </c:pt>
                <c:pt idx="241">
                  <c:v>26.02373316844486</c:v>
                </c:pt>
                <c:pt idx="242">
                  <c:v>26.02373316844486</c:v>
                </c:pt>
                <c:pt idx="243">
                  <c:v>26.02373316844486</c:v>
                </c:pt>
                <c:pt idx="244">
                  <c:v>26.02373316844486</c:v>
                </c:pt>
                <c:pt idx="245">
                  <c:v>26.02373316844486</c:v>
                </c:pt>
                <c:pt idx="246">
                  <c:v>26.02373316844486</c:v>
                </c:pt>
                <c:pt idx="247">
                  <c:v>26.02373316844486</c:v>
                </c:pt>
                <c:pt idx="248">
                  <c:v>26.02373316844486</c:v>
                </c:pt>
                <c:pt idx="249">
                  <c:v>26.02373316844486</c:v>
                </c:pt>
                <c:pt idx="250">
                  <c:v>26.02373316844486</c:v>
                </c:pt>
                <c:pt idx="251">
                  <c:v>26.02373316844486</c:v>
                </c:pt>
                <c:pt idx="252">
                  <c:v>26.02373316844486</c:v>
                </c:pt>
                <c:pt idx="253">
                  <c:v>26.02373316844486</c:v>
                </c:pt>
                <c:pt idx="254">
                  <c:v>26.02373316844486</c:v>
                </c:pt>
                <c:pt idx="255">
                  <c:v>26.02373316844486</c:v>
                </c:pt>
                <c:pt idx="256">
                  <c:v>26.02373316844486</c:v>
                </c:pt>
                <c:pt idx="257">
                  <c:v>26.02373316844486</c:v>
                </c:pt>
                <c:pt idx="258">
                  <c:v>26.02373316844486</c:v>
                </c:pt>
                <c:pt idx="259">
                  <c:v>26.02373316844486</c:v>
                </c:pt>
                <c:pt idx="260">
                  <c:v>26.02373316844486</c:v>
                </c:pt>
                <c:pt idx="261">
                  <c:v>26.02373316844486</c:v>
                </c:pt>
                <c:pt idx="262">
                  <c:v>26.02373316844486</c:v>
                </c:pt>
                <c:pt idx="263">
                  <c:v>26.02373316844486</c:v>
                </c:pt>
                <c:pt idx="264">
                  <c:v>26.02373316844486</c:v>
                </c:pt>
                <c:pt idx="265">
                  <c:v>26.02373316844486</c:v>
                </c:pt>
                <c:pt idx="266">
                  <c:v>26.02373316844486</c:v>
                </c:pt>
                <c:pt idx="267">
                  <c:v>26.02373316844486</c:v>
                </c:pt>
                <c:pt idx="268">
                  <c:v>26.02373316844486</c:v>
                </c:pt>
                <c:pt idx="269">
                  <c:v>26.02373316844486</c:v>
                </c:pt>
                <c:pt idx="270">
                  <c:v>26.02373316844486</c:v>
                </c:pt>
                <c:pt idx="271">
                  <c:v>26.02373316844486</c:v>
                </c:pt>
                <c:pt idx="272">
                  <c:v>26.02373316844486</c:v>
                </c:pt>
                <c:pt idx="273">
                  <c:v>26.02373316844486</c:v>
                </c:pt>
                <c:pt idx="274">
                  <c:v>26.02373316844486</c:v>
                </c:pt>
                <c:pt idx="275">
                  <c:v>26.02373316844486</c:v>
                </c:pt>
                <c:pt idx="276">
                  <c:v>26.02373316844486</c:v>
                </c:pt>
                <c:pt idx="277">
                  <c:v>26.02373316844486</c:v>
                </c:pt>
                <c:pt idx="278">
                  <c:v>26.02373316844486</c:v>
                </c:pt>
                <c:pt idx="279">
                  <c:v>26.02373316844486</c:v>
                </c:pt>
                <c:pt idx="280">
                  <c:v>26.02373316844486</c:v>
                </c:pt>
                <c:pt idx="281">
                  <c:v>26.02373316844486</c:v>
                </c:pt>
                <c:pt idx="282">
                  <c:v>26.02373316844486</c:v>
                </c:pt>
                <c:pt idx="283">
                  <c:v>26.02373316844486</c:v>
                </c:pt>
                <c:pt idx="284">
                  <c:v>26.02373316844486</c:v>
                </c:pt>
                <c:pt idx="285">
                  <c:v>26.02373316844486</c:v>
                </c:pt>
                <c:pt idx="286">
                  <c:v>26.02373316844486</c:v>
                </c:pt>
                <c:pt idx="287">
                  <c:v>26.02373316844486</c:v>
                </c:pt>
                <c:pt idx="288">
                  <c:v>26.02373316844486</c:v>
                </c:pt>
                <c:pt idx="289">
                  <c:v>26.02373316844486</c:v>
                </c:pt>
                <c:pt idx="290">
                  <c:v>26.02373316844486</c:v>
                </c:pt>
                <c:pt idx="291">
                  <c:v>26.02373316844486</c:v>
                </c:pt>
                <c:pt idx="292">
                  <c:v>26.02373316844486</c:v>
                </c:pt>
                <c:pt idx="293">
                  <c:v>26.02373316844486</c:v>
                </c:pt>
                <c:pt idx="294">
                  <c:v>26.02373316844486</c:v>
                </c:pt>
                <c:pt idx="295">
                  <c:v>26.02373316844486</c:v>
                </c:pt>
                <c:pt idx="296">
                  <c:v>26.02373316844486</c:v>
                </c:pt>
                <c:pt idx="297">
                  <c:v>26.02373316844486</c:v>
                </c:pt>
                <c:pt idx="298">
                  <c:v>26.02373316844486</c:v>
                </c:pt>
                <c:pt idx="299">
                  <c:v>26.02373316844486</c:v>
                </c:pt>
                <c:pt idx="300">
                  <c:v>26.02373316844486</c:v>
                </c:pt>
                <c:pt idx="301">
                  <c:v>26.02373316844486</c:v>
                </c:pt>
                <c:pt idx="302">
                  <c:v>26.02373316844486</c:v>
                </c:pt>
                <c:pt idx="303">
                  <c:v>26.02373316844486</c:v>
                </c:pt>
                <c:pt idx="304">
                  <c:v>26.02373316844486</c:v>
                </c:pt>
                <c:pt idx="305">
                  <c:v>26.02373316844486</c:v>
                </c:pt>
                <c:pt idx="306">
                  <c:v>26.02373316844486</c:v>
                </c:pt>
                <c:pt idx="307">
                  <c:v>26.02373316844486</c:v>
                </c:pt>
                <c:pt idx="308">
                  <c:v>26.02373316844486</c:v>
                </c:pt>
                <c:pt idx="309">
                  <c:v>26.02373316844486</c:v>
                </c:pt>
                <c:pt idx="310">
                  <c:v>26.02373316844486</c:v>
                </c:pt>
                <c:pt idx="311">
                  <c:v>26.02373316844486</c:v>
                </c:pt>
                <c:pt idx="312">
                  <c:v>26.02373316844486</c:v>
                </c:pt>
                <c:pt idx="313">
                  <c:v>26.02373316844486</c:v>
                </c:pt>
                <c:pt idx="314">
                  <c:v>26.02373316844486</c:v>
                </c:pt>
                <c:pt idx="315">
                  <c:v>26.02373316844486</c:v>
                </c:pt>
                <c:pt idx="316">
                  <c:v>26.02373316844486</c:v>
                </c:pt>
                <c:pt idx="317">
                  <c:v>26.02373316844486</c:v>
                </c:pt>
                <c:pt idx="318">
                  <c:v>26.02373316844486</c:v>
                </c:pt>
                <c:pt idx="319">
                  <c:v>26.02373316844486</c:v>
                </c:pt>
                <c:pt idx="320">
                  <c:v>26.02373316844486</c:v>
                </c:pt>
                <c:pt idx="321">
                  <c:v>26.02373316844486</c:v>
                </c:pt>
                <c:pt idx="322">
                  <c:v>26.02373316844486</c:v>
                </c:pt>
                <c:pt idx="323">
                  <c:v>26.02373316844486</c:v>
                </c:pt>
                <c:pt idx="324">
                  <c:v>26.02373316844486</c:v>
                </c:pt>
                <c:pt idx="325">
                  <c:v>26.02373316844486</c:v>
                </c:pt>
                <c:pt idx="326">
                  <c:v>26.02373316844486</c:v>
                </c:pt>
                <c:pt idx="327">
                  <c:v>26.02373316844486</c:v>
                </c:pt>
                <c:pt idx="328">
                  <c:v>26.02373316844486</c:v>
                </c:pt>
                <c:pt idx="329">
                  <c:v>26.02373316844486</c:v>
                </c:pt>
                <c:pt idx="330">
                  <c:v>26.02373316844486</c:v>
                </c:pt>
                <c:pt idx="331">
                  <c:v>26.02373316844486</c:v>
                </c:pt>
                <c:pt idx="332">
                  <c:v>26.02373316844486</c:v>
                </c:pt>
                <c:pt idx="333">
                  <c:v>26.02373316844486</c:v>
                </c:pt>
                <c:pt idx="334">
                  <c:v>26.02373316844486</c:v>
                </c:pt>
                <c:pt idx="335">
                  <c:v>26.02373316844486</c:v>
                </c:pt>
                <c:pt idx="336">
                  <c:v>26.02373316844486</c:v>
                </c:pt>
                <c:pt idx="337">
                  <c:v>26.02373316844486</c:v>
                </c:pt>
                <c:pt idx="338">
                  <c:v>26.02373316844486</c:v>
                </c:pt>
                <c:pt idx="339">
                  <c:v>26.02373316844486</c:v>
                </c:pt>
                <c:pt idx="340">
                  <c:v>26.02373316844486</c:v>
                </c:pt>
                <c:pt idx="341">
                  <c:v>26.02373316844486</c:v>
                </c:pt>
                <c:pt idx="342">
                  <c:v>26.02373316844486</c:v>
                </c:pt>
                <c:pt idx="343">
                  <c:v>26.02373316844486</c:v>
                </c:pt>
                <c:pt idx="344">
                  <c:v>26.02373316844486</c:v>
                </c:pt>
                <c:pt idx="345">
                  <c:v>26.02373316844486</c:v>
                </c:pt>
                <c:pt idx="346">
                  <c:v>26.02373316844486</c:v>
                </c:pt>
                <c:pt idx="347">
                  <c:v>26.02373316844486</c:v>
                </c:pt>
                <c:pt idx="348">
                  <c:v>26.02373316844486</c:v>
                </c:pt>
                <c:pt idx="349">
                  <c:v>26.02373316844486</c:v>
                </c:pt>
                <c:pt idx="350">
                  <c:v>26.02373316844486</c:v>
                </c:pt>
                <c:pt idx="351">
                  <c:v>26.02373316844486</c:v>
                </c:pt>
                <c:pt idx="352">
                  <c:v>26.02373316844486</c:v>
                </c:pt>
                <c:pt idx="353">
                  <c:v>26.02373316844486</c:v>
                </c:pt>
                <c:pt idx="354">
                  <c:v>26.02373316844486</c:v>
                </c:pt>
                <c:pt idx="355">
                  <c:v>26.02373316844486</c:v>
                </c:pt>
                <c:pt idx="356">
                  <c:v>26.02373316844486</c:v>
                </c:pt>
                <c:pt idx="357">
                  <c:v>26.02373316844486</c:v>
                </c:pt>
                <c:pt idx="358">
                  <c:v>26.02373316844486</c:v>
                </c:pt>
                <c:pt idx="359">
                  <c:v>26.02373316844486</c:v>
                </c:pt>
                <c:pt idx="360">
                  <c:v>26.02373316844486</c:v>
                </c:pt>
                <c:pt idx="361">
                  <c:v>26.02373316844486</c:v>
                </c:pt>
                <c:pt idx="362">
                  <c:v>26.02373316844486</c:v>
                </c:pt>
                <c:pt idx="363">
                  <c:v>26.02373316844486</c:v>
                </c:pt>
                <c:pt idx="364">
                  <c:v>26.02373316844486</c:v>
                </c:pt>
                <c:pt idx="365">
                  <c:v>26.02373316844486</c:v>
                </c:pt>
                <c:pt idx="366">
                  <c:v>26.02373316844486</c:v>
                </c:pt>
                <c:pt idx="367">
                  <c:v>26.02373316844486</c:v>
                </c:pt>
                <c:pt idx="368">
                  <c:v>26.02373316844486</c:v>
                </c:pt>
                <c:pt idx="369">
                  <c:v>26.02373316844486</c:v>
                </c:pt>
                <c:pt idx="370">
                  <c:v>26.02373316844486</c:v>
                </c:pt>
                <c:pt idx="371">
                  <c:v>26.02373316844486</c:v>
                </c:pt>
                <c:pt idx="372">
                  <c:v>26.02373316844486</c:v>
                </c:pt>
                <c:pt idx="373">
                  <c:v>26.02373316844486</c:v>
                </c:pt>
                <c:pt idx="374">
                  <c:v>26.02373316844486</c:v>
                </c:pt>
                <c:pt idx="375">
                  <c:v>26.02373316844486</c:v>
                </c:pt>
                <c:pt idx="376">
                  <c:v>26.02373316844486</c:v>
                </c:pt>
                <c:pt idx="377">
                  <c:v>26.02373316844486</c:v>
                </c:pt>
                <c:pt idx="378">
                  <c:v>26.02373316844486</c:v>
                </c:pt>
                <c:pt idx="379">
                  <c:v>26.02373316844486</c:v>
                </c:pt>
                <c:pt idx="380">
                  <c:v>26.02373316844486</c:v>
                </c:pt>
                <c:pt idx="381">
                  <c:v>26.02373316844486</c:v>
                </c:pt>
                <c:pt idx="382">
                  <c:v>26.02373316844486</c:v>
                </c:pt>
                <c:pt idx="383">
                  <c:v>26.02373316844486</c:v>
                </c:pt>
                <c:pt idx="384">
                  <c:v>26.02373316844486</c:v>
                </c:pt>
                <c:pt idx="385">
                  <c:v>26.02373316844486</c:v>
                </c:pt>
                <c:pt idx="386">
                  <c:v>26.02373316844486</c:v>
                </c:pt>
                <c:pt idx="387">
                  <c:v>26.02373316844486</c:v>
                </c:pt>
                <c:pt idx="388">
                  <c:v>26.02373316844486</c:v>
                </c:pt>
                <c:pt idx="389">
                  <c:v>26.02373316844486</c:v>
                </c:pt>
                <c:pt idx="390">
                  <c:v>26.02373316844486</c:v>
                </c:pt>
                <c:pt idx="391">
                  <c:v>26.02373316844486</c:v>
                </c:pt>
                <c:pt idx="392">
                  <c:v>26.02373316844486</c:v>
                </c:pt>
                <c:pt idx="393">
                  <c:v>26.02373316844486</c:v>
                </c:pt>
                <c:pt idx="394">
                  <c:v>26.02373316844486</c:v>
                </c:pt>
                <c:pt idx="395">
                  <c:v>26.02373316844486</c:v>
                </c:pt>
                <c:pt idx="396">
                  <c:v>26.02373316844486</c:v>
                </c:pt>
                <c:pt idx="397">
                  <c:v>26.02373316844486</c:v>
                </c:pt>
                <c:pt idx="398">
                  <c:v>26.02373316844486</c:v>
                </c:pt>
                <c:pt idx="399">
                  <c:v>26.02373316844486</c:v>
                </c:pt>
                <c:pt idx="400">
                  <c:v>26.02373316844486</c:v>
                </c:pt>
                <c:pt idx="401">
                  <c:v>26.02373316844486</c:v>
                </c:pt>
                <c:pt idx="402">
                  <c:v>26.02373316844486</c:v>
                </c:pt>
                <c:pt idx="403">
                  <c:v>26.02373316844486</c:v>
                </c:pt>
                <c:pt idx="404">
                  <c:v>26.02373316844486</c:v>
                </c:pt>
                <c:pt idx="405">
                  <c:v>26.02373316844486</c:v>
                </c:pt>
                <c:pt idx="406">
                  <c:v>26.02373316844486</c:v>
                </c:pt>
                <c:pt idx="407">
                  <c:v>26.02373316844486</c:v>
                </c:pt>
                <c:pt idx="408">
                  <c:v>26.02373316844486</c:v>
                </c:pt>
                <c:pt idx="409">
                  <c:v>26.02373316844486</c:v>
                </c:pt>
                <c:pt idx="410">
                  <c:v>26.02373316844486</c:v>
                </c:pt>
                <c:pt idx="411">
                  <c:v>26.02373316844486</c:v>
                </c:pt>
                <c:pt idx="412">
                  <c:v>26.02373316844486</c:v>
                </c:pt>
                <c:pt idx="413">
                  <c:v>26.02373316844486</c:v>
                </c:pt>
                <c:pt idx="414">
                  <c:v>26.02373316844486</c:v>
                </c:pt>
                <c:pt idx="415">
                  <c:v>26.02373316844486</c:v>
                </c:pt>
                <c:pt idx="416">
                  <c:v>26.02373316844486</c:v>
                </c:pt>
                <c:pt idx="417">
                  <c:v>26.02373316844486</c:v>
                </c:pt>
                <c:pt idx="418">
                  <c:v>26.02373316844486</c:v>
                </c:pt>
                <c:pt idx="419">
                  <c:v>26.02373316844486</c:v>
                </c:pt>
                <c:pt idx="420">
                  <c:v>26.02373316844486</c:v>
                </c:pt>
                <c:pt idx="421">
                  <c:v>26.02373316844486</c:v>
                </c:pt>
                <c:pt idx="422">
                  <c:v>26.02373316844486</c:v>
                </c:pt>
                <c:pt idx="423">
                  <c:v>26.02373316844486</c:v>
                </c:pt>
                <c:pt idx="424">
                  <c:v>26.02373316844486</c:v>
                </c:pt>
                <c:pt idx="425">
                  <c:v>26.02373316844486</c:v>
                </c:pt>
                <c:pt idx="426">
                  <c:v>26.02373316844486</c:v>
                </c:pt>
                <c:pt idx="427">
                  <c:v>26.02373316844486</c:v>
                </c:pt>
                <c:pt idx="428">
                  <c:v>26.02373316844486</c:v>
                </c:pt>
                <c:pt idx="429">
                  <c:v>26.02373316844486</c:v>
                </c:pt>
                <c:pt idx="430">
                  <c:v>26.02373316844486</c:v>
                </c:pt>
                <c:pt idx="431">
                  <c:v>26.02373316844486</c:v>
                </c:pt>
                <c:pt idx="432">
                  <c:v>26.02373316844486</c:v>
                </c:pt>
                <c:pt idx="433">
                  <c:v>26.02373316844486</c:v>
                </c:pt>
                <c:pt idx="434">
                  <c:v>26.02373316844486</c:v>
                </c:pt>
                <c:pt idx="435">
                  <c:v>26.02373316844486</c:v>
                </c:pt>
                <c:pt idx="436">
                  <c:v>26.02373316844486</c:v>
                </c:pt>
                <c:pt idx="437">
                  <c:v>26.02373316844486</c:v>
                </c:pt>
                <c:pt idx="438">
                  <c:v>26.02373316844486</c:v>
                </c:pt>
                <c:pt idx="439">
                  <c:v>26.02373316844486</c:v>
                </c:pt>
                <c:pt idx="440">
                  <c:v>26.02373316844486</c:v>
                </c:pt>
                <c:pt idx="441">
                  <c:v>26.02373316844486</c:v>
                </c:pt>
                <c:pt idx="442">
                  <c:v>26.02373316844486</c:v>
                </c:pt>
                <c:pt idx="443">
                  <c:v>26.02373316844486</c:v>
                </c:pt>
                <c:pt idx="444">
                  <c:v>26.02373316844486</c:v>
                </c:pt>
                <c:pt idx="445">
                  <c:v>26.02373316844486</c:v>
                </c:pt>
                <c:pt idx="446">
                  <c:v>26.02373316844486</c:v>
                </c:pt>
                <c:pt idx="447">
                  <c:v>26.02373316844486</c:v>
                </c:pt>
                <c:pt idx="448">
                  <c:v>26.02373316844486</c:v>
                </c:pt>
                <c:pt idx="449">
                  <c:v>26.02373316844486</c:v>
                </c:pt>
                <c:pt idx="450">
                  <c:v>26.02373316844486</c:v>
                </c:pt>
                <c:pt idx="451">
                  <c:v>26.02373316844486</c:v>
                </c:pt>
                <c:pt idx="452">
                  <c:v>26.02373316844486</c:v>
                </c:pt>
                <c:pt idx="453">
                  <c:v>26.02373316844486</c:v>
                </c:pt>
                <c:pt idx="454">
                  <c:v>26.02373316844486</c:v>
                </c:pt>
                <c:pt idx="455">
                  <c:v>26.02373316844486</c:v>
                </c:pt>
                <c:pt idx="456">
                  <c:v>26.02373316844486</c:v>
                </c:pt>
                <c:pt idx="457">
                  <c:v>26.02373316844486</c:v>
                </c:pt>
                <c:pt idx="458">
                  <c:v>26.02373316844486</c:v>
                </c:pt>
                <c:pt idx="459">
                  <c:v>26.02373316844486</c:v>
                </c:pt>
                <c:pt idx="460">
                  <c:v>26.02373316844486</c:v>
                </c:pt>
                <c:pt idx="461">
                  <c:v>26.02373316844486</c:v>
                </c:pt>
                <c:pt idx="462">
                  <c:v>26.02373316844486</c:v>
                </c:pt>
                <c:pt idx="463">
                  <c:v>26.02373316844486</c:v>
                </c:pt>
                <c:pt idx="464">
                  <c:v>26.02373316844486</c:v>
                </c:pt>
                <c:pt idx="465">
                  <c:v>26.02373316844486</c:v>
                </c:pt>
                <c:pt idx="466">
                  <c:v>26.02373316844486</c:v>
                </c:pt>
                <c:pt idx="467">
                  <c:v>26.02373316844486</c:v>
                </c:pt>
                <c:pt idx="468">
                  <c:v>26.02373316844486</c:v>
                </c:pt>
                <c:pt idx="469">
                  <c:v>26.02373316844486</c:v>
                </c:pt>
                <c:pt idx="470">
                  <c:v>26.02373316844486</c:v>
                </c:pt>
                <c:pt idx="471">
                  <c:v>26.02373316844486</c:v>
                </c:pt>
                <c:pt idx="472">
                  <c:v>26.02373316844486</c:v>
                </c:pt>
                <c:pt idx="473">
                  <c:v>26.02373316844486</c:v>
                </c:pt>
                <c:pt idx="474">
                  <c:v>26.02373316844486</c:v>
                </c:pt>
                <c:pt idx="475">
                  <c:v>26.02373316844486</c:v>
                </c:pt>
                <c:pt idx="476">
                  <c:v>26.02373316844486</c:v>
                </c:pt>
                <c:pt idx="477">
                  <c:v>26.02373316844486</c:v>
                </c:pt>
                <c:pt idx="478">
                  <c:v>26.02373316844486</c:v>
                </c:pt>
                <c:pt idx="479">
                  <c:v>26.02373316844486</c:v>
                </c:pt>
                <c:pt idx="480">
                  <c:v>26.02373316844486</c:v>
                </c:pt>
                <c:pt idx="481">
                  <c:v>26.02373316844486</c:v>
                </c:pt>
                <c:pt idx="482">
                  <c:v>26.02373316844486</c:v>
                </c:pt>
                <c:pt idx="483">
                  <c:v>26.02373316844486</c:v>
                </c:pt>
                <c:pt idx="484">
                  <c:v>26.02373316844486</c:v>
                </c:pt>
                <c:pt idx="485">
                  <c:v>26.02373316844486</c:v>
                </c:pt>
                <c:pt idx="486">
                  <c:v>26.02373316844486</c:v>
                </c:pt>
                <c:pt idx="487">
                  <c:v>26.02373316844486</c:v>
                </c:pt>
                <c:pt idx="488">
                  <c:v>26.02373316844486</c:v>
                </c:pt>
                <c:pt idx="489">
                  <c:v>26.02373316844486</c:v>
                </c:pt>
                <c:pt idx="490">
                  <c:v>26.02373316844486</c:v>
                </c:pt>
                <c:pt idx="491">
                  <c:v>26.02373316844486</c:v>
                </c:pt>
                <c:pt idx="492">
                  <c:v>26.02373316844486</c:v>
                </c:pt>
                <c:pt idx="493">
                  <c:v>26.02373316844486</c:v>
                </c:pt>
                <c:pt idx="494">
                  <c:v>26.02373316844486</c:v>
                </c:pt>
                <c:pt idx="495">
                  <c:v>26.02373316844486</c:v>
                </c:pt>
                <c:pt idx="496">
                  <c:v>26.02373316844486</c:v>
                </c:pt>
                <c:pt idx="497">
                  <c:v>26.02373316844486</c:v>
                </c:pt>
                <c:pt idx="498">
                  <c:v>26.02373316844486</c:v>
                </c:pt>
                <c:pt idx="499">
                  <c:v>26.02373316844486</c:v>
                </c:pt>
                <c:pt idx="500">
                  <c:v>26.02373316844486</c:v>
                </c:pt>
                <c:pt idx="501">
                  <c:v>26.02373316844486</c:v>
                </c:pt>
                <c:pt idx="502">
                  <c:v>26.02373316844486</c:v>
                </c:pt>
                <c:pt idx="503">
                  <c:v>26.02373316844486</c:v>
                </c:pt>
                <c:pt idx="504">
                  <c:v>26.02373316844486</c:v>
                </c:pt>
                <c:pt idx="505">
                  <c:v>26.02373316844486</c:v>
                </c:pt>
                <c:pt idx="506">
                  <c:v>26.02373316844486</c:v>
                </c:pt>
                <c:pt idx="507">
                  <c:v>26.02373316844486</c:v>
                </c:pt>
                <c:pt idx="508">
                  <c:v>26.02373316844486</c:v>
                </c:pt>
                <c:pt idx="509">
                  <c:v>26.02373316844486</c:v>
                </c:pt>
                <c:pt idx="510">
                  <c:v>26.02373316844486</c:v>
                </c:pt>
                <c:pt idx="511">
                  <c:v>26.02373316844486</c:v>
                </c:pt>
                <c:pt idx="512">
                  <c:v>26.02373316844486</c:v>
                </c:pt>
                <c:pt idx="513">
                  <c:v>26.02373316844486</c:v>
                </c:pt>
                <c:pt idx="514">
                  <c:v>26.02373316844486</c:v>
                </c:pt>
                <c:pt idx="515">
                  <c:v>26.02373316844486</c:v>
                </c:pt>
                <c:pt idx="516">
                  <c:v>26.02373316844486</c:v>
                </c:pt>
                <c:pt idx="517">
                  <c:v>26.02373316844486</c:v>
                </c:pt>
                <c:pt idx="518">
                  <c:v>26.02373316844486</c:v>
                </c:pt>
                <c:pt idx="519">
                  <c:v>26.02373316844486</c:v>
                </c:pt>
                <c:pt idx="520">
                  <c:v>26.02373316844486</c:v>
                </c:pt>
                <c:pt idx="521">
                  <c:v>26.02373316844486</c:v>
                </c:pt>
                <c:pt idx="522">
                  <c:v>26.02373316844486</c:v>
                </c:pt>
                <c:pt idx="523">
                  <c:v>26.02373316844486</c:v>
                </c:pt>
                <c:pt idx="524">
                  <c:v>26.02373316844486</c:v>
                </c:pt>
                <c:pt idx="525">
                  <c:v>26.02373316844486</c:v>
                </c:pt>
                <c:pt idx="526">
                  <c:v>26.02373316844486</c:v>
                </c:pt>
                <c:pt idx="527">
                  <c:v>26.02373316844486</c:v>
                </c:pt>
                <c:pt idx="528">
                  <c:v>26.02373316844486</c:v>
                </c:pt>
                <c:pt idx="529">
                  <c:v>26.02373316844486</c:v>
                </c:pt>
                <c:pt idx="530">
                  <c:v>26.02373316844486</c:v>
                </c:pt>
                <c:pt idx="531">
                  <c:v>26.02373316844486</c:v>
                </c:pt>
                <c:pt idx="532">
                  <c:v>26.02373316844486</c:v>
                </c:pt>
                <c:pt idx="533">
                  <c:v>26.02373316844486</c:v>
                </c:pt>
                <c:pt idx="534">
                  <c:v>26.02373316844486</c:v>
                </c:pt>
                <c:pt idx="535">
                  <c:v>26.02373316844486</c:v>
                </c:pt>
                <c:pt idx="536">
                  <c:v>26.02373316844486</c:v>
                </c:pt>
                <c:pt idx="537">
                  <c:v>26.02373316844486</c:v>
                </c:pt>
                <c:pt idx="538">
                  <c:v>26.02373316844486</c:v>
                </c:pt>
                <c:pt idx="539">
                  <c:v>26.02373316844486</c:v>
                </c:pt>
                <c:pt idx="540">
                  <c:v>26.02373316844486</c:v>
                </c:pt>
                <c:pt idx="541">
                  <c:v>26.02373316844486</c:v>
                </c:pt>
                <c:pt idx="542">
                  <c:v>26.02373316844486</c:v>
                </c:pt>
                <c:pt idx="543">
                  <c:v>26.02373316844486</c:v>
                </c:pt>
                <c:pt idx="544">
                  <c:v>26.02373316844486</c:v>
                </c:pt>
                <c:pt idx="545">
                  <c:v>26.02373316844486</c:v>
                </c:pt>
                <c:pt idx="546">
                  <c:v>26.02373316844486</c:v>
                </c:pt>
                <c:pt idx="547">
                  <c:v>26.02373316844486</c:v>
                </c:pt>
                <c:pt idx="548">
                  <c:v>26.02373316844486</c:v>
                </c:pt>
                <c:pt idx="549">
                  <c:v>26.02373316844486</c:v>
                </c:pt>
                <c:pt idx="550">
                  <c:v>26.02373316844486</c:v>
                </c:pt>
                <c:pt idx="551">
                  <c:v>26.02373316844486</c:v>
                </c:pt>
                <c:pt idx="552">
                  <c:v>26.02373316844486</c:v>
                </c:pt>
                <c:pt idx="553">
                  <c:v>26.02373316844486</c:v>
                </c:pt>
                <c:pt idx="554">
                  <c:v>26.02373316844486</c:v>
                </c:pt>
                <c:pt idx="555">
                  <c:v>26.02373316844486</c:v>
                </c:pt>
                <c:pt idx="556">
                  <c:v>26.02373316844486</c:v>
                </c:pt>
                <c:pt idx="557">
                  <c:v>26.02373316844486</c:v>
                </c:pt>
                <c:pt idx="558">
                  <c:v>26.02373316844486</c:v>
                </c:pt>
                <c:pt idx="559">
                  <c:v>26.02373316844486</c:v>
                </c:pt>
                <c:pt idx="560">
                  <c:v>26.02373316844486</c:v>
                </c:pt>
                <c:pt idx="561">
                  <c:v>26.02373316844486</c:v>
                </c:pt>
                <c:pt idx="562">
                  <c:v>26.02373316844486</c:v>
                </c:pt>
                <c:pt idx="563">
                  <c:v>26.02373316844486</c:v>
                </c:pt>
                <c:pt idx="564">
                  <c:v>26.02373316844486</c:v>
                </c:pt>
                <c:pt idx="565">
                  <c:v>26.02373316844486</c:v>
                </c:pt>
                <c:pt idx="566">
                  <c:v>26.02373316844486</c:v>
                </c:pt>
                <c:pt idx="567">
                  <c:v>26.02373316844486</c:v>
                </c:pt>
                <c:pt idx="568">
                  <c:v>26.02373316844486</c:v>
                </c:pt>
                <c:pt idx="569">
                  <c:v>26.02373316844486</c:v>
                </c:pt>
                <c:pt idx="570">
                  <c:v>26.02373316844486</c:v>
                </c:pt>
                <c:pt idx="571">
                  <c:v>26.02373316844486</c:v>
                </c:pt>
                <c:pt idx="572">
                  <c:v>26.02373316844486</c:v>
                </c:pt>
                <c:pt idx="573">
                  <c:v>26.02373316844486</c:v>
                </c:pt>
                <c:pt idx="574">
                  <c:v>26.02373316844486</c:v>
                </c:pt>
                <c:pt idx="575">
                  <c:v>26.02373316844486</c:v>
                </c:pt>
                <c:pt idx="576">
                  <c:v>26.02373316844486</c:v>
                </c:pt>
                <c:pt idx="577">
                  <c:v>26.02373316844486</c:v>
                </c:pt>
                <c:pt idx="578">
                  <c:v>26.02373316844486</c:v>
                </c:pt>
                <c:pt idx="579">
                  <c:v>26.02373316844486</c:v>
                </c:pt>
                <c:pt idx="580">
                  <c:v>26.02373316844486</c:v>
                </c:pt>
                <c:pt idx="581">
                  <c:v>26.02373316844486</c:v>
                </c:pt>
                <c:pt idx="582">
                  <c:v>26.02373316844486</c:v>
                </c:pt>
                <c:pt idx="583">
                  <c:v>26.02373316844486</c:v>
                </c:pt>
                <c:pt idx="584">
                  <c:v>26.02373316844486</c:v>
                </c:pt>
                <c:pt idx="585">
                  <c:v>26.02373316844486</c:v>
                </c:pt>
                <c:pt idx="586">
                  <c:v>26.02373316844486</c:v>
                </c:pt>
                <c:pt idx="587">
                  <c:v>26.02373316844486</c:v>
                </c:pt>
                <c:pt idx="588">
                  <c:v>26.02373316844486</c:v>
                </c:pt>
                <c:pt idx="589">
                  <c:v>26.02373316844486</c:v>
                </c:pt>
                <c:pt idx="590">
                  <c:v>26.02373316844486</c:v>
                </c:pt>
                <c:pt idx="591">
                  <c:v>26.02373316844486</c:v>
                </c:pt>
                <c:pt idx="592">
                  <c:v>26.02373316844486</c:v>
                </c:pt>
                <c:pt idx="593">
                  <c:v>26.02373316844486</c:v>
                </c:pt>
                <c:pt idx="594">
                  <c:v>26.02373316844486</c:v>
                </c:pt>
                <c:pt idx="595">
                  <c:v>26.02373316844486</c:v>
                </c:pt>
                <c:pt idx="596">
                  <c:v>26.02373316844486</c:v>
                </c:pt>
                <c:pt idx="597">
                  <c:v>26.02373316844486</c:v>
                </c:pt>
                <c:pt idx="598">
                  <c:v>26.02373316844486</c:v>
                </c:pt>
                <c:pt idx="599">
                  <c:v>26.02373316844486</c:v>
                </c:pt>
                <c:pt idx="600">
                  <c:v>26.02373316844486</c:v>
                </c:pt>
                <c:pt idx="601">
                  <c:v>26.02373316844486</c:v>
                </c:pt>
                <c:pt idx="602">
                  <c:v>26.02373316844486</c:v>
                </c:pt>
                <c:pt idx="603">
                  <c:v>26.02373316844486</c:v>
                </c:pt>
                <c:pt idx="604">
                  <c:v>26.02373316844486</c:v>
                </c:pt>
                <c:pt idx="605">
                  <c:v>26.02373316844486</c:v>
                </c:pt>
                <c:pt idx="606">
                  <c:v>26.02373316844486</c:v>
                </c:pt>
                <c:pt idx="607">
                  <c:v>26.02373316844486</c:v>
                </c:pt>
                <c:pt idx="608">
                  <c:v>26.02373316844486</c:v>
                </c:pt>
                <c:pt idx="609">
                  <c:v>26.02373316844486</c:v>
                </c:pt>
                <c:pt idx="610">
                  <c:v>26.02373316844486</c:v>
                </c:pt>
                <c:pt idx="611">
                  <c:v>26.02373316844486</c:v>
                </c:pt>
                <c:pt idx="612">
                  <c:v>26.02373316844486</c:v>
                </c:pt>
                <c:pt idx="613">
                  <c:v>26.02373316844486</c:v>
                </c:pt>
                <c:pt idx="614">
                  <c:v>26.02373316844486</c:v>
                </c:pt>
                <c:pt idx="615">
                  <c:v>26.02373316844486</c:v>
                </c:pt>
                <c:pt idx="616">
                  <c:v>26.02373316844486</c:v>
                </c:pt>
                <c:pt idx="617">
                  <c:v>26.02373316844486</c:v>
                </c:pt>
                <c:pt idx="618">
                  <c:v>26.02373316844486</c:v>
                </c:pt>
                <c:pt idx="619">
                  <c:v>26.02373316844486</c:v>
                </c:pt>
                <c:pt idx="620">
                  <c:v>26.02373316844486</c:v>
                </c:pt>
                <c:pt idx="621">
                  <c:v>26.02373316844486</c:v>
                </c:pt>
                <c:pt idx="622">
                  <c:v>26.02373316844486</c:v>
                </c:pt>
                <c:pt idx="623">
                  <c:v>26.02373316844486</c:v>
                </c:pt>
                <c:pt idx="624">
                  <c:v>26.02373316844486</c:v>
                </c:pt>
                <c:pt idx="625">
                  <c:v>26.02373316844486</c:v>
                </c:pt>
                <c:pt idx="626">
                  <c:v>26.02373316844486</c:v>
                </c:pt>
                <c:pt idx="627">
                  <c:v>26.02373316844486</c:v>
                </c:pt>
                <c:pt idx="628">
                  <c:v>26.02373316844486</c:v>
                </c:pt>
                <c:pt idx="629">
                  <c:v>26.02373316844486</c:v>
                </c:pt>
                <c:pt idx="630">
                  <c:v>26.02373316844486</c:v>
                </c:pt>
                <c:pt idx="631">
                  <c:v>26.02373316844486</c:v>
                </c:pt>
                <c:pt idx="632">
                  <c:v>26.02373316844486</c:v>
                </c:pt>
                <c:pt idx="633">
                  <c:v>26.02373316844486</c:v>
                </c:pt>
                <c:pt idx="634">
                  <c:v>26.02373316844486</c:v>
                </c:pt>
                <c:pt idx="635">
                  <c:v>26.02373316844486</c:v>
                </c:pt>
                <c:pt idx="636">
                  <c:v>26.02373316844486</c:v>
                </c:pt>
                <c:pt idx="637">
                  <c:v>26.02373316844486</c:v>
                </c:pt>
                <c:pt idx="638">
                  <c:v>26.02373316844486</c:v>
                </c:pt>
                <c:pt idx="639">
                  <c:v>26.02373316844486</c:v>
                </c:pt>
                <c:pt idx="640">
                  <c:v>26.02373316844486</c:v>
                </c:pt>
                <c:pt idx="641">
                  <c:v>26.02373316844486</c:v>
                </c:pt>
                <c:pt idx="642">
                  <c:v>26.02373316844486</c:v>
                </c:pt>
                <c:pt idx="643">
                  <c:v>26.02373316844486</c:v>
                </c:pt>
                <c:pt idx="644">
                  <c:v>26.02373316844486</c:v>
                </c:pt>
                <c:pt idx="645">
                  <c:v>26.02373316844486</c:v>
                </c:pt>
                <c:pt idx="646">
                  <c:v>26.02373316844486</c:v>
                </c:pt>
                <c:pt idx="647">
                  <c:v>26.02373316844486</c:v>
                </c:pt>
                <c:pt idx="648">
                  <c:v>26.02373316844486</c:v>
                </c:pt>
                <c:pt idx="649">
                  <c:v>26.02373316844486</c:v>
                </c:pt>
                <c:pt idx="650">
                  <c:v>26.02373316844486</c:v>
                </c:pt>
                <c:pt idx="651">
                  <c:v>26.02373316844486</c:v>
                </c:pt>
                <c:pt idx="652">
                  <c:v>26.02373316844486</c:v>
                </c:pt>
                <c:pt idx="653">
                  <c:v>26.02373316844486</c:v>
                </c:pt>
                <c:pt idx="654">
                  <c:v>26.02373316844486</c:v>
                </c:pt>
                <c:pt idx="655">
                  <c:v>26.02373316844486</c:v>
                </c:pt>
                <c:pt idx="656">
                  <c:v>26.02373316844486</c:v>
                </c:pt>
                <c:pt idx="657">
                  <c:v>26.02373316844486</c:v>
                </c:pt>
                <c:pt idx="658">
                  <c:v>26.02373316844486</c:v>
                </c:pt>
                <c:pt idx="659">
                  <c:v>26.02373316844486</c:v>
                </c:pt>
                <c:pt idx="660">
                  <c:v>26.02373316844486</c:v>
                </c:pt>
                <c:pt idx="661">
                  <c:v>26.02373316844486</c:v>
                </c:pt>
                <c:pt idx="662">
                  <c:v>26.02373316844486</c:v>
                </c:pt>
                <c:pt idx="663">
                  <c:v>26.02373316844486</c:v>
                </c:pt>
                <c:pt idx="664">
                  <c:v>26.02373316844486</c:v>
                </c:pt>
                <c:pt idx="665">
                  <c:v>26.02373316844486</c:v>
                </c:pt>
                <c:pt idx="666">
                  <c:v>26.02373316844486</c:v>
                </c:pt>
                <c:pt idx="667">
                  <c:v>26.02373316844486</c:v>
                </c:pt>
                <c:pt idx="668">
                  <c:v>26.02373316844486</c:v>
                </c:pt>
                <c:pt idx="669">
                  <c:v>26.02373316844486</c:v>
                </c:pt>
                <c:pt idx="670">
                  <c:v>26.02373316844486</c:v>
                </c:pt>
                <c:pt idx="671">
                  <c:v>26.02373316844486</c:v>
                </c:pt>
                <c:pt idx="672">
                  <c:v>26.02373316844486</c:v>
                </c:pt>
                <c:pt idx="673">
                  <c:v>26.02373316844486</c:v>
                </c:pt>
                <c:pt idx="674">
                  <c:v>26.02373316844486</c:v>
                </c:pt>
                <c:pt idx="675">
                  <c:v>26.02373316844486</c:v>
                </c:pt>
                <c:pt idx="676">
                  <c:v>26.02373316844486</c:v>
                </c:pt>
                <c:pt idx="677">
                  <c:v>26.02373316844486</c:v>
                </c:pt>
                <c:pt idx="678">
                  <c:v>26.02373316844486</c:v>
                </c:pt>
                <c:pt idx="679">
                  <c:v>26.02373316844486</c:v>
                </c:pt>
                <c:pt idx="680">
                  <c:v>26.02373316844486</c:v>
                </c:pt>
                <c:pt idx="681">
                  <c:v>26.02373316844486</c:v>
                </c:pt>
                <c:pt idx="682">
                  <c:v>26.02373316844486</c:v>
                </c:pt>
                <c:pt idx="683">
                  <c:v>26.02373316844486</c:v>
                </c:pt>
                <c:pt idx="684">
                  <c:v>26.02373316844486</c:v>
                </c:pt>
                <c:pt idx="685">
                  <c:v>26.02373316844486</c:v>
                </c:pt>
                <c:pt idx="686">
                  <c:v>26.02373316844486</c:v>
                </c:pt>
                <c:pt idx="687">
                  <c:v>26.02373316844486</c:v>
                </c:pt>
                <c:pt idx="688">
                  <c:v>26.02373316844486</c:v>
                </c:pt>
                <c:pt idx="689">
                  <c:v>26.02373316844486</c:v>
                </c:pt>
                <c:pt idx="690">
                  <c:v>26.02373316844486</c:v>
                </c:pt>
                <c:pt idx="691">
                  <c:v>26.02373316844486</c:v>
                </c:pt>
                <c:pt idx="692">
                  <c:v>26.02373316844486</c:v>
                </c:pt>
                <c:pt idx="693">
                  <c:v>26.02373316844486</c:v>
                </c:pt>
                <c:pt idx="694">
                  <c:v>26.02373316844486</c:v>
                </c:pt>
                <c:pt idx="695">
                  <c:v>26.02373316844486</c:v>
                </c:pt>
                <c:pt idx="696">
                  <c:v>26.02373316844486</c:v>
                </c:pt>
                <c:pt idx="697">
                  <c:v>26.02373316844486</c:v>
                </c:pt>
                <c:pt idx="698">
                  <c:v>26.02373316844486</c:v>
                </c:pt>
                <c:pt idx="699">
                  <c:v>26.02373316844486</c:v>
                </c:pt>
                <c:pt idx="700">
                  <c:v>26.02373316844486</c:v>
                </c:pt>
                <c:pt idx="701">
                  <c:v>26.02373316844486</c:v>
                </c:pt>
                <c:pt idx="702">
                  <c:v>26.02373316844486</c:v>
                </c:pt>
                <c:pt idx="703">
                  <c:v>26.02373316844486</c:v>
                </c:pt>
                <c:pt idx="704">
                  <c:v>26.02373316844486</c:v>
                </c:pt>
                <c:pt idx="705">
                  <c:v>26.02373316844486</c:v>
                </c:pt>
                <c:pt idx="706">
                  <c:v>26.02373316844486</c:v>
                </c:pt>
                <c:pt idx="707">
                  <c:v>26.02373316844486</c:v>
                </c:pt>
                <c:pt idx="708">
                  <c:v>26.02373316844486</c:v>
                </c:pt>
                <c:pt idx="709">
                  <c:v>26.02373316844486</c:v>
                </c:pt>
                <c:pt idx="710">
                  <c:v>26.02373316844486</c:v>
                </c:pt>
                <c:pt idx="711">
                  <c:v>26.02373316844486</c:v>
                </c:pt>
                <c:pt idx="712">
                  <c:v>26.02373316844486</c:v>
                </c:pt>
                <c:pt idx="713">
                  <c:v>26.02373316844486</c:v>
                </c:pt>
                <c:pt idx="714">
                  <c:v>26.02373316844486</c:v>
                </c:pt>
                <c:pt idx="715">
                  <c:v>26.02373316844486</c:v>
                </c:pt>
                <c:pt idx="716">
                  <c:v>26.02373316844486</c:v>
                </c:pt>
                <c:pt idx="717">
                  <c:v>26.02373316844486</c:v>
                </c:pt>
                <c:pt idx="718">
                  <c:v>26.02373316844486</c:v>
                </c:pt>
                <c:pt idx="719">
                  <c:v>26.02373316844486</c:v>
                </c:pt>
                <c:pt idx="720">
                  <c:v>26.02373316844486</c:v>
                </c:pt>
                <c:pt idx="721">
                  <c:v>26.02373316844486</c:v>
                </c:pt>
                <c:pt idx="722">
                  <c:v>26.02373316844486</c:v>
                </c:pt>
                <c:pt idx="723">
                  <c:v>26.02373316844486</c:v>
                </c:pt>
                <c:pt idx="724">
                  <c:v>26.02373316844486</c:v>
                </c:pt>
                <c:pt idx="725">
                  <c:v>26.02373316844486</c:v>
                </c:pt>
                <c:pt idx="726">
                  <c:v>26.02373316844486</c:v>
                </c:pt>
                <c:pt idx="727">
                  <c:v>26.02373316844486</c:v>
                </c:pt>
                <c:pt idx="728">
                  <c:v>26.02373316844486</c:v>
                </c:pt>
                <c:pt idx="729">
                  <c:v>26.02373316844486</c:v>
                </c:pt>
                <c:pt idx="730">
                  <c:v>26.02373316844486</c:v>
                </c:pt>
                <c:pt idx="731">
                  <c:v>26.02373316844486</c:v>
                </c:pt>
                <c:pt idx="732">
                  <c:v>26.02373316844486</c:v>
                </c:pt>
                <c:pt idx="733">
                  <c:v>26.02373316844486</c:v>
                </c:pt>
                <c:pt idx="734">
                  <c:v>26.02373316844486</c:v>
                </c:pt>
                <c:pt idx="735">
                  <c:v>26.02373316844486</c:v>
                </c:pt>
                <c:pt idx="736">
                  <c:v>26.02373316844486</c:v>
                </c:pt>
                <c:pt idx="737">
                  <c:v>26.02373316844486</c:v>
                </c:pt>
                <c:pt idx="738">
                  <c:v>26.02373316844486</c:v>
                </c:pt>
                <c:pt idx="739">
                  <c:v>26.02373316844486</c:v>
                </c:pt>
                <c:pt idx="740">
                  <c:v>26.02373316844486</c:v>
                </c:pt>
                <c:pt idx="741">
                  <c:v>26.02373316844486</c:v>
                </c:pt>
                <c:pt idx="742">
                  <c:v>26.02373316844486</c:v>
                </c:pt>
                <c:pt idx="743">
                  <c:v>26.02373316844486</c:v>
                </c:pt>
                <c:pt idx="744">
                  <c:v>26.02373316844486</c:v>
                </c:pt>
                <c:pt idx="745">
                  <c:v>26.02373316844486</c:v>
                </c:pt>
                <c:pt idx="746">
                  <c:v>26.02373316844486</c:v>
                </c:pt>
                <c:pt idx="747">
                  <c:v>26.02373316844486</c:v>
                </c:pt>
                <c:pt idx="748">
                  <c:v>26.02373316844486</c:v>
                </c:pt>
                <c:pt idx="749">
                  <c:v>26.02373316844486</c:v>
                </c:pt>
                <c:pt idx="750">
                  <c:v>26.02373316844486</c:v>
                </c:pt>
                <c:pt idx="751">
                  <c:v>26.02373316844486</c:v>
                </c:pt>
                <c:pt idx="752">
                  <c:v>26.02373316844486</c:v>
                </c:pt>
                <c:pt idx="753">
                  <c:v>26.02373316844486</c:v>
                </c:pt>
                <c:pt idx="754">
                  <c:v>26.02373316844486</c:v>
                </c:pt>
                <c:pt idx="755">
                  <c:v>26.02373316844486</c:v>
                </c:pt>
                <c:pt idx="756">
                  <c:v>26.02373316844486</c:v>
                </c:pt>
                <c:pt idx="757">
                  <c:v>26.02373316844486</c:v>
                </c:pt>
                <c:pt idx="758">
                  <c:v>26.02373316844486</c:v>
                </c:pt>
                <c:pt idx="759">
                  <c:v>26.02373316844486</c:v>
                </c:pt>
                <c:pt idx="760">
                  <c:v>26.02373316844486</c:v>
                </c:pt>
                <c:pt idx="761">
                  <c:v>26.02373316844486</c:v>
                </c:pt>
                <c:pt idx="762">
                  <c:v>26.02373316844486</c:v>
                </c:pt>
                <c:pt idx="763">
                  <c:v>26.02373316844486</c:v>
                </c:pt>
                <c:pt idx="764">
                  <c:v>26.02373316844486</c:v>
                </c:pt>
                <c:pt idx="765">
                  <c:v>26.02373316844486</c:v>
                </c:pt>
                <c:pt idx="766">
                  <c:v>26.02373316844486</c:v>
                </c:pt>
                <c:pt idx="767">
                  <c:v>26.02373316844486</c:v>
                </c:pt>
                <c:pt idx="768">
                  <c:v>26.02373316844486</c:v>
                </c:pt>
                <c:pt idx="769">
                  <c:v>26.02373316844486</c:v>
                </c:pt>
                <c:pt idx="770">
                  <c:v>26.02373316844486</c:v>
                </c:pt>
                <c:pt idx="771">
                  <c:v>26.02373316844486</c:v>
                </c:pt>
                <c:pt idx="772">
                  <c:v>26.02373316844486</c:v>
                </c:pt>
                <c:pt idx="773">
                  <c:v>26.02373316844486</c:v>
                </c:pt>
                <c:pt idx="774">
                  <c:v>26.02373316844486</c:v>
                </c:pt>
                <c:pt idx="775">
                  <c:v>26.02373316844486</c:v>
                </c:pt>
                <c:pt idx="776">
                  <c:v>26.02373316844486</c:v>
                </c:pt>
                <c:pt idx="777">
                  <c:v>26.02373316844486</c:v>
                </c:pt>
                <c:pt idx="778">
                  <c:v>26.02373316844486</c:v>
                </c:pt>
                <c:pt idx="779">
                  <c:v>26.02373316844486</c:v>
                </c:pt>
                <c:pt idx="780">
                  <c:v>26.02373316844486</c:v>
                </c:pt>
                <c:pt idx="781">
                  <c:v>26.02373316844486</c:v>
                </c:pt>
                <c:pt idx="782">
                  <c:v>26.02373316844486</c:v>
                </c:pt>
                <c:pt idx="783">
                  <c:v>26.02373316844486</c:v>
                </c:pt>
                <c:pt idx="784">
                  <c:v>26.02373316844486</c:v>
                </c:pt>
                <c:pt idx="785">
                  <c:v>26.02373316844486</c:v>
                </c:pt>
                <c:pt idx="786">
                  <c:v>26.02373316844486</c:v>
                </c:pt>
                <c:pt idx="787">
                  <c:v>26.02373316844486</c:v>
                </c:pt>
                <c:pt idx="788">
                  <c:v>26.02373316844486</c:v>
                </c:pt>
                <c:pt idx="789">
                  <c:v>26.02373316844486</c:v>
                </c:pt>
                <c:pt idx="790">
                  <c:v>26.02373316844486</c:v>
                </c:pt>
                <c:pt idx="791">
                  <c:v>26.02373316844486</c:v>
                </c:pt>
                <c:pt idx="792">
                  <c:v>26.02373316844486</c:v>
                </c:pt>
                <c:pt idx="793">
                  <c:v>26.02373316844486</c:v>
                </c:pt>
                <c:pt idx="794">
                  <c:v>26.02373316844486</c:v>
                </c:pt>
                <c:pt idx="795">
                  <c:v>26.02373316844486</c:v>
                </c:pt>
                <c:pt idx="796">
                  <c:v>26.02373316844486</c:v>
                </c:pt>
                <c:pt idx="797">
                  <c:v>26.02373316844486</c:v>
                </c:pt>
                <c:pt idx="798">
                  <c:v>26.02373316844486</c:v>
                </c:pt>
                <c:pt idx="799">
                  <c:v>26.02373316844486</c:v>
                </c:pt>
                <c:pt idx="800">
                  <c:v>26.02373316844486</c:v>
                </c:pt>
                <c:pt idx="801">
                  <c:v>26.02373316844486</c:v>
                </c:pt>
                <c:pt idx="802">
                  <c:v>26.02373316844486</c:v>
                </c:pt>
                <c:pt idx="803">
                  <c:v>26.02373316844486</c:v>
                </c:pt>
                <c:pt idx="804">
                  <c:v>26.02373316844486</c:v>
                </c:pt>
                <c:pt idx="805">
                  <c:v>26.02373316844486</c:v>
                </c:pt>
                <c:pt idx="806">
                  <c:v>26.02373316844486</c:v>
                </c:pt>
                <c:pt idx="807">
                  <c:v>26.02373316844486</c:v>
                </c:pt>
                <c:pt idx="808">
                  <c:v>26.02373316844486</c:v>
                </c:pt>
                <c:pt idx="809">
                  <c:v>26.02373316844486</c:v>
                </c:pt>
                <c:pt idx="810">
                  <c:v>26.02373316844486</c:v>
                </c:pt>
                <c:pt idx="811">
                  <c:v>26.02373316844486</c:v>
                </c:pt>
                <c:pt idx="812">
                  <c:v>26.02373316844486</c:v>
                </c:pt>
                <c:pt idx="813">
                  <c:v>26.02373316844486</c:v>
                </c:pt>
                <c:pt idx="814">
                  <c:v>26.02373316844486</c:v>
                </c:pt>
                <c:pt idx="815">
                  <c:v>26.02373316844486</c:v>
                </c:pt>
                <c:pt idx="816">
                  <c:v>26.02373316844486</c:v>
                </c:pt>
                <c:pt idx="817">
                  <c:v>26.02373316844486</c:v>
                </c:pt>
                <c:pt idx="818">
                  <c:v>26.02373316844486</c:v>
                </c:pt>
                <c:pt idx="819">
                  <c:v>26.02373316844486</c:v>
                </c:pt>
                <c:pt idx="820">
                  <c:v>26.02373316844486</c:v>
                </c:pt>
                <c:pt idx="821">
                  <c:v>26.02373316844486</c:v>
                </c:pt>
                <c:pt idx="822">
                  <c:v>26.02373316844486</c:v>
                </c:pt>
                <c:pt idx="823">
                  <c:v>26.02373316844486</c:v>
                </c:pt>
                <c:pt idx="824">
                  <c:v>26.02373316844486</c:v>
                </c:pt>
                <c:pt idx="825">
                  <c:v>26.02373316844486</c:v>
                </c:pt>
                <c:pt idx="826">
                  <c:v>26.02373316844486</c:v>
                </c:pt>
                <c:pt idx="827">
                  <c:v>26.02373316844486</c:v>
                </c:pt>
                <c:pt idx="828">
                  <c:v>26.02373316844486</c:v>
                </c:pt>
                <c:pt idx="829">
                  <c:v>26.02373316844486</c:v>
                </c:pt>
                <c:pt idx="830">
                  <c:v>26.02373316844486</c:v>
                </c:pt>
                <c:pt idx="831">
                  <c:v>26.02373316844486</c:v>
                </c:pt>
                <c:pt idx="832">
                  <c:v>26.02373316844486</c:v>
                </c:pt>
                <c:pt idx="833">
                  <c:v>26.02373316844486</c:v>
                </c:pt>
                <c:pt idx="834">
                  <c:v>26.02373316844486</c:v>
                </c:pt>
                <c:pt idx="835">
                  <c:v>26.02373316844486</c:v>
                </c:pt>
                <c:pt idx="836">
                  <c:v>26.02373316844486</c:v>
                </c:pt>
                <c:pt idx="837">
                  <c:v>26.02373316844486</c:v>
                </c:pt>
                <c:pt idx="838">
                  <c:v>26.02373316844486</c:v>
                </c:pt>
                <c:pt idx="839">
                  <c:v>26.02373316844486</c:v>
                </c:pt>
                <c:pt idx="840">
                  <c:v>26.02373316844486</c:v>
                </c:pt>
                <c:pt idx="841">
                  <c:v>26.02373316844486</c:v>
                </c:pt>
                <c:pt idx="842">
                  <c:v>26.02373316844486</c:v>
                </c:pt>
                <c:pt idx="843">
                  <c:v>26.02373316844486</c:v>
                </c:pt>
                <c:pt idx="844">
                  <c:v>26.02373316844486</c:v>
                </c:pt>
                <c:pt idx="845">
                  <c:v>26.02373316844486</c:v>
                </c:pt>
                <c:pt idx="846">
                  <c:v>26.02373316844486</c:v>
                </c:pt>
                <c:pt idx="847">
                  <c:v>26.02373316844486</c:v>
                </c:pt>
                <c:pt idx="848">
                  <c:v>26.02373316844486</c:v>
                </c:pt>
                <c:pt idx="849">
                  <c:v>26.02373316844486</c:v>
                </c:pt>
                <c:pt idx="850">
                  <c:v>26.02373316844486</c:v>
                </c:pt>
                <c:pt idx="851">
                  <c:v>26.02373316844486</c:v>
                </c:pt>
                <c:pt idx="852">
                  <c:v>26.02373316844486</c:v>
                </c:pt>
                <c:pt idx="853">
                  <c:v>26.02373316844486</c:v>
                </c:pt>
                <c:pt idx="854">
                  <c:v>26.02373316844486</c:v>
                </c:pt>
                <c:pt idx="855">
                  <c:v>26.02373316844486</c:v>
                </c:pt>
                <c:pt idx="856">
                  <c:v>26.02373316844486</c:v>
                </c:pt>
                <c:pt idx="857">
                  <c:v>26.02373316844486</c:v>
                </c:pt>
                <c:pt idx="858">
                  <c:v>26.02373316844486</c:v>
                </c:pt>
                <c:pt idx="859">
                  <c:v>26.02373316844486</c:v>
                </c:pt>
                <c:pt idx="860">
                  <c:v>26.02373316844486</c:v>
                </c:pt>
                <c:pt idx="861">
                  <c:v>26.02373316844486</c:v>
                </c:pt>
                <c:pt idx="862">
                  <c:v>26.02373316844486</c:v>
                </c:pt>
                <c:pt idx="863">
                  <c:v>26.02373316844486</c:v>
                </c:pt>
                <c:pt idx="864">
                  <c:v>26.02373316844486</c:v>
                </c:pt>
                <c:pt idx="865">
                  <c:v>26.02373316844486</c:v>
                </c:pt>
                <c:pt idx="866">
                  <c:v>26.02373316844486</c:v>
                </c:pt>
                <c:pt idx="867">
                  <c:v>26.02373316844486</c:v>
                </c:pt>
                <c:pt idx="868">
                  <c:v>26.02373316844486</c:v>
                </c:pt>
                <c:pt idx="869">
                  <c:v>26.02373316844486</c:v>
                </c:pt>
                <c:pt idx="870">
                  <c:v>26.02373316844486</c:v>
                </c:pt>
                <c:pt idx="871">
                  <c:v>26.02373316844486</c:v>
                </c:pt>
                <c:pt idx="872">
                  <c:v>26.02373316844486</c:v>
                </c:pt>
                <c:pt idx="873">
                  <c:v>26.02373316844486</c:v>
                </c:pt>
                <c:pt idx="874">
                  <c:v>26.02373316844486</c:v>
                </c:pt>
                <c:pt idx="875">
                  <c:v>26.02373316844486</c:v>
                </c:pt>
                <c:pt idx="876">
                  <c:v>26.02373316844486</c:v>
                </c:pt>
                <c:pt idx="877">
                  <c:v>26.02373316844486</c:v>
                </c:pt>
                <c:pt idx="878">
                  <c:v>26.02373316844486</c:v>
                </c:pt>
                <c:pt idx="879">
                  <c:v>26.02373316844486</c:v>
                </c:pt>
                <c:pt idx="880">
                  <c:v>26.02373316844486</c:v>
                </c:pt>
                <c:pt idx="881">
                  <c:v>26.02373316844486</c:v>
                </c:pt>
                <c:pt idx="882">
                  <c:v>26.02373316844486</c:v>
                </c:pt>
                <c:pt idx="883">
                  <c:v>26.02373316844486</c:v>
                </c:pt>
                <c:pt idx="884">
                  <c:v>26.02373316844486</c:v>
                </c:pt>
                <c:pt idx="885">
                  <c:v>26.02373316844486</c:v>
                </c:pt>
                <c:pt idx="886">
                  <c:v>26.02373316844486</c:v>
                </c:pt>
                <c:pt idx="887">
                  <c:v>26.02373316844486</c:v>
                </c:pt>
                <c:pt idx="888">
                  <c:v>26.02373316844486</c:v>
                </c:pt>
                <c:pt idx="889">
                  <c:v>26.02373316844486</c:v>
                </c:pt>
                <c:pt idx="890">
                  <c:v>26.02373316844486</c:v>
                </c:pt>
                <c:pt idx="891">
                  <c:v>26.02373316844486</c:v>
                </c:pt>
                <c:pt idx="892">
                  <c:v>26.02373316844486</c:v>
                </c:pt>
                <c:pt idx="893">
                  <c:v>26.02373316844486</c:v>
                </c:pt>
                <c:pt idx="894">
                  <c:v>26.02373316844486</c:v>
                </c:pt>
                <c:pt idx="895">
                  <c:v>26.02373316844486</c:v>
                </c:pt>
                <c:pt idx="896">
                  <c:v>26.02373316844486</c:v>
                </c:pt>
                <c:pt idx="897">
                  <c:v>26.02373316844486</c:v>
                </c:pt>
                <c:pt idx="898">
                  <c:v>26.02373316844486</c:v>
                </c:pt>
                <c:pt idx="899">
                  <c:v>26.02373316844486</c:v>
                </c:pt>
                <c:pt idx="900">
                  <c:v>26.02373316844486</c:v>
                </c:pt>
                <c:pt idx="901">
                  <c:v>26.02373316844486</c:v>
                </c:pt>
                <c:pt idx="902">
                  <c:v>26.02373316844486</c:v>
                </c:pt>
                <c:pt idx="903">
                  <c:v>26.02373316844486</c:v>
                </c:pt>
                <c:pt idx="904">
                  <c:v>26.02373316844486</c:v>
                </c:pt>
                <c:pt idx="905">
                  <c:v>26.02373316844486</c:v>
                </c:pt>
                <c:pt idx="906">
                  <c:v>26.02373316844486</c:v>
                </c:pt>
                <c:pt idx="907">
                  <c:v>26.02373316844486</c:v>
                </c:pt>
                <c:pt idx="908">
                  <c:v>26.02373316844486</c:v>
                </c:pt>
                <c:pt idx="909">
                  <c:v>26.02373316844486</c:v>
                </c:pt>
                <c:pt idx="910">
                  <c:v>26.02373316844486</c:v>
                </c:pt>
                <c:pt idx="911">
                  <c:v>26.02373316844486</c:v>
                </c:pt>
                <c:pt idx="912">
                  <c:v>26.02373316844486</c:v>
                </c:pt>
                <c:pt idx="913">
                  <c:v>26.02373316844486</c:v>
                </c:pt>
                <c:pt idx="914">
                  <c:v>26.02373316844486</c:v>
                </c:pt>
                <c:pt idx="915">
                  <c:v>26.02373316844486</c:v>
                </c:pt>
                <c:pt idx="916">
                  <c:v>26.02373316844486</c:v>
                </c:pt>
                <c:pt idx="917">
                  <c:v>26.02373316844486</c:v>
                </c:pt>
                <c:pt idx="918">
                  <c:v>26.02373316844486</c:v>
                </c:pt>
                <c:pt idx="919">
                  <c:v>26.02373316844486</c:v>
                </c:pt>
                <c:pt idx="920">
                  <c:v>26.02373316844486</c:v>
                </c:pt>
                <c:pt idx="921">
                  <c:v>26.02373316844486</c:v>
                </c:pt>
                <c:pt idx="922">
                  <c:v>26.02373316844486</c:v>
                </c:pt>
                <c:pt idx="923">
                  <c:v>26.02373316844486</c:v>
                </c:pt>
                <c:pt idx="924">
                  <c:v>26.02373316844486</c:v>
                </c:pt>
                <c:pt idx="925">
                  <c:v>26.02373316844486</c:v>
                </c:pt>
                <c:pt idx="926">
                  <c:v>26.02373316844486</c:v>
                </c:pt>
                <c:pt idx="927">
                  <c:v>26.02373316844486</c:v>
                </c:pt>
                <c:pt idx="928">
                  <c:v>26.02373316844486</c:v>
                </c:pt>
                <c:pt idx="929">
                  <c:v>26.02373316844486</c:v>
                </c:pt>
                <c:pt idx="930">
                  <c:v>26.02373316844486</c:v>
                </c:pt>
                <c:pt idx="931">
                  <c:v>26.02373316844486</c:v>
                </c:pt>
                <c:pt idx="932">
                  <c:v>26.02373316844486</c:v>
                </c:pt>
                <c:pt idx="933">
                  <c:v>26.02373316844486</c:v>
                </c:pt>
                <c:pt idx="934">
                  <c:v>26.02373316844486</c:v>
                </c:pt>
                <c:pt idx="935">
                  <c:v>26.02373316844486</c:v>
                </c:pt>
                <c:pt idx="936">
                  <c:v>26.02373316844486</c:v>
                </c:pt>
                <c:pt idx="937">
                  <c:v>26.02373316844486</c:v>
                </c:pt>
                <c:pt idx="938">
                  <c:v>26.02373316844486</c:v>
                </c:pt>
                <c:pt idx="939">
                  <c:v>26.02373316844486</c:v>
                </c:pt>
                <c:pt idx="940">
                  <c:v>26.02373316844486</c:v>
                </c:pt>
                <c:pt idx="941">
                  <c:v>26.02373316844486</c:v>
                </c:pt>
                <c:pt idx="942">
                  <c:v>26.02373316844486</c:v>
                </c:pt>
                <c:pt idx="943">
                  <c:v>26.02373316844486</c:v>
                </c:pt>
                <c:pt idx="944">
                  <c:v>26.02373316844486</c:v>
                </c:pt>
                <c:pt idx="945">
                  <c:v>26.02373316844486</c:v>
                </c:pt>
                <c:pt idx="946">
                  <c:v>26.02373316844486</c:v>
                </c:pt>
                <c:pt idx="947">
                  <c:v>26.02373316844486</c:v>
                </c:pt>
                <c:pt idx="948">
                  <c:v>26.02373316844486</c:v>
                </c:pt>
                <c:pt idx="949">
                  <c:v>26.02373316844486</c:v>
                </c:pt>
                <c:pt idx="950">
                  <c:v>26.02373316844486</c:v>
                </c:pt>
                <c:pt idx="951">
                  <c:v>26.02373316844486</c:v>
                </c:pt>
                <c:pt idx="952">
                  <c:v>26.02373316844486</c:v>
                </c:pt>
                <c:pt idx="953">
                  <c:v>26.02373316844486</c:v>
                </c:pt>
                <c:pt idx="954">
                  <c:v>26.02373316844486</c:v>
                </c:pt>
                <c:pt idx="955">
                  <c:v>26.02373316844486</c:v>
                </c:pt>
                <c:pt idx="956">
                  <c:v>26.02373316844486</c:v>
                </c:pt>
                <c:pt idx="957">
                  <c:v>26.02373316844486</c:v>
                </c:pt>
                <c:pt idx="958">
                  <c:v>26.02373316844486</c:v>
                </c:pt>
                <c:pt idx="959">
                  <c:v>26.02373316844486</c:v>
                </c:pt>
                <c:pt idx="960">
                  <c:v>26.02373316844486</c:v>
                </c:pt>
                <c:pt idx="961">
                  <c:v>26.02373316844486</c:v>
                </c:pt>
                <c:pt idx="962">
                  <c:v>26.02373316844486</c:v>
                </c:pt>
                <c:pt idx="963">
                  <c:v>26.02373316844486</c:v>
                </c:pt>
                <c:pt idx="964">
                  <c:v>26.02373316844486</c:v>
                </c:pt>
                <c:pt idx="965">
                  <c:v>26.02373316844486</c:v>
                </c:pt>
                <c:pt idx="966">
                  <c:v>26.02373316844486</c:v>
                </c:pt>
                <c:pt idx="967">
                  <c:v>26.02373316844486</c:v>
                </c:pt>
                <c:pt idx="968">
                  <c:v>26.02373316844486</c:v>
                </c:pt>
                <c:pt idx="969">
                  <c:v>26.02373316844486</c:v>
                </c:pt>
                <c:pt idx="970">
                  <c:v>26.02373316844486</c:v>
                </c:pt>
                <c:pt idx="971">
                  <c:v>26.02373316844486</c:v>
                </c:pt>
                <c:pt idx="972">
                  <c:v>26.02373316844486</c:v>
                </c:pt>
                <c:pt idx="973">
                  <c:v>26.02373316844486</c:v>
                </c:pt>
                <c:pt idx="974">
                  <c:v>26.02373316844486</c:v>
                </c:pt>
                <c:pt idx="975">
                  <c:v>26.02373316844486</c:v>
                </c:pt>
                <c:pt idx="976">
                  <c:v>26.02373316844486</c:v>
                </c:pt>
                <c:pt idx="977">
                  <c:v>26.02373316844486</c:v>
                </c:pt>
                <c:pt idx="978">
                  <c:v>26.02373316844486</c:v>
                </c:pt>
                <c:pt idx="979">
                  <c:v>26.02373316844486</c:v>
                </c:pt>
                <c:pt idx="980">
                  <c:v>26.02373316844486</c:v>
                </c:pt>
                <c:pt idx="981">
                  <c:v>26.02373316844486</c:v>
                </c:pt>
                <c:pt idx="982">
                  <c:v>26.02373316844486</c:v>
                </c:pt>
                <c:pt idx="983">
                  <c:v>26.02373316844486</c:v>
                </c:pt>
                <c:pt idx="984">
                  <c:v>26.02373316844486</c:v>
                </c:pt>
                <c:pt idx="985">
                  <c:v>26.02373316844486</c:v>
                </c:pt>
                <c:pt idx="986">
                  <c:v>26.02373316844486</c:v>
                </c:pt>
                <c:pt idx="987">
                  <c:v>26.02373316844486</c:v>
                </c:pt>
                <c:pt idx="988">
                  <c:v>26.02373316844486</c:v>
                </c:pt>
                <c:pt idx="989">
                  <c:v>26.02373316844486</c:v>
                </c:pt>
                <c:pt idx="990">
                  <c:v>26.02373316844486</c:v>
                </c:pt>
                <c:pt idx="991">
                  <c:v>26.02373316844486</c:v>
                </c:pt>
                <c:pt idx="992">
                  <c:v>26.02373316844486</c:v>
                </c:pt>
                <c:pt idx="993">
                  <c:v>26.02373316844486</c:v>
                </c:pt>
                <c:pt idx="994">
                  <c:v>26.02373316844486</c:v>
                </c:pt>
                <c:pt idx="995">
                  <c:v>26.02373316844486</c:v>
                </c:pt>
                <c:pt idx="996">
                  <c:v>26.02373316844486</c:v>
                </c:pt>
                <c:pt idx="997">
                  <c:v>26.02373316844486</c:v>
                </c:pt>
                <c:pt idx="998">
                  <c:v>26.02373316844486</c:v>
                </c:pt>
                <c:pt idx="999">
                  <c:v>26.02373316844486</c:v>
                </c:pt>
                <c:pt idx="1000">
                  <c:v>26.02373316844486</c:v>
                </c:pt>
                <c:pt idx="1001">
                  <c:v>26.02373316844486</c:v>
                </c:pt>
                <c:pt idx="1002">
                  <c:v>26.02373316844486</c:v>
                </c:pt>
              </c:numCache>
            </c:numRef>
          </c:val>
          <c:smooth val="0"/>
          <c:extLst>
            <c:ext xmlns:c16="http://schemas.microsoft.com/office/drawing/2014/chart" uri="{C3380CC4-5D6E-409C-BE32-E72D297353CC}">
              <c16:uniqueId val="{00000001-1830-48A6-A779-4C0B64650E3D}"/>
            </c:ext>
          </c:extLst>
        </c:ser>
        <c:ser>
          <c:idx val="2"/>
          <c:order val="2"/>
          <c:tx>
            <c:strRef>
              <c:f>Summary!$AH$100</c:f>
              <c:strCache>
                <c:ptCount val="1"/>
                <c:pt idx="0">
                  <c:v>Direct Marketing Mean</c:v>
                </c:pt>
              </c:strCache>
            </c:strRef>
          </c:tx>
          <c:spPr>
            <a:ln w="12700">
              <a:solidFill>
                <a:srgbClr val="333333"/>
              </a:solidFill>
              <a:prstDash val="solid"/>
            </a:ln>
          </c:spPr>
          <c:marker>
            <c:symbol val="none"/>
          </c:marker>
          <c:cat>
            <c:numRef>
              <c:f>Summary!$AB$101:$AB$5006</c:f>
              <c:numCache>
                <c:formatCode>m/d/yyyy</c:formatCode>
                <c:ptCount val="4906"/>
                <c:pt idx="0">
                  <c:v>35433</c:v>
                </c:pt>
                <c:pt idx="1">
                  <c:v>35440</c:v>
                </c:pt>
                <c:pt idx="2">
                  <c:v>35447</c:v>
                </c:pt>
                <c:pt idx="3">
                  <c:v>35454</c:v>
                </c:pt>
                <c:pt idx="4">
                  <c:v>35461</c:v>
                </c:pt>
                <c:pt idx="5">
                  <c:v>35468</c:v>
                </c:pt>
                <c:pt idx="6">
                  <c:v>35475</c:v>
                </c:pt>
                <c:pt idx="7">
                  <c:v>35482</c:v>
                </c:pt>
                <c:pt idx="8">
                  <c:v>35489</c:v>
                </c:pt>
                <c:pt idx="9">
                  <c:v>35496</c:v>
                </c:pt>
                <c:pt idx="10">
                  <c:v>35503</c:v>
                </c:pt>
                <c:pt idx="11">
                  <c:v>35510</c:v>
                </c:pt>
                <c:pt idx="12">
                  <c:v>35517</c:v>
                </c:pt>
                <c:pt idx="13">
                  <c:v>35524</c:v>
                </c:pt>
                <c:pt idx="14">
                  <c:v>35531</c:v>
                </c:pt>
                <c:pt idx="15">
                  <c:v>35538</c:v>
                </c:pt>
                <c:pt idx="16">
                  <c:v>35545</c:v>
                </c:pt>
                <c:pt idx="17">
                  <c:v>35552</c:v>
                </c:pt>
                <c:pt idx="18">
                  <c:v>35559</c:v>
                </c:pt>
                <c:pt idx="19">
                  <c:v>35566</c:v>
                </c:pt>
                <c:pt idx="20">
                  <c:v>35573</c:v>
                </c:pt>
                <c:pt idx="21">
                  <c:v>35580</c:v>
                </c:pt>
                <c:pt idx="22">
                  <c:v>35587</c:v>
                </c:pt>
                <c:pt idx="23">
                  <c:v>35594</c:v>
                </c:pt>
                <c:pt idx="24">
                  <c:v>35601</c:v>
                </c:pt>
                <c:pt idx="25">
                  <c:v>35608</c:v>
                </c:pt>
                <c:pt idx="26">
                  <c:v>35615</c:v>
                </c:pt>
                <c:pt idx="27">
                  <c:v>35622</c:v>
                </c:pt>
                <c:pt idx="28">
                  <c:v>35629</c:v>
                </c:pt>
                <c:pt idx="29">
                  <c:v>35636</c:v>
                </c:pt>
                <c:pt idx="30">
                  <c:v>35643</c:v>
                </c:pt>
                <c:pt idx="31">
                  <c:v>35650</c:v>
                </c:pt>
                <c:pt idx="32">
                  <c:v>35657</c:v>
                </c:pt>
                <c:pt idx="33">
                  <c:v>35664</c:v>
                </c:pt>
                <c:pt idx="34">
                  <c:v>35671</c:v>
                </c:pt>
                <c:pt idx="35">
                  <c:v>35678</c:v>
                </c:pt>
                <c:pt idx="36">
                  <c:v>35685</c:v>
                </c:pt>
                <c:pt idx="37">
                  <c:v>35692</c:v>
                </c:pt>
                <c:pt idx="38">
                  <c:v>35699</c:v>
                </c:pt>
                <c:pt idx="39">
                  <c:v>35706</c:v>
                </c:pt>
                <c:pt idx="40">
                  <c:v>35713</c:v>
                </c:pt>
                <c:pt idx="41">
                  <c:v>35720</c:v>
                </c:pt>
                <c:pt idx="42">
                  <c:v>35727</c:v>
                </c:pt>
                <c:pt idx="43">
                  <c:v>35734</c:v>
                </c:pt>
                <c:pt idx="44">
                  <c:v>35741</c:v>
                </c:pt>
                <c:pt idx="45">
                  <c:v>35748</c:v>
                </c:pt>
                <c:pt idx="46">
                  <c:v>35755</c:v>
                </c:pt>
                <c:pt idx="47">
                  <c:v>35762</c:v>
                </c:pt>
                <c:pt idx="48">
                  <c:v>35769</c:v>
                </c:pt>
                <c:pt idx="49">
                  <c:v>35776</c:v>
                </c:pt>
                <c:pt idx="50">
                  <c:v>35783</c:v>
                </c:pt>
                <c:pt idx="51">
                  <c:v>35790</c:v>
                </c:pt>
                <c:pt idx="52">
                  <c:v>35797</c:v>
                </c:pt>
                <c:pt idx="53">
                  <c:v>35804</c:v>
                </c:pt>
                <c:pt idx="54">
                  <c:v>35811</c:v>
                </c:pt>
                <c:pt idx="55">
                  <c:v>35818</c:v>
                </c:pt>
                <c:pt idx="56">
                  <c:v>35825</c:v>
                </c:pt>
                <c:pt idx="57">
                  <c:v>35832</c:v>
                </c:pt>
                <c:pt idx="58">
                  <c:v>35839</c:v>
                </c:pt>
                <c:pt idx="59">
                  <c:v>35846</c:v>
                </c:pt>
                <c:pt idx="60">
                  <c:v>35853</c:v>
                </c:pt>
                <c:pt idx="61">
                  <c:v>35860</c:v>
                </c:pt>
                <c:pt idx="62">
                  <c:v>35867</c:v>
                </c:pt>
                <c:pt idx="63">
                  <c:v>35874</c:v>
                </c:pt>
                <c:pt idx="64">
                  <c:v>35881</c:v>
                </c:pt>
                <c:pt idx="65">
                  <c:v>35888</c:v>
                </c:pt>
                <c:pt idx="66">
                  <c:v>35895</c:v>
                </c:pt>
                <c:pt idx="67">
                  <c:v>35902</c:v>
                </c:pt>
                <c:pt idx="68">
                  <c:v>35909</c:v>
                </c:pt>
                <c:pt idx="69">
                  <c:v>35916</c:v>
                </c:pt>
                <c:pt idx="70">
                  <c:v>35923</c:v>
                </c:pt>
                <c:pt idx="71">
                  <c:v>35930</c:v>
                </c:pt>
                <c:pt idx="72">
                  <c:v>35937</c:v>
                </c:pt>
                <c:pt idx="73">
                  <c:v>35944</c:v>
                </c:pt>
                <c:pt idx="74">
                  <c:v>35951</c:v>
                </c:pt>
                <c:pt idx="75">
                  <c:v>35958</c:v>
                </c:pt>
                <c:pt idx="76">
                  <c:v>35965</c:v>
                </c:pt>
                <c:pt idx="77">
                  <c:v>35972</c:v>
                </c:pt>
                <c:pt idx="78">
                  <c:v>35979</c:v>
                </c:pt>
                <c:pt idx="79">
                  <c:v>35986</c:v>
                </c:pt>
                <c:pt idx="80">
                  <c:v>35993</c:v>
                </c:pt>
                <c:pt idx="81">
                  <c:v>36000</c:v>
                </c:pt>
                <c:pt idx="82">
                  <c:v>36007</c:v>
                </c:pt>
                <c:pt idx="83">
                  <c:v>36014</c:v>
                </c:pt>
                <c:pt idx="84">
                  <c:v>36021</c:v>
                </c:pt>
                <c:pt idx="85">
                  <c:v>36028</c:v>
                </c:pt>
                <c:pt idx="86">
                  <c:v>36035</c:v>
                </c:pt>
                <c:pt idx="87">
                  <c:v>36042</c:v>
                </c:pt>
                <c:pt idx="88">
                  <c:v>36049</c:v>
                </c:pt>
                <c:pt idx="89">
                  <c:v>36056</c:v>
                </c:pt>
                <c:pt idx="90">
                  <c:v>36063</c:v>
                </c:pt>
                <c:pt idx="91">
                  <c:v>36070</c:v>
                </c:pt>
                <c:pt idx="92">
                  <c:v>36077</c:v>
                </c:pt>
                <c:pt idx="93">
                  <c:v>36084</c:v>
                </c:pt>
                <c:pt idx="94">
                  <c:v>36091</c:v>
                </c:pt>
                <c:pt idx="95">
                  <c:v>36098</c:v>
                </c:pt>
                <c:pt idx="96">
                  <c:v>36105</c:v>
                </c:pt>
                <c:pt idx="97">
                  <c:v>36112</c:v>
                </c:pt>
                <c:pt idx="98">
                  <c:v>36119</c:v>
                </c:pt>
                <c:pt idx="99">
                  <c:v>36126</c:v>
                </c:pt>
                <c:pt idx="100">
                  <c:v>36133</c:v>
                </c:pt>
                <c:pt idx="101">
                  <c:v>36140</c:v>
                </c:pt>
                <c:pt idx="102">
                  <c:v>36147</c:v>
                </c:pt>
                <c:pt idx="103">
                  <c:v>36154</c:v>
                </c:pt>
                <c:pt idx="104">
                  <c:v>36161</c:v>
                </c:pt>
                <c:pt idx="105">
                  <c:v>36168</c:v>
                </c:pt>
                <c:pt idx="106">
                  <c:v>36175</c:v>
                </c:pt>
                <c:pt idx="107">
                  <c:v>36182</c:v>
                </c:pt>
                <c:pt idx="108">
                  <c:v>36189</c:v>
                </c:pt>
                <c:pt idx="109">
                  <c:v>36196</c:v>
                </c:pt>
                <c:pt idx="110">
                  <c:v>36203</c:v>
                </c:pt>
                <c:pt idx="111">
                  <c:v>36210</c:v>
                </c:pt>
                <c:pt idx="112">
                  <c:v>36217</c:v>
                </c:pt>
                <c:pt idx="113">
                  <c:v>36224</c:v>
                </c:pt>
                <c:pt idx="114">
                  <c:v>36231</c:v>
                </c:pt>
                <c:pt idx="115">
                  <c:v>36238</c:v>
                </c:pt>
                <c:pt idx="116">
                  <c:v>36245</c:v>
                </c:pt>
                <c:pt idx="117">
                  <c:v>36252</c:v>
                </c:pt>
                <c:pt idx="118">
                  <c:v>36259</c:v>
                </c:pt>
                <c:pt idx="119">
                  <c:v>36266</c:v>
                </c:pt>
                <c:pt idx="120">
                  <c:v>36273</c:v>
                </c:pt>
                <c:pt idx="121">
                  <c:v>36280</c:v>
                </c:pt>
                <c:pt idx="122">
                  <c:v>36287</c:v>
                </c:pt>
                <c:pt idx="123">
                  <c:v>36294</c:v>
                </c:pt>
                <c:pt idx="124">
                  <c:v>36301</c:v>
                </c:pt>
                <c:pt idx="125">
                  <c:v>36308</c:v>
                </c:pt>
                <c:pt idx="126">
                  <c:v>36315</c:v>
                </c:pt>
                <c:pt idx="127">
                  <c:v>36322</c:v>
                </c:pt>
                <c:pt idx="128">
                  <c:v>36329</c:v>
                </c:pt>
                <c:pt idx="129">
                  <c:v>36336</c:v>
                </c:pt>
                <c:pt idx="130">
                  <c:v>36343</c:v>
                </c:pt>
                <c:pt idx="131">
                  <c:v>36350</c:v>
                </c:pt>
                <c:pt idx="132">
                  <c:v>36357</c:v>
                </c:pt>
                <c:pt idx="133">
                  <c:v>36364</c:v>
                </c:pt>
                <c:pt idx="134">
                  <c:v>36371</c:v>
                </c:pt>
                <c:pt idx="135">
                  <c:v>36378</c:v>
                </c:pt>
                <c:pt idx="136">
                  <c:v>36385</c:v>
                </c:pt>
                <c:pt idx="137">
                  <c:v>36392</c:v>
                </c:pt>
                <c:pt idx="138">
                  <c:v>36399</c:v>
                </c:pt>
                <c:pt idx="139">
                  <c:v>36406</c:v>
                </c:pt>
                <c:pt idx="140">
                  <c:v>36413</c:v>
                </c:pt>
                <c:pt idx="141">
                  <c:v>36420</c:v>
                </c:pt>
                <c:pt idx="142">
                  <c:v>36427</c:v>
                </c:pt>
                <c:pt idx="143">
                  <c:v>36434</c:v>
                </c:pt>
                <c:pt idx="144">
                  <c:v>36441</c:v>
                </c:pt>
                <c:pt idx="145">
                  <c:v>36448</c:v>
                </c:pt>
                <c:pt idx="146">
                  <c:v>36455</c:v>
                </c:pt>
                <c:pt idx="147">
                  <c:v>36462</c:v>
                </c:pt>
                <c:pt idx="148">
                  <c:v>36469</c:v>
                </c:pt>
                <c:pt idx="149">
                  <c:v>36476</c:v>
                </c:pt>
                <c:pt idx="150">
                  <c:v>36483</c:v>
                </c:pt>
                <c:pt idx="151">
                  <c:v>36490</c:v>
                </c:pt>
                <c:pt idx="152">
                  <c:v>36497</c:v>
                </c:pt>
                <c:pt idx="153">
                  <c:v>36504</c:v>
                </c:pt>
                <c:pt idx="154">
                  <c:v>36511</c:v>
                </c:pt>
                <c:pt idx="155">
                  <c:v>36518</c:v>
                </c:pt>
                <c:pt idx="156">
                  <c:v>36525</c:v>
                </c:pt>
                <c:pt idx="157">
                  <c:v>36532</c:v>
                </c:pt>
                <c:pt idx="158">
                  <c:v>36539</c:v>
                </c:pt>
                <c:pt idx="159">
                  <c:v>36546</c:v>
                </c:pt>
                <c:pt idx="160">
                  <c:v>36553</c:v>
                </c:pt>
                <c:pt idx="161">
                  <c:v>36560</c:v>
                </c:pt>
                <c:pt idx="162">
                  <c:v>36567</c:v>
                </c:pt>
                <c:pt idx="163">
                  <c:v>36574</c:v>
                </c:pt>
                <c:pt idx="164">
                  <c:v>36581</c:v>
                </c:pt>
                <c:pt idx="165">
                  <c:v>36588</c:v>
                </c:pt>
                <c:pt idx="166">
                  <c:v>36595</c:v>
                </c:pt>
                <c:pt idx="167">
                  <c:v>36602</c:v>
                </c:pt>
                <c:pt idx="168">
                  <c:v>36609</c:v>
                </c:pt>
                <c:pt idx="169">
                  <c:v>36616</c:v>
                </c:pt>
                <c:pt idx="170">
                  <c:v>36623</c:v>
                </c:pt>
                <c:pt idx="171">
                  <c:v>36630</c:v>
                </c:pt>
                <c:pt idx="172">
                  <c:v>36637</c:v>
                </c:pt>
                <c:pt idx="173">
                  <c:v>36644</c:v>
                </c:pt>
                <c:pt idx="174">
                  <c:v>36651</c:v>
                </c:pt>
                <c:pt idx="175">
                  <c:v>36658</c:v>
                </c:pt>
                <c:pt idx="176">
                  <c:v>36665</c:v>
                </c:pt>
                <c:pt idx="177">
                  <c:v>36672</c:v>
                </c:pt>
                <c:pt idx="178">
                  <c:v>36679</c:v>
                </c:pt>
                <c:pt idx="179">
                  <c:v>36686</c:v>
                </c:pt>
                <c:pt idx="180">
                  <c:v>36693</c:v>
                </c:pt>
                <c:pt idx="181">
                  <c:v>36700</c:v>
                </c:pt>
                <c:pt idx="182">
                  <c:v>36707</c:v>
                </c:pt>
                <c:pt idx="183">
                  <c:v>36714</c:v>
                </c:pt>
                <c:pt idx="184">
                  <c:v>36721</c:v>
                </c:pt>
                <c:pt idx="185">
                  <c:v>36728</c:v>
                </c:pt>
                <c:pt idx="186">
                  <c:v>36735</c:v>
                </c:pt>
                <c:pt idx="187">
                  <c:v>36742</c:v>
                </c:pt>
                <c:pt idx="188">
                  <c:v>36749</c:v>
                </c:pt>
                <c:pt idx="189">
                  <c:v>36756</c:v>
                </c:pt>
                <c:pt idx="190">
                  <c:v>36763</c:v>
                </c:pt>
                <c:pt idx="191">
                  <c:v>36770</c:v>
                </c:pt>
                <c:pt idx="192">
                  <c:v>36777</c:v>
                </c:pt>
                <c:pt idx="193">
                  <c:v>36784</c:v>
                </c:pt>
                <c:pt idx="194">
                  <c:v>36791</c:v>
                </c:pt>
                <c:pt idx="195">
                  <c:v>36798</c:v>
                </c:pt>
                <c:pt idx="196">
                  <c:v>36805</c:v>
                </c:pt>
                <c:pt idx="197">
                  <c:v>36812</c:v>
                </c:pt>
                <c:pt idx="198">
                  <c:v>36819</c:v>
                </c:pt>
                <c:pt idx="199">
                  <c:v>36826</c:v>
                </c:pt>
                <c:pt idx="200">
                  <c:v>36833</c:v>
                </c:pt>
                <c:pt idx="201">
                  <c:v>36840</c:v>
                </c:pt>
                <c:pt idx="202">
                  <c:v>36847</c:v>
                </c:pt>
                <c:pt idx="203">
                  <c:v>36854</c:v>
                </c:pt>
                <c:pt idx="204">
                  <c:v>36861</c:v>
                </c:pt>
                <c:pt idx="205">
                  <c:v>36868</c:v>
                </c:pt>
                <c:pt idx="206">
                  <c:v>36875</c:v>
                </c:pt>
                <c:pt idx="207">
                  <c:v>36882</c:v>
                </c:pt>
                <c:pt idx="208">
                  <c:v>36889</c:v>
                </c:pt>
                <c:pt idx="209">
                  <c:v>36896</c:v>
                </c:pt>
                <c:pt idx="210">
                  <c:v>36903</c:v>
                </c:pt>
                <c:pt idx="211">
                  <c:v>36910</c:v>
                </c:pt>
                <c:pt idx="212">
                  <c:v>36917</c:v>
                </c:pt>
                <c:pt idx="213">
                  <c:v>36924</c:v>
                </c:pt>
                <c:pt idx="214">
                  <c:v>36931</c:v>
                </c:pt>
                <c:pt idx="215">
                  <c:v>36938</c:v>
                </c:pt>
                <c:pt idx="216">
                  <c:v>36945</c:v>
                </c:pt>
                <c:pt idx="217">
                  <c:v>36952</c:v>
                </c:pt>
                <c:pt idx="218">
                  <c:v>36959</c:v>
                </c:pt>
                <c:pt idx="219">
                  <c:v>36966</c:v>
                </c:pt>
                <c:pt idx="220">
                  <c:v>36973</c:v>
                </c:pt>
                <c:pt idx="221">
                  <c:v>36980</c:v>
                </c:pt>
                <c:pt idx="222">
                  <c:v>36987</c:v>
                </c:pt>
                <c:pt idx="223">
                  <c:v>36994</c:v>
                </c:pt>
                <c:pt idx="224">
                  <c:v>37001</c:v>
                </c:pt>
                <c:pt idx="225">
                  <c:v>37008</c:v>
                </c:pt>
                <c:pt idx="226">
                  <c:v>37015</c:v>
                </c:pt>
                <c:pt idx="227">
                  <c:v>37022</c:v>
                </c:pt>
                <c:pt idx="228">
                  <c:v>37029</c:v>
                </c:pt>
                <c:pt idx="229">
                  <c:v>37036</c:v>
                </c:pt>
                <c:pt idx="230">
                  <c:v>37043</c:v>
                </c:pt>
                <c:pt idx="231">
                  <c:v>37050</c:v>
                </c:pt>
                <c:pt idx="232">
                  <c:v>37057</c:v>
                </c:pt>
                <c:pt idx="233">
                  <c:v>37064</c:v>
                </c:pt>
                <c:pt idx="234">
                  <c:v>37071</c:v>
                </c:pt>
                <c:pt idx="235">
                  <c:v>37078</c:v>
                </c:pt>
                <c:pt idx="236">
                  <c:v>37085</c:v>
                </c:pt>
                <c:pt idx="237">
                  <c:v>37092</c:v>
                </c:pt>
                <c:pt idx="238">
                  <c:v>37099</c:v>
                </c:pt>
                <c:pt idx="239">
                  <c:v>37106</c:v>
                </c:pt>
                <c:pt idx="240">
                  <c:v>37113</c:v>
                </c:pt>
                <c:pt idx="241">
                  <c:v>37120</c:v>
                </c:pt>
                <c:pt idx="242">
                  <c:v>37127</c:v>
                </c:pt>
                <c:pt idx="243">
                  <c:v>37134</c:v>
                </c:pt>
                <c:pt idx="244">
                  <c:v>37141</c:v>
                </c:pt>
                <c:pt idx="245">
                  <c:v>37148</c:v>
                </c:pt>
                <c:pt idx="246">
                  <c:v>37155</c:v>
                </c:pt>
                <c:pt idx="247">
                  <c:v>37162</c:v>
                </c:pt>
                <c:pt idx="248">
                  <c:v>37169</c:v>
                </c:pt>
                <c:pt idx="249">
                  <c:v>37176</c:v>
                </c:pt>
                <c:pt idx="250">
                  <c:v>37183</c:v>
                </c:pt>
                <c:pt idx="251">
                  <c:v>37190</c:v>
                </c:pt>
                <c:pt idx="252">
                  <c:v>37197</c:v>
                </c:pt>
                <c:pt idx="253">
                  <c:v>37204</c:v>
                </c:pt>
                <c:pt idx="254">
                  <c:v>37211</c:v>
                </c:pt>
                <c:pt idx="255">
                  <c:v>37218</c:v>
                </c:pt>
                <c:pt idx="256">
                  <c:v>37225</c:v>
                </c:pt>
                <c:pt idx="257">
                  <c:v>37232</c:v>
                </c:pt>
                <c:pt idx="258">
                  <c:v>37239</c:v>
                </c:pt>
                <c:pt idx="259">
                  <c:v>37246</c:v>
                </c:pt>
                <c:pt idx="260">
                  <c:v>37253</c:v>
                </c:pt>
                <c:pt idx="261">
                  <c:v>37260</c:v>
                </c:pt>
                <c:pt idx="262">
                  <c:v>37267</c:v>
                </c:pt>
                <c:pt idx="263">
                  <c:v>37274</c:v>
                </c:pt>
                <c:pt idx="264">
                  <c:v>37281</c:v>
                </c:pt>
                <c:pt idx="265">
                  <c:v>37288</c:v>
                </c:pt>
                <c:pt idx="266">
                  <c:v>37295</c:v>
                </c:pt>
                <c:pt idx="267">
                  <c:v>37302</c:v>
                </c:pt>
                <c:pt idx="268">
                  <c:v>37309</c:v>
                </c:pt>
                <c:pt idx="269">
                  <c:v>37316</c:v>
                </c:pt>
                <c:pt idx="270">
                  <c:v>37323</c:v>
                </c:pt>
                <c:pt idx="271">
                  <c:v>37330</c:v>
                </c:pt>
                <c:pt idx="272">
                  <c:v>37337</c:v>
                </c:pt>
                <c:pt idx="273">
                  <c:v>37344</c:v>
                </c:pt>
                <c:pt idx="274">
                  <c:v>37351</c:v>
                </c:pt>
                <c:pt idx="275">
                  <c:v>37358</c:v>
                </c:pt>
                <c:pt idx="276">
                  <c:v>37365</c:v>
                </c:pt>
                <c:pt idx="277">
                  <c:v>37372</c:v>
                </c:pt>
                <c:pt idx="278">
                  <c:v>37379</c:v>
                </c:pt>
                <c:pt idx="279">
                  <c:v>37386</c:v>
                </c:pt>
                <c:pt idx="280">
                  <c:v>37393</c:v>
                </c:pt>
                <c:pt idx="281">
                  <c:v>37400</c:v>
                </c:pt>
                <c:pt idx="282">
                  <c:v>37407</c:v>
                </c:pt>
                <c:pt idx="283">
                  <c:v>37414</c:v>
                </c:pt>
                <c:pt idx="284">
                  <c:v>37421</c:v>
                </c:pt>
                <c:pt idx="285">
                  <c:v>37428</c:v>
                </c:pt>
                <c:pt idx="286">
                  <c:v>37435</c:v>
                </c:pt>
                <c:pt idx="287">
                  <c:v>37442</c:v>
                </c:pt>
                <c:pt idx="288">
                  <c:v>37449</c:v>
                </c:pt>
                <c:pt idx="289">
                  <c:v>37456</c:v>
                </c:pt>
                <c:pt idx="290">
                  <c:v>37463</c:v>
                </c:pt>
                <c:pt idx="291">
                  <c:v>37470</c:v>
                </c:pt>
                <c:pt idx="292">
                  <c:v>37477</c:v>
                </c:pt>
                <c:pt idx="293">
                  <c:v>37484</c:v>
                </c:pt>
                <c:pt idx="294">
                  <c:v>37491</c:v>
                </c:pt>
                <c:pt idx="295">
                  <c:v>37498</c:v>
                </c:pt>
                <c:pt idx="296">
                  <c:v>37505</c:v>
                </c:pt>
                <c:pt idx="297">
                  <c:v>37512</c:v>
                </c:pt>
                <c:pt idx="298">
                  <c:v>37519</c:v>
                </c:pt>
                <c:pt idx="299">
                  <c:v>37526</c:v>
                </c:pt>
                <c:pt idx="300">
                  <c:v>37533</c:v>
                </c:pt>
                <c:pt idx="301">
                  <c:v>37540</c:v>
                </c:pt>
                <c:pt idx="302">
                  <c:v>37547</c:v>
                </c:pt>
                <c:pt idx="303">
                  <c:v>37554</c:v>
                </c:pt>
                <c:pt idx="304">
                  <c:v>37561</c:v>
                </c:pt>
                <c:pt idx="305">
                  <c:v>37568</c:v>
                </c:pt>
                <c:pt idx="306">
                  <c:v>37575</c:v>
                </c:pt>
                <c:pt idx="307">
                  <c:v>37582</c:v>
                </c:pt>
                <c:pt idx="308">
                  <c:v>37589</c:v>
                </c:pt>
                <c:pt idx="309">
                  <c:v>37596</c:v>
                </c:pt>
                <c:pt idx="310">
                  <c:v>37603</c:v>
                </c:pt>
                <c:pt idx="311">
                  <c:v>37610</c:v>
                </c:pt>
                <c:pt idx="312">
                  <c:v>37617</c:v>
                </c:pt>
                <c:pt idx="313">
                  <c:v>37624</c:v>
                </c:pt>
                <c:pt idx="314">
                  <c:v>37631</c:v>
                </c:pt>
                <c:pt idx="315">
                  <c:v>37638</c:v>
                </c:pt>
                <c:pt idx="316">
                  <c:v>37645</c:v>
                </c:pt>
                <c:pt idx="317">
                  <c:v>37652</c:v>
                </c:pt>
                <c:pt idx="318">
                  <c:v>37659</c:v>
                </c:pt>
                <c:pt idx="319">
                  <c:v>37666</c:v>
                </c:pt>
                <c:pt idx="320">
                  <c:v>37673</c:v>
                </c:pt>
                <c:pt idx="321">
                  <c:v>37680</c:v>
                </c:pt>
                <c:pt idx="322">
                  <c:v>37687</c:v>
                </c:pt>
                <c:pt idx="323">
                  <c:v>37694</c:v>
                </c:pt>
                <c:pt idx="324">
                  <c:v>37701</c:v>
                </c:pt>
                <c:pt idx="325">
                  <c:v>37708</c:v>
                </c:pt>
                <c:pt idx="326">
                  <c:v>37715</c:v>
                </c:pt>
                <c:pt idx="327">
                  <c:v>37722</c:v>
                </c:pt>
                <c:pt idx="328">
                  <c:v>37729</c:v>
                </c:pt>
                <c:pt idx="329">
                  <c:v>37736</c:v>
                </c:pt>
                <c:pt idx="330">
                  <c:v>37743</c:v>
                </c:pt>
                <c:pt idx="331">
                  <c:v>37750</c:v>
                </c:pt>
                <c:pt idx="332">
                  <c:v>37757</c:v>
                </c:pt>
                <c:pt idx="333">
                  <c:v>37764</c:v>
                </c:pt>
                <c:pt idx="334">
                  <c:v>37771</c:v>
                </c:pt>
                <c:pt idx="335">
                  <c:v>37778</c:v>
                </c:pt>
                <c:pt idx="336">
                  <c:v>37785</c:v>
                </c:pt>
                <c:pt idx="337">
                  <c:v>37792</c:v>
                </c:pt>
                <c:pt idx="338">
                  <c:v>37799</c:v>
                </c:pt>
                <c:pt idx="339">
                  <c:v>37806</c:v>
                </c:pt>
                <c:pt idx="340">
                  <c:v>37813</c:v>
                </c:pt>
                <c:pt idx="341">
                  <c:v>37820</c:v>
                </c:pt>
                <c:pt idx="342">
                  <c:v>37827</c:v>
                </c:pt>
                <c:pt idx="343">
                  <c:v>37834</c:v>
                </c:pt>
                <c:pt idx="344">
                  <c:v>37841</c:v>
                </c:pt>
                <c:pt idx="345">
                  <c:v>37848</c:v>
                </c:pt>
                <c:pt idx="346">
                  <c:v>37855</c:v>
                </c:pt>
                <c:pt idx="347">
                  <c:v>37862</c:v>
                </c:pt>
                <c:pt idx="348">
                  <c:v>37869</c:v>
                </c:pt>
                <c:pt idx="349">
                  <c:v>37876</c:v>
                </c:pt>
                <c:pt idx="350">
                  <c:v>37883</c:v>
                </c:pt>
                <c:pt idx="351">
                  <c:v>37890</c:v>
                </c:pt>
                <c:pt idx="352">
                  <c:v>37897</c:v>
                </c:pt>
                <c:pt idx="353">
                  <c:v>37904</c:v>
                </c:pt>
                <c:pt idx="354">
                  <c:v>37911</c:v>
                </c:pt>
                <c:pt idx="355">
                  <c:v>37918</c:v>
                </c:pt>
                <c:pt idx="356">
                  <c:v>37925</c:v>
                </c:pt>
                <c:pt idx="357">
                  <c:v>37932</c:v>
                </c:pt>
                <c:pt idx="358">
                  <c:v>37939</c:v>
                </c:pt>
                <c:pt idx="359">
                  <c:v>37946</c:v>
                </c:pt>
                <c:pt idx="360">
                  <c:v>37953</c:v>
                </c:pt>
                <c:pt idx="361">
                  <c:v>37960</c:v>
                </c:pt>
                <c:pt idx="362">
                  <c:v>37967</c:v>
                </c:pt>
                <c:pt idx="363">
                  <c:v>37974</c:v>
                </c:pt>
                <c:pt idx="364">
                  <c:v>37981</c:v>
                </c:pt>
                <c:pt idx="365">
                  <c:v>37988</c:v>
                </c:pt>
                <c:pt idx="366">
                  <c:v>37995</c:v>
                </c:pt>
                <c:pt idx="367">
                  <c:v>38002</c:v>
                </c:pt>
                <c:pt idx="368">
                  <c:v>38009</c:v>
                </c:pt>
                <c:pt idx="369">
                  <c:v>38016</c:v>
                </c:pt>
                <c:pt idx="370">
                  <c:v>38023</c:v>
                </c:pt>
                <c:pt idx="371">
                  <c:v>38030</c:v>
                </c:pt>
                <c:pt idx="372">
                  <c:v>38037</c:v>
                </c:pt>
                <c:pt idx="373">
                  <c:v>38044</c:v>
                </c:pt>
                <c:pt idx="374">
                  <c:v>38051</c:v>
                </c:pt>
                <c:pt idx="375">
                  <c:v>38058</c:v>
                </c:pt>
                <c:pt idx="376">
                  <c:v>38065</c:v>
                </c:pt>
                <c:pt idx="377">
                  <c:v>38072</c:v>
                </c:pt>
                <c:pt idx="378">
                  <c:v>38079</c:v>
                </c:pt>
                <c:pt idx="379">
                  <c:v>38086</c:v>
                </c:pt>
                <c:pt idx="380">
                  <c:v>38093</c:v>
                </c:pt>
                <c:pt idx="381">
                  <c:v>38100</c:v>
                </c:pt>
                <c:pt idx="382">
                  <c:v>38107</c:v>
                </c:pt>
                <c:pt idx="383">
                  <c:v>38114</c:v>
                </c:pt>
                <c:pt idx="384">
                  <c:v>38121</c:v>
                </c:pt>
                <c:pt idx="385">
                  <c:v>38128</c:v>
                </c:pt>
                <c:pt idx="386">
                  <c:v>38135</c:v>
                </c:pt>
                <c:pt idx="387">
                  <c:v>38142</c:v>
                </c:pt>
                <c:pt idx="388">
                  <c:v>38149</c:v>
                </c:pt>
                <c:pt idx="389">
                  <c:v>38156</c:v>
                </c:pt>
                <c:pt idx="390">
                  <c:v>38163</c:v>
                </c:pt>
                <c:pt idx="391">
                  <c:v>38170</c:v>
                </c:pt>
                <c:pt idx="392">
                  <c:v>38177</c:v>
                </c:pt>
                <c:pt idx="393">
                  <c:v>38184</c:v>
                </c:pt>
                <c:pt idx="394">
                  <c:v>38191</c:v>
                </c:pt>
                <c:pt idx="395">
                  <c:v>38198</c:v>
                </c:pt>
                <c:pt idx="396">
                  <c:v>38205</c:v>
                </c:pt>
                <c:pt idx="397">
                  <c:v>38212</c:v>
                </c:pt>
                <c:pt idx="398">
                  <c:v>38219</c:v>
                </c:pt>
                <c:pt idx="399">
                  <c:v>38226</c:v>
                </c:pt>
                <c:pt idx="400">
                  <c:v>38233</c:v>
                </c:pt>
                <c:pt idx="401">
                  <c:v>38240</c:v>
                </c:pt>
                <c:pt idx="402">
                  <c:v>38247</c:v>
                </c:pt>
                <c:pt idx="403">
                  <c:v>38254</c:v>
                </c:pt>
                <c:pt idx="404">
                  <c:v>38261</c:v>
                </c:pt>
                <c:pt idx="405">
                  <c:v>38268</c:v>
                </c:pt>
                <c:pt idx="406">
                  <c:v>38275</c:v>
                </c:pt>
                <c:pt idx="407">
                  <c:v>38282</c:v>
                </c:pt>
                <c:pt idx="408">
                  <c:v>38289</c:v>
                </c:pt>
                <c:pt idx="409">
                  <c:v>38296</c:v>
                </c:pt>
                <c:pt idx="410">
                  <c:v>38303</c:v>
                </c:pt>
                <c:pt idx="411">
                  <c:v>38310</c:v>
                </c:pt>
                <c:pt idx="412">
                  <c:v>38317</c:v>
                </c:pt>
                <c:pt idx="413">
                  <c:v>38324</c:v>
                </c:pt>
                <c:pt idx="414">
                  <c:v>38331</c:v>
                </c:pt>
                <c:pt idx="415">
                  <c:v>38338</c:v>
                </c:pt>
                <c:pt idx="416">
                  <c:v>38345</c:v>
                </c:pt>
                <c:pt idx="417">
                  <c:v>38352</c:v>
                </c:pt>
                <c:pt idx="418">
                  <c:v>38359</c:v>
                </c:pt>
                <c:pt idx="419">
                  <c:v>38366</c:v>
                </c:pt>
                <c:pt idx="420">
                  <c:v>38373</c:v>
                </c:pt>
                <c:pt idx="421">
                  <c:v>38380</c:v>
                </c:pt>
                <c:pt idx="422">
                  <c:v>38387</c:v>
                </c:pt>
                <c:pt idx="423">
                  <c:v>38394</c:v>
                </c:pt>
                <c:pt idx="424">
                  <c:v>38401</c:v>
                </c:pt>
                <c:pt idx="425">
                  <c:v>38408</c:v>
                </c:pt>
                <c:pt idx="426">
                  <c:v>38415</c:v>
                </c:pt>
                <c:pt idx="427">
                  <c:v>38422</c:v>
                </c:pt>
                <c:pt idx="428">
                  <c:v>38429</c:v>
                </c:pt>
                <c:pt idx="429">
                  <c:v>38436</c:v>
                </c:pt>
                <c:pt idx="430">
                  <c:v>38443</c:v>
                </c:pt>
                <c:pt idx="431">
                  <c:v>38450</c:v>
                </c:pt>
                <c:pt idx="432">
                  <c:v>38457</c:v>
                </c:pt>
                <c:pt idx="433">
                  <c:v>38464</c:v>
                </c:pt>
                <c:pt idx="434">
                  <c:v>38471</c:v>
                </c:pt>
                <c:pt idx="435">
                  <c:v>38478</c:v>
                </c:pt>
                <c:pt idx="436">
                  <c:v>38485</c:v>
                </c:pt>
                <c:pt idx="437">
                  <c:v>38492</c:v>
                </c:pt>
                <c:pt idx="438">
                  <c:v>38499</c:v>
                </c:pt>
                <c:pt idx="439">
                  <c:v>38506</c:v>
                </c:pt>
                <c:pt idx="440">
                  <c:v>38513</c:v>
                </c:pt>
                <c:pt idx="441">
                  <c:v>38520</c:v>
                </c:pt>
                <c:pt idx="442">
                  <c:v>38527</c:v>
                </c:pt>
                <c:pt idx="443">
                  <c:v>38534</c:v>
                </c:pt>
                <c:pt idx="444">
                  <c:v>38541</c:v>
                </c:pt>
                <c:pt idx="445">
                  <c:v>38548</c:v>
                </c:pt>
                <c:pt idx="446">
                  <c:v>38555</c:v>
                </c:pt>
                <c:pt idx="447">
                  <c:v>38562</c:v>
                </c:pt>
                <c:pt idx="448">
                  <c:v>38569</c:v>
                </c:pt>
                <c:pt idx="449">
                  <c:v>38576</c:v>
                </c:pt>
                <c:pt idx="450">
                  <c:v>38583</c:v>
                </c:pt>
                <c:pt idx="451">
                  <c:v>38590</c:v>
                </c:pt>
                <c:pt idx="452">
                  <c:v>38597</c:v>
                </c:pt>
                <c:pt idx="453">
                  <c:v>38604</c:v>
                </c:pt>
                <c:pt idx="454">
                  <c:v>38611</c:v>
                </c:pt>
                <c:pt idx="455">
                  <c:v>38618</c:v>
                </c:pt>
                <c:pt idx="456">
                  <c:v>38625</c:v>
                </c:pt>
                <c:pt idx="457">
                  <c:v>38632</c:v>
                </c:pt>
                <c:pt idx="458">
                  <c:v>38639</c:v>
                </c:pt>
                <c:pt idx="459">
                  <c:v>38646</c:v>
                </c:pt>
                <c:pt idx="460">
                  <c:v>38653</c:v>
                </c:pt>
                <c:pt idx="461">
                  <c:v>38660</c:v>
                </c:pt>
                <c:pt idx="462">
                  <c:v>38667</c:v>
                </c:pt>
                <c:pt idx="463">
                  <c:v>38674</c:v>
                </c:pt>
                <c:pt idx="464">
                  <c:v>38681</c:v>
                </c:pt>
                <c:pt idx="465">
                  <c:v>38688</c:v>
                </c:pt>
                <c:pt idx="466">
                  <c:v>38695</c:v>
                </c:pt>
                <c:pt idx="467">
                  <c:v>38702</c:v>
                </c:pt>
                <c:pt idx="468">
                  <c:v>38709</c:v>
                </c:pt>
                <c:pt idx="469">
                  <c:v>38716</c:v>
                </c:pt>
                <c:pt idx="470">
                  <c:v>38723</c:v>
                </c:pt>
                <c:pt idx="471">
                  <c:v>38730</c:v>
                </c:pt>
                <c:pt idx="472">
                  <c:v>38737</c:v>
                </c:pt>
                <c:pt idx="473">
                  <c:v>38744</c:v>
                </c:pt>
                <c:pt idx="474">
                  <c:v>38751</c:v>
                </c:pt>
                <c:pt idx="475">
                  <c:v>38758</c:v>
                </c:pt>
                <c:pt idx="476">
                  <c:v>38765</c:v>
                </c:pt>
                <c:pt idx="477">
                  <c:v>38772</c:v>
                </c:pt>
                <c:pt idx="478">
                  <c:v>38779</c:v>
                </c:pt>
                <c:pt idx="479">
                  <c:v>38786</c:v>
                </c:pt>
                <c:pt idx="480">
                  <c:v>38793</c:v>
                </c:pt>
                <c:pt idx="481">
                  <c:v>38800</c:v>
                </c:pt>
                <c:pt idx="482">
                  <c:v>38807</c:v>
                </c:pt>
                <c:pt idx="483">
                  <c:v>38814</c:v>
                </c:pt>
                <c:pt idx="484">
                  <c:v>38821</c:v>
                </c:pt>
                <c:pt idx="485">
                  <c:v>38828</c:v>
                </c:pt>
                <c:pt idx="486">
                  <c:v>38835</c:v>
                </c:pt>
                <c:pt idx="487">
                  <c:v>38842</c:v>
                </c:pt>
                <c:pt idx="488">
                  <c:v>38849</c:v>
                </c:pt>
                <c:pt idx="489">
                  <c:v>38856</c:v>
                </c:pt>
                <c:pt idx="490">
                  <c:v>38863</c:v>
                </c:pt>
                <c:pt idx="491">
                  <c:v>38870</c:v>
                </c:pt>
                <c:pt idx="492">
                  <c:v>38877</c:v>
                </c:pt>
                <c:pt idx="493">
                  <c:v>38884</c:v>
                </c:pt>
                <c:pt idx="494">
                  <c:v>38891</c:v>
                </c:pt>
                <c:pt idx="495">
                  <c:v>38898</c:v>
                </c:pt>
                <c:pt idx="496">
                  <c:v>38905</c:v>
                </c:pt>
                <c:pt idx="497">
                  <c:v>38912</c:v>
                </c:pt>
                <c:pt idx="498">
                  <c:v>38919</c:v>
                </c:pt>
                <c:pt idx="499">
                  <c:v>38926</c:v>
                </c:pt>
                <c:pt idx="500">
                  <c:v>38933</c:v>
                </c:pt>
                <c:pt idx="501">
                  <c:v>38940</c:v>
                </c:pt>
                <c:pt idx="502">
                  <c:v>38947</c:v>
                </c:pt>
                <c:pt idx="503">
                  <c:v>38954</c:v>
                </c:pt>
                <c:pt idx="504">
                  <c:v>38961</c:v>
                </c:pt>
                <c:pt idx="505">
                  <c:v>38968</c:v>
                </c:pt>
                <c:pt idx="506">
                  <c:v>38975</c:v>
                </c:pt>
                <c:pt idx="507">
                  <c:v>38982</c:v>
                </c:pt>
                <c:pt idx="508">
                  <c:v>38989</c:v>
                </c:pt>
                <c:pt idx="509">
                  <c:v>38996</c:v>
                </c:pt>
                <c:pt idx="510">
                  <c:v>39003</c:v>
                </c:pt>
                <c:pt idx="511">
                  <c:v>39010</c:v>
                </c:pt>
                <c:pt idx="512">
                  <c:v>39017</c:v>
                </c:pt>
                <c:pt idx="513">
                  <c:v>39024</c:v>
                </c:pt>
                <c:pt idx="514">
                  <c:v>39031</c:v>
                </c:pt>
                <c:pt idx="515">
                  <c:v>39038</c:v>
                </c:pt>
                <c:pt idx="516">
                  <c:v>39045</c:v>
                </c:pt>
                <c:pt idx="517">
                  <c:v>39052</c:v>
                </c:pt>
                <c:pt idx="518">
                  <c:v>39059</c:v>
                </c:pt>
                <c:pt idx="519">
                  <c:v>39066</c:v>
                </c:pt>
                <c:pt idx="520">
                  <c:v>39073</c:v>
                </c:pt>
                <c:pt idx="521">
                  <c:v>39081</c:v>
                </c:pt>
                <c:pt idx="522">
                  <c:v>39087</c:v>
                </c:pt>
                <c:pt idx="523">
                  <c:v>39094</c:v>
                </c:pt>
                <c:pt idx="524">
                  <c:v>39101</c:v>
                </c:pt>
                <c:pt idx="525">
                  <c:v>39108</c:v>
                </c:pt>
                <c:pt idx="526">
                  <c:v>39115</c:v>
                </c:pt>
                <c:pt idx="527">
                  <c:v>39122</c:v>
                </c:pt>
                <c:pt idx="528">
                  <c:v>39129</c:v>
                </c:pt>
                <c:pt idx="529">
                  <c:v>39136</c:v>
                </c:pt>
                <c:pt idx="530">
                  <c:v>39143</c:v>
                </c:pt>
                <c:pt idx="531">
                  <c:v>39150</c:v>
                </c:pt>
                <c:pt idx="532">
                  <c:v>39157</c:v>
                </c:pt>
                <c:pt idx="533">
                  <c:v>39164</c:v>
                </c:pt>
                <c:pt idx="534">
                  <c:v>39171</c:v>
                </c:pt>
                <c:pt idx="535">
                  <c:v>39178</c:v>
                </c:pt>
                <c:pt idx="536">
                  <c:v>39185</c:v>
                </c:pt>
                <c:pt idx="537">
                  <c:v>39192</c:v>
                </c:pt>
                <c:pt idx="538">
                  <c:v>39199</c:v>
                </c:pt>
                <c:pt idx="539">
                  <c:v>39206</c:v>
                </c:pt>
                <c:pt idx="540">
                  <c:v>39213</c:v>
                </c:pt>
                <c:pt idx="541">
                  <c:v>39220</c:v>
                </c:pt>
                <c:pt idx="542">
                  <c:v>39227</c:v>
                </c:pt>
                <c:pt idx="543">
                  <c:v>39234</c:v>
                </c:pt>
                <c:pt idx="544">
                  <c:v>39241</c:v>
                </c:pt>
                <c:pt idx="545">
                  <c:v>39248</c:v>
                </c:pt>
                <c:pt idx="546">
                  <c:v>39255</c:v>
                </c:pt>
                <c:pt idx="547">
                  <c:v>39262</c:v>
                </c:pt>
                <c:pt idx="548">
                  <c:v>39269</c:v>
                </c:pt>
                <c:pt idx="549">
                  <c:v>39276</c:v>
                </c:pt>
                <c:pt idx="550">
                  <c:v>39283</c:v>
                </c:pt>
                <c:pt idx="551">
                  <c:v>39290</c:v>
                </c:pt>
                <c:pt idx="552">
                  <c:v>39297</c:v>
                </c:pt>
                <c:pt idx="553">
                  <c:v>39304</c:v>
                </c:pt>
                <c:pt idx="554">
                  <c:v>39311</c:v>
                </c:pt>
                <c:pt idx="555">
                  <c:v>39318</c:v>
                </c:pt>
                <c:pt idx="556">
                  <c:v>39325</c:v>
                </c:pt>
                <c:pt idx="557">
                  <c:v>39332</c:v>
                </c:pt>
                <c:pt idx="558">
                  <c:v>39339</c:v>
                </c:pt>
                <c:pt idx="559">
                  <c:v>39346</c:v>
                </c:pt>
                <c:pt idx="560">
                  <c:v>39353</c:v>
                </c:pt>
                <c:pt idx="561">
                  <c:v>39360</c:v>
                </c:pt>
                <c:pt idx="562">
                  <c:v>39367</c:v>
                </c:pt>
                <c:pt idx="563">
                  <c:v>39374</c:v>
                </c:pt>
                <c:pt idx="564">
                  <c:v>39381</c:v>
                </c:pt>
                <c:pt idx="565">
                  <c:v>39388</c:v>
                </c:pt>
                <c:pt idx="566">
                  <c:v>39395</c:v>
                </c:pt>
                <c:pt idx="567">
                  <c:v>39402</c:v>
                </c:pt>
                <c:pt idx="568">
                  <c:v>39409</c:v>
                </c:pt>
                <c:pt idx="569">
                  <c:v>39416</c:v>
                </c:pt>
                <c:pt idx="570">
                  <c:v>39423</c:v>
                </c:pt>
                <c:pt idx="571">
                  <c:v>39430</c:v>
                </c:pt>
                <c:pt idx="572">
                  <c:v>39437</c:v>
                </c:pt>
                <c:pt idx="573">
                  <c:v>39447</c:v>
                </c:pt>
                <c:pt idx="574">
                  <c:v>39451</c:v>
                </c:pt>
                <c:pt idx="575">
                  <c:v>39458</c:v>
                </c:pt>
                <c:pt idx="576">
                  <c:v>39465</c:v>
                </c:pt>
                <c:pt idx="577">
                  <c:v>39472</c:v>
                </c:pt>
                <c:pt idx="578">
                  <c:v>39479</c:v>
                </c:pt>
                <c:pt idx="579">
                  <c:v>39486</c:v>
                </c:pt>
                <c:pt idx="580">
                  <c:v>39493</c:v>
                </c:pt>
                <c:pt idx="581">
                  <c:v>39500</c:v>
                </c:pt>
                <c:pt idx="582">
                  <c:v>39507</c:v>
                </c:pt>
                <c:pt idx="583">
                  <c:v>39514</c:v>
                </c:pt>
                <c:pt idx="584">
                  <c:v>39521</c:v>
                </c:pt>
                <c:pt idx="585">
                  <c:v>39528</c:v>
                </c:pt>
                <c:pt idx="586">
                  <c:v>39538</c:v>
                </c:pt>
                <c:pt idx="587">
                  <c:v>39542</c:v>
                </c:pt>
                <c:pt idx="588">
                  <c:v>39549</c:v>
                </c:pt>
                <c:pt idx="589">
                  <c:v>39556</c:v>
                </c:pt>
                <c:pt idx="590">
                  <c:v>39563</c:v>
                </c:pt>
                <c:pt idx="591">
                  <c:v>39570</c:v>
                </c:pt>
                <c:pt idx="592">
                  <c:v>39577</c:v>
                </c:pt>
                <c:pt idx="593">
                  <c:v>39584</c:v>
                </c:pt>
                <c:pt idx="594">
                  <c:v>39591</c:v>
                </c:pt>
                <c:pt idx="595">
                  <c:v>39598</c:v>
                </c:pt>
                <c:pt idx="596">
                  <c:v>39605</c:v>
                </c:pt>
                <c:pt idx="597">
                  <c:v>39612</c:v>
                </c:pt>
                <c:pt idx="598">
                  <c:v>39619</c:v>
                </c:pt>
                <c:pt idx="599">
                  <c:v>39626</c:v>
                </c:pt>
                <c:pt idx="600">
                  <c:v>39633</c:v>
                </c:pt>
                <c:pt idx="601">
                  <c:v>39640</c:v>
                </c:pt>
                <c:pt idx="602">
                  <c:v>39647</c:v>
                </c:pt>
                <c:pt idx="603">
                  <c:v>39654</c:v>
                </c:pt>
                <c:pt idx="604">
                  <c:v>39661</c:v>
                </c:pt>
                <c:pt idx="605">
                  <c:v>39668</c:v>
                </c:pt>
                <c:pt idx="606">
                  <c:v>39675</c:v>
                </c:pt>
                <c:pt idx="607">
                  <c:v>39682</c:v>
                </c:pt>
                <c:pt idx="608">
                  <c:v>39689</c:v>
                </c:pt>
                <c:pt idx="609">
                  <c:v>39696</c:v>
                </c:pt>
                <c:pt idx="610">
                  <c:v>39703</c:v>
                </c:pt>
                <c:pt idx="611">
                  <c:v>39710</c:v>
                </c:pt>
                <c:pt idx="612">
                  <c:v>39717</c:v>
                </c:pt>
                <c:pt idx="613">
                  <c:v>39724</c:v>
                </c:pt>
                <c:pt idx="614">
                  <c:v>39731</c:v>
                </c:pt>
                <c:pt idx="615">
                  <c:v>39738</c:v>
                </c:pt>
                <c:pt idx="616">
                  <c:v>39745</c:v>
                </c:pt>
                <c:pt idx="617">
                  <c:v>39752</c:v>
                </c:pt>
                <c:pt idx="618">
                  <c:v>39759</c:v>
                </c:pt>
                <c:pt idx="619">
                  <c:v>39766</c:v>
                </c:pt>
                <c:pt idx="620">
                  <c:v>39773</c:v>
                </c:pt>
                <c:pt idx="621">
                  <c:v>39780</c:v>
                </c:pt>
                <c:pt idx="622">
                  <c:v>39787</c:v>
                </c:pt>
                <c:pt idx="623">
                  <c:v>39794</c:v>
                </c:pt>
                <c:pt idx="624">
                  <c:v>39801</c:v>
                </c:pt>
                <c:pt idx="625">
                  <c:v>39808</c:v>
                </c:pt>
                <c:pt idx="626">
                  <c:v>39815</c:v>
                </c:pt>
                <c:pt idx="627">
                  <c:v>39822</c:v>
                </c:pt>
                <c:pt idx="628">
                  <c:v>39829</c:v>
                </c:pt>
                <c:pt idx="629">
                  <c:v>39836</c:v>
                </c:pt>
                <c:pt idx="630">
                  <c:v>39843</c:v>
                </c:pt>
                <c:pt idx="631">
                  <c:v>39850</c:v>
                </c:pt>
                <c:pt idx="632">
                  <c:v>39857</c:v>
                </c:pt>
                <c:pt idx="633">
                  <c:v>39864</c:v>
                </c:pt>
                <c:pt idx="634">
                  <c:v>39871</c:v>
                </c:pt>
                <c:pt idx="635">
                  <c:v>39878</c:v>
                </c:pt>
                <c:pt idx="636">
                  <c:v>39885</c:v>
                </c:pt>
                <c:pt idx="637">
                  <c:v>39892</c:v>
                </c:pt>
                <c:pt idx="638">
                  <c:v>39899</c:v>
                </c:pt>
                <c:pt idx="639">
                  <c:v>39906</c:v>
                </c:pt>
                <c:pt idx="640">
                  <c:v>39913</c:v>
                </c:pt>
                <c:pt idx="641">
                  <c:v>39920</c:v>
                </c:pt>
                <c:pt idx="642">
                  <c:v>39927</c:v>
                </c:pt>
                <c:pt idx="643">
                  <c:v>39934</c:v>
                </c:pt>
                <c:pt idx="644">
                  <c:v>39941</c:v>
                </c:pt>
                <c:pt idx="645">
                  <c:v>39948</c:v>
                </c:pt>
                <c:pt idx="646">
                  <c:v>39955</c:v>
                </c:pt>
                <c:pt idx="647">
                  <c:v>39962</c:v>
                </c:pt>
                <c:pt idx="648">
                  <c:v>39969</c:v>
                </c:pt>
                <c:pt idx="649">
                  <c:v>39976</c:v>
                </c:pt>
                <c:pt idx="650">
                  <c:v>39983</c:v>
                </c:pt>
                <c:pt idx="651">
                  <c:v>39990</c:v>
                </c:pt>
                <c:pt idx="652">
                  <c:v>39997</c:v>
                </c:pt>
                <c:pt idx="653">
                  <c:v>40004</c:v>
                </c:pt>
                <c:pt idx="654">
                  <c:v>40011</c:v>
                </c:pt>
                <c:pt idx="655">
                  <c:v>40018</c:v>
                </c:pt>
                <c:pt idx="656">
                  <c:v>40025</c:v>
                </c:pt>
                <c:pt idx="657">
                  <c:v>40032</c:v>
                </c:pt>
                <c:pt idx="658">
                  <c:v>40039</c:v>
                </c:pt>
                <c:pt idx="659">
                  <c:v>40046</c:v>
                </c:pt>
                <c:pt idx="660">
                  <c:v>40053</c:v>
                </c:pt>
                <c:pt idx="661">
                  <c:v>40060</c:v>
                </c:pt>
                <c:pt idx="662">
                  <c:v>40067</c:v>
                </c:pt>
                <c:pt idx="663">
                  <c:v>40074</c:v>
                </c:pt>
                <c:pt idx="664">
                  <c:v>40081</c:v>
                </c:pt>
                <c:pt idx="665">
                  <c:v>40088</c:v>
                </c:pt>
                <c:pt idx="666">
                  <c:v>40095</c:v>
                </c:pt>
                <c:pt idx="667">
                  <c:v>40102</c:v>
                </c:pt>
                <c:pt idx="668">
                  <c:v>40109</c:v>
                </c:pt>
                <c:pt idx="669">
                  <c:v>40116</c:v>
                </c:pt>
                <c:pt idx="670">
                  <c:v>40123</c:v>
                </c:pt>
                <c:pt idx="671">
                  <c:v>40130</c:v>
                </c:pt>
                <c:pt idx="672">
                  <c:v>40137</c:v>
                </c:pt>
                <c:pt idx="673">
                  <c:v>40144</c:v>
                </c:pt>
                <c:pt idx="674">
                  <c:v>40151</c:v>
                </c:pt>
                <c:pt idx="675">
                  <c:v>40158</c:v>
                </c:pt>
                <c:pt idx="676">
                  <c:v>40165</c:v>
                </c:pt>
                <c:pt idx="677">
                  <c:v>40172</c:v>
                </c:pt>
                <c:pt idx="678">
                  <c:v>40179</c:v>
                </c:pt>
                <c:pt idx="679">
                  <c:v>40186</c:v>
                </c:pt>
                <c:pt idx="680">
                  <c:v>40193</c:v>
                </c:pt>
                <c:pt idx="681">
                  <c:v>40200</c:v>
                </c:pt>
                <c:pt idx="682">
                  <c:v>40207</c:v>
                </c:pt>
                <c:pt idx="683">
                  <c:v>40214</c:v>
                </c:pt>
                <c:pt idx="684">
                  <c:v>40221</c:v>
                </c:pt>
                <c:pt idx="685">
                  <c:v>40228</c:v>
                </c:pt>
                <c:pt idx="686">
                  <c:v>40235</c:v>
                </c:pt>
                <c:pt idx="687">
                  <c:v>40242</c:v>
                </c:pt>
                <c:pt idx="688">
                  <c:v>40249</c:v>
                </c:pt>
                <c:pt idx="689">
                  <c:v>40256</c:v>
                </c:pt>
                <c:pt idx="690">
                  <c:v>40263</c:v>
                </c:pt>
                <c:pt idx="691">
                  <c:v>40270</c:v>
                </c:pt>
                <c:pt idx="692">
                  <c:v>40277</c:v>
                </c:pt>
                <c:pt idx="693">
                  <c:v>40284</c:v>
                </c:pt>
                <c:pt idx="694">
                  <c:v>40291</c:v>
                </c:pt>
                <c:pt idx="695">
                  <c:v>40298</c:v>
                </c:pt>
                <c:pt idx="696">
                  <c:v>40305</c:v>
                </c:pt>
                <c:pt idx="697">
                  <c:v>40312</c:v>
                </c:pt>
                <c:pt idx="698">
                  <c:v>40319</c:v>
                </c:pt>
                <c:pt idx="699">
                  <c:v>40326</c:v>
                </c:pt>
                <c:pt idx="700">
                  <c:v>40333</c:v>
                </c:pt>
                <c:pt idx="701">
                  <c:v>40340</c:v>
                </c:pt>
                <c:pt idx="702">
                  <c:v>40347</c:v>
                </c:pt>
                <c:pt idx="703">
                  <c:v>40354</c:v>
                </c:pt>
                <c:pt idx="704">
                  <c:v>40361</c:v>
                </c:pt>
                <c:pt idx="705">
                  <c:v>40368</c:v>
                </c:pt>
                <c:pt idx="706">
                  <c:v>40375</c:v>
                </c:pt>
                <c:pt idx="707">
                  <c:v>40382</c:v>
                </c:pt>
                <c:pt idx="708">
                  <c:v>40389</c:v>
                </c:pt>
                <c:pt idx="709">
                  <c:v>40396</c:v>
                </c:pt>
                <c:pt idx="710">
                  <c:v>40403</c:v>
                </c:pt>
                <c:pt idx="711">
                  <c:v>40410</c:v>
                </c:pt>
                <c:pt idx="712">
                  <c:v>40417</c:v>
                </c:pt>
                <c:pt idx="713">
                  <c:v>40424</c:v>
                </c:pt>
                <c:pt idx="714">
                  <c:v>40431</c:v>
                </c:pt>
                <c:pt idx="715">
                  <c:v>40438</c:v>
                </c:pt>
                <c:pt idx="716">
                  <c:v>40445</c:v>
                </c:pt>
                <c:pt idx="717">
                  <c:v>40452</c:v>
                </c:pt>
                <c:pt idx="718">
                  <c:v>40459</c:v>
                </c:pt>
                <c:pt idx="719">
                  <c:v>40466</c:v>
                </c:pt>
                <c:pt idx="720">
                  <c:v>40473</c:v>
                </c:pt>
                <c:pt idx="721">
                  <c:v>40480</c:v>
                </c:pt>
                <c:pt idx="722">
                  <c:v>40487</c:v>
                </c:pt>
                <c:pt idx="723">
                  <c:v>40494</c:v>
                </c:pt>
                <c:pt idx="724">
                  <c:v>40501</c:v>
                </c:pt>
                <c:pt idx="725">
                  <c:v>40508</c:v>
                </c:pt>
                <c:pt idx="726">
                  <c:v>40515</c:v>
                </c:pt>
                <c:pt idx="727">
                  <c:v>40522</c:v>
                </c:pt>
                <c:pt idx="728">
                  <c:v>40529</c:v>
                </c:pt>
                <c:pt idx="729">
                  <c:v>40536</c:v>
                </c:pt>
                <c:pt idx="730">
                  <c:v>40543</c:v>
                </c:pt>
                <c:pt idx="731">
                  <c:v>40550</c:v>
                </c:pt>
                <c:pt idx="732">
                  <c:v>40557</c:v>
                </c:pt>
                <c:pt idx="733">
                  <c:v>40564</c:v>
                </c:pt>
                <c:pt idx="734">
                  <c:v>40571</c:v>
                </c:pt>
                <c:pt idx="735">
                  <c:v>40578</c:v>
                </c:pt>
                <c:pt idx="736">
                  <c:v>40585</c:v>
                </c:pt>
                <c:pt idx="737">
                  <c:v>40592</c:v>
                </c:pt>
                <c:pt idx="738">
                  <c:v>40599</c:v>
                </c:pt>
                <c:pt idx="739">
                  <c:v>40606</c:v>
                </c:pt>
                <c:pt idx="740">
                  <c:v>40613</c:v>
                </c:pt>
                <c:pt idx="741">
                  <c:v>40620</c:v>
                </c:pt>
                <c:pt idx="742">
                  <c:v>40627</c:v>
                </c:pt>
                <c:pt idx="743">
                  <c:v>40634</c:v>
                </c:pt>
                <c:pt idx="744">
                  <c:v>40641</c:v>
                </c:pt>
                <c:pt idx="745">
                  <c:v>40648</c:v>
                </c:pt>
                <c:pt idx="746">
                  <c:v>40655</c:v>
                </c:pt>
                <c:pt idx="747">
                  <c:v>40662</c:v>
                </c:pt>
                <c:pt idx="748">
                  <c:v>40669</c:v>
                </c:pt>
                <c:pt idx="749">
                  <c:v>40676</c:v>
                </c:pt>
                <c:pt idx="750">
                  <c:v>40683</c:v>
                </c:pt>
                <c:pt idx="751">
                  <c:v>40690</c:v>
                </c:pt>
                <c:pt idx="752">
                  <c:v>40697</c:v>
                </c:pt>
                <c:pt idx="753">
                  <c:v>40704</c:v>
                </c:pt>
                <c:pt idx="754">
                  <c:v>40711</c:v>
                </c:pt>
                <c:pt idx="755">
                  <c:v>40718</c:v>
                </c:pt>
                <c:pt idx="756">
                  <c:v>40725</c:v>
                </c:pt>
                <c:pt idx="757">
                  <c:v>40732</c:v>
                </c:pt>
                <c:pt idx="758">
                  <c:v>40739</c:v>
                </c:pt>
                <c:pt idx="759">
                  <c:v>40746</c:v>
                </c:pt>
                <c:pt idx="760">
                  <c:v>40753</c:v>
                </c:pt>
                <c:pt idx="761">
                  <c:v>40760</c:v>
                </c:pt>
                <c:pt idx="762">
                  <c:v>40767</c:v>
                </c:pt>
                <c:pt idx="763">
                  <c:v>40774</c:v>
                </c:pt>
                <c:pt idx="764">
                  <c:v>40781</c:v>
                </c:pt>
                <c:pt idx="765">
                  <c:v>40788</c:v>
                </c:pt>
                <c:pt idx="766">
                  <c:v>40795</c:v>
                </c:pt>
                <c:pt idx="767">
                  <c:v>40802</c:v>
                </c:pt>
                <c:pt idx="768">
                  <c:v>40809</c:v>
                </c:pt>
                <c:pt idx="769">
                  <c:v>40816</c:v>
                </c:pt>
                <c:pt idx="770">
                  <c:v>40823</c:v>
                </c:pt>
                <c:pt idx="771">
                  <c:v>40830</c:v>
                </c:pt>
                <c:pt idx="772">
                  <c:v>40837</c:v>
                </c:pt>
                <c:pt idx="773">
                  <c:v>40844</c:v>
                </c:pt>
                <c:pt idx="774">
                  <c:v>40851</c:v>
                </c:pt>
                <c:pt idx="775">
                  <c:v>40858</c:v>
                </c:pt>
                <c:pt idx="776">
                  <c:v>40865</c:v>
                </c:pt>
                <c:pt idx="777">
                  <c:v>40872</c:v>
                </c:pt>
                <c:pt idx="778">
                  <c:v>40879</c:v>
                </c:pt>
                <c:pt idx="779">
                  <c:v>40886</c:v>
                </c:pt>
                <c:pt idx="780">
                  <c:v>40893</c:v>
                </c:pt>
                <c:pt idx="781">
                  <c:v>40900</c:v>
                </c:pt>
                <c:pt idx="782">
                  <c:v>40907</c:v>
                </c:pt>
                <c:pt idx="783">
                  <c:v>40914</c:v>
                </c:pt>
                <c:pt idx="784">
                  <c:v>40921</c:v>
                </c:pt>
                <c:pt idx="785">
                  <c:v>40928</c:v>
                </c:pt>
                <c:pt idx="786">
                  <c:v>40935</c:v>
                </c:pt>
                <c:pt idx="787">
                  <c:v>40942</c:v>
                </c:pt>
                <c:pt idx="788">
                  <c:v>40949</c:v>
                </c:pt>
                <c:pt idx="789">
                  <c:v>40956</c:v>
                </c:pt>
                <c:pt idx="790">
                  <c:v>40963</c:v>
                </c:pt>
                <c:pt idx="791">
                  <c:v>40970</c:v>
                </c:pt>
                <c:pt idx="792">
                  <c:v>40977</c:v>
                </c:pt>
                <c:pt idx="793">
                  <c:v>40984</c:v>
                </c:pt>
                <c:pt idx="794">
                  <c:v>40991</c:v>
                </c:pt>
                <c:pt idx="795">
                  <c:v>40998</c:v>
                </c:pt>
                <c:pt idx="796">
                  <c:v>41005</c:v>
                </c:pt>
                <c:pt idx="797">
                  <c:v>41012</c:v>
                </c:pt>
                <c:pt idx="798">
                  <c:v>41019</c:v>
                </c:pt>
                <c:pt idx="799">
                  <c:v>41026</c:v>
                </c:pt>
                <c:pt idx="800">
                  <c:v>41033</c:v>
                </c:pt>
                <c:pt idx="801">
                  <c:v>41040</c:v>
                </c:pt>
                <c:pt idx="802">
                  <c:v>41047</c:v>
                </c:pt>
                <c:pt idx="803">
                  <c:v>41054</c:v>
                </c:pt>
                <c:pt idx="804">
                  <c:v>41061</c:v>
                </c:pt>
                <c:pt idx="805">
                  <c:v>41068</c:v>
                </c:pt>
                <c:pt idx="806">
                  <c:v>41075</c:v>
                </c:pt>
                <c:pt idx="807">
                  <c:v>41082</c:v>
                </c:pt>
                <c:pt idx="808">
                  <c:v>41089</c:v>
                </c:pt>
                <c:pt idx="809">
                  <c:v>41096</c:v>
                </c:pt>
                <c:pt idx="810">
                  <c:v>41103</c:v>
                </c:pt>
                <c:pt idx="811">
                  <c:v>41110</c:v>
                </c:pt>
                <c:pt idx="812">
                  <c:v>41117</c:v>
                </c:pt>
                <c:pt idx="813">
                  <c:v>41124</c:v>
                </c:pt>
                <c:pt idx="814">
                  <c:v>41131</c:v>
                </c:pt>
                <c:pt idx="815">
                  <c:v>41138</c:v>
                </c:pt>
                <c:pt idx="816">
                  <c:v>41145</c:v>
                </c:pt>
                <c:pt idx="817">
                  <c:v>41152</c:v>
                </c:pt>
                <c:pt idx="818">
                  <c:v>41159</c:v>
                </c:pt>
                <c:pt idx="819">
                  <c:v>41166</c:v>
                </c:pt>
                <c:pt idx="820">
                  <c:v>41173</c:v>
                </c:pt>
                <c:pt idx="821">
                  <c:v>41180</c:v>
                </c:pt>
                <c:pt idx="822">
                  <c:v>41187</c:v>
                </c:pt>
                <c:pt idx="823">
                  <c:v>41194</c:v>
                </c:pt>
                <c:pt idx="824">
                  <c:v>41201</c:v>
                </c:pt>
                <c:pt idx="825">
                  <c:v>41208</c:v>
                </c:pt>
                <c:pt idx="826">
                  <c:v>41215</c:v>
                </c:pt>
                <c:pt idx="827">
                  <c:v>41222</c:v>
                </c:pt>
                <c:pt idx="828">
                  <c:v>41229</c:v>
                </c:pt>
                <c:pt idx="829">
                  <c:v>41236</c:v>
                </c:pt>
                <c:pt idx="830">
                  <c:v>41243</c:v>
                </c:pt>
                <c:pt idx="831">
                  <c:v>41250</c:v>
                </c:pt>
                <c:pt idx="832">
                  <c:v>41257</c:v>
                </c:pt>
                <c:pt idx="833">
                  <c:v>41264</c:v>
                </c:pt>
                <c:pt idx="834">
                  <c:v>41271</c:v>
                </c:pt>
                <c:pt idx="835">
                  <c:v>41278</c:v>
                </c:pt>
                <c:pt idx="836">
                  <c:v>41285</c:v>
                </c:pt>
                <c:pt idx="837">
                  <c:v>41292</c:v>
                </c:pt>
                <c:pt idx="838">
                  <c:v>41299</c:v>
                </c:pt>
                <c:pt idx="839">
                  <c:v>41306</c:v>
                </c:pt>
                <c:pt idx="840">
                  <c:v>41313</c:v>
                </c:pt>
                <c:pt idx="841">
                  <c:v>41320</c:v>
                </c:pt>
                <c:pt idx="842">
                  <c:v>41327</c:v>
                </c:pt>
                <c:pt idx="843">
                  <c:v>41334</c:v>
                </c:pt>
                <c:pt idx="844">
                  <c:v>41341</c:v>
                </c:pt>
                <c:pt idx="845">
                  <c:v>41348</c:v>
                </c:pt>
                <c:pt idx="846">
                  <c:v>41355</c:v>
                </c:pt>
                <c:pt idx="847">
                  <c:v>41362</c:v>
                </c:pt>
                <c:pt idx="848">
                  <c:v>41369</c:v>
                </c:pt>
                <c:pt idx="849">
                  <c:v>41376</c:v>
                </c:pt>
                <c:pt idx="850">
                  <c:v>41383</c:v>
                </c:pt>
                <c:pt idx="851">
                  <c:v>41390</c:v>
                </c:pt>
                <c:pt idx="852">
                  <c:v>41397</c:v>
                </c:pt>
                <c:pt idx="853">
                  <c:v>41404</c:v>
                </c:pt>
                <c:pt idx="854">
                  <c:v>41411</c:v>
                </c:pt>
                <c:pt idx="855">
                  <c:v>41418</c:v>
                </c:pt>
                <c:pt idx="856">
                  <c:v>41425</c:v>
                </c:pt>
                <c:pt idx="857">
                  <c:v>41432</c:v>
                </c:pt>
                <c:pt idx="858">
                  <c:v>41439</c:v>
                </c:pt>
                <c:pt idx="859">
                  <c:v>41446</c:v>
                </c:pt>
                <c:pt idx="860">
                  <c:v>41453</c:v>
                </c:pt>
                <c:pt idx="861">
                  <c:v>41460</c:v>
                </c:pt>
                <c:pt idx="862">
                  <c:v>41467</c:v>
                </c:pt>
                <c:pt idx="863">
                  <c:v>41474</c:v>
                </c:pt>
                <c:pt idx="864">
                  <c:v>41481</c:v>
                </c:pt>
                <c:pt idx="865">
                  <c:v>41488</c:v>
                </c:pt>
                <c:pt idx="866">
                  <c:v>41495</c:v>
                </c:pt>
                <c:pt idx="867">
                  <c:v>41502</c:v>
                </c:pt>
                <c:pt idx="868">
                  <c:v>41509</c:v>
                </c:pt>
                <c:pt idx="869">
                  <c:v>41516</c:v>
                </c:pt>
                <c:pt idx="870">
                  <c:v>41523</c:v>
                </c:pt>
                <c:pt idx="871">
                  <c:v>41530</c:v>
                </c:pt>
                <c:pt idx="872">
                  <c:v>41537</c:v>
                </c:pt>
                <c:pt idx="873">
                  <c:v>41544</c:v>
                </c:pt>
                <c:pt idx="874">
                  <c:v>41551</c:v>
                </c:pt>
                <c:pt idx="875">
                  <c:v>41558</c:v>
                </c:pt>
                <c:pt idx="876">
                  <c:v>41565</c:v>
                </c:pt>
                <c:pt idx="877">
                  <c:v>41572</c:v>
                </c:pt>
                <c:pt idx="878">
                  <c:v>41579</c:v>
                </c:pt>
                <c:pt idx="879">
                  <c:v>41586</c:v>
                </c:pt>
                <c:pt idx="880">
                  <c:v>41593</c:v>
                </c:pt>
                <c:pt idx="881">
                  <c:v>41600</c:v>
                </c:pt>
                <c:pt idx="882">
                  <c:v>41607</c:v>
                </c:pt>
                <c:pt idx="883">
                  <c:v>41614</c:v>
                </c:pt>
                <c:pt idx="884">
                  <c:v>41621</c:v>
                </c:pt>
                <c:pt idx="885">
                  <c:v>41628</c:v>
                </c:pt>
                <c:pt idx="886">
                  <c:v>41635</c:v>
                </c:pt>
                <c:pt idx="887">
                  <c:v>41642</c:v>
                </c:pt>
                <c:pt idx="888">
                  <c:v>41649</c:v>
                </c:pt>
                <c:pt idx="889">
                  <c:v>41656</c:v>
                </c:pt>
                <c:pt idx="890">
                  <c:v>41663</c:v>
                </c:pt>
                <c:pt idx="891">
                  <c:v>41670</c:v>
                </c:pt>
                <c:pt idx="892">
                  <c:v>41677</c:v>
                </c:pt>
                <c:pt idx="893">
                  <c:v>41684</c:v>
                </c:pt>
                <c:pt idx="894">
                  <c:v>41691</c:v>
                </c:pt>
                <c:pt idx="895">
                  <c:v>41698</c:v>
                </c:pt>
                <c:pt idx="896">
                  <c:v>41705</c:v>
                </c:pt>
                <c:pt idx="897">
                  <c:v>41712</c:v>
                </c:pt>
                <c:pt idx="898">
                  <c:v>41719</c:v>
                </c:pt>
                <c:pt idx="899">
                  <c:v>41726</c:v>
                </c:pt>
                <c:pt idx="900">
                  <c:v>41733</c:v>
                </c:pt>
                <c:pt idx="901">
                  <c:v>41740</c:v>
                </c:pt>
                <c:pt idx="902">
                  <c:v>41747</c:v>
                </c:pt>
                <c:pt idx="903">
                  <c:v>41754</c:v>
                </c:pt>
                <c:pt idx="904">
                  <c:v>41761</c:v>
                </c:pt>
                <c:pt idx="905">
                  <c:v>41768</c:v>
                </c:pt>
                <c:pt idx="906">
                  <c:v>41775</c:v>
                </c:pt>
                <c:pt idx="907">
                  <c:v>41782</c:v>
                </c:pt>
                <c:pt idx="908">
                  <c:v>41789</c:v>
                </c:pt>
                <c:pt idx="909">
                  <c:v>41796</c:v>
                </c:pt>
                <c:pt idx="910">
                  <c:v>41803</c:v>
                </c:pt>
                <c:pt idx="911">
                  <c:v>41810</c:v>
                </c:pt>
                <c:pt idx="912">
                  <c:v>41817</c:v>
                </c:pt>
                <c:pt idx="913">
                  <c:v>41824</c:v>
                </c:pt>
                <c:pt idx="914">
                  <c:v>41831</c:v>
                </c:pt>
                <c:pt idx="915">
                  <c:v>41838</c:v>
                </c:pt>
                <c:pt idx="916">
                  <c:v>41845</c:v>
                </c:pt>
                <c:pt idx="917">
                  <c:v>41852</c:v>
                </c:pt>
                <c:pt idx="918">
                  <c:v>41859</c:v>
                </c:pt>
                <c:pt idx="919">
                  <c:v>41866</c:v>
                </c:pt>
                <c:pt idx="920">
                  <c:v>41873</c:v>
                </c:pt>
                <c:pt idx="921">
                  <c:v>41880</c:v>
                </c:pt>
                <c:pt idx="922">
                  <c:v>41887</c:v>
                </c:pt>
                <c:pt idx="923">
                  <c:v>41894</c:v>
                </c:pt>
                <c:pt idx="924">
                  <c:v>41901</c:v>
                </c:pt>
                <c:pt idx="925">
                  <c:v>41908</c:v>
                </c:pt>
                <c:pt idx="926">
                  <c:v>41915</c:v>
                </c:pt>
                <c:pt idx="927">
                  <c:v>41922</c:v>
                </c:pt>
                <c:pt idx="928">
                  <c:v>41929</c:v>
                </c:pt>
                <c:pt idx="929">
                  <c:v>41936</c:v>
                </c:pt>
                <c:pt idx="930">
                  <c:v>41943</c:v>
                </c:pt>
                <c:pt idx="931">
                  <c:v>41950</c:v>
                </c:pt>
                <c:pt idx="932">
                  <c:v>41957</c:v>
                </c:pt>
                <c:pt idx="933">
                  <c:v>41964</c:v>
                </c:pt>
                <c:pt idx="934">
                  <c:v>41971</c:v>
                </c:pt>
                <c:pt idx="935">
                  <c:v>41978</c:v>
                </c:pt>
                <c:pt idx="936">
                  <c:v>41985</c:v>
                </c:pt>
                <c:pt idx="937">
                  <c:v>41992</c:v>
                </c:pt>
                <c:pt idx="938">
                  <c:v>41999</c:v>
                </c:pt>
                <c:pt idx="939">
                  <c:v>42006</c:v>
                </c:pt>
                <c:pt idx="940">
                  <c:v>42013</c:v>
                </c:pt>
                <c:pt idx="941">
                  <c:v>42020</c:v>
                </c:pt>
                <c:pt idx="942">
                  <c:v>42027</c:v>
                </c:pt>
                <c:pt idx="943">
                  <c:v>42034</c:v>
                </c:pt>
                <c:pt idx="944">
                  <c:v>42041</c:v>
                </c:pt>
                <c:pt idx="945">
                  <c:v>42048</c:v>
                </c:pt>
                <c:pt idx="946">
                  <c:v>42055</c:v>
                </c:pt>
                <c:pt idx="947">
                  <c:v>42062</c:v>
                </c:pt>
                <c:pt idx="948">
                  <c:v>42069</c:v>
                </c:pt>
                <c:pt idx="949">
                  <c:v>42076</c:v>
                </c:pt>
                <c:pt idx="950">
                  <c:v>42083</c:v>
                </c:pt>
                <c:pt idx="951">
                  <c:v>42090</c:v>
                </c:pt>
                <c:pt idx="952">
                  <c:v>42097</c:v>
                </c:pt>
                <c:pt idx="953">
                  <c:v>42104</c:v>
                </c:pt>
                <c:pt idx="954">
                  <c:v>42111</c:v>
                </c:pt>
                <c:pt idx="955">
                  <c:v>42118</c:v>
                </c:pt>
                <c:pt idx="956">
                  <c:v>42125</c:v>
                </c:pt>
                <c:pt idx="957">
                  <c:v>42132</c:v>
                </c:pt>
                <c:pt idx="958">
                  <c:v>42139</c:v>
                </c:pt>
                <c:pt idx="959">
                  <c:v>42146</c:v>
                </c:pt>
                <c:pt idx="960">
                  <c:v>42153</c:v>
                </c:pt>
                <c:pt idx="961">
                  <c:v>42160</c:v>
                </c:pt>
                <c:pt idx="962">
                  <c:v>42167</c:v>
                </c:pt>
                <c:pt idx="963">
                  <c:v>42174</c:v>
                </c:pt>
                <c:pt idx="964">
                  <c:v>42181</c:v>
                </c:pt>
                <c:pt idx="965">
                  <c:v>42188</c:v>
                </c:pt>
                <c:pt idx="966">
                  <c:v>42195</c:v>
                </c:pt>
                <c:pt idx="967">
                  <c:v>42202</c:v>
                </c:pt>
                <c:pt idx="968">
                  <c:v>42209</c:v>
                </c:pt>
                <c:pt idx="969">
                  <c:v>42216</c:v>
                </c:pt>
                <c:pt idx="970">
                  <c:v>42223</c:v>
                </c:pt>
                <c:pt idx="971">
                  <c:v>42230</c:v>
                </c:pt>
                <c:pt idx="972">
                  <c:v>42237</c:v>
                </c:pt>
                <c:pt idx="973">
                  <c:v>42244</c:v>
                </c:pt>
                <c:pt idx="974">
                  <c:v>42251</c:v>
                </c:pt>
                <c:pt idx="975">
                  <c:v>42258</c:v>
                </c:pt>
                <c:pt idx="976">
                  <c:v>42265</c:v>
                </c:pt>
                <c:pt idx="977">
                  <c:v>42272</c:v>
                </c:pt>
                <c:pt idx="978">
                  <c:v>42279</c:v>
                </c:pt>
                <c:pt idx="979">
                  <c:v>42286</c:v>
                </c:pt>
                <c:pt idx="980">
                  <c:v>42293</c:v>
                </c:pt>
                <c:pt idx="981">
                  <c:v>42300</c:v>
                </c:pt>
                <c:pt idx="982">
                  <c:v>42307</c:v>
                </c:pt>
                <c:pt idx="983">
                  <c:v>42314</c:v>
                </c:pt>
                <c:pt idx="984">
                  <c:v>42321</c:v>
                </c:pt>
                <c:pt idx="985">
                  <c:v>42328</c:v>
                </c:pt>
                <c:pt idx="986">
                  <c:v>42335</c:v>
                </c:pt>
                <c:pt idx="987">
                  <c:v>42342</c:v>
                </c:pt>
                <c:pt idx="988">
                  <c:v>42349</c:v>
                </c:pt>
                <c:pt idx="989">
                  <c:v>42356</c:v>
                </c:pt>
                <c:pt idx="990">
                  <c:v>42363</c:v>
                </c:pt>
                <c:pt idx="991">
                  <c:v>42370</c:v>
                </c:pt>
                <c:pt idx="992">
                  <c:v>42377</c:v>
                </c:pt>
                <c:pt idx="993">
                  <c:v>42384</c:v>
                </c:pt>
                <c:pt idx="994">
                  <c:v>42391</c:v>
                </c:pt>
                <c:pt idx="995">
                  <c:v>42398</c:v>
                </c:pt>
                <c:pt idx="996">
                  <c:v>42405</c:v>
                </c:pt>
                <c:pt idx="997">
                  <c:v>42412</c:v>
                </c:pt>
                <c:pt idx="998">
                  <c:v>42419</c:v>
                </c:pt>
                <c:pt idx="999">
                  <c:v>42426</c:v>
                </c:pt>
                <c:pt idx="1000">
                  <c:v>42433</c:v>
                </c:pt>
                <c:pt idx="1001">
                  <c:v>42440</c:v>
                </c:pt>
                <c:pt idx="1002">
                  <c:v>42447</c:v>
                </c:pt>
              </c:numCache>
            </c:numRef>
          </c:cat>
          <c:val>
            <c:numRef>
              <c:f>Summary!$AH$101:$AH$5006</c:f>
              <c:numCache>
                <c:formatCode>0.0\x</c:formatCode>
                <c:ptCount val="4906"/>
                <c:pt idx="0">
                  <c:v>28.164459125</c:v>
                </c:pt>
                <c:pt idx="1">
                  <c:v>28.169324375000002</c:v>
                </c:pt>
                <c:pt idx="2">
                  <c:v>27.188181625000002</c:v>
                </c:pt>
                <c:pt idx="3">
                  <c:v>27.36582275</c:v>
                </c:pt>
                <c:pt idx="4">
                  <c:v>27.108155124999996</c:v>
                </c:pt>
                <c:pt idx="5">
                  <c:v>27.080063625000005</c:v>
                </c:pt>
                <c:pt idx="6">
                  <c:v>26.534550375000006</c:v>
                </c:pt>
                <c:pt idx="7">
                  <c:v>25.722177375000001</c:v>
                </c:pt>
                <c:pt idx="8">
                  <c:v>22.467678250000002</c:v>
                </c:pt>
                <c:pt idx="9">
                  <c:v>23.558436374999999</c:v>
                </c:pt>
                <c:pt idx="10">
                  <c:v>23.435419687500001</c:v>
                </c:pt>
                <c:pt idx="11">
                  <c:v>22.759079375000002</c:v>
                </c:pt>
                <c:pt idx="12">
                  <c:v>22.737635874999999</c:v>
                </c:pt>
                <c:pt idx="13">
                  <c:v>22.386136999999998</c:v>
                </c:pt>
                <c:pt idx="14">
                  <c:v>22.153627375000003</c:v>
                </c:pt>
                <c:pt idx="15">
                  <c:v>22.772420499999999</c:v>
                </c:pt>
                <c:pt idx="16">
                  <c:v>21.216509375000001</c:v>
                </c:pt>
                <c:pt idx="17">
                  <c:v>22.120676999999997</c:v>
                </c:pt>
                <c:pt idx="18">
                  <c:v>23.079464374999997</c:v>
                </c:pt>
                <c:pt idx="19">
                  <c:v>23.447959624999999</c:v>
                </c:pt>
                <c:pt idx="20">
                  <c:v>23.727053250000001</c:v>
                </c:pt>
                <c:pt idx="21">
                  <c:v>25.151318285714279</c:v>
                </c:pt>
                <c:pt idx="22">
                  <c:v>26.15959471428571</c:v>
                </c:pt>
                <c:pt idx="23">
                  <c:v>26.465295285714287</c:v>
                </c:pt>
                <c:pt idx="24">
                  <c:v>26.960787714285715</c:v>
                </c:pt>
                <c:pt idx="25">
                  <c:v>26.56231414285714</c:v>
                </c:pt>
                <c:pt idx="26">
                  <c:v>27.458531857142862</c:v>
                </c:pt>
                <c:pt idx="27">
                  <c:v>27.738845142857141</c:v>
                </c:pt>
                <c:pt idx="28">
                  <c:v>27.920579571428568</c:v>
                </c:pt>
                <c:pt idx="29">
                  <c:v>27.720842714285716</c:v>
                </c:pt>
                <c:pt idx="30">
                  <c:v>28.299897571428573</c:v>
                </c:pt>
                <c:pt idx="31">
                  <c:v>28.275051285714287</c:v>
                </c:pt>
                <c:pt idx="32">
                  <c:v>27.903942000000001</c:v>
                </c:pt>
                <c:pt idx="33">
                  <c:v>27.206147857142859</c:v>
                </c:pt>
                <c:pt idx="34">
                  <c:v>28.328481142857139</c:v>
                </c:pt>
                <c:pt idx="35">
                  <c:v>28.738782428571426</c:v>
                </c:pt>
                <c:pt idx="36">
                  <c:v>29.30352228571428</c:v>
                </c:pt>
                <c:pt idx="37">
                  <c:v>29.757743857142859</c:v>
                </c:pt>
                <c:pt idx="38">
                  <c:v>29.128899571428573</c:v>
                </c:pt>
                <c:pt idx="39">
                  <c:v>28.335516374999997</c:v>
                </c:pt>
                <c:pt idx="40">
                  <c:v>25.815487000000001</c:v>
                </c:pt>
                <c:pt idx="41">
                  <c:v>25.469458375000002</c:v>
                </c:pt>
                <c:pt idx="42">
                  <c:v>25.501098625000001</c:v>
                </c:pt>
                <c:pt idx="43">
                  <c:v>24.964834124999999</c:v>
                </c:pt>
                <c:pt idx="44">
                  <c:v>24.980841624999996</c:v>
                </c:pt>
                <c:pt idx="45">
                  <c:v>24.962174749999999</c:v>
                </c:pt>
                <c:pt idx="46">
                  <c:v>25.178195000000002</c:v>
                </c:pt>
                <c:pt idx="47">
                  <c:v>23.378225</c:v>
                </c:pt>
                <c:pt idx="48">
                  <c:v>23.575517555555557</c:v>
                </c:pt>
                <c:pt idx="49">
                  <c:v>23.262113666666668</c:v>
                </c:pt>
                <c:pt idx="50">
                  <c:v>23.219317444444442</c:v>
                </c:pt>
                <c:pt idx="51">
                  <c:v>23.443259666666666</c:v>
                </c:pt>
                <c:pt idx="52">
                  <c:v>25.14027766666667</c:v>
                </c:pt>
                <c:pt idx="53">
                  <c:v>24.215450999999998</c:v>
                </c:pt>
                <c:pt idx="54">
                  <c:v>24.650328333333334</c:v>
                </c:pt>
                <c:pt idx="55">
                  <c:v>24.265236333333334</c:v>
                </c:pt>
                <c:pt idx="56">
                  <c:v>25.221659666666667</c:v>
                </c:pt>
                <c:pt idx="57">
                  <c:v>26.278991555555553</c:v>
                </c:pt>
                <c:pt idx="58">
                  <c:v>26.472879555555554</c:v>
                </c:pt>
                <c:pt idx="59">
                  <c:v>26.927558999999999</c:v>
                </c:pt>
                <c:pt idx="60">
                  <c:v>24.461680666666666</c:v>
                </c:pt>
                <c:pt idx="61">
                  <c:v>24.545676222222223</c:v>
                </c:pt>
                <c:pt idx="62">
                  <c:v>25.138686111111113</c:v>
                </c:pt>
                <c:pt idx="63">
                  <c:v>25.623901888888888</c:v>
                </c:pt>
                <c:pt idx="64">
                  <c:v>26.511315111111109</c:v>
                </c:pt>
                <c:pt idx="65">
                  <c:v>27.579766777777778</c:v>
                </c:pt>
                <c:pt idx="66">
                  <c:v>27.471771777777775</c:v>
                </c:pt>
                <c:pt idx="67">
                  <c:v>26.94201122222222</c:v>
                </c:pt>
                <c:pt idx="68">
                  <c:v>26.914505333333334</c:v>
                </c:pt>
                <c:pt idx="69">
                  <c:v>27.069240333333333</c:v>
                </c:pt>
                <c:pt idx="70">
                  <c:v>26.808019999999999</c:v>
                </c:pt>
                <c:pt idx="71">
                  <c:v>25.931479888888887</c:v>
                </c:pt>
                <c:pt idx="72">
                  <c:v>25.246164333333336</c:v>
                </c:pt>
                <c:pt idx="73">
                  <c:v>23.896034888888888</c:v>
                </c:pt>
                <c:pt idx="74">
                  <c:v>23.887512666666666</c:v>
                </c:pt>
                <c:pt idx="75">
                  <c:v>23.690286888888892</c:v>
                </c:pt>
                <c:pt idx="76">
                  <c:v>24.055006111111108</c:v>
                </c:pt>
                <c:pt idx="77">
                  <c:v>24.780280444444443</c:v>
                </c:pt>
                <c:pt idx="78">
                  <c:v>25.77281533333333</c:v>
                </c:pt>
                <c:pt idx="79">
                  <c:v>25.759165333333335</c:v>
                </c:pt>
                <c:pt idx="80">
                  <c:v>25.872463666666665</c:v>
                </c:pt>
                <c:pt idx="81">
                  <c:v>25.367351333333332</c:v>
                </c:pt>
                <c:pt idx="82">
                  <c:v>27.47238333333333</c:v>
                </c:pt>
                <c:pt idx="83">
                  <c:v>27.098973222222224</c:v>
                </c:pt>
                <c:pt idx="84">
                  <c:v>26.330954999999999</c:v>
                </c:pt>
                <c:pt idx="85">
                  <c:v>25.970096444444447</c:v>
                </c:pt>
                <c:pt idx="86">
                  <c:v>24.389462555555557</c:v>
                </c:pt>
                <c:pt idx="87">
                  <c:v>23.200719222222219</c:v>
                </c:pt>
                <c:pt idx="88">
                  <c:v>23.057954777777777</c:v>
                </c:pt>
                <c:pt idx="89">
                  <c:v>23.929807666666665</c:v>
                </c:pt>
                <c:pt idx="90">
                  <c:v>23.91640277777778</c:v>
                </c:pt>
                <c:pt idx="91">
                  <c:v>22.718295750000003</c:v>
                </c:pt>
                <c:pt idx="92">
                  <c:v>20.185118687499997</c:v>
                </c:pt>
                <c:pt idx="93">
                  <c:v>22.067185249999998</c:v>
                </c:pt>
                <c:pt idx="94">
                  <c:v>23.888962937500001</c:v>
                </c:pt>
                <c:pt idx="95">
                  <c:v>24.716187875000003</c:v>
                </c:pt>
                <c:pt idx="96">
                  <c:v>25.583690499999999</c:v>
                </c:pt>
                <c:pt idx="97">
                  <c:v>25.655208875</c:v>
                </c:pt>
                <c:pt idx="98">
                  <c:v>26.133070375000003</c:v>
                </c:pt>
                <c:pt idx="99">
                  <c:v>26.077479624999999</c:v>
                </c:pt>
                <c:pt idx="100">
                  <c:v>25.494099249999998</c:v>
                </c:pt>
                <c:pt idx="101">
                  <c:v>25.563108500000002</c:v>
                </c:pt>
                <c:pt idx="102">
                  <c:v>26.947110374999994</c:v>
                </c:pt>
                <c:pt idx="103">
                  <c:v>26.500166625000002</c:v>
                </c:pt>
                <c:pt idx="104">
                  <c:v>28.127128750000001</c:v>
                </c:pt>
                <c:pt idx="105">
                  <c:v>27.229578249999999</c:v>
                </c:pt>
                <c:pt idx="106">
                  <c:v>26.712894624999993</c:v>
                </c:pt>
                <c:pt idx="107">
                  <c:v>26.597269624999999</c:v>
                </c:pt>
                <c:pt idx="108">
                  <c:v>27.152369499999999</c:v>
                </c:pt>
                <c:pt idx="109">
                  <c:v>26.463669999999997</c:v>
                </c:pt>
                <c:pt idx="110">
                  <c:v>26.333894499999996</c:v>
                </c:pt>
                <c:pt idx="111">
                  <c:v>25.912432500000001</c:v>
                </c:pt>
                <c:pt idx="112">
                  <c:v>25.360901125000002</c:v>
                </c:pt>
                <c:pt idx="113">
                  <c:v>25.959680374999998</c:v>
                </c:pt>
                <c:pt idx="114">
                  <c:v>24.881218875000002</c:v>
                </c:pt>
                <c:pt idx="115">
                  <c:v>24.450036749999995</c:v>
                </c:pt>
                <c:pt idx="116">
                  <c:v>24.452236374999998</c:v>
                </c:pt>
                <c:pt idx="117">
                  <c:v>24.548041625</c:v>
                </c:pt>
                <c:pt idx="118">
                  <c:v>24.685603624999999</c:v>
                </c:pt>
                <c:pt idx="119">
                  <c:v>26.034581875000001</c:v>
                </c:pt>
                <c:pt idx="120">
                  <c:v>25.6820135</c:v>
                </c:pt>
                <c:pt idx="121">
                  <c:v>25.470298124999999</c:v>
                </c:pt>
                <c:pt idx="122">
                  <c:v>25.161192124999999</c:v>
                </c:pt>
                <c:pt idx="123">
                  <c:v>25.880829000000002</c:v>
                </c:pt>
                <c:pt idx="124">
                  <c:v>25.692135374999999</c:v>
                </c:pt>
                <c:pt idx="125">
                  <c:v>23.089518625</c:v>
                </c:pt>
                <c:pt idx="126">
                  <c:v>23.741954000000003</c:v>
                </c:pt>
                <c:pt idx="127">
                  <c:v>23.448711875000001</c:v>
                </c:pt>
                <c:pt idx="128">
                  <c:v>23.894198374999998</c:v>
                </c:pt>
                <c:pt idx="129">
                  <c:v>24.604797375000004</c:v>
                </c:pt>
                <c:pt idx="130">
                  <c:v>24.772590375</c:v>
                </c:pt>
                <c:pt idx="131">
                  <c:v>25.026604249999998</c:v>
                </c:pt>
                <c:pt idx="132">
                  <c:v>25.369898750000001</c:v>
                </c:pt>
                <c:pt idx="133">
                  <c:v>24.237697375</c:v>
                </c:pt>
                <c:pt idx="134">
                  <c:v>23.784223750000002</c:v>
                </c:pt>
                <c:pt idx="135">
                  <c:v>22.924754374999999</c:v>
                </c:pt>
                <c:pt idx="136">
                  <c:v>22.934148999999998</c:v>
                </c:pt>
                <c:pt idx="137">
                  <c:v>22.251012750000001</c:v>
                </c:pt>
                <c:pt idx="138">
                  <c:v>21.853522375000001</c:v>
                </c:pt>
                <c:pt idx="139">
                  <c:v>20.617701499999999</c:v>
                </c:pt>
                <c:pt idx="140">
                  <c:v>20.688257875000001</c:v>
                </c:pt>
                <c:pt idx="141">
                  <c:v>20.845291749999998</c:v>
                </c:pt>
                <c:pt idx="142">
                  <c:v>20.449041874999999</c:v>
                </c:pt>
                <c:pt idx="143">
                  <c:v>22.08547725</c:v>
                </c:pt>
                <c:pt idx="144">
                  <c:v>21.794435875000001</c:v>
                </c:pt>
                <c:pt idx="145">
                  <c:v>21.543566999999999</c:v>
                </c:pt>
                <c:pt idx="146">
                  <c:v>21.978559375</c:v>
                </c:pt>
                <c:pt idx="147">
                  <c:v>20.915365999999999</c:v>
                </c:pt>
                <c:pt idx="148">
                  <c:v>20.540337749999999</c:v>
                </c:pt>
                <c:pt idx="149">
                  <c:v>20.797266749999999</c:v>
                </c:pt>
                <c:pt idx="150">
                  <c:v>21.406747750000001</c:v>
                </c:pt>
                <c:pt idx="151">
                  <c:v>21.550886500000001</c:v>
                </c:pt>
                <c:pt idx="152">
                  <c:v>21.164952</c:v>
                </c:pt>
                <c:pt idx="153">
                  <c:v>22.288291375</c:v>
                </c:pt>
                <c:pt idx="154">
                  <c:v>23.881815187500003</c:v>
                </c:pt>
                <c:pt idx="155">
                  <c:v>25.218281375</c:v>
                </c:pt>
                <c:pt idx="156">
                  <c:v>26.693657625</c:v>
                </c:pt>
                <c:pt idx="157">
                  <c:v>25.622680875</c:v>
                </c:pt>
                <c:pt idx="158">
                  <c:v>25.947488499999999</c:v>
                </c:pt>
                <c:pt idx="159">
                  <c:v>27.41706825</c:v>
                </c:pt>
                <c:pt idx="160">
                  <c:v>25.990524125</c:v>
                </c:pt>
                <c:pt idx="161">
                  <c:v>25.001970874999998</c:v>
                </c:pt>
                <c:pt idx="162">
                  <c:v>24.882877124999997</c:v>
                </c:pt>
                <c:pt idx="163">
                  <c:v>23.100540125000002</c:v>
                </c:pt>
                <c:pt idx="164">
                  <c:v>23.157256375000003</c:v>
                </c:pt>
                <c:pt idx="165">
                  <c:v>25.445062</c:v>
                </c:pt>
                <c:pt idx="166">
                  <c:v>27.246151749999999</c:v>
                </c:pt>
                <c:pt idx="167">
                  <c:v>25.121777250000004</c:v>
                </c:pt>
                <c:pt idx="168">
                  <c:v>24.89065325</c:v>
                </c:pt>
                <c:pt idx="169">
                  <c:v>23.796660874999997</c:v>
                </c:pt>
                <c:pt idx="170">
                  <c:v>23.451269999999997</c:v>
                </c:pt>
                <c:pt idx="171">
                  <c:v>20.861962999999996</c:v>
                </c:pt>
                <c:pt idx="172">
                  <c:v>21.197797999999999</c:v>
                </c:pt>
                <c:pt idx="173">
                  <c:v>24.352731875000003</c:v>
                </c:pt>
                <c:pt idx="174">
                  <c:v>25.138583749999999</c:v>
                </c:pt>
                <c:pt idx="175">
                  <c:v>24.595276750000007</c:v>
                </c:pt>
                <c:pt idx="176">
                  <c:v>24.239483437500002</c:v>
                </c:pt>
                <c:pt idx="177">
                  <c:v>23.830571062499999</c:v>
                </c:pt>
                <c:pt idx="178">
                  <c:v>22.578036571428573</c:v>
                </c:pt>
                <c:pt idx="179">
                  <c:v>22.775433571428572</c:v>
                </c:pt>
                <c:pt idx="180">
                  <c:v>22.714429571428571</c:v>
                </c:pt>
                <c:pt idx="181">
                  <c:v>22.431594142857143</c:v>
                </c:pt>
                <c:pt idx="182">
                  <c:v>22.300744999999999</c:v>
                </c:pt>
                <c:pt idx="183">
                  <c:v>22.585124285714283</c:v>
                </c:pt>
                <c:pt idx="184">
                  <c:v>22.660610285714288</c:v>
                </c:pt>
                <c:pt idx="185">
                  <c:v>22.312938857142857</c:v>
                </c:pt>
                <c:pt idx="186">
                  <c:v>20.912037285714284</c:v>
                </c:pt>
                <c:pt idx="187">
                  <c:v>27.027783875000001</c:v>
                </c:pt>
                <c:pt idx="188">
                  <c:v>27.037173624999998</c:v>
                </c:pt>
                <c:pt idx="189">
                  <c:v>27.000036874999999</c:v>
                </c:pt>
                <c:pt idx="190">
                  <c:v>26.785880875</c:v>
                </c:pt>
                <c:pt idx="191">
                  <c:v>25.837860124999999</c:v>
                </c:pt>
                <c:pt idx="192">
                  <c:v>25.918521999999999</c:v>
                </c:pt>
                <c:pt idx="193">
                  <c:v>25.260379250000003</c:v>
                </c:pt>
                <c:pt idx="194">
                  <c:v>20.966898</c:v>
                </c:pt>
                <c:pt idx="195">
                  <c:v>21.117937874999999</c:v>
                </c:pt>
                <c:pt idx="196">
                  <c:v>20.896409749999997</c:v>
                </c:pt>
                <c:pt idx="197">
                  <c:v>20.270619249999999</c:v>
                </c:pt>
                <c:pt idx="198">
                  <c:v>20.882118875</c:v>
                </c:pt>
                <c:pt idx="199">
                  <c:v>20.876949124999996</c:v>
                </c:pt>
                <c:pt idx="200">
                  <c:v>21.795311250000001</c:v>
                </c:pt>
                <c:pt idx="201">
                  <c:v>22.07899875</c:v>
                </c:pt>
                <c:pt idx="202">
                  <c:v>22.027726374999997</c:v>
                </c:pt>
                <c:pt idx="203">
                  <c:v>21.487879375000002</c:v>
                </c:pt>
                <c:pt idx="204">
                  <c:v>19.966483624999999</c:v>
                </c:pt>
                <c:pt idx="205">
                  <c:v>21.272980874999998</c:v>
                </c:pt>
                <c:pt idx="206">
                  <c:v>20.657367250000004</c:v>
                </c:pt>
                <c:pt idx="207">
                  <c:v>20.974511875000001</c:v>
                </c:pt>
                <c:pt idx="208">
                  <c:v>24.270961750000001</c:v>
                </c:pt>
                <c:pt idx="209">
                  <c:v>21.658417125</c:v>
                </c:pt>
                <c:pt idx="210">
                  <c:v>21.5725415</c:v>
                </c:pt>
                <c:pt idx="211">
                  <c:v>21.502760124999998</c:v>
                </c:pt>
                <c:pt idx="212">
                  <c:v>22.796317375000001</c:v>
                </c:pt>
                <c:pt idx="213">
                  <c:v>22.215449624999998</c:v>
                </c:pt>
                <c:pt idx="214">
                  <c:v>21.965897625</c:v>
                </c:pt>
                <c:pt idx="215">
                  <c:v>22.169118375</c:v>
                </c:pt>
                <c:pt idx="216">
                  <c:v>22.196446874999996</c:v>
                </c:pt>
                <c:pt idx="217">
                  <c:v>19.252045874999997</c:v>
                </c:pt>
                <c:pt idx="218">
                  <c:v>19.177644687500003</c:v>
                </c:pt>
                <c:pt idx="219">
                  <c:v>18.080359375</c:v>
                </c:pt>
                <c:pt idx="220">
                  <c:v>17.790972125000003</c:v>
                </c:pt>
                <c:pt idx="221">
                  <c:v>17.548957187500001</c:v>
                </c:pt>
                <c:pt idx="222">
                  <c:v>16.759263125</c:v>
                </c:pt>
                <c:pt idx="223">
                  <c:v>17.055198499999999</c:v>
                </c:pt>
                <c:pt idx="224">
                  <c:v>17.559313625000001</c:v>
                </c:pt>
                <c:pt idx="225">
                  <c:v>18.594077375000001</c:v>
                </c:pt>
                <c:pt idx="226">
                  <c:v>19.567705312500003</c:v>
                </c:pt>
                <c:pt idx="227">
                  <c:v>19.268232250000001</c:v>
                </c:pt>
                <c:pt idx="228">
                  <c:v>20.312208875000003</c:v>
                </c:pt>
                <c:pt idx="229">
                  <c:v>20.504673499999999</c:v>
                </c:pt>
                <c:pt idx="230">
                  <c:v>21.3140830625</c:v>
                </c:pt>
                <c:pt idx="231">
                  <c:v>21.956915625000001</c:v>
                </c:pt>
                <c:pt idx="232">
                  <c:v>21.670095249999999</c:v>
                </c:pt>
                <c:pt idx="233">
                  <c:v>21.003839375000002</c:v>
                </c:pt>
                <c:pt idx="234">
                  <c:v>22.919267874999996</c:v>
                </c:pt>
                <c:pt idx="235">
                  <c:v>22.193279625000002</c:v>
                </c:pt>
                <c:pt idx="236">
                  <c:v>21.308584750000001</c:v>
                </c:pt>
                <c:pt idx="237">
                  <c:v>21.494380875000001</c:v>
                </c:pt>
                <c:pt idx="238">
                  <c:v>20.999368687499999</c:v>
                </c:pt>
                <c:pt idx="239">
                  <c:v>25.254764249999997</c:v>
                </c:pt>
                <c:pt idx="240">
                  <c:v>25.927773250000001</c:v>
                </c:pt>
                <c:pt idx="241">
                  <c:v>26.441942124999997</c:v>
                </c:pt>
                <c:pt idx="242">
                  <c:v>27.066422249999995</c:v>
                </c:pt>
                <c:pt idx="243">
                  <c:v>26.501970555555555</c:v>
                </c:pt>
                <c:pt idx="244">
                  <c:v>25.667415111111112</c:v>
                </c:pt>
                <c:pt idx="245">
                  <c:v>25.375120111111109</c:v>
                </c:pt>
                <c:pt idx="246">
                  <c:v>20.29986633333333</c:v>
                </c:pt>
                <c:pt idx="247">
                  <c:v>23.392760444444445</c:v>
                </c:pt>
                <c:pt idx="248">
                  <c:v>23.948665111111112</c:v>
                </c:pt>
                <c:pt idx="249">
                  <c:v>25.269892222222225</c:v>
                </c:pt>
                <c:pt idx="250">
                  <c:v>25.160796666666666</c:v>
                </c:pt>
                <c:pt idx="251">
                  <c:v>25.525638444444446</c:v>
                </c:pt>
                <c:pt idx="252">
                  <c:v>26.08224255555556</c:v>
                </c:pt>
                <c:pt idx="253">
                  <c:v>27.048469999999998</c:v>
                </c:pt>
                <c:pt idx="254">
                  <c:v>27.600111111111108</c:v>
                </c:pt>
                <c:pt idx="255">
                  <c:v>27.495010888888888</c:v>
                </c:pt>
                <c:pt idx="256">
                  <c:v>27.770899111111117</c:v>
                </c:pt>
                <c:pt idx="257">
                  <c:v>29.208664222222222</c:v>
                </c:pt>
                <c:pt idx="258">
                  <c:v>29.896439000000001</c:v>
                </c:pt>
                <c:pt idx="259">
                  <c:v>31.138984444444443</c:v>
                </c:pt>
                <c:pt idx="260">
                  <c:v>31.936744666666666</c:v>
                </c:pt>
                <c:pt idx="261">
                  <c:v>31.95202033333333</c:v>
                </c:pt>
                <c:pt idx="262">
                  <c:v>31.798423222222223</c:v>
                </c:pt>
                <c:pt idx="263">
                  <c:v>31.889348222222218</c:v>
                </c:pt>
                <c:pt idx="264">
                  <c:v>32.060899666666671</c:v>
                </c:pt>
                <c:pt idx="265">
                  <c:v>29.106068555555559</c:v>
                </c:pt>
                <c:pt idx="266">
                  <c:v>29.089522555555554</c:v>
                </c:pt>
                <c:pt idx="267">
                  <c:v>29.960940555555553</c:v>
                </c:pt>
                <c:pt idx="268">
                  <c:v>29.562857777777779</c:v>
                </c:pt>
                <c:pt idx="269">
                  <c:v>27.532215777777779</c:v>
                </c:pt>
                <c:pt idx="270">
                  <c:v>29.165355777777776</c:v>
                </c:pt>
                <c:pt idx="271">
                  <c:v>28.939442333333332</c:v>
                </c:pt>
                <c:pt idx="272">
                  <c:v>29.844202555555555</c:v>
                </c:pt>
                <c:pt idx="273">
                  <c:v>30.817757833333335</c:v>
                </c:pt>
                <c:pt idx="274">
                  <c:v>29.719295333333335</c:v>
                </c:pt>
                <c:pt idx="275">
                  <c:v>30.551766222222227</c:v>
                </c:pt>
                <c:pt idx="276">
                  <c:v>30.514722333333332</c:v>
                </c:pt>
                <c:pt idx="277">
                  <c:v>30.276545777777773</c:v>
                </c:pt>
                <c:pt idx="278">
                  <c:v>29.491409888888889</c:v>
                </c:pt>
                <c:pt idx="279">
                  <c:v>29.13073711111111</c:v>
                </c:pt>
                <c:pt idx="280">
                  <c:v>30.936861777777771</c:v>
                </c:pt>
                <c:pt idx="281">
                  <c:v>30.118200111111111</c:v>
                </c:pt>
                <c:pt idx="282">
                  <c:v>25.169930000000004</c:v>
                </c:pt>
                <c:pt idx="283">
                  <c:v>24.435042777777781</c:v>
                </c:pt>
                <c:pt idx="284">
                  <c:v>24.526105555555553</c:v>
                </c:pt>
                <c:pt idx="285">
                  <c:v>24.876507666666672</c:v>
                </c:pt>
                <c:pt idx="286">
                  <c:v>25.14963622222222</c:v>
                </c:pt>
                <c:pt idx="287">
                  <c:v>24.424087222222223</c:v>
                </c:pt>
                <c:pt idx="288">
                  <c:v>22.874663111111111</c:v>
                </c:pt>
                <c:pt idx="289">
                  <c:v>20.920915944444445</c:v>
                </c:pt>
                <c:pt idx="290">
                  <c:v>22.012454555555557</c:v>
                </c:pt>
                <c:pt idx="291">
                  <c:v>21.955660388888887</c:v>
                </c:pt>
                <c:pt idx="292">
                  <c:v>22.780206111111113</c:v>
                </c:pt>
                <c:pt idx="293">
                  <c:v>23.492488999999996</c:v>
                </c:pt>
                <c:pt idx="294">
                  <c:v>23.871916999999996</c:v>
                </c:pt>
                <c:pt idx="295">
                  <c:v>23.043067555555556</c:v>
                </c:pt>
                <c:pt idx="296">
                  <c:v>22.719410333333332</c:v>
                </c:pt>
                <c:pt idx="297">
                  <c:v>22.24296</c:v>
                </c:pt>
                <c:pt idx="298">
                  <c:v>21.201442</c:v>
                </c:pt>
                <c:pt idx="299">
                  <c:v>19.818833555555557</c:v>
                </c:pt>
                <c:pt idx="300">
                  <c:v>18.984314888888889</c:v>
                </c:pt>
                <c:pt idx="301">
                  <c:v>20.122332444444442</c:v>
                </c:pt>
                <c:pt idx="302">
                  <c:v>20.968102777777776</c:v>
                </c:pt>
                <c:pt idx="303">
                  <c:v>20.889073</c:v>
                </c:pt>
                <c:pt idx="304">
                  <c:v>20.686197222222219</c:v>
                </c:pt>
                <c:pt idx="305">
                  <c:v>21.044208111111111</c:v>
                </c:pt>
                <c:pt idx="306">
                  <c:v>21.449386777777775</c:v>
                </c:pt>
                <c:pt idx="307">
                  <c:v>22.561194000000004</c:v>
                </c:pt>
                <c:pt idx="308">
                  <c:v>21.455443444444441</c:v>
                </c:pt>
                <c:pt idx="309">
                  <c:v>21.068114111111111</c:v>
                </c:pt>
                <c:pt idx="310">
                  <c:v>20.647166222222225</c:v>
                </c:pt>
                <c:pt idx="311">
                  <c:v>20.795903777777777</c:v>
                </c:pt>
                <c:pt idx="312">
                  <c:v>20.831694000000002</c:v>
                </c:pt>
                <c:pt idx="313">
                  <c:v>21.315963444444446</c:v>
                </c:pt>
                <c:pt idx="314">
                  <c:v>21.443126555555555</c:v>
                </c:pt>
                <c:pt idx="315">
                  <c:v>21.183512333333333</c:v>
                </c:pt>
                <c:pt idx="316">
                  <c:v>20.396635777777774</c:v>
                </c:pt>
                <c:pt idx="317">
                  <c:v>20.384500444444441</c:v>
                </c:pt>
                <c:pt idx="318">
                  <c:v>19.487165333333337</c:v>
                </c:pt>
                <c:pt idx="319">
                  <c:v>18.966804055555556</c:v>
                </c:pt>
                <c:pt idx="320">
                  <c:v>19.204129666666667</c:v>
                </c:pt>
                <c:pt idx="321">
                  <c:v>18.253185000000002</c:v>
                </c:pt>
                <c:pt idx="322">
                  <c:v>17.802889374999999</c:v>
                </c:pt>
                <c:pt idx="323">
                  <c:v>17.646224875000001</c:v>
                </c:pt>
                <c:pt idx="324">
                  <c:v>19.169592000000002</c:v>
                </c:pt>
                <c:pt idx="325">
                  <c:v>19.170722874999999</c:v>
                </c:pt>
                <c:pt idx="326">
                  <c:v>19.144852777777778</c:v>
                </c:pt>
                <c:pt idx="327">
                  <c:v>18.012798666666669</c:v>
                </c:pt>
                <c:pt idx="328">
                  <c:v>19.197728111111115</c:v>
                </c:pt>
                <c:pt idx="329">
                  <c:v>19.388814222222223</c:v>
                </c:pt>
                <c:pt idx="330">
                  <c:v>20.388210111111114</c:v>
                </c:pt>
                <c:pt idx="331">
                  <c:v>20.511498555555555</c:v>
                </c:pt>
                <c:pt idx="332">
                  <c:v>20.676337444444446</c:v>
                </c:pt>
                <c:pt idx="333">
                  <c:v>20.447261500000003</c:v>
                </c:pt>
                <c:pt idx="334">
                  <c:v>20.641041333333334</c:v>
                </c:pt>
                <c:pt idx="335">
                  <c:v>20.873545888888891</c:v>
                </c:pt>
                <c:pt idx="336">
                  <c:v>20.949032333333335</c:v>
                </c:pt>
                <c:pt idx="337">
                  <c:v>20.819191222222223</c:v>
                </c:pt>
                <c:pt idx="338">
                  <c:v>20.535672333333334</c:v>
                </c:pt>
                <c:pt idx="339">
                  <c:v>21.523124222222222</c:v>
                </c:pt>
                <c:pt idx="340">
                  <c:v>22.331149888888891</c:v>
                </c:pt>
                <c:pt idx="341">
                  <c:v>21.935348999999999</c:v>
                </c:pt>
                <c:pt idx="342">
                  <c:v>22.281578333333336</c:v>
                </c:pt>
                <c:pt idx="343">
                  <c:v>22.038606666666666</c:v>
                </c:pt>
                <c:pt idx="344">
                  <c:v>21.671965666666669</c:v>
                </c:pt>
                <c:pt idx="345">
                  <c:v>22.292671611111114</c:v>
                </c:pt>
                <c:pt idx="346">
                  <c:v>22.755834222222219</c:v>
                </c:pt>
                <c:pt idx="347">
                  <c:v>22.975358</c:v>
                </c:pt>
                <c:pt idx="348">
                  <c:v>22.991180555555559</c:v>
                </c:pt>
                <c:pt idx="349">
                  <c:v>22.118681000000002</c:v>
                </c:pt>
                <c:pt idx="350">
                  <c:v>22.255335166666665</c:v>
                </c:pt>
                <c:pt idx="351">
                  <c:v>21.387923333333333</c:v>
                </c:pt>
                <c:pt idx="352">
                  <c:v>21.261912799999998</c:v>
                </c:pt>
                <c:pt idx="353">
                  <c:v>21.329777049999997</c:v>
                </c:pt>
                <c:pt idx="354">
                  <c:v>21.3736423</c:v>
                </c:pt>
                <c:pt idx="355">
                  <c:v>20.508648150000003</c:v>
                </c:pt>
                <c:pt idx="356">
                  <c:v>21.083175799999999</c:v>
                </c:pt>
                <c:pt idx="357">
                  <c:v>20.955096000000001</c:v>
                </c:pt>
                <c:pt idx="358">
                  <c:v>20.969108500000001</c:v>
                </c:pt>
                <c:pt idx="359">
                  <c:v>20.8022749</c:v>
                </c:pt>
                <c:pt idx="360">
                  <c:v>21.432456800000001</c:v>
                </c:pt>
                <c:pt idx="361">
                  <c:v>21.3474936</c:v>
                </c:pt>
                <c:pt idx="362">
                  <c:v>21.348096300000002</c:v>
                </c:pt>
                <c:pt idx="363">
                  <c:v>21.1771642</c:v>
                </c:pt>
                <c:pt idx="364">
                  <c:v>21.2121858</c:v>
                </c:pt>
                <c:pt idx="365">
                  <c:v>21.521311700000002</c:v>
                </c:pt>
                <c:pt idx="366">
                  <c:v>21.627379099999999</c:v>
                </c:pt>
                <c:pt idx="367">
                  <c:v>21.721966799999997</c:v>
                </c:pt>
                <c:pt idx="368">
                  <c:v>22.4395083</c:v>
                </c:pt>
                <c:pt idx="369">
                  <c:v>22.511405100000001</c:v>
                </c:pt>
                <c:pt idx="370">
                  <c:v>22.692089399999997</c:v>
                </c:pt>
                <c:pt idx="371">
                  <c:v>23.0351219</c:v>
                </c:pt>
                <c:pt idx="372">
                  <c:v>22.830855999999997</c:v>
                </c:pt>
                <c:pt idx="373">
                  <c:v>21.137335599999997</c:v>
                </c:pt>
                <c:pt idx="374">
                  <c:v>21.797838899999999</c:v>
                </c:pt>
                <c:pt idx="375">
                  <c:v>21.480614749999997</c:v>
                </c:pt>
                <c:pt idx="376">
                  <c:v>21.376267500000001</c:v>
                </c:pt>
                <c:pt idx="377">
                  <c:v>21.120198700000003</c:v>
                </c:pt>
                <c:pt idx="378">
                  <c:v>22.394293099999995</c:v>
                </c:pt>
                <c:pt idx="379">
                  <c:v>22.573619599999997</c:v>
                </c:pt>
                <c:pt idx="380">
                  <c:v>22.2630187</c:v>
                </c:pt>
                <c:pt idx="381">
                  <c:v>23.082027899999996</c:v>
                </c:pt>
                <c:pt idx="382">
                  <c:v>21.903105500000002</c:v>
                </c:pt>
                <c:pt idx="383">
                  <c:v>21.715472900000002</c:v>
                </c:pt>
                <c:pt idx="384">
                  <c:v>21.698671399999998</c:v>
                </c:pt>
                <c:pt idx="385">
                  <c:v>21.779643599999996</c:v>
                </c:pt>
                <c:pt idx="386">
                  <c:v>20.749674199999998</c:v>
                </c:pt>
                <c:pt idx="387">
                  <c:v>20.806958999999999</c:v>
                </c:pt>
                <c:pt idx="388">
                  <c:v>21.0749189</c:v>
                </c:pt>
                <c:pt idx="389">
                  <c:v>21.187908100000001</c:v>
                </c:pt>
                <c:pt idx="390">
                  <c:v>21.418780200000004</c:v>
                </c:pt>
                <c:pt idx="391">
                  <c:v>21.117542900000004</c:v>
                </c:pt>
                <c:pt idx="392">
                  <c:v>20.505016599999998</c:v>
                </c:pt>
                <c:pt idx="393">
                  <c:v>19.8251019</c:v>
                </c:pt>
                <c:pt idx="394">
                  <c:v>19.565535399999998</c:v>
                </c:pt>
                <c:pt idx="395">
                  <c:v>20.185002000000001</c:v>
                </c:pt>
                <c:pt idx="396">
                  <c:v>19.310458700000002</c:v>
                </c:pt>
                <c:pt idx="397">
                  <c:v>19.2231378</c:v>
                </c:pt>
                <c:pt idx="398">
                  <c:v>20.022440100000001</c:v>
                </c:pt>
                <c:pt idx="399">
                  <c:v>19.973860949999995</c:v>
                </c:pt>
                <c:pt idx="400">
                  <c:v>20.641415099999996</c:v>
                </c:pt>
                <c:pt idx="401">
                  <c:v>20.8187</c:v>
                </c:pt>
                <c:pt idx="402">
                  <c:v>20.926542300000001</c:v>
                </c:pt>
                <c:pt idx="403">
                  <c:v>21.040500400000003</c:v>
                </c:pt>
                <c:pt idx="404">
                  <c:v>21.726941699999998</c:v>
                </c:pt>
                <c:pt idx="405">
                  <c:v>21.512836199999999</c:v>
                </c:pt>
                <c:pt idx="406">
                  <c:v>21.6312073</c:v>
                </c:pt>
                <c:pt idx="407">
                  <c:v>21.438081199999999</c:v>
                </c:pt>
                <c:pt idx="408">
                  <c:v>22.2139913</c:v>
                </c:pt>
                <c:pt idx="409">
                  <c:v>22.878619999999998</c:v>
                </c:pt>
                <c:pt idx="410">
                  <c:v>23.0484455</c:v>
                </c:pt>
                <c:pt idx="411">
                  <c:v>22.8383857</c:v>
                </c:pt>
                <c:pt idx="412">
                  <c:v>23.3250268</c:v>
                </c:pt>
                <c:pt idx="413">
                  <c:v>22.998859299999999</c:v>
                </c:pt>
                <c:pt idx="414">
                  <c:v>23.027533699999999</c:v>
                </c:pt>
                <c:pt idx="415">
                  <c:v>23.176471599999999</c:v>
                </c:pt>
                <c:pt idx="416">
                  <c:v>23.435050699999998</c:v>
                </c:pt>
                <c:pt idx="417">
                  <c:v>23.496127399999999</c:v>
                </c:pt>
                <c:pt idx="418">
                  <c:v>22.1363144</c:v>
                </c:pt>
                <c:pt idx="419">
                  <c:v>22.190498300000002</c:v>
                </c:pt>
                <c:pt idx="420">
                  <c:v>22.007145999999999</c:v>
                </c:pt>
                <c:pt idx="421">
                  <c:v>21.756423399999996</c:v>
                </c:pt>
                <c:pt idx="422">
                  <c:v>21.837721699999999</c:v>
                </c:pt>
                <c:pt idx="423">
                  <c:v>21.555467199999999</c:v>
                </c:pt>
                <c:pt idx="424">
                  <c:v>20.943165100000005</c:v>
                </c:pt>
                <c:pt idx="425">
                  <c:v>20.9513626</c:v>
                </c:pt>
                <c:pt idx="426">
                  <c:v>19.373106399999998</c:v>
                </c:pt>
                <c:pt idx="427">
                  <c:v>19.344797500000002</c:v>
                </c:pt>
                <c:pt idx="428">
                  <c:v>19.115712000000002</c:v>
                </c:pt>
                <c:pt idx="429">
                  <c:v>19.292692899999999</c:v>
                </c:pt>
                <c:pt idx="430">
                  <c:v>19.230394699999998</c:v>
                </c:pt>
                <c:pt idx="431">
                  <c:v>19.062051799999999</c:v>
                </c:pt>
                <c:pt idx="432">
                  <c:v>18.536625599999997</c:v>
                </c:pt>
                <c:pt idx="433">
                  <c:v>19.220587599999998</c:v>
                </c:pt>
                <c:pt idx="434">
                  <c:v>20.317949222222225</c:v>
                </c:pt>
                <c:pt idx="435">
                  <c:v>20.489630999999999</c:v>
                </c:pt>
                <c:pt idx="436">
                  <c:v>19.833143777777778</c:v>
                </c:pt>
                <c:pt idx="437">
                  <c:v>20.432018888888891</c:v>
                </c:pt>
                <c:pt idx="438">
                  <c:v>20.652013333333333</c:v>
                </c:pt>
                <c:pt idx="439">
                  <c:v>20.169308777777776</c:v>
                </c:pt>
                <c:pt idx="440">
                  <c:v>20.066867222222225</c:v>
                </c:pt>
                <c:pt idx="441">
                  <c:v>20.83245477777778</c:v>
                </c:pt>
                <c:pt idx="442">
                  <c:v>20.339384333333339</c:v>
                </c:pt>
                <c:pt idx="443">
                  <c:v>21.156954333333331</c:v>
                </c:pt>
                <c:pt idx="444">
                  <c:v>21.297374444444447</c:v>
                </c:pt>
                <c:pt idx="445">
                  <c:v>21.313376777777776</c:v>
                </c:pt>
                <c:pt idx="446">
                  <c:v>21.474688555555556</c:v>
                </c:pt>
                <c:pt idx="447">
                  <c:v>21.723803</c:v>
                </c:pt>
                <c:pt idx="448">
                  <c:v>21.506365222222225</c:v>
                </c:pt>
                <c:pt idx="449">
                  <c:v>21.630853111111112</c:v>
                </c:pt>
                <c:pt idx="450">
                  <c:v>21.296126000000001</c:v>
                </c:pt>
                <c:pt idx="451">
                  <c:v>21.230929888888891</c:v>
                </c:pt>
                <c:pt idx="452">
                  <c:v>20.941681111111109</c:v>
                </c:pt>
                <c:pt idx="453">
                  <c:v>21.407751111111111</c:v>
                </c:pt>
                <c:pt idx="454">
                  <c:v>21.357657444444445</c:v>
                </c:pt>
                <c:pt idx="455">
                  <c:v>21.017364555555552</c:v>
                </c:pt>
                <c:pt idx="456">
                  <c:v>21.402947888888889</c:v>
                </c:pt>
                <c:pt idx="457">
                  <c:v>21.158949888888888</c:v>
                </c:pt>
                <c:pt idx="458">
                  <c:v>20.988290777777777</c:v>
                </c:pt>
                <c:pt idx="459">
                  <c:v>20.950588666666665</c:v>
                </c:pt>
                <c:pt idx="460">
                  <c:v>20.722234222222223</c:v>
                </c:pt>
                <c:pt idx="461">
                  <c:v>20.883728333333334</c:v>
                </c:pt>
                <c:pt idx="462">
                  <c:v>21.394949666666665</c:v>
                </c:pt>
                <c:pt idx="463">
                  <c:v>22.257280636842108</c:v>
                </c:pt>
                <c:pt idx="464">
                  <c:v>22.55472142631579</c:v>
                </c:pt>
                <c:pt idx="465">
                  <c:v>21.911918968421052</c:v>
                </c:pt>
                <c:pt idx="466">
                  <c:v>21.718529068421052</c:v>
                </c:pt>
                <c:pt idx="467">
                  <c:v>21.601742205263157</c:v>
                </c:pt>
                <c:pt idx="468">
                  <c:v>22.259834589473684</c:v>
                </c:pt>
                <c:pt idx="469">
                  <c:v>22.026157542105263</c:v>
                </c:pt>
                <c:pt idx="470">
                  <c:v>22.430017900497724</c:v>
                </c:pt>
                <c:pt idx="471">
                  <c:v>22.514078097414135</c:v>
                </c:pt>
                <c:pt idx="472">
                  <c:v>22.742464392934313</c:v>
                </c:pt>
                <c:pt idx="473">
                  <c:v>22.789659310672739</c:v>
                </c:pt>
                <c:pt idx="474">
                  <c:v>23.023524644231436</c:v>
                </c:pt>
                <c:pt idx="475">
                  <c:v>23.109384333161838</c:v>
                </c:pt>
                <c:pt idx="476">
                  <c:v>22.140500626982629</c:v>
                </c:pt>
                <c:pt idx="477">
                  <c:v>22.249736112709183</c:v>
                </c:pt>
                <c:pt idx="478">
                  <c:v>22.411875887712256</c:v>
                </c:pt>
                <c:pt idx="479">
                  <c:v>22.876445174623807</c:v>
                </c:pt>
                <c:pt idx="480">
                  <c:v>20.812516279962601</c:v>
                </c:pt>
                <c:pt idx="481">
                  <c:v>20.78181594438183</c:v>
                </c:pt>
                <c:pt idx="482">
                  <c:v>20.772607660333886</c:v>
                </c:pt>
                <c:pt idx="483">
                  <c:v>20.350474199511709</c:v>
                </c:pt>
                <c:pt idx="484">
                  <c:v>20.610671353649927</c:v>
                </c:pt>
                <c:pt idx="485">
                  <c:v>21.045501948477526</c:v>
                </c:pt>
                <c:pt idx="486">
                  <c:v>20.721533790003058</c:v>
                </c:pt>
                <c:pt idx="487">
                  <c:v>20.67518338711195</c:v>
                </c:pt>
                <c:pt idx="488">
                  <c:v>20.263470608248252</c:v>
                </c:pt>
                <c:pt idx="489">
                  <c:v>19.979317933806247</c:v>
                </c:pt>
                <c:pt idx="490">
                  <c:v>19.86205750181454</c:v>
                </c:pt>
                <c:pt idx="491">
                  <c:v>19.777798214062035</c:v>
                </c:pt>
                <c:pt idx="492">
                  <c:v>19.101535600912715</c:v>
                </c:pt>
                <c:pt idx="493">
                  <c:v>18.618579658083757</c:v>
                </c:pt>
                <c:pt idx="494">
                  <c:v>18.059178250720613</c:v>
                </c:pt>
                <c:pt idx="495">
                  <c:v>17.356180967888939</c:v>
                </c:pt>
                <c:pt idx="496">
                  <c:v>16.237564937035529</c:v>
                </c:pt>
                <c:pt idx="497">
                  <c:v>15.644704642337206</c:v>
                </c:pt>
                <c:pt idx="498">
                  <c:v>14.669069507167885</c:v>
                </c:pt>
                <c:pt idx="499">
                  <c:v>14.391573711396163</c:v>
                </c:pt>
                <c:pt idx="500">
                  <c:v>14.377392192803615</c:v>
                </c:pt>
                <c:pt idx="501">
                  <c:v>13.955356299057177</c:v>
                </c:pt>
                <c:pt idx="502">
                  <c:v>14.503490433215799</c:v>
                </c:pt>
                <c:pt idx="503">
                  <c:v>14.337607235852428</c:v>
                </c:pt>
                <c:pt idx="504">
                  <c:v>14.534801551830437</c:v>
                </c:pt>
                <c:pt idx="505">
                  <c:v>14.71610233118227</c:v>
                </c:pt>
                <c:pt idx="506">
                  <c:v>15.038665163965916</c:v>
                </c:pt>
                <c:pt idx="507">
                  <c:v>15.039562841198963</c:v>
                </c:pt>
                <c:pt idx="508">
                  <c:v>15.057769450468641</c:v>
                </c:pt>
                <c:pt idx="509">
                  <c:v>15.23265659062489</c:v>
                </c:pt>
                <c:pt idx="510">
                  <c:v>15.292654788673341</c:v>
                </c:pt>
                <c:pt idx="511">
                  <c:v>15.653171687796348</c:v>
                </c:pt>
                <c:pt idx="512">
                  <c:v>15.652695031765285</c:v>
                </c:pt>
                <c:pt idx="513">
                  <c:v>15.706558070005229</c:v>
                </c:pt>
                <c:pt idx="514">
                  <c:v>16.123445806123065</c:v>
                </c:pt>
                <c:pt idx="515">
                  <c:v>17.297505963525236</c:v>
                </c:pt>
                <c:pt idx="516">
                  <c:v>17.285149366767822</c:v>
                </c:pt>
                <c:pt idx="517">
                  <c:v>17.593539871596573</c:v>
                </c:pt>
                <c:pt idx="518">
                  <c:v>17.855033024111776</c:v>
                </c:pt>
                <c:pt idx="519">
                  <c:v>18.254897</c:v>
                </c:pt>
                <c:pt idx="520">
                  <c:v>18.55614654</c:v>
                </c:pt>
                <c:pt idx="521">
                  <c:v>18.709929384877253</c:v>
                </c:pt>
                <c:pt idx="522">
                  <c:v>19.318056934186167</c:v>
                </c:pt>
                <c:pt idx="523">
                  <c:v>19.787667727157526</c:v>
                </c:pt>
                <c:pt idx="524">
                  <c:v>19.734012587700999</c:v>
                </c:pt>
                <c:pt idx="525">
                  <c:v>19.614785127515972</c:v>
                </c:pt>
                <c:pt idx="526">
                  <c:v>19.473243376664936</c:v>
                </c:pt>
                <c:pt idx="527">
                  <c:v>19.699488379735854</c:v>
                </c:pt>
                <c:pt idx="528">
                  <c:v>19.888121725680499</c:v>
                </c:pt>
                <c:pt idx="529">
                  <c:v>19.927936060587712</c:v>
                </c:pt>
                <c:pt idx="530">
                  <c:v>17.876882748533941</c:v>
                </c:pt>
                <c:pt idx="531">
                  <c:v>17.495688305055925</c:v>
                </c:pt>
                <c:pt idx="532">
                  <c:v>18.564362129999999</c:v>
                </c:pt>
                <c:pt idx="533">
                  <c:v>18.59845314</c:v>
                </c:pt>
                <c:pt idx="534">
                  <c:v>19.121654251399999</c:v>
                </c:pt>
                <c:pt idx="535">
                  <c:v>19.462169423100001</c:v>
                </c:pt>
                <c:pt idx="536">
                  <c:v>19.006512310000002</c:v>
                </c:pt>
                <c:pt idx="537">
                  <c:v>18.765165100000001</c:v>
                </c:pt>
                <c:pt idx="538">
                  <c:v>19.598765100000001</c:v>
                </c:pt>
                <c:pt idx="539">
                  <c:v>20.216545610000001</c:v>
                </c:pt>
                <c:pt idx="540">
                  <c:v>20.699841321000001</c:v>
                </c:pt>
                <c:pt idx="541">
                  <c:v>20.145646509999999</c:v>
                </c:pt>
                <c:pt idx="542">
                  <c:v>20.99841</c:v>
                </c:pt>
                <c:pt idx="543">
                  <c:v>22.216548899999999</c:v>
                </c:pt>
                <c:pt idx="544">
                  <c:v>22.489876541000001</c:v>
                </c:pt>
                <c:pt idx="545">
                  <c:v>22</c:v>
                </c:pt>
                <c:pt idx="546">
                  <c:v>21.48946514</c:v>
                </c:pt>
                <c:pt idx="547">
                  <c:v>21.939206250817261</c:v>
                </c:pt>
                <c:pt idx="548">
                  <c:v>21.891917228482043</c:v>
                </c:pt>
                <c:pt idx="549">
                  <c:v>22.093956454306277</c:v>
                </c:pt>
                <c:pt idx="550">
                  <c:v>22.955905554516836</c:v>
                </c:pt>
                <c:pt idx="551">
                  <c:v>20.96932585461002</c:v>
                </c:pt>
                <c:pt idx="552">
                  <c:v>21.166517322204431</c:v>
                </c:pt>
                <c:pt idx="553">
                  <c:v>19.13902861198223</c:v>
                </c:pt>
                <c:pt idx="554">
                  <c:v>18.614902393286858</c:v>
                </c:pt>
                <c:pt idx="555">
                  <c:v>19.220538491051816</c:v>
                </c:pt>
                <c:pt idx="556">
                  <c:v>19.385113211224059</c:v>
                </c:pt>
                <c:pt idx="557">
                  <c:v>19.132947271550862</c:v>
                </c:pt>
                <c:pt idx="558">
                  <c:v>19.156541879382917</c:v>
                </c:pt>
                <c:pt idx="559">
                  <c:v>19.251834768864711</c:v>
                </c:pt>
                <c:pt idx="560">
                  <c:v>19.014619455866601</c:v>
                </c:pt>
                <c:pt idx="561">
                  <c:v>18.3466282087347</c:v>
                </c:pt>
                <c:pt idx="562">
                  <c:v>17.827230901217941</c:v>
                </c:pt>
                <c:pt idx="563">
                  <c:v>17.827230901217941</c:v>
                </c:pt>
                <c:pt idx="564">
                  <c:v>17.689266703276051</c:v>
                </c:pt>
                <c:pt idx="565">
                  <c:v>17.317869999946211</c:v>
                </c:pt>
                <c:pt idx="566">
                  <c:v>16.737795762332283</c:v>
                </c:pt>
                <c:pt idx="567">
                  <c:v>16.261611174441221</c:v>
                </c:pt>
                <c:pt idx="568">
                  <c:v>16.396126107982422</c:v>
                </c:pt>
                <c:pt idx="569">
                  <c:v>15.520842761419006</c:v>
                </c:pt>
                <c:pt idx="570">
                  <c:v>14.980485218080211</c:v>
                </c:pt>
                <c:pt idx="571">
                  <c:v>14.980485218080211</c:v>
                </c:pt>
                <c:pt idx="572">
                  <c:v>14.905071541992532</c:v>
                </c:pt>
                <c:pt idx="573">
                  <c:v>14.760011086695631</c:v>
                </c:pt>
                <c:pt idx="574">
                  <c:v>14.17752439690644</c:v>
                </c:pt>
                <c:pt idx="575">
                  <c:v>13.679939214367643</c:v>
                </c:pt>
                <c:pt idx="576">
                  <c:v>13.170462005718894</c:v>
                </c:pt>
                <c:pt idx="577">
                  <c:v>14.031086075474278</c:v>
                </c:pt>
                <c:pt idx="578">
                  <c:v>14.442280017646915</c:v>
                </c:pt>
                <c:pt idx="579">
                  <c:v>13.707685793608304</c:v>
                </c:pt>
                <c:pt idx="580">
                  <c:v>14.491388157819532</c:v>
                </c:pt>
                <c:pt idx="581">
                  <c:v>15.42449052659218</c:v>
                </c:pt>
                <c:pt idx="582">
                  <c:v>15.142346863473865</c:v>
                </c:pt>
                <c:pt idx="583">
                  <c:v>14.577774232288887</c:v>
                </c:pt>
                <c:pt idx="584">
                  <c:v>14.272377663347246</c:v>
                </c:pt>
                <c:pt idx="585">
                  <c:v>14.212022340476803</c:v>
                </c:pt>
                <c:pt idx="586">
                  <c:v>13.233324965810976</c:v>
                </c:pt>
                <c:pt idx="587">
                  <c:v>16.305673975547403</c:v>
                </c:pt>
                <c:pt idx="588">
                  <c:v>16.557860586571863</c:v>
                </c:pt>
                <c:pt idx="589">
                  <c:v>16.557860586571863</c:v>
                </c:pt>
                <c:pt idx="590">
                  <c:v>17.299404437111004</c:v>
                </c:pt>
                <c:pt idx="591">
                  <c:v>17.729340612391287</c:v>
                </c:pt>
                <c:pt idx="592">
                  <c:v>17.883959528247594</c:v>
                </c:pt>
                <c:pt idx="593">
                  <c:v>18.112347073008621</c:v>
                </c:pt>
                <c:pt idx="594">
                  <c:v>15.964881868057846</c:v>
                </c:pt>
                <c:pt idx="595">
                  <c:v>15.686664996681806</c:v>
                </c:pt>
                <c:pt idx="596">
                  <c:v>15.077298258955564</c:v>
                </c:pt>
                <c:pt idx="597">
                  <c:v>15.222848417906743</c:v>
                </c:pt>
                <c:pt idx="598">
                  <c:v>14.124529157538513</c:v>
                </c:pt>
                <c:pt idx="599">
                  <c:v>14.124529157538513</c:v>
                </c:pt>
                <c:pt idx="600">
                  <c:v>12.599170948851626</c:v>
                </c:pt>
                <c:pt idx="601">
                  <c:v>12.731254094056057</c:v>
                </c:pt>
                <c:pt idx="602">
                  <c:v>12.979477174268894</c:v>
                </c:pt>
                <c:pt idx="603">
                  <c:v>13.498243062057563</c:v>
                </c:pt>
                <c:pt idx="604">
                  <c:v>13.803285746255066</c:v>
                </c:pt>
                <c:pt idx="605">
                  <c:v>14.350304266628978</c:v>
                </c:pt>
                <c:pt idx="606">
                  <c:v>14.13133882250985</c:v>
                </c:pt>
                <c:pt idx="607">
                  <c:v>13.776739825885196</c:v>
                </c:pt>
                <c:pt idx="608">
                  <c:v>13.413853569308872</c:v>
                </c:pt>
                <c:pt idx="609">
                  <c:v>13.421617214538943</c:v>
                </c:pt>
                <c:pt idx="610">
                  <c:v>13.639823789867529</c:v>
                </c:pt>
                <c:pt idx="611">
                  <c:v>12.485042271631857</c:v>
                </c:pt>
                <c:pt idx="612">
                  <c:v>12.159799894949993</c:v>
                </c:pt>
                <c:pt idx="613">
                  <c:v>10.711141713476486</c:v>
                </c:pt>
                <c:pt idx="614">
                  <c:v>8.8282415545765947</c:v>
                </c:pt>
                <c:pt idx="615">
                  <c:v>8.8844576724274926</c:v>
                </c:pt>
                <c:pt idx="616">
                  <c:v>8.0808883591884388</c:v>
                </c:pt>
                <c:pt idx="617">
                  <c:v>9.044582814213193</c:v>
                </c:pt>
                <c:pt idx="618">
                  <c:v>7.8427421495622784</c:v>
                </c:pt>
                <c:pt idx="619">
                  <c:v>7.8415192127213036</c:v>
                </c:pt>
                <c:pt idx="620">
                  <c:v>7.3788278015730615</c:v>
                </c:pt>
                <c:pt idx="621">
                  <c:v>8.553625453594611</c:v>
                </c:pt>
                <c:pt idx="622">
                  <c:v>8.1610067248967759</c:v>
                </c:pt>
                <c:pt idx="623">
                  <c:v>8.2532149192253605</c:v>
                </c:pt>
                <c:pt idx="624">
                  <c:v>8.6585876021554835</c:v>
                </c:pt>
                <c:pt idx="625">
                  <c:v>9.1255733121295766</c:v>
                </c:pt>
                <c:pt idx="626">
                  <c:v>9.1255733121295766</c:v>
                </c:pt>
                <c:pt idx="627">
                  <c:v>9.1355510281317844</c:v>
                </c:pt>
                <c:pt idx="628">
                  <c:v>8.8539876980871117</c:v>
                </c:pt>
                <c:pt idx="629">
                  <c:v>8.6966346821355565</c:v>
                </c:pt>
                <c:pt idx="630">
                  <c:v>8.6698016453404456</c:v>
                </c:pt>
                <c:pt idx="631">
                  <c:v>9.5440773843488351</c:v>
                </c:pt>
                <c:pt idx="632">
                  <c:v>9.0230271708115311</c:v>
                </c:pt>
                <c:pt idx="633">
                  <c:v>12.355458684808957</c:v>
                </c:pt>
                <c:pt idx="634">
                  <c:v>13.034341874023923</c:v>
                </c:pt>
                <c:pt idx="635">
                  <c:v>12.313083531687635</c:v>
                </c:pt>
                <c:pt idx="636">
                  <c:v>13.894316991133461</c:v>
                </c:pt>
                <c:pt idx="637">
                  <c:v>13.401249175451923</c:v>
                </c:pt>
                <c:pt idx="638">
                  <c:v>14.895020350101035</c:v>
                </c:pt>
                <c:pt idx="639">
                  <c:v>15.589862586596912</c:v>
                </c:pt>
                <c:pt idx="640">
                  <c:v>15.42982023579618</c:v>
                </c:pt>
                <c:pt idx="641">
                  <c:v>14.458992352388439</c:v>
                </c:pt>
                <c:pt idx="642">
                  <c:v>16.426381060915528</c:v>
                </c:pt>
                <c:pt idx="643">
                  <c:v>17.575522981884141</c:v>
                </c:pt>
                <c:pt idx="644">
                  <c:v>19.533199999086186</c:v>
                </c:pt>
                <c:pt idx="645">
                  <c:v>18.735222634918212</c:v>
                </c:pt>
                <c:pt idx="646">
                  <c:v>19.200874910746556</c:v>
                </c:pt>
                <c:pt idx="647">
                  <c:v>19.79913368066007</c:v>
                </c:pt>
                <c:pt idx="648">
                  <c:v>20.524872043486699</c:v>
                </c:pt>
                <c:pt idx="649">
                  <c:v>19.710767205486135</c:v>
                </c:pt>
                <c:pt idx="650">
                  <c:v>19.863063538718002</c:v>
                </c:pt>
                <c:pt idx="651">
                  <c:v>19.198493018914828</c:v>
                </c:pt>
                <c:pt idx="652">
                  <c:v>19.747168493330879</c:v>
                </c:pt>
                <c:pt idx="653">
                  <c:v>15</c:v>
                </c:pt>
                <c:pt idx="654">
                  <c:v>12.198853919637575</c:v>
                </c:pt>
                <c:pt idx="655">
                  <c:v>13.211424872446647</c:v>
                </c:pt>
                <c:pt idx="656">
                  <c:v>14.542446993352337</c:v>
                </c:pt>
                <c:pt idx="657">
                  <c:v>14.542446993352337</c:v>
                </c:pt>
                <c:pt idx="658">
                  <c:v>13.904331462399872</c:v>
                </c:pt>
                <c:pt idx="659">
                  <c:v>14.659022933194189</c:v>
                </c:pt>
                <c:pt idx="660">
                  <c:v>14.439195603363263</c:v>
                </c:pt>
                <c:pt idx="661">
                  <c:v>13.865928598150637</c:v>
                </c:pt>
                <c:pt idx="662">
                  <c:v>14.490332920050488</c:v>
                </c:pt>
                <c:pt idx="663">
                  <c:v>15.257605346879581</c:v>
                </c:pt>
                <c:pt idx="664">
                  <c:v>14.712330769547568</c:v>
                </c:pt>
                <c:pt idx="665">
                  <c:v>14.027846236964583</c:v>
                </c:pt>
                <c:pt idx="666">
                  <c:v>14.944205059266633</c:v>
                </c:pt>
                <c:pt idx="667">
                  <c:v>14.528280773935871</c:v>
                </c:pt>
                <c:pt idx="668">
                  <c:v>14.290886169478384</c:v>
                </c:pt>
                <c:pt idx="669">
                  <c:v>13.795461991944199</c:v>
                </c:pt>
                <c:pt idx="670">
                  <c:v>13.145756839139969</c:v>
                </c:pt>
                <c:pt idx="671">
                  <c:v>13.505181760900166</c:v>
                </c:pt>
                <c:pt idx="672">
                  <c:v>13.316663588563538</c:v>
                </c:pt>
                <c:pt idx="673">
                  <c:v>12.498044901445898</c:v>
                </c:pt>
                <c:pt idx="674">
                  <c:v>12.738578717953597</c:v>
                </c:pt>
                <c:pt idx="675">
                  <c:v>13.50207278470403</c:v>
                </c:pt>
                <c:pt idx="676">
                  <c:v>13.780844638856518</c:v>
                </c:pt>
                <c:pt idx="677">
                  <c:v>14.03941585347898</c:v>
                </c:pt>
                <c:pt idx="678">
                  <c:v>14.240997759416526</c:v>
                </c:pt>
                <c:pt idx="679">
                  <c:v>13.305620878494329</c:v>
                </c:pt>
                <c:pt idx="680">
                  <c:v>13.247140290755157</c:v>
                </c:pt>
                <c:pt idx="681">
                  <c:v>13.114533586516933</c:v>
                </c:pt>
                <c:pt idx="682">
                  <c:v>13.140338127931464</c:v>
                </c:pt>
                <c:pt idx="683">
                  <c:v>12.838108869346947</c:v>
                </c:pt>
                <c:pt idx="684">
                  <c:v>12.834358087607312</c:v>
                </c:pt>
                <c:pt idx="685">
                  <c:v>13.537481298598784</c:v>
                </c:pt>
                <c:pt idx="686">
                  <c:v>14</c:v>
                </c:pt>
                <c:pt idx="687">
                  <c:v>13.9</c:v>
                </c:pt>
                <c:pt idx="688">
                  <c:v>13.8</c:v>
                </c:pt>
                <c:pt idx="689">
                  <c:v>14.4</c:v>
                </c:pt>
                <c:pt idx="690">
                  <c:v>14.9</c:v>
                </c:pt>
                <c:pt idx="691">
                  <c:v>15.5</c:v>
                </c:pt>
                <c:pt idx="692">
                  <c:v>15.6</c:v>
                </c:pt>
                <c:pt idx="693">
                  <c:v>15.939657406546047</c:v>
                </c:pt>
                <c:pt idx="694">
                  <c:v>16.381058443635922</c:v>
                </c:pt>
                <c:pt idx="695">
                  <c:v>16.059258047143057</c:v>
                </c:pt>
                <c:pt idx="696">
                  <c:v>15.529699775808291</c:v>
                </c:pt>
                <c:pt idx="697">
                  <c:v>16.078125666023972</c:v>
                </c:pt>
                <c:pt idx="698">
                  <c:v>15.666946306159748</c:v>
                </c:pt>
                <c:pt idx="699">
                  <c:v>15.283764438732049</c:v>
                </c:pt>
                <c:pt idx="700">
                  <c:v>14.556317666382467</c:v>
                </c:pt>
                <c:pt idx="701">
                  <c:v>15.13375084254298</c:v>
                </c:pt>
                <c:pt idx="702">
                  <c:v>15.665883632619154</c:v>
                </c:pt>
                <c:pt idx="703">
                  <c:v>14.097680893030098</c:v>
                </c:pt>
                <c:pt idx="704">
                  <c:v>14.596477697989439</c:v>
                </c:pt>
                <c:pt idx="705">
                  <c:v>12.142070322433371</c:v>
                </c:pt>
                <c:pt idx="706">
                  <c:v>12.208803322453715</c:v>
                </c:pt>
                <c:pt idx="707">
                  <c:v>12.041724118006968</c:v>
                </c:pt>
                <c:pt idx="708">
                  <c:v>12.000829947557353</c:v>
                </c:pt>
                <c:pt idx="709">
                  <c:v>12.33349217455398</c:v>
                </c:pt>
                <c:pt idx="710">
                  <c:v>11.909152424556293</c:v>
                </c:pt>
                <c:pt idx="711">
                  <c:v>11.488041233230909</c:v>
                </c:pt>
                <c:pt idx="712">
                  <c:v>11.492326536656373</c:v>
                </c:pt>
                <c:pt idx="713">
                  <c:v>11.888860190778738</c:v>
                </c:pt>
                <c:pt idx="714">
                  <c:v>12.305441051510716</c:v>
                </c:pt>
                <c:pt idx="715">
                  <c:v>12.210722464794372</c:v>
                </c:pt>
                <c:pt idx="716">
                  <c:v>12.527691155359724</c:v>
                </c:pt>
                <c:pt idx="717">
                  <c:v>12.630552425254921</c:v>
                </c:pt>
                <c:pt idx="718">
                  <c:v>12.827646250809357</c:v>
                </c:pt>
                <c:pt idx="719">
                  <c:v>12.904289140533416</c:v>
                </c:pt>
                <c:pt idx="720">
                  <c:v>13.10284068893364</c:v>
                </c:pt>
                <c:pt idx="721">
                  <c:v>12.858817419959266</c:v>
                </c:pt>
                <c:pt idx="722">
                  <c:v>13.223166225089292</c:v>
                </c:pt>
                <c:pt idx="723">
                  <c:v>13.053598723256229</c:v>
                </c:pt>
                <c:pt idx="724">
                  <c:v>13.139353141442504</c:v>
                </c:pt>
                <c:pt idx="725">
                  <c:v>13.227115018787407</c:v>
                </c:pt>
                <c:pt idx="726">
                  <c:v>13.669108359451252</c:v>
                </c:pt>
                <c:pt idx="727">
                  <c:v>13.508549702953852</c:v>
                </c:pt>
                <c:pt idx="728">
                  <c:v>13.442358093668597</c:v>
                </c:pt>
                <c:pt idx="729">
                  <c:v>13.192722206668044</c:v>
                </c:pt>
                <c:pt idx="730">
                  <c:v>13.192722206668044</c:v>
                </c:pt>
                <c:pt idx="731">
                  <c:v>13.192722206668044</c:v>
                </c:pt>
                <c:pt idx="732">
                  <c:v>13.524583094435291</c:v>
                </c:pt>
                <c:pt idx="733">
                  <c:v>13.644876698784413</c:v>
                </c:pt>
                <c:pt idx="734">
                  <c:v>13.01521492582496</c:v>
                </c:pt>
                <c:pt idx="735">
                  <c:v>13.1</c:v>
                </c:pt>
                <c:pt idx="736">
                  <c:v>13.25</c:v>
                </c:pt>
                <c:pt idx="737">
                  <c:v>13.1456464</c:v>
                </c:pt>
                <c:pt idx="738">
                  <c:v>13.4</c:v>
                </c:pt>
                <c:pt idx="739">
                  <c:v>13.5</c:v>
                </c:pt>
                <c:pt idx="740">
                  <c:v>13.32</c:v>
                </c:pt>
                <c:pt idx="741">
                  <c:v>13.3</c:v>
                </c:pt>
                <c:pt idx="742">
                  <c:v>13.525685023629734</c:v>
                </c:pt>
                <c:pt idx="743">
                  <c:v>13.56328657087955</c:v>
                </c:pt>
                <c:pt idx="744">
                  <c:v>13.361208098028348</c:v>
                </c:pt>
                <c:pt idx="745">
                  <c:v>13.279625338730852</c:v>
                </c:pt>
                <c:pt idx="746">
                  <c:v>13.391306559133138</c:v>
                </c:pt>
                <c:pt idx="747">
                  <c:v>13.36900962724223</c:v>
                </c:pt>
                <c:pt idx="748">
                  <c:v>13.059360821013641</c:v>
                </c:pt>
                <c:pt idx="749">
                  <c:v>13.263859836355925</c:v>
                </c:pt>
                <c:pt idx="750">
                  <c:v>12.998782891450057</c:v>
                </c:pt>
                <c:pt idx="751">
                  <c:v>12.953797872693105</c:v>
                </c:pt>
                <c:pt idx="752">
                  <c:v>12.557718490674809</c:v>
                </c:pt>
                <c:pt idx="753">
                  <c:v>12.494369649279253</c:v>
                </c:pt>
                <c:pt idx="754">
                  <c:v>12.371759420007749</c:v>
                </c:pt>
                <c:pt idx="755">
                  <c:v>12.845236415920926</c:v>
                </c:pt>
                <c:pt idx="756">
                  <c:v>12.845236415920926</c:v>
                </c:pt>
                <c:pt idx="757">
                  <c:v>11.208773212063186</c:v>
                </c:pt>
                <c:pt idx="758">
                  <c:v>11.122111348710552</c:v>
                </c:pt>
                <c:pt idx="759">
                  <c:v>11.185108962742273</c:v>
                </c:pt>
                <c:pt idx="760">
                  <c:v>11.069869593820854</c:v>
                </c:pt>
                <c:pt idx="761">
                  <c:v>9.9859560674084236</c:v>
                </c:pt>
                <c:pt idx="762">
                  <c:v>10.039730004554091</c:v>
                </c:pt>
                <c:pt idx="763">
                  <c:v>9.2079443839467068</c:v>
                </c:pt>
                <c:pt idx="764">
                  <c:v>9.5014077961698629</c:v>
                </c:pt>
                <c:pt idx="765">
                  <c:v>9.5014077961698629</c:v>
                </c:pt>
                <c:pt idx="766">
                  <c:v>9.3704557889881634</c:v>
                </c:pt>
                <c:pt idx="767">
                  <c:v>9.9574755505394563</c:v>
                </c:pt>
                <c:pt idx="768">
                  <c:v>9.3924243136032324</c:v>
                </c:pt>
                <c:pt idx="769">
                  <c:v>9.5608190161572537</c:v>
                </c:pt>
                <c:pt idx="770">
                  <c:v>9.5660469649842597</c:v>
                </c:pt>
                <c:pt idx="771">
                  <c:v>9.5660469649842597</c:v>
                </c:pt>
                <c:pt idx="772">
                  <c:v>9.5660469649842597</c:v>
                </c:pt>
                <c:pt idx="773">
                  <c:v>11.183617938880076</c:v>
                </c:pt>
                <c:pt idx="774">
                  <c:v>11.12387428834877</c:v>
                </c:pt>
                <c:pt idx="775">
                  <c:v>11.183815055306741</c:v>
                </c:pt>
                <c:pt idx="776">
                  <c:v>10.923627678523738</c:v>
                </c:pt>
                <c:pt idx="777">
                  <c:v>10.923627678523738</c:v>
                </c:pt>
                <c:pt idx="778">
                  <c:v>11.599989066345291</c:v>
                </c:pt>
                <c:pt idx="779">
                  <c:v>11.234335404278088</c:v>
                </c:pt>
                <c:pt idx="780">
                  <c:v>11.36841258789774</c:v>
                </c:pt>
                <c:pt idx="781">
                  <c:v>11.378656814638688</c:v>
                </c:pt>
                <c:pt idx="782">
                  <c:v>11.671663230459066</c:v>
                </c:pt>
                <c:pt idx="783">
                  <c:v>11.818961168569636</c:v>
                </c:pt>
                <c:pt idx="784">
                  <c:v>11.855185497065884</c:v>
                </c:pt>
                <c:pt idx="785">
                  <c:v>12.432680394621471</c:v>
                </c:pt>
                <c:pt idx="786">
                  <c:v>12.418119046871999</c:v>
                </c:pt>
                <c:pt idx="787">
                  <c:v>13.407033457049607</c:v>
                </c:pt>
                <c:pt idx="788">
                  <c:v>13.448328000373708</c:v>
                </c:pt>
                <c:pt idx="789">
                  <c:v>13.814540751175246</c:v>
                </c:pt>
                <c:pt idx="790">
                  <c:v>13.793275326240792</c:v>
                </c:pt>
                <c:pt idx="791">
                  <c:v>13.669040155250833</c:v>
                </c:pt>
                <c:pt idx="792">
                  <c:v>13.669040155250833</c:v>
                </c:pt>
                <c:pt idx="793">
                  <c:v>13.802412992886225</c:v>
                </c:pt>
                <c:pt idx="794">
                  <c:v>14.151763431195919</c:v>
                </c:pt>
                <c:pt idx="795">
                  <c:v>14.164613005476459</c:v>
                </c:pt>
                <c:pt idx="796">
                  <c:v>14.143020964900295</c:v>
                </c:pt>
                <c:pt idx="797">
                  <c:v>14.044764860126934</c:v>
                </c:pt>
                <c:pt idx="798">
                  <c:v>14.317495179886613</c:v>
                </c:pt>
                <c:pt idx="799">
                  <c:v>14.433443507279069</c:v>
                </c:pt>
                <c:pt idx="800">
                  <c:v>14.249359404968471</c:v>
                </c:pt>
                <c:pt idx="801">
                  <c:v>14.351742820214472</c:v>
                </c:pt>
                <c:pt idx="802">
                  <c:v>14.675991196175621</c:v>
                </c:pt>
                <c:pt idx="803">
                  <c:v>14.812087928157386</c:v>
                </c:pt>
                <c:pt idx="804">
                  <c:v>14.420332297120252</c:v>
                </c:pt>
                <c:pt idx="805">
                  <c:v>15.027699311055919</c:v>
                </c:pt>
                <c:pt idx="806">
                  <c:v>14.958944442260254</c:v>
                </c:pt>
                <c:pt idx="807">
                  <c:v>15.221716210806822</c:v>
                </c:pt>
                <c:pt idx="808">
                  <c:v>15.536594435589674</c:v>
                </c:pt>
                <c:pt idx="809">
                  <c:v>13.534155840770934</c:v>
                </c:pt>
                <c:pt idx="810">
                  <c:v>13.56923454120586</c:v>
                </c:pt>
                <c:pt idx="811">
                  <c:v>13.543423845177635</c:v>
                </c:pt>
                <c:pt idx="812">
                  <c:v>13.471910956875929</c:v>
                </c:pt>
                <c:pt idx="813">
                  <c:v>13.414539692129752</c:v>
                </c:pt>
                <c:pt idx="814">
                  <c:v>13.414539692129752</c:v>
                </c:pt>
                <c:pt idx="815">
                  <c:v>13.588938576461487</c:v>
                </c:pt>
                <c:pt idx="816">
                  <c:v>13.613642879128356</c:v>
                </c:pt>
                <c:pt idx="817">
                  <c:v>13.443019465396741</c:v>
                </c:pt>
                <c:pt idx="818">
                  <c:v>13.947663247070103</c:v>
                </c:pt>
                <c:pt idx="819">
                  <c:v>14.300035770207977</c:v>
                </c:pt>
                <c:pt idx="820">
                  <c:v>14.130906871130998</c:v>
                </c:pt>
                <c:pt idx="821">
                  <c:v>13.726401562171963</c:v>
                </c:pt>
                <c:pt idx="822">
                  <c:v>13.43999156820049</c:v>
                </c:pt>
                <c:pt idx="823">
                  <c:v>13.43999156820049</c:v>
                </c:pt>
                <c:pt idx="824">
                  <c:v>13.825085142616295</c:v>
                </c:pt>
                <c:pt idx="825">
                  <c:v>14.222427793955916</c:v>
                </c:pt>
                <c:pt idx="826">
                  <c:v>14.268306653422412</c:v>
                </c:pt>
                <c:pt idx="827">
                  <c:v>13.825997793659553</c:v>
                </c:pt>
                <c:pt idx="828">
                  <c:v>13.661231319513972</c:v>
                </c:pt>
                <c:pt idx="829">
                  <c:v>13.937367413965493</c:v>
                </c:pt>
                <c:pt idx="830">
                  <c:v>14.23790256613546</c:v>
                </c:pt>
                <c:pt idx="831">
                  <c:v>14.314865931979897</c:v>
                </c:pt>
                <c:pt idx="832">
                  <c:v>13.572097500472916</c:v>
                </c:pt>
                <c:pt idx="833">
                  <c:v>14.517053992883392</c:v>
                </c:pt>
                <c:pt idx="834">
                  <c:v>14.229615446844507</c:v>
                </c:pt>
                <c:pt idx="835">
                  <c:v>14.463919546750112</c:v>
                </c:pt>
                <c:pt idx="836">
                  <c:v>14.646792990535495</c:v>
                </c:pt>
                <c:pt idx="837">
                  <c:v>14.760861619374307</c:v>
                </c:pt>
                <c:pt idx="838">
                  <c:v>14.834276659987292</c:v>
                </c:pt>
                <c:pt idx="839">
                  <c:v>14.990723974905908</c:v>
                </c:pt>
                <c:pt idx="840">
                  <c:v>14.457044118134181</c:v>
                </c:pt>
                <c:pt idx="841">
                  <c:v>14.666862137676652</c:v>
                </c:pt>
                <c:pt idx="842">
                  <c:v>14.509263509001521</c:v>
                </c:pt>
                <c:pt idx="843">
                  <c:v>14.497144508801869</c:v>
                </c:pt>
                <c:pt idx="844">
                  <c:v>14.183243119982869</c:v>
                </c:pt>
                <c:pt idx="845">
                  <c:v>14.137886701598029</c:v>
                </c:pt>
                <c:pt idx="846">
                  <c:v>13.951127778983938</c:v>
                </c:pt>
                <c:pt idx="847">
                  <c:v>14.596873803935589</c:v>
                </c:pt>
                <c:pt idx="848">
                  <c:v>14.17788614843834</c:v>
                </c:pt>
                <c:pt idx="849">
                  <c:v>14.376955647784625</c:v>
                </c:pt>
                <c:pt idx="850">
                  <c:v>14.358001064990844</c:v>
                </c:pt>
                <c:pt idx="851">
                  <c:v>14.965054149622814</c:v>
                </c:pt>
                <c:pt idx="852">
                  <c:v>15.167056064655466</c:v>
                </c:pt>
                <c:pt idx="853">
                  <c:v>15.346626197431485</c:v>
                </c:pt>
                <c:pt idx="854">
                  <c:v>15.868854437163208</c:v>
                </c:pt>
                <c:pt idx="855">
                  <c:v>15.141370101759749</c:v>
                </c:pt>
                <c:pt idx="856">
                  <c:v>15.911037783331023</c:v>
                </c:pt>
                <c:pt idx="857">
                  <c:v>15.807458191908577</c:v>
                </c:pt>
                <c:pt idx="858">
                  <c:v>15.856033578460563</c:v>
                </c:pt>
                <c:pt idx="859">
                  <c:v>15.594522526706177</c:v>
                </c:pt>
                <c:pt idx="860">
                  <c:v>15.491867547299085</c:v>
                </c:pt>
                <c:pt idx="861">
                  <c:v>16.455003803621132</c:v>
                </c:pt>
                <c:pt idx="862">
                  <c:v>16.977782283831921</c:v>
                </c:pt>
                <c:pt idx="863">
                  <c:v>17.265924058602028</c:v>
                </c:pt>
                <c:pt idx="864">
                  <c:v>17.233919670656082</c:v>
                </c:pt>
                <c:pt idx="865">
                  <c:v>17.454341974203857</c:v>
                </c:pt>
                <c:pt idx="866">
                  <c:v>17.059057371554484</c:v>
                </c:pt>
                <c:pt idx="867">
                  <c:v>16.852496323101832</c:v>
                </c:pt>
                <c:pt idx="868">
                  <c:v>16.894060252001864</c:v>
                </c:pt>
                <c:pt idx="869">
                  <c:v>16.592264001335899</c:v>
                </c:pt>
                <c:pt idx="870">
                  <c:v>16.8669398051677</c:v>
                </c:pt>
                <c:pt idx="871">
                  <c:v>17.23501320955285</c:v>
                </c:pt>
                <c:pt idx="872">
                  <c:v>17.590185598004634</c:v>
                </c:pt>
                <c:pt idx="873">
                  <c:v>17.897681310815805</c:v>
                </c:pt>
                <c:pt idx="874">
                  <c:v>18.220470735538647</c:v>
                </c:pt>
                <c:pt idx="875">
                  <c:v>18.563730833710991</c:v>
                </c:pt>
                <c:pt idx="876">
                  <c:v>19.431614692236408</c:v>
                </c:pt>
                <c:pt idx="877">
                  <c:v>19.449613592513892</c:v>
                </c:pt>
                <c:pt idx="878">
                  <c:v>19.441070615333278</c:v>
                </c:pt>
                <c:pt idx="879">
                  <c:v>19.830108959823949</c:v>
                </c:pt>
                <c:pt idx="880">
                  <c:v>20.540528115918104</c:v>
                </c:pt>
                <c:pt idx="881">
                  <c:v>20.175855897040794</c:v>
                </c:pt>
                <c:pt idx="882">
                  <c:v>20.214234570546115</c:v>
                </c:pt>
                <c:pt idx="883">
                  <c:v>20.49950011272897</c:v>
                </c:pt>
                <c:pt idx="884">
                  <c:v>19.497104529709475</c:v>
                </c:pt>
                <c:pt idx="885">
                  <c:v>20.364914690190485</c:v>
                </c:pt>
                <c:pt idx="886">
                  <c:v>20.535142996508036</c:v>
                </c:pt>
                <c:pt idx="887">
                  <c:v>20.334912816276898</c:v>
                </c:pt>
                <c:pt idx="888">
                  <c:v>20.133790222372561</c:v>
                </c:pt>
                <c:pt idx="889">
                  <c:v>19.554005601908724</c:v>
                </c:pt>
                <c:pt idx="890">
                  <c:v>18.677639336069397</c:v>
                </c:pt>
                <c:pt idx="891">
                  <c:v>18.572250060248404</c:v>
                </c:pt>
                <c:pt idx="892">
                  <c:v>20.770688244123686</c:v>
                </c:pt>
                <c:pt idx="893">
                  <c:v>21.097993408839624</c:v>
                </c:pt>
                <c:pt idx="894">
                  <c:v>21.25463688528939</c:v>
                </c:pt>
                <c:pt idx="895">
                  <c:v>21.152522543134648</c:v>
                </c:pt>
                <c:pt idx="896">
                  <c:v>21.297620555668122</c:v>
                </c:pt>
                <c:pt idx="897">
                  <c:v>20.747299190316252</c:v>
                </c:pt>
                <c:pt idx="898">
                  <c:v>20.949277123832996</c:v>
                </c:pt>
                <c:pt idx="899">
                  <c:v>19.937850209144518</c:v>
                </c:pt>
                <c:pt idx="900">
                  <c:v>19.831945879520728</c:v>
                </c:pt>
                <c:pt idx="901">
                  <c:v>19.24406239179801</c:v>
                </c:pt>
                <c:pt idx="902">
                  <c:v>20.00002603212284</c:v>
                </c:pt>
                <c:pt idx="903">
                  <c:v>19.178903806901278</c:v>
                </c:pt>
                <c:pt idx="904">
                  <c:v>19.220749349850625</c:v>
                </c:pt>
                <c:pt idx="905">
                  <c:v>18.946216643656019</c:v>
                </c:pt>
                <c:pt idx="906">
                  <c:v>16.25289553028345</c:v>
                </c:pt>
                <c:pt idx="907">
                  <c:v>16.813751930374124</c:v>
                </c:pt>
                <c:pt idx="908">
                  <c:v>16.816211524003741</c:v>
                </c:pt>
                <c:pt idx="909">
                  <c:v>16.92418072628012</c:v>
                </c:pt>
                <c:pt idx="910">
                  <c:v>16.516109257569994</c:v>
                </c:pt>
                <c:pt idx="911">
                  <c:v>16.858299430207605</c:v>
                </c:pt>
                <c:pt idx="912">
                  <c:v>17.02174012517327</c:v>
                </c:pt>
                <c:pt idx="913">
                  <c:v>17.037321666310529</c:v>
                </c:pt>
                <c:pt idx="914">
                  <c:v>16.474560030203541</c:v>
                </c:pt>
                <c:pt idx="915">
                  <c:v>16.303721421507362</c:v>
                </c:pt>
                <c:pt idx="916">
                  <c:v>16.101482688978624</c:v>
                </c:pt>
                <c:pt idx="917">
                  <c:v>15.707281228146424</c:v>
                </c:pt>
                <c:pt idx="918">
                  <c:v>15.929469628381407</c:v>
                </c:pt>
                <c:pt idx="919">
                  <c:v>15.83896905568526</c:v>
                </c:pt>
                <c:pt idx="920">
                  <c:v>15.931647150728002</c:v>
                </c:pt>
                <c:pt idx="921">
                  <c:v>15.991012451181708</c:v>
                </c:pt>
                <c:pt idx="922">
                  <c:v>16.113517455390149</c:v>
                </c:pt>
                <c:pt idx="923">
                  <c:v>15.707794667680544</c:v>
                </c:pt>
                <c:pt idx="924">
                  <c:v>15.341289057130224</c:v>
                </c:pt>
                <c:pt idx="925">
                  <c:v>15.037893715436104</c:v>
                </c:pt>
                <c:pt idx="926">
                  <c:v>14.806076641716746</c:v>
                </c:pt>
                <c:pt idx="927">
                  <c:v>14.443031741776057</c:v>
                </c:pt>
                <c:pt idx="928">
                  <c:v>14.752565495303129</c:v>
                </c:pt>
                <c:pt idx="929">
                  <c:v>15.009206601724143</c:v>
                </c:pt>
                <c:pt idx="930">
                  <c:v>16.285337867545053</c:v>
                </c:pt>
                <c:pt idx="931">
                  <c:v>16.50836715937201</c:v>
                </c:pt>
                <c:pt idx="932">
                  <c:v>16.216157532094236</c:v>
                </c:pt>
                <c:pt idx="933">
                  <c:v>16.375797949966621</c:v>
                </c:pt>
                <c:pt idx="934">
                  <c:v>16.599356047283056</c:v>
                </c:pt>
                <c:pt idx="935">
                  <c:v>16.957652482747715</c:v>
                </c:pt>
                <c:pt idx="936">
                  <c:v>17.643305765565419</c:v>
                </c:pt>
                <c:pt idx="937">
                  <c:v>17.164210640974968</c:v>
                </c:pt>
                <c:pt idx="938">
                  <c:v>17.4952908943397</c:v>
                </c:pt>
                <c:pt idx="939">
                  <c:v>17.076031183691789</c:v>
                </c:pt>
                <c:pt idx="940">
                  <c:v>16.937984673246191</c:v>
                </c:pt>
                <c:pt idx="941">
                  <c:v>16.883699846340839</c:v>
                </c:pt>
                <c:pt idx="942">
                  <c:v>17.210756131305466</c:v>
                </c:pt>
                <c:pt idx="943">
                  <c:v>16.77892392015654</c:v>
                </c:pt>
                <c:pt idx="944">
                  <c:v>16.938114745428404</c:v>
                </c:pt>
                <c:pt idx="945">
                  <c:v>17.033089392699129</c:v>
                </c:pt>
                <c:pt idx="946">
                  <c:v>17.142291114800823</c:v>
                </c:pt>
                <c:pt idx="947">
                  <c:v>17.395271198197836</c:v>
                </c:pt>
                <c:pt idx="948">
                  <c:v>17.235070807258325</c:v>
                </c:pt>
                <c:pt idx="949">
                  <c:v>17.138611777774788</c:v>
                </c:pt>
                <c:pt idx="950">
                  <c:v>17.362359112593712</c:v>
                </c:pt>
                <c:pt idx="951">
                  <c:v>16.897203726662696</c:v>
                </c:pt>
                <c:pt idx="952">
                  <c:v>16.945925784536023</c:v>
                </c:pt>
                <c:pt idx="953">
                  <c:v>17.055310093291137</c:v>
                </c:pt>
                <c:pt idx="954">
                  <c:v>16.912993162942062</c:v>
                </c:pt>
                <c:pt idx="955">
                  <c:v>17.037012091934333</c:v>
                </c:pt>
                <c:pt idx="956">
                  <c:v>16.354849357439715</c:v>
                </c:pt>
                <c:pt idx="957">
                  <c:v>16.507350090799061</c:v>
                </c:pt>
                <c:pt idx="958">
                  <c:v>16.59737241513621</c:v>
                </c:pt>
                <c:pt idx="959">
                  <c:v>18.271587231816355</c:v>
                </c:pt>
                <c:pt idx="960">
                  <c:v>16.470118946064385</c:v>
                </c:pt>
                <c:pt idx="961">
                  <c:v>18.205857990392843</c:v>
                </c:pt>
                <c:pt idx="962">
                  <c:v>19.43483460474949</c:v>
                </c:pt>
                <c:pt idx="963">
                  <c:v>19.590271928182723</c:v>
                </c:pt>
                <c:pt idx="964">
                  <c:v>16.166872695193774</c:v>
                </c:pt>
                <c:pt idx="965">
                  <c:v>15.531541430273402</c:v>
                </c:pt>
                <c:pt idx="966">
                  <c:v>15.575217499778656</c:v>
                </c:pt>
                <c:pt idx="967">
                  <c:v>15.823493633073374</c:v>
                </c:pt>
                <c:pt idx="968">
                  <c:v>15.338685212256211</c:v>
                </c:pt>
                <c:pt idx="969">
                  <c:v>15.814587640760143</c:v>
                </c:pt>
                <c:pt idx="970">
                  <c:v>16.075880056132227</c:v>
                </c:pt>
                <c:pt idx="971">
                  <c:v>15.767329246603746</c:v>
                </c:pt>
                <c:pt idx="972">
                  <c:v>14.899769161627018</c:v>
                </c:pt>
                <c:pt idx="973">
                  <c:v>14.932596575897954</c:v>
                </c:pt>
                <c:pt idx="974">
                  <c:v>14.444995009388537</c:v>
                </c:pt>
                <c:pt idx="975">
                  <c:v>14.375575052189687</c:v>
                </c:pt>
                <c:pt idx="976">
                  <c:v>14.472460959677287</c:v>
                </c:pt>
                <c:pt idx="977">
                  <c:v>14.32602098828243</c:v>
                </c:pt>
                <c:pt idx="978">
                  <c:v>14.260759860567671</c:v>
                </c:pt>
                <c:pt idx="979">
                  <c:v>15.162782735878579</c:v>
                </c:pt>
                <c:pt idx="980">
                  <c:v>15.420186692348583</c:v>
                </c:pt>
                <c:pt idx="981">
                  <c:v>15.737569456077779</c:v>
                </c:pt>
                <c:pt idx="982">
                  <c:v>15.720905992209335</c:v>
                </c:pt>
                <c:pt idx="983">
                  <c:v>15.430616013974063</c:v>
                </c:pt>
                <c:pt idx="984">
                  <c:v>14.796799810880994</c:v>
                </c:pt>
                <c:pt idx="985">
                  <c:v>15.168256636329971</c:v>
                </c:pt>
                <c:pt idx="986">
                  <c:v>15.383262616354058</c:v>
                </c:pt>
                <c:pt idx="987">
                  <c:v>15.373847259463142</c:v>
                </c:pt>
                <c:pt idx="988">
                  <c:v>14.888598329504012</c:v>
                </c:pt>
                <c:pt idx="989">
                  <c:v>14.858831875600604</c:v>
                </c:pt>
                <c:pt idx="990">
                  <c:v>15.091794947014812</c:v>
                </c:pt>
                <c:pt idx="991">
                  <c:v>14.679630092147882</c:v>
                </c:pt>
                <c:pt idx="992">
                  <c:v>13.493179294966396</c:v>
                </c:pt>
                <c:pt idx="993">
                  <c:v>13.330656303541783</c:v>
                </c:pt>
                <c:pt idx="994">
                  <c:v>13.503883544197436</c:v>
                </c:pt>
                <c:pt idx="995">
                  <c:v>13.646047128954766</c:v>
                </c:pt>
                <c:pt idx="996">
                  <c:v>13.497162471880394</c:v>
                </c:pt>
                <c:pt idx="997">
                  <c:v>13.457387104734449</c:v>
                </c:pt>
                <c:pt idx="998">
                  <c:v>13.905953893515992</c:v>
                </c:pt>
                <c:pt idx="999">
                  <c:v>14.268258096009639</c:v>
                </c:pt>
                <c:pt idx="1000">
                  <c:v>14.976842212433999</c:v>
                </c:pt>
                <c:pt idx="1001">
                  <c:v>14.375853650058737</c:v>
                </c:pt>
                <c:pt idx="1002">
                  <c:v>13.756548629320942</c:v>
                </c:pt>
              </c:numCache>
            </c:numRef>
          </c:val>
          <c:smooth val="0"/>
          <c:extLst>
            <c:ext xmlns:c16="http://schemas.microsoft.com/office/drawing/2014/chart" uri="{C3380CC4-5D6E-409C-BE32-E72D297353CC}">
              <c16:uniqueId val="{00000002-1830-48A6-A779-4C0B64650E3D}"/>
            </c:ext>
          </c:extLst>
        </c:ser>
        <c:dLbls>
          <c:showLegendKey val="0"/>
          <c:showVal val="0"/>
          <c:showCatName val="0"/>
          <c:showSerName val="0"/>
          <c:showPercent val="0"/>
          <c:showBubbleSize val="0"/>
        </c:dLbls>
        <c:smooth val="0"/>
        <c:axId val="254124416"/>
        <c:axId val="254125952"/>
      </c:lineChart>
      <c:dateAx>
        <c:axId val="254124416"/>
        <c:scaling>
          <c:orientation val="minMax"/>
        </c:scaling>
        <c:delete val="0"/>
        <c:axPos val="b"/>
        <c:numFmt formatCode="[$-409]mmm\-yy;@" sourceLinked="0"/>
        <c:majorTickMark val="none"/>
        <c:minorTickMark val="none"/>
        <c:tickLblPos val="nextTo"/>
        <c:spPr>
          <a:ln w="9525">
            <a:noFill/>
          </a:ln>
        </c:spPr>
        <c:txPr>
          <a:bodyPr rot="-4500000" vert="horz"/>
          <a:lstStyle/>
          <a:p>
            <a:pPr>
              <a:defRPr sz="800" b="0" i="0" u="none" strike="noStrike" baseline="0">
                <a:solidFill>
                  <a:srgbClr val="000000"/>
                </a:solidFill>
                <a:latin typeface="Book Antiqua"/>
                <a:ea typeface="Book Antiqua"/>
                <a:cs typeface="Book Antiqua"/>
              </a:defRPr>
            </a:pPr>
            <a:endParaRPr lang="en-US"/>
          </a:p>
        </c:txPr>
        <c:crossAx val="254125952"/>
        <c:crosses val="autoZero"/>
        <c:auto val="1"/>
        <c:lblOffset val="100"/>
        <c:baseTimeUnit val="days"/>
        <c:majorUnit val="12"/>
        <c:majorTimeUnit val="months"/>
        <c:minorUnit val="1"/>
        <c:minorTimeUnit val="months"/>
      </c:dateAx>
      <c:valAx>
        <c:axId val="254125952"/>
        <c:scaling>
          <c:orientation val="minMax"/>
          <c:max val="60"/>
          <c:min val="0"/>
        </c:scaling>
        <c:delete val="0"/>
        <c:axPos val="l"/>
        <c:majorGridlines>
          <c:spPr>
            <a:ln w="3175">
              <a:solidFill>
                <a:srgbClr val="C0C0C0"/>
              </a:solidFill>
              <a:prstDash val="sysDash"/>
            </a:ln>
          </c:spPr>
        </c:majorGridlines>
        <c:numFmt formatCode="0.0\x" sourceLinked="1"/>
        <c:majorTickMark val="none"/>
        <c:minorTickMark val="none"/>
        <c:tickLblPos val="nextTo"/>
        <c:spPr>
          <a:ln w="9525">
            <a:noFill/>
          </a:ln>
        </c:spPr>
        <c:txPr>
          <a:bodyPr rot="0" vert="horz"/>
          <a:lstStyle/>
          <a:p>
            <a:pPr>
              <a:defRPr sz="800" b="0" i="0" u="none" strike="noStrike" baseline="0">
                <a:solidFill>
                  <a:srgbClr val="000000"/>
                </a:solidFill>
                <a:latin typeface="Book Antiqua"/>
                <a:ea typeface="Book Antiqua"/>
                <a:cs typeface="Book Antiqua"/>
              </a:defRPr>
            </a:pPr>
            <a:endParaRPr lang="en-US"/>
          </a:p>
        </c:txPr>
        <c:crossAx val="254124416"/>
        <c:crosses val="autoZero"/>
        <c:crossBetween val="between"/>
        <c:majorUnit val="10"/>
      </c:valAx>
      <c:spPr>
        <a:noFill/>
        <a:ln w="25400">
          <a:noFill/>
        </a:ln>
      </c:spPr>
    </c:plotArea>
    <c:legend>
      <c:legendPos val="r"/>
      <c:layout>
        <c:manualLayout>
          <c:xMode val="edge"/>
          <c:yMode val="edge"/>
          <c:x val="0.49626954096233583"/>
          <c:y val="3.6923076923076927E-2"/>
          <c:w val="0.28482636659125266"/>
          <c:h val="0.24000032303654348"/>
        </c:manualLayout>
      </c:layout>
      <c:overlay val="0"/>
      <c:spPr>
        <a:noFill/>
        <a:ln w="25400">
          <a:noFill/>
        </a:ln>
      </c:spPr>
      <c:txPr>
        <a:bodyPr/>
        <a:lstStyle/>
        <a:p>
          <a:pPr>
            <a:defRPr sz="475" b="0" i="0" u="none" strike="noStrike" baseline="0">
              <a:solidFill>
                <a:srgbClr val="000000"/>
              </a:solidFill>
              <a:latin typeface="Book Antiqua"/>
              <a:ea typeface="Book Antiqua"/>
              <a:cs typeface="Book Antiqua"/>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Book Antiqua"/>
          <a:ea typeface="Book Antiqua"/>
          <a:cs typeface="Book Antiqua"/>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SaaS EV/Forward</a:t>
            </a:r>
            <a:r>
              <a:rPr lang="en-US" b="1" baseline="0"/>
              <a:t> Sales Multiples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98276443078239E-2"/>
          <c:y val="8.2975391498881432E-2"/>
          <c:w val="0.86670905524916375"/>
          <c:h val="0.70093319016941069"/>
        </c:manualLayout>
      </c:layout>
      <c:lineChart>
        <c:grouping val="standard"/>
        <c:varyColors val="0"/>
        <c:ser>
          <c:idx val="0"/>
          <c:order val="0"/>
          <c:tx>
            <c:strRef>
              <c:f>Sheet1!$P$1</c:f>
              <c:strCache>
                <c:ptCount val="1"/>
                <c:pt idx="0">
                  <c:v>Composite</c:v>
                </c:pt>
              </c:strCache>
            </c:strRef>
          </c:tx>
          <c:spPr>
            <a:ln w="28575" cap="rnd">
              <a:solidFill>
                <a:schemeClr val="accent1"/>
              </a:solidFill>
              <a:round/>
            </a:ln>
            <a:effectLst/>
          </c:spPr>
          <c:marker>
            <c:symbol val="none"/>
          </c:marker>
          <c:dLbls>
            <c:dLbl>
              <c:idx val="23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F84-4ABA-AB92-6F534B99E7C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Sheet1!$O$2:$O$239</c:f>
              <c:numCache>
                <c:formatCode>m/d/yyyy</c:formatCode>
                <c:ptCount val="238"/>
                <c:pt idx="0">
                  <c:v>43423</c:v>
                </c:pt>
                <c:pt idx="1">
                  <c:v>43420</c:v>
                </c:pt>
                <c:pt idx="2">
                  <c:v>43419</c:v>
                </c:pt>
                <c:pt idx="3">
                  <c:v>43418</c:v>
                </c:pt>
                <c:pt idx="4">
                  <c:v>43417</c:v>
                </c:pt>
                <c:pt idx="5">
                  <c:v>43416</c:v>
                </c:pt>
                <c:pt idx="6">
                  <c:v>43413</c:v>
                </c:pt>
                <c:pt idx="7">
                  <c:v>43412</c:v>
                </c:pt>
                <c:pt idx="8">
                  <c:v>43411</c:v>
                </c:pt>
                <c:pt idx="9">
                  <c:v>43410</c:v>
                </c:pt>
                <c:pt idx="10">
                  <c:v>43409</c:v>
                </c:pt>
                <c:pt idx="11">
                  <c:v>43406</c:v>
                </c:pt>
                <c:pt idx="12">
                  <c:v>43405</c:v>
                </c:pt>
                <c:pt idx="13">
                  <c:v>43404</c:v>
                </c:pt>
                <c:pt idx="14">
                  <c:v>43403</c:v>
                </c:pt>
                <c:pt idx="15">
                  <c:v>43402</c:v>
                </c:pt>
                <c:pt idx="16">
                  <c:v>43399</c:v>
                </c:pt>
                <c:pt idx="17">
                  <c:v>43398</c:v>
                </c:pt>
                <c:pt idx="18">
                  <c:v>43397</c:v>
                </c:pt>
                <c:pt idx="19">
                  <c:v>43396</c:v>
                </c:pt>
                <c:pt idx="20">
                  <c:v>43395</c:v>
                </c:pt>
                <c:pt idx="21">
                  <c:v>43392</c:v>
                </c:pt>
                <c:pt idx="22">
                  <c:v>43391</c:v>
                </c:pt>
                <c:pt idx="23">
                  <c:v>43390</c:v>
                </c:pt>
                <c:pt idx="24">
                  <c:v>43389</c:v>
                </c:pt>
                <c:pt idx="25">
                  <c:v>43388</c:v>
                </c:pt>
                <c:pt idx="26">
                  <c:v>43385</c:v>
                </c:pt>
                <c:pt idx="27">
                  <c:v>43384</c:v>
                </c:pt>
                <c:pt idx="28">
                  <c:v>43383</c:v>
                </c:pt>
                <c:pt idx="29">
                  <c:v>43382</c:v>
                </c:pt>
                <c:pt idx="30">
                  <c:v>43381</c:v>
                </c:pt>
                <c:pt idx="31">
                  <c:v>43378</c:v>
                </c:pt>
                <c:pt idx="32">
                  <c:v>43377</c:v>
                </c:pt>
                <c:pt idx="33">
                  <c:v>43376</c:v>
                </c:pt>
                <c:pt idx="34">
                  <c:v>43375</c:v>
                </c:pt>
                <c:pt idx="35">
                  <c:v>43374</c:v>
                </c:pt>
                <c:pt idx="36">
                  <c:v>43371</c:v>
                </c:pt>
                <c:pt idx="37">
                  <c:v>43370</c:v>
                </c:pt>
                <c:pt idx="38">
                  <c:v>43369</c:v>
                </c:pt>
                <c:pt idx="39">
                  <c:v>43368</c:v>
                </c:pt>
                <c:pt idx="40">
                  <c:v>43367</c:v>
                </c:pt>
                <c:pt idx="41">
                  <c:v>43364</c:v>
                </c:pt>
                <c:pt idx="42">
                  <c:v>43363</c:v>
                </c:pt>
                <c:pt idx="43">
                  <c:v>43362</c:v>
                </c:pt>
                <c:pt idx="44">
                  <c:v>43361</c:v>
                </c:pt>
                <c:pt idx="45">
                  <c:v>43360</c:v>
                </c:pt>
                <c:pt idx="46">
                  <c:v>43357</c:v>
                </c:pt>
                <c:pt idx="47">
                  <c:v>43356</c:v>
                </c:pt>
                <c:pt idx="48">
                  <c:v>43355</c:v>
                </c:pt>
                <c:pt idx="49">
                  <c:v>43354</c:v>
                </c:pt>
                <c:pt idx="50">
                  <c:v>43353</c:v>
                </c:pt>
                <c:pt idx="51">
                  <c:v>43350</c:v>
                </c:pt>
                <c:pt idx="52">
                  <c:v>43349</c:v>
                </c:pt>
                <c:pt idx="53">
                  <c:v>43348</c:v>
                </c:pt>
                <c:pt idx="54">
                  <c:v>43347</c:v>
                </c:pt>
                <c:pt idx="55">
                  <c:v>43343</c:v>
                </c:pt>
                <c:pt idx="56">
                  <c:v>43342</c:v>
                </c:pt>
                <c:pt idx="57">
                  <c:v>43341</c:v>
                </c:pt>
                <c:pt idx="58">
                  <c:v>43340</c:v>
                </c:pt>
                <c:pt idx="59">
                  <c:v>43339</c:v>
                </c:pt>
                <c:pt idx="60">
                  <c:v>43336</c:v>
                </c:pt>
                <c:pt idx="61">
                  <c:v>43335</c:v>
                </c:pt>
                <c:pt idx="62">
                  <c:v>43334</c:v>
                </c:pt>
                <c:pt idx="63">
                  <c:v>43333</c:v>
                </c:pt>
                <c:pt idx="64">
                  <c:v>43332</c:v>
                </c:pt>
                <c:pt idx="65">
                  <c:v>43329</c:v>
                </c:pt>
                <c:pt idx="66">
                  <c:v>43328</c:v>
                </c:pt>
                <c:pt idx="67">
                  <c:v>43327</c:v>
                </c:pt>
                <c:pt idx="68">
                  <c:v>43326</c:v>
                </c:pt>
                <c:pt idx="69">
                  <c:v>43325</c:v>
                </c:pt>
                <c:pt idx="70">
                  <c:v>43322</c:v>
                </c:pt>
                <c:pt idx="71">
                  <c:v>43321</c:v>
                </c:pt>
                <c:pt idx="72">
                  <c:v>43320</c:v>
                </c:pt>
                <c:pt idx="73">
                  <c:v>43319</c:v>
                </c:pt>
                <c:pt idx="74">
                  <c:v>43318</c:v>
                </c:pt>
                <c:pt idx="75">
                  <c:v>43315</c:v>
                </c:pt>
                <c:pt idx="76">
                  <c:v>43314</c:v>
                </c:pt>
                <c:pt idx="77">
                  <c:v>43313</c:v>
                </c:pt>
                <c:pt idx="78">
                  <c:v>43312</c:v>
                </c:pt>
                <c:pt idx="79">
                  <c:v>43311</c:v>
                </c:pt>
                <c:pt idx="80">
                  <c:v>43308</c:v>
                </c:pt>
                <c:pt idx="81">
                  <c:v>43307</c:v>
                </c:pt>
                <c:pt idx="82">
                  <c:v>43306</c:v>
                </c:pt>
                <c:pt idx="83">
                  <c:v>43305</c:v>
                </c:pt>
                <c:pt idx="84">
                  <c:v>43304</c:v>
                </c:pt>
                <c:pt idx="85">
                  <c:v>43301</c:v>
                </c:pt>
                <c:pt idx="86">
                  <c:v>43300</c:v>
                </c:pt>
                <c:pt idx="87">
                  <c:v>43299</c:v>
                </c:pt>
                <c:pt idx="88">
                  <c:v>43298</c:v>
                </c:pt>
                <c:pt idx="89">
                  <c:v>43297</c:v>
                </c:pt>
                <c:pt idx="90">
                  <c:v>43294</c:v>
                </c:pt>
                <c:pt idx="91">
                  <c:v>43293</c:v>
                </c:pt>
                <c:pt idx="92">
                  <c:v>43292</c:v>
                </c:pt>
                <c:pt idx="93">
                  <c:v>43291</c:v>
                </c:pt>
                <c:pt idx="94">
                  <c:v>43290</c:v>
                </c:pt>
                <c:pt idx="95">
                  <c:v>43287</c:v>
                </c:pt>
                <c:pt idx="96">
                  <c:v>43286</c:v>
                </c:pt>
                <c:pt idx="97">
                  <c:v>43284</c:v>
                </c:pt>
                <c:pt idx="98">
                  <c:v>43283</c:v>
                </c:pt>
                <c:pt idx="99">
                  <c:v>43280</c:v>
                </c:pt>
                <c:pt idx="100">
                  <c:v>43279</c:v>
                </c:pt>
                <c:pt idx="101">
                  <c:v>43278</c:v>
                </c:pt>
                <c:pt idx="102">
                  <c:v>43277</c:v>
                </c:pt>
                <c:pt idx="103">
                  <c:v>43276</c:v>
                </c:pt>
                <c:pt idx="104">
                  <c:v>43273</c:v>
                </c:pt>
                <c:pt idx="105">
                  <c:v>43272</c:v>
                </c:pt>
                <c:pt idx="106">
                  <c:v>43271</c:v>
                </c:pt>
                <c:pt idx="107">
                  <c:v>43270</c:v>
                </c:pt>
                <c:pt idx="108">
                  <c:v>43269</c:v>
                </c:pt>
                <c:pt idx="109">
                  <c:v>43266</c:v>
                </c:pt>
                <c:pt idx="110">
                  <c:v>43265</c:v>
                </c:pt>
                <c:pt idx="111">
                  <c:v>43264</c:v>
                </c:pt>
                <c:pt idx="112">
                  <c:v>43263</c:v>
                </c:pt>
                <c:pt idx="113">
                  <c:v>43262</c:v>
                </c:pt>
                <c:pt idx="114">
                  <c:v>43259</c:v>
                </c:pt>
                <c:pt idx="115">
                  <c:v>43258</c:v>
                </c:pt>
                <c:pt idx="116">
                  <c:v>43257</c:v>
                </c:pt>
                <c:pt idx="117">
                  <c:v>43256</c:v>
                </c:pt>
                <c:pt idx="118">
                  <c:v>43255</c:v>
                </c:pt>
                <c:pt idx="119">
                  <c:v>43252</c:v>
                </c:pt>
                <c:pt idx="120">
                  <c:v>43251</c:v>
                </c:pt>
                <c:pt idx="121">
                  <c:v>43250</c:v>
                </c:pt>
                <c:pt idx="122">
                  <c:v>43249</c:v>
                </c:pt>
                <c:pt idx="123">
                  <c:v>43245</c:v>
                </c:pt>
                <c:pt idx="124">
                  <c:v>43244</c:v>
                </c:pt>
                <c:pt idx="125">
                  <c:v>43243</c:v>
                </c:pt>
                <c:pt idx="126">
                  <c:v>43242</c:v>
                </c:pt>
                <c:pt idx="127">
                  <c:v>43241</c:v>
                </c:pt>
                <c:pt idx="128">
                  <c:v>43238</c:v>
                </c:pt>
                <c:pt idx="129">
                  <c:v>43237</c:v>
                </c:pt>
                <c:pt idx="130">
                  <c:v>43236</c:v>
                </c:pt>
                <c:pt idx="131">
                  <c:v>43235</c:v>
                </c:pt>
                <c:pt idx="132">
                  <c:v>43234</c:v>
                </c:pt>
                <c:pt idx="133">
                  <c:v>43231</c:v>
                </c:pt>
                <c:pt idx="134">
                  <c:v>43230</c:v>
                </c:pt>
                <c:pt idx="135">
                  <c:v>43229</c:v>
                </c:pt>
                <c:pt idx="136">
                  <c:v>43228</c:v>
                </c:pt>
                <c:pt idx="137">
                  <c:v>43227</c:v>
                </c:pt>
                <c:pt idx="138">
                  <c:v>43224</c:v>
                </c:pt>
                <c:pt idx="139">
                  <c:v>43223</c:v>
                </c:pt>
                <c:pt idx="140">
                  <c:v>43222</c:v>
                </c:pt>
                <c:pt idx="141">
                  <c:v>43221</c:v>
                </c:pt>
                <c:pt idx="142">
                  <c:v>43220</c:v>
                </c:pt>
                <c:pt idx="143">
                  <c:v>43217</c:v>
                </c:pt>
                <c:pt idx="144">
                  <c:v>43216</c:v>
                </c:pt>
                <c:pt idx="145">
                  <c:v>43215</c:v>
                </c:pt>
                <c:pt idx="146">
                  <c:v>43214</c:v>
                </c:pt>
                <c:pt idx="147">
                  <c:v>43213</c:v>
                </c:pt>
                <c:pt idx="148">
                  <c:v>43210</c:v>
                </c:pt>
                <c:pt idx="149">
                  <c:v>43209</c:v>
                </c:pt>
                <c:pt idx="150">
                  <c:v>43208</c:v>
                </c:pt>
                <c:pt idx="151">
                  <c:v>43207</c:v>
                </c:pt>
                <c:pt idx="152">
                  <c:v>43206</c:v>
                </c:pt>
                <c:pt idx="153">
                  <c:v>43203</c:v>
                </c:pt>
                <c:pt idx="154">
                  <c:v>43202</c:v>
                </c:pt>
                <c:pt idx="155">
                  <c:v>43201</c:v>
                </c:pt>
                <c:pt idx="156">
                  <c:v>43200</c:v>
                </c:pt>
                <c:pt idx="157">
                  <c:v>43199</c:v>
                </c:pt>
                <c:pt idx="158">
                  <c:v>43196</c:v>
                </c:pt>
                <c:pt idx="159">
                  <c:v>43195</c:v>
                </c:pt>
                <c:pt idx="160">
                  <c:v>43194</c:v>
                </c:pt>
                <c:pt idx="161">
                  <c:v>43193</c:v>
                </c:pt>
                <c:pt idx="162">
                  <c:v>43192</c:v>
                </c:pt>
                <c:pt idx="163">
                  <c:v>43188</c:v>
                </c:pt>
                <c:pt idx="164">
                  <c:v>43187</c:v>
                </c:pt>
                <c:pt idx="165">
                  <c:v>43186</c:v>
                </c:pt>
                <c:pt idx="166">
                  <c:v>43185</c:v>
                </c:pt>
                <c:pt idx="167">
                  <c:v>43182</c:v>
                </c:pt>
                <c:pt idx="168">
                  <c:v>43181</c:v>
                </c:pt>
                <c:pt idx="169">
                  <c:v>43180</c:v>
                </c:pt>
                <c:pt idx="170">
                  <c:v>43179</c:v>
                </c:pt>
                <c:pt idx="171">
                  <c:v>43178</c:v>
                </c:pt>
                <c:pt idx="172">
                  <c:v>43175</c:v>
                </c:pt>
                <c:pt idx="173">
                  <c:v>43174</c:v>
                </c:pt>
                <c:pt idx="174">
                  <c:v>43173</c:v>
                </c:pt>
                <c:pt idx="175">
                  <c:v>43172</c:v>
                </c:pt>
                <c:pt idx="176">
                  <c:v>43171</c:v>
                </c:pt>
                <c:pt idx="177">
                  <c:v>43168</c:v>
                </c:pt>
                <c:pt idx="178">
                  <c:v>43167</c:v>
                </c:pt>
                <c:pt idx="179">
                  <c:v>43166</c:v>
                </c:pt>
                <c:pt idx="180">
                  <c:v>43165</c:v>
                </c:pt>
                <c:pt idx="181">
                  <c:v>43164</c:v>
                </c:pt>
                <c:pt idx="182">
                  <c:v>43161</c:v>
                </c:pt>
                <c:pt idx="183">
                  <c:v>43160</c:v>
                </c:pt>
                <c:pt idx="184">
                  <c:v>43159</c:v>
                </c:pt>
                <c:pt idx="185">
                  <c:v>43158</c:v>
                </c:pt>
                <c:pt idx="186">
                  <c:v>43157</c:v>
                </c:pt>
                <c:pt idx="187">
                  <c:v>43154</c:v>
                </c:pt>
                <c:pt idx="188">
                  <c:v>43153</c:v>
                </c:pt>
                <c:pt idx="189">
                  <c:v>43152</c:v>
                </c:pt>
                <c:pt idx="190">
                  <c:v>43151</c:v>
                </c:pt>
                <c:pt idx="191">
                  <c:v>43147</c:v>
                </c:pt>
                <c:pt idx="192">
                  <c:v>43146</c:v>
                </c:pt>
                <c:pt idx="193">
                  <c:v>43145</c:v>
                </c:pt>
                <c:pt idx="194">
                  <c:v>43144</c:v>
                </c:pt>
                <c:pt idx="195">
                  <c:v>43143</c:v>
                </c:pt>
                <c:pt idx="196">
                  <c:v>43140</c:v>
                </c:pt>
                <c:pt idx="197">
                  <c:v>43139</c:v>
                </c:pt>
                <c:pt idx="198">
                  <c:v>43138</c:v>
                </c:pt>
                <c:pt idx="199">
                  <c:v>43137</c:v>
                </c:pt>
                <c:pt idx="200">
                  <c:v>43136</c:v>
                </c:pt>
                <c:pt idx="201">
                  <c:v>43133</c:v>
                </c:pt>
                <c:pt idx="202">
                  <c:v>43132</c:v>
                </c:pt>
                <c:pt idx="203">
                  <c:v>43131</c:v>
                </c:pt>
                <c:pt idx="204">
                  <c:v>43130</c:v>
                </c:pt>
                <c:pt idx="205">
                  <c:v>43129</c:v>
                </c:pt>
                <c:pt idx="206">
                  <c:v>43126</c:v>
                </c:pt>
                <c:pt idx="207">
                  <c:v>43125</c:v>
                </c:pt>
                <c:pt idx="208">
                  <c:v>43124</c:v>
                </c:pt>
                <c:pt idx="209">
                  <c:v>43123</c:v>
                </c:pt>
                <c:pt idx="210">
                  <c:v>43122</c:v>
                </c:pt>
                <c:pt idx="211">
                  <c:v>43119</c:v>
                </c:pt>
                <c:pt idx="212">
                  <c:v>43118</c:v>
                </c:pt>
                <c:pt idx="213">
                  <c:v>43117</c:v>
                </c:pt>
                <c:pt idx="214">
                  <c:v>43116</c:v>
                </c:pt>
                <c:pt idx="215">
                  <c:v>43112</c:v>
                </c:pt>
                <c:pt idx="216">
                  <c:v>43111</c:v>
                </c:pt>
                <c:pt idx="217">
                  <c:v>43110</c:v>
                </c:pt>
                <c:pt idx="218">
                  <c:v>43109</c:v>
                </c:pt>
                <c:pt idx="219">
                  <c:v>43108</c:v>
                </c:pt>
                <c:pt idx="220">
                  <c:v>43105</c:v>
                </c:pt>
                <c:pt idx="221">
                  <c:v>43104</c:v>
                </c:pt>
                <c:pt idx="222">
                  <c:v>43103</c:v>
                </c:pt>
                <c:pt idx="223">
                  <c:v>43102</c:v>
                </c:pt>
                <c:pt idx="224">
                  <c:v>43098</c:v>
                </c:pt>
                <c:pt idx="225">
                  <c:v>43097</c:v>
                </c:pt>
                <c:pt idx="226">
                  <c:v>43096</c:v>
                </c:pt>
                <c:pt idx="227">
                  <c:v>43095</c:v>
                </c:pt>
                <c:pt idx="228">
                  <c:v>43091</c:v>
                </c:pt>
                <c:pt idx="229">
                  <c:v>43090</c:v>
                </c:pt>
                <c:pt idx="230">
                  <c:v>43089</c:v>
                </c:pt>
                <c:pt idx="231">
                  <c:v>43088</c:v>
                </c:pt>
                <c:pt idx="232">
                  <c:v>43087</c:v>
                </c:pt>
                <c:pt idx="233">
                  <c:v>43084</c:v>
                </c:pt>
                <c:pt idx="234">
                  <c:v>43083</c:v>
                </c:pt>
                <c:pt idx="235">
                  <c:v>43082</c:v>
                </c:pt>
                <c:pt idx="236">
                  <c:v>43081</c:v>
                </c:pt>
                <c:pt idx="237">
                  <c:v>43080</c:v>
                </c:pt>
              </c:numCache>
            </c:numRef>
          </c:cat>
          <c:val>
            <c:numRef>
              <c:f>Sheet1!$P$2:$P$239</c:f>
              <c:numCache>
                <c:formatCode>0.0\x</c:formatCode>
                <c:ptCount val="238"/>
                <c:pt idx="0">
                  <c:v>7.5252749999999997</c:v>
                </c:pt>
                <c:pt idx="1">
                  <c:v>8.4913999999999987</c:v>
                </c:pt>
                <c:pt idx="2">
                  <c:v>8.546991666666667</c:v>
                </c:pt>
                <c:pt idx="3">
                  <c:v>8.1360500000000009</c:v>
                </c:pt>
                <c:pt idx="4">
                  <c:v>8.1912249999999993</c:v>
                </c:pt>
                <c:pt idx="5">
                  <c:v>8.149658333333333</c:v>
                </c:pt>
                <c:pt idx="6">
                  <c:v>8.700566666666667</c:v>
                </c:pt>
                <c:pt idx="7">
                  <c:v>8.9276499999999999</c:v>
                </c:pt>
                <c:pt idx="8">
                  <c:v>9.2086250000000014</c:v>
                </c:pt>
                <c:pt idx="9">
                  <c:v>8.1317166666666676</c:v>
                </c:pt>
                <c:pt idx="10">
                  <c:v>8.2663083333333347</c:v>
                </c:pt>
                <c:pt idx="11">
                  <c:v>8.4658833333333323</c:v>
                </c:pt>
                <c:pt idx="12">
                  <c:v>8.6249166666666675</c:v>
                </c:pt>
                <c:pt idx="13">
                  <c:v>8.4409666666666663</c:v>
                </c:pt>
                <c:pt idx="14">
                  <c:v>7.9472499999999995</c:v>
                </c:pt>
                <c:pt idx="15">
                  <c:v>7.6992750000000001</c:v>
                </c:pt>
                <c:pt idx="16">
                  <c:v>7.7330833333333322</c:v>
                </c:pt>
                <c:pt idx="17">
                  <c:v>8.0679666666666652</c:v>
                </c:pt>
                <c:pt idx="18">
                  <c:v>7.8017999999999992</c:v>
                </c:pt>
                <c:pt idx="19">
                  <c:v>8.3233666666666668</c:v>
                </c:pt>
                <c:pt idx="20">
                  <c:v>8.2950666666666653</c:v>
                </c:pt>
                <c:pt idx="21">
                  <c:v>8.1251583333333333</c:v>
                </c:pt>
                <c:pt idx="22">
                  <c:v>8.5443416666666661</c:v>
                </c:pt>
                <c:pt idx="23">
                  <c:v>8.8486916666666655</c:v>
                </c:pt>
                <c:pt idx="24">
                  <c:v>8.8925083333333337</c:v>
                </c:pt>
                <c:pt idx="25">
                  <c:v>8.3910416666666681</c:v>
                </c:pt>
                <c:pt idx="26">
                  <c:v>8.4360749999999989</c:v>
                </c:pt>
                <c:pt idx="27">
                  <c:v>8.0253416666666659</c:v>
                </c:pt>
                <c:pt idx="28">
                  <c:v>8.0592166666666678</c:v>
                </c:pt>
                <c:pt idx="29">
                  <c:v>8.6545916666666667</c:v>
                </c:pt>
                <c:pt idx="30">
                  <c:v>8.7584166666666672</c:v>
                </c:pt>
                <c:pt idx="31">
                  <c:v>9.1660416666666666</c:v>
                </c:pt>
                <c:pt idx="32">
                  <c:v>9.2420500000000008</c:v>
                </c:pt>
                <c:pt idx="33">
                  <c:v>9.5854499999999998</c:v>
                </c:pt>
                <c:pt idx="34">
                  <c:v>9.4413999999999998</c:v>
                </c:pt>
                <c:pt idx="35">
                  <c:v>9.8098166666666664</c:v>
                </c:pt>
                <c:pt idx="36">
                  <c:v>9.9757916666666677</c:v>
                </c:pt>
                <c:pt idx="37">
                  <c:v>9.9900333333333329</c:v>
                </c:pt>
                <c:pt idx="38">
                  <c:v>9.9822416666666669</c:v>
                </c:pt>
                <c:pt idx="39">
                  <c:v>10.059175</c:v>
                </c:pt>
                <c:pt idx="40">
                  <c:v>9.7388750000000002</c:v>
                </c:pt>
                <c:pt idx="41">
                  <c:v>9.6882499999999983</c:v>
                </c:pt>
                <c:pt idx="42">
                  <c:v>9.8573833333333329</c:v>
                </c:pt>
                <c:pt idx="43">
                  <c:v>9.7597083333333323</c:v>
                </c:pt>
                <c:pt idx="44">
                  <c:v>9.9445416666666677</c:v>
                </c:pt>
                <c:pt idx="45">
                  <c:v>9.8783000000000012</c:v>
                </c:pt>
                <c:pt idx="46">
                  <c:v>10.293475000000001</c:v>
                </c:pt>
                <c:pt idx="47">
                  <c:v>10.297233333333333</c:v>
                </c:pt>
                <c:pt idx="48">
                  <c:v>10.296166666666666</c:v>
                </c:pt>
                <c:pt idx="49">
                  <c:v>10.278333333333332</c:v>
                </c:pt>
                <c:pt idx="50">
                  <c:v>10.144208333333333</c:v>
                </c:pt>
                <c:pt idx="51">
                  <c:v>10.109458333333333</c:v>
                </c:pt>
                <c:pt idx="52">
                  <c:v>9.6810999999999989</c:v>
                </c:pt>
                <c:pt idx="53">
                  <c:v>9.6641916666666656</c:v>
                </c:pt>
                <c:pt idx="54">
                  <c:v>10.141808333333332</c:v>
                </c:pt>
                <c:pt idx="55">
                  <c:v>9.9384499999999996</c:v>
                </c:pt>
                <c:pt idx="56">
                  <c:v>9.8778833333333331</c:v>
                </c:pt>
                <c:pt idx="57">
                  <c:v>10.012366666666667</c:v>
                </c:pt>
                <c:pt idx="58">
                  <c:v>9.8460416666666664</c:v>
                </c:pt>
                <c:pt idx="59">
                  <c:v>9.7395750000000003</c:v>
                </c:pt>
                <c:pt idx="60">
                  <c:v>9.7316500000000001</c:v>
                </c:pt>
                <c:pt idx="61">
                  <c:v>9.3838333333333335</c:v>
                </c:pt>
                <c:pt idx="62">
                  <c:v>9.2233666666666672</c:v>
                </c:pt>
                <c:pt idx="63">
                  <c:v>9.0948499999999992</c:v>
                </c:pt>
                <c:pt idx="64">
                  <c:v>9.0167666666666673</c:v>
                </c:pt>
                <c:pt idx="65">
                  <c:v>8.9605166666666669</c:v>
                </c:pt>
                <c:pt idx="66">
                  <c:v>8.9663666666666675</c:v>
                </c:pt>
                <c:pt idx="67">
                  <c:v>8.9307166666666671</c:v>
                </c:pt>
                <c:pt idx="68">
                  <c:v>9.1501333333333328</c:v>
                </c:pt>
                <c:pt idx="69">
                  <c:v>8.9989583333333325</c:v>
                </c:pt>
                <c:pt idx="70">
                  <c:v>9.1140916666666651</c:v>
                </c:pt>
                <c:pt idx="71">
                  <c:v>8.9040499999999998</c:v>
                </c:pt>
                <c:pt idx="72">
                  <c:v>8.7052916666666675</c:v>
                </c:pt>
                <c:pt idx="73">
                  <c:v>8.6739083333333316</c:v>
                </c:pt>
                <c:pt idx="74">
                  <c:v>8.5769333333333329</c:v>
                </c:pt>
                <c:pt idx="75">
                  <c:v>8.3589333333333347</c:v>
                </c:pt>
                <c:pt idx="76">
                  <c:v>8.6004166666666659</c:v>
                </c:pt>
                <c:pt idx="77">
                  <c:v>8.3378083333333333</c:v>
                </c:pt>
                <c:pt idx="78">
                  <c:v>8.0013833333333331</c:v>
                </c:pt>
                <c:pt idx="79">
                  <c:v>8.0180333333333333</c:v>
                </c:pt>
                <c:pt idx="80">
                  <c:v>8.4435583333333319</c:v>
                </c:pt>
                <c:pt idx="81">
                  <c:v>8.8313999999999986</c:v>
                </c:pt>
                <c:pt idx="82">
                  <c:v>8.7935333333333343</c:v>
                </c:pt>
                <c:pt idx="83">
                  <c:v>8.4796499999999995</c:v>
                </c:pt>
                <c:pt idx="84">
                  <c:v>8.7291583333333325</c:v>
                </c:pt>
                <c:pt idx="85">
                  <c:v>8.6810166666666664</c:v>
                </c:pt>
                <c:pt idx="86">
                  <c:v>8.6655749999999987</c:v>
                </c:pt>
                <c:pt idx="87">
                  <c:v>8.7249166666666671</c:v>
                </c:pt>
                <c:pt idx="88">
                  <c:v>8.7058083333333318</c:v>
                </c:pt>
                <c:pt idx="89">
                  <c:v>8.5513999999999992</c:v>
                </c:pt>
                <c:pt idx="90">
                  <c:v>8.5889916666666668</c:v>
                </c:pt>
                <c:pt idx="91">
                  <c:v>8.6251166666666688</c:v>
                </c:pt>
                <c:pt idx="92">
                  <c:v>8.3293916666666679</c:v>
                </c:pt>
                <c:pt idx="93">
                  <c:v>8.3004416666666661</c:v>
                </c:pt>
                <c:pt idx="94">
                  <c:v>8.394916666666667</c:v>
                </c:pt>
                <c:pt idx="95">
                  <c:v>8.3783416666666675</c:v>
                </c:pt>
                <c:pt idx="96">
                  <c:v>8.2325916666666679</c:v>
                </c:pt>
                <c:pt idx="97">
                  <c:v>8.1674250000000015</c:v>
                </c:pt>
                <c:pt idx="98">
                  <c:v>8.2632916666666674</c:v>
                </c:pt>
                <c:pt idx="99">
                  <c:v>8.1047666666666665</c:v>
                </c:pt>
                <c:pt idx="100">
                  <c:v>8.1104083333333339</c:v>
                </c:pt>
                <c:pt idx="101">
                  <c:v>7.8755250000000006</c:v>
                </c:pt>
                <c:pt idx="102">
                  <c:v>8.1761416666666662</c:v>
                </c:pt>
                <c:pt idx="103">
                  <c:v>8.026883333333334</c:v>
                </c:pt>
                <c:pt idx="104">
                  <c:v>8.320316666666665</c:v>
                </c:pt>
                <c:pt idx="105">
                  <c:v>8.619349999999999</c:v>
                </c:pt>
                <c:pt idx="106">
                  <c:v>8.8295833333333338</c:v>
                </c:pt>
                <c:pt idx="107">
                  <c:v>8.7460249999999995</c:v>
                </c:pt>
                <c:pt idx="108">
                  <c:v>8.9146666666666672</c:v>
                </c:pt>
                <c:pt idx="109">
                  <c:v>8.7791666666666668</c:v>
                </c:pt>
                <c:pt idx="110">
                  <c:v>8.7590416666666666</c:v>
                </c:pt>
                <c:pt idx="111">
                  <c:v>8.6194833333333332</c:v>
                </c:pt>
                <c:pt idx="112">
                  <c:v>8.6197999999999997</c:v>
                </c:pt>
                <c:pt idx="113">
                  <c:v>8.4536749999999987</c:v>
                </c:pt>
                <c:pt idx="114">
                  <c:v>8.4074916666666653</c:v>
                </c:pt>
                <c:pt idx="115">
                  <c:v>8.3026083333333336</c:v>
                </c:pt>
                <c:pt idx="116">
                  <c:v>8.6663583333333332</c:v>
                </c:pt>
                <c:pt idx="117">
                  <c:v>8.6297666666666668</c:v>
                </c:pt>
                <c:pt idx="118">
                  <c:v>8.6331833333333332</c:v>
                </c:pt>
                <c:pt idx="119">
                  <c:v>8.5690583333333326</c:v>
                </c:pt>
                <c:pt idx="120">
                  <c:v>8.3735000000000017</c:v>
                </c:pt>
                <c:pt idx="121">
                  <c:v>8.3700416666666673</c:v>
                </c:pt>
                <c:pt idx="122">
                  <c:v>8.2466333333333335</c:v>
                </c:pt>
                <c:pt idx="123">
                  <c:v>8.2208083333333324</c:v>
                </c:pt>
                <c:pt idx="124">
                  <c:v>8.2390583333333325</c:v>
                </c:pt>
                <c:pt idx="125">
                  <c:v>8.1703333333333337</c:v>
                </c:pt>
                <c:pt idx="126">
                  <c:v>8.1013916666666663</c:v>
                </c:pt>
                <c:pt idx="127">
                  <c:v>8.2294083333333337</c:v>
                </c:pt>
                <c:pt idx="128">
                  <c:v>8.2984583333333344</c:v>
                </c:pt>
                <c:pt idx="129">
                  <c:v>8.1396666666666651</c:v>
                </c:pt>
                <c:pt idx="130">
                  <c:v>8.1591000000000022</c:v>
                </c:pt>
                <c:pt idx="131">
                  <c:v>8.1252916666666675</c:v>
                </c:pt>
                <c:pt idx="132">
                  <c:v>8.0625333333333344</c:v>
                </c:pt>
                <c:pt idx="133">
                  <c:v>8.320508333333331</c:v>
                </c:pt>
                <c:pt idx="134">
                  <c:v>8.2361416666666667</c:v>
                </c:pt>
                <c:pt idx="135">
                  <c:v>8.1120666666666654</c:v>
                </c:pt>
                <c:pt idx="136">
                  <c:v>7.8497916666666656</c:v>
                </c:pt>
                <c:pt idx="137">
                  <c:v>7.7833916666666667</c:v>
                </c:pt>
                <c:pt idx="138">
                  <c:v>7.652775000000001</c:v>
                </c:pt>
                <c:pt idx="139">
                  <c:v>7.5455916666666667</c:v>
                </c:pt>
                <c:pt idx="140">
                  <c:v>7.4218000000000011</c:v>
                </c:pt>
                <c:pt idx="141">
                  <c:v>7.4084916666666665</c:v>
                </c:pt>
                <c:pt idx="142">
                  <c:v>7.4037166666666669</c:v>
                </c:pt>
                <c:pt idx="143">
                  <c:v>7.3639666666666663</c:v>
                </c:pt>
                <c:pt idx="144">
                  <c:v>7.411316666666667</c:v>
                </c:pt>
                <c:pt idx="145">
                  <c:v>7.1723999999999997</c:v>
                </c:pt>
                <c:pt idx="146">
                  <c:v>7.2665583333333323</c:v>
                </c:pt>
                <c:pt idx="147">
                  <c:v>7.5104083333333342</c:v>
                </c:pt>
                <c:pt idx="148">
                  <c:v>7.5142083333333325</c:v>
                </c:pt>
                <c:pt idx="149">
                  <c:v>7.5953999999999988</c:v>
                </c:pt>
                <c:pt idx="150">
                  <c:v>7.6503833333333331</c:v>
                </c:pt>
                <c:pt idx="151">
                  <c:v>7.6192333333333329</c:v>
                </c:pt>
                <c:pt idx="152">
                  <c:v>7.3490416666666656</c:v>
                </c:pt>
                <c:pt idx="153">
                  <c:v>7.3156083333333335</c:v>
                </c:pt>
                <c:pt idx="154">
                  <c:v>7.3855750000000002</c:v>
                </c:pt>
                <c:pt idx="155">
                  <c:v>7.250633333333333</c:v>
                </c:pt>
                <c:pt idx="156">
                  <c:v>7.190925</c:v>
                </c:pt>
                <c:pt idx="157">
                  <c:v>6.9917750000000014</c:v>
                </c:pt>
                <c:pt idx="158">
                  <c:v>6.998149999999999</c:v>
                </c:pt>
                <c:pt idx="159">
                  <c:v>7.126875000000001</c:v>
                </c:pt>
                <c:pt idx="160">
                  <c:v>7.1378750000000002</c:v>
                </c:pt>
                <c:pt idx="161">
                  <c:v>7.0860500000000002</c:v>
                </c:pt>
                <c:pt idx="162">
                  <c:v>7.0626750000000014</c:v>
                </c:pt>
                <c:pt idx="163">
                  <c:v>7.251850000000001</c:v>
                </c:pt>
                <c:pt idx="164">
                  <c:v>7.0927583333333333</c:v>
                </c:pt>
                <c:pt idx="165">
                  <c:v>7.2821083333333334</c:v>
                </c:pt>
                <c:pt idx="166">
                  <c:v>7.6595583333333321</c:v>
                </c:pt>
                <c:pt idx="167">
                  <c:v>7.3875250000000001</c:v>
                </c:pt>
                <c:pt idx="168">
                  <c:v>7.6077916666666665</c:v>
                </c:pt>
                <c:pt idx="169">
                  <c:v>7.7408833333333327</c:v>
                </c:pt>
                <c:pt idx="170">
                  <c:v>7.6971833333333324</c:v>
                </c:pt>
                <c:pt idx="171">
                  <c:v>7.5732583333333343</c:v>
                </c:pt>
                <c:pt idx="172">
                  <c:v>7.7010499999999995</c:v>
                </c:pt>
                <c:pt idx="173">
                  <c:v>7.7640500000000001</c:v>
                </c:pt>
                <c:pt idx="174">
                  <c:v>7.8699083333333339</c:v>
                </c:pt>
                <c:pt idx="175">
                  <c:v>7.7485833333333334</c:v>
                </c:pt>
                <c:pt idx="176">
                  <c:v>7.8398499999999993</c:v>
                </c:pt>
                <c:pt idx="177">
                  <c:v>7.8043000000000013</c:v>
                </c:pt>
                <c:pt idx="178">
                  <c:v>7.836733333333334</c:v>
                </c:pt>
                <c:pt idx="179">
                  <c:v>7.7194333333333338</c:v>
                </c:pt>
                <c:pt idx="180">
                  <c:v>7.5938333333333334</c:v>
                </c:pt>
                <c:pt idx="181">
                  <c:v>7.5321166666666661</c:v>
                </c:pt>
                <c:pt idx="182">
                  <c:v>7.4415166666666677</c:v>
                </c:pt>
                <c:pt idx="183">
                  <c:v>7.1469583333333313</c:v>
                </c:pt>
                <c:pt idx="184">
                  <c:v>7.1901666666666664</c:v>
                </c:pt>
                <c:pt idx="185">
                  <c:v>7.2181500000000005</c:v>
                </c:pt>
                <c:pt idx="186">
                  <c:v>7.2274083333333321</c:v>
                </c:pt>
                <c:pt idx="187">
                  <c:v>7.1555000000000009</c:v>
                </c:pt>
                <c:pt idx="188">
                  <c:v>6.946858333333334</c:v>
                </c:pt>
                <c:pt idx="189">
                  <c:v>6.9966083333333335</c:v>
                </c:pt>
                <c:pt idx="190">
                  <c:v>7.0122166666666672</c:v>
                </c:pt>
                <c:pt idx="191">
                  <c:v>6.9113250000000015</c:v>
                </c:pt>
                <c:pt idx="192">
                  <c:v>6.8427250000000006</c:v>
                </c:pt>
                <c:pt idx="193">
                  <c:v>6.7266416666666666</c:v>
                </c:pt>
                <c:pt idx="194">
                  <c:v>6.4244750000000002</c:v>
                </c:pt>
                <c:pt idx="195">
                  <c:v>6.3598083333333326</c:v>
                </c:pt>
                <c:pt idx="196">
                  <c:v>6.1430333333333325</c:v>
                </c:pt>
                <c:pt idx="197">
                  <c:v>6.0400666666666671</c:v>
                </c:pt>
                <c:pt idx="198">
                  <c:v>6.3776083333333338</c:v>
                </c:pt>
                <c:pt idx="199">
                  <c:v>6.3112500000000002</c:v>
                </c:pt>
                <c:pt idx="200">
                  <c:v>6.2281833333333338</c:v>
                </c:pt>
                <c:pt idx="201">
                  <c:v>6.4360333333333335</c:v>
                </c:pt>
                <c:pt idx="202">
                  <c:v>6.5059083333333332</c:v>
                </c:pt>
                <c:pt idx="203">
                  <c:v>6.5283249999999997</c:v>
                </c:pt>
                <c:pt idx="204">
                  <c:v>6.512083333333333</c:v>
                </c:pt>
                <c:pt idx="205">
                  <c:v>6.6117333333333335</c:v>
                </c:pt>
                <c:pt idx="206">
                  <c:v>6.7049333333333339</c:v>
                </c:pt>
                <c:pt idx="207">
                  <c:v>6.5566916666666657</c:v>
                </c:pt>
                <c:pt idx="208">
                  <c:v>6.5827500000000008</c:v>
                </c:pt>
                <c:pt idx="209">
                  <c:v>6.6417083333333338</c:v>
                </c:pt>
                <c:pt idx="210">
                  <c:v>6.5820416666666661</c:v>
                </c:pt>
                <c:pt idx="211">
                  <c:v>6.5022083333333329</c:v>
                </c:pt>
                <c:pt idx="212">
                  <c:v>6.419083333333333</c:v>
                </c:pt>
                <c:pt idx="213">
                  <c:v>6.4223749999999997</c:v>
                </c:pt>
                <c:pt idx="214">
                  <c:v>6.363858333333333</c:v>
                </c:pt>
                <c:pt idx="215">
                  <c:v>6.4637083333333338</c:v>
                </c:pt>
                <c:pt idx="216">
                  <c:v>6.4231833333333341</c:v>
                </c:pt>
                <c:pt idx="217">
                  <c:v>6.3661416666666666</c:v>
                </c:pt>
                <c:pt idx="218">
                  <c:v>6.3124416666666674</c:v>
                </c:pt>
                <c:pt idx="219">
                  <c:v>6.3438666666666661</c:v>
                </c:pt>
                <c:pt idx="220">
                  <c:v>6.3261499999999993</c:v>
                </c:pt>
                <c:pt idx="221">
                  <c:v>6.2822083333333332</c:v>
                </c:pt>
                <c:pt idx="222">
                  <c:v>6.2202250000000001</c:v>
                </c:pt>
                <c:pt idx="223">
                  <c:v>6.1727833333333324</c:v>
                </c:pt>
                <c:pt idx="224">
                  <c:v>6.0346416666666682</c:v>
                </c:pt>
                <c:pt idx="225">
                  <c:v>6.1014666666666661</c:v>
                </c:pt>
                <c:pt idx="226">
                  <c:v>6.1298666666666675</c:v>
                </c:pt>
                <c:pt idx="227">
                  <c:v>6.1264250000000011</c:v>
                </c:pt>
                <c:pt idx="228">
                  <c:v>6.1389083333333332</c:v>
                </c:pt>
                <c:pt idx="229">
                  <c:v>6.1912666666666665</c:v>
                </c:pt>
                <c:pt idx="230">
                  <c:v>6.2309749999999999</c:v>
                </c:pt>
                <c:pt idx="231">
                  <c:v>6.2705333333333328</c:v>
                </c:pt>
                <c:pt idx="232">
                  <c:v>6.3091416666666653</c:v>
                </c:pt>
                <c:pt idx="233">
                  <c:v>6.2153166666666673</c:v>
                </c:pt>
                <c:pt idx="234">
                  <c:v>6.1079750000000006</c:v>
                </c:pt>
                <c:pt idx="235">
                  <c:v>6.0929916666666664</c:v>
                </c:pt>
                <c:pt idx="236">
                  <c:v>6.0283583333333324</c:v>
                </c:pt>
                <c:pt idx="237">
                  <c:v>6.1291416666666656</c:v>
                </c:pt>
              </c:numCache>
            </c:numRef>
          </c:val>
          <c:smooth val="0"/>
          <c:extLst>
            <c:ext xmlns:c16="http://schemas.microsoft.com/office/drawing/2014/chart" uri="{C3380CC4-5D6E-409C-BE32-E72D297353CC}">
              <c16:uniqueId val="{00000000-2F84-4ABA-AB92-6F534B99E7C3}"/>
            </c:ext>
          </c:extLst>
        </c:ser>
        <c:ser>
          <c:idx val="1"/>
          <c:order val="1"/>
          <c:tx>
            <c:strRef>
              <c:f>Sheet1!$Q$1</c:f>
              <c:strCache>
                <c:ptCount val="1"/>
                <c:pt idx="0">
                  <c:v>Large Cap</c:v>
                </c:pt>
              </c:strCache>
            </c:strRef>
          </c:tx>
          <c:spPr>
            <a:ln w="28575" cap="rnd">
              <a:solidFill>
                <a:schemeClr val="accent2"/>
              </a:solidFill>
              <a:round/>
            </a:ln>
            <a:effectLst/>
          </c:spPr>
          <c:marker>
            <c:symbol val="none"/>
          </c:marker>
          <c:dLbls>
            <c:dLbl>
              <c:idx val="23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F84-4ABA-AB92-6F534B99E7C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Sheet1!$O$2:$O$239</c:f>
              <c:numCache>
                <c:formatCode>m/d/yyyy</c:formatCode>
                <c:ptCount val="238"/>
                <c:pt idx="0">
                  <c:v>43423</c:v>
                </c:pt>
                <c:pt idx="1">
                  <c:v>43420</c:v>
                </c:pt>
                <c:pt idx="2">
                  <c:v>43419</c:v>
                </c:pt>
                <c:pt idx="3">
                  <c:v>43418</c:v>
                </c:pt>
                <c:pt idx="4">
                  <c:v>43417</c:v>
                </c:pt>
                <c:pt idx="5">
                  <c:v>43416</c:v>
                </c:pt>
                <c:pt idx="6">
                  <c:v>43413</c:v>
                </c:pt>
                <c:pt idx="7">
                  <c:v>43412</c:v>
                </c:pt>
                <c:pt idx="8">
                  <c:v>43411</c:v>
                </c:pt>
                <c:pt idx="9">
                  <c:v>43410</c:v>
                </c:pt>
                <c:pt idx="10">
                  <c:v>43409</c:v>
                </c:pt>
                <c:pt idx="11">
                  <c:v>43406</c:v>
                </c:pt>
                <c:pt idx="12">
                  <c:v>43405</c:v>
                </c:pt>
                <c:pt idx="13">
                  <c:v>43404</c:v>
                </c:pt>
                <c:pt idx="14">
                  <c:v>43403</c:v>
                </c:pt>
                <c:pt idx="15">
                  <c:v>43402</c:v>
                </c:pt>
                <c:pt idx="16">
                  <c:v>43399</c:v>
                </c:pt>
                <c:pt idx="17">
                  <c:v>43398</c:v>
                </c:pt>
                <c:pt idx="18">
                  <c:v>43397</c:v>
                </c:pt>
                <c:pt idx="19">
                  <c:v>43396</c:v>
                </c:pt>
                <c:pt idx="20">
                  <c:v>43395</c:v>
                </c:pt>
                <c:pt idx="21">
                  <c:v>43392</c:v>
                </c:pt>
                <c:pt idx="22">
                  <c:v>43391</c:v>
                </c:pt>
                <c:pt idx="23">
                  <c:v>43390</c:v>
                </c:pt>
                <c:pt idx="24">
                  <c:v>43389</c:v>
                </c:pt>
                <c:pt idx="25">
                  <c:v>43388</c:v>
                </c:pt>
                <c:pt idx="26">
                  <c:v>43385</c:v>
                </c:pt>
                <c:pt idx="27">
                  <c:v>43384</c:v>
                </c:pt>
                <c:pt idx="28">
                  <c:v>43383</c:v>
                </c:pt>
                <c:pt idx="29">
                  <c:v>43382</c:v>
                </c:pt>
                <c:pt idx="30">
                  <c:v>43381</c:v>
                </c:pt>
                <c:pt idx="31">
                  <c:v>43378</c:v>
                </c:pt>
                <c:pt idx="32">
                  <c:v>43377</c:v>
                </c:pt>
                <c:pt idx="33">
                  <c:v>43376</c:v>
                </c:pt>
                <c:pt idx="34">
                  <c:v>43375</c:v>
                </c:pt>
                <c:pt idx="35">
                  <c:v>43374</c:v>
                </c:pt>
                <c:pt idx="36">
                  <c:v>43371</c:v>
                </c:pt>
                <c:pt idx="37">
                  <c:v>43370</c:v>
                </c:pt>
                <c:pt idx="38">
                  <c:v>43369</c:v>
                </c:pt>
                <c:pt idx="39">
                  <c:v>43368</c:v>
                </c:pt>
                <c:pt idx="40">
                  <c:v>43367</c:v>
                </c:pt>
                <c:pt idx="41">
                  <c:v>43364</c:v>
                </c:pt>
                <c:pt idx="42">
                  <c:v>43363</c:v>
                </c:pt>
                <c:pt idx="43">
                  <c:v>43362</c:v>
                </c:pt>
                <c:pt idx="44">
                  <c:v>43361</c:v>
                </c:pt>
                <c:pt idx="45">
                  <c:v>43360</c:v>
                </c:pt>
                <c:pt idx="46">
                  <c:v>43357</c:v>
                </c:pt>
                <c:pt idx="47">
                  <c:v>43356</c:v>
                </c:pt>
                <c:pt idx="48">
                  <c:v>43355</c:v>
                </c:pt>
                <c:pt idx="49">
                  <c:v>43354</c:v>
                </c:pt>
                <c:pt idx="50">
                  <c:v>43353</c:v>
                </c:pt>
                <c:pt idx="51">
                  <c:v>43350</c:v>
                </c:pt>
                <c:pt idx="52">
                  <c:v>43349</c:v>
                </c:pt>
                <c:pt idx="53">
                  <c:v>43348</c:v>
                </c:pt>
                <c:pt idx="54">
                  <c:v>43347</c:v>
                </c:pt>
                <c:pt idx="55">
                  <c:v>43343</c:v>
                </c:pt>
                <c:pt idx="56">
                  <c:v>43342</c:v>
                </c:pt>
                <c:pt idx="57">
                  <c:v>43341</c:v>
                </c:pt>
                <c:pt idx="58">
                  <c:v>43340</c:v>
                </c:pt>
                <c:pt idx="59">
                  <c:v>43339</c:v>
                </c:pt>
                <c:pt idx="60">
                  <c:v>43336</c:v>
                </c:pt>
                <c:pt idx="61">
                  <c:v>43335</c:v>
                </c:pt>
                <c:pt idx="62">
                  <c:v>43334</c:v>
                </c:pt>
                <c:pt idx="63">
                  <c:v>43333</c:v>
                </c:pt>
                <c:pt idx="64">
                  <c:v>43332</c:v>
                </c:pt>
                <c:pt idx="65">
                  <c:v>43329</c:v>
                </c:pt>
                <c:pt idx="66">
                  <c:v>43328</c:v>
                </c:pt>
                <c:pt idx="67">
                  <c:v>43327</c:v>
                </c:pt>
                <c:pt idx="68">
                  <c:v>43326</c:v>
                </c:pt>
                <c:pt idx="69">
                  <c:v>43325</c:v>
                </c:pt>
                <c:pt idx="70">
                  <c:v>43322</c:v>
                </c:pt>
                <c:pt idx="71">
                  <c:v>43321</c:v>
                </c:pt>
                <c:pt idx="72">
                  <c:v>43320</c:v>
                </c:pt>
                <c:pt idx="73">
                  <c:v>43319</c:v>
                </c:pt>
                <c:pt idx="74">
                  <c:v>43318</c:v>
                </c:pt>
                <c:pt idx="75">
                  <c:v>43315</c:v>
                </c:pt>
                <c:pt idx="76">
                  <c:v>43314</c:v>
                </c:pt>
                <c:pt idx="77">
                  <c:v>43313</c:v>
                </c:pt>
                <c:pt idx="78">
                  <c:v>43312</c:v>
                </c:pt>
                <c:pt idx="79">
                  <c:v>43311</c:v>
                </c:pt>
                <c:pt idx="80">
                  <c:v>43308</c:v>
                </c:pt>
                <c:pt idx="81">
                  <c:v>43307</c:v>
                </c:pt>
                <c:pt idx="82">
                  <c:v>43306</c:v>
                </c:pt>
                <c:pt idx="83">
                  <c:v>43305</c:v>
                </c:pt>
                <c:pt idx="84">
                  <c:v>43304</c:v>
                </c:pt>
                <c:pt idx="85">
                  <c:v>43301</c:v>
                </c:pt>
                <c:pt idx="86">
                  <c:v>43300</c:v>
                </c:pt>
                <c:pt idx="87">
                  <c:v>43299</c:v>
                </c:pt>
                <c:pt idx="88">
                  <c:v>43298</c:v>
                </c:pt>
                <c:pt idx="89">
                  <c:v>43297</c:v>
                </c:pt>
                <c:pt idx="90">
                  <c:v>43294</c:v>
                </c:pt>
                <c:pt idx="91">
                  <c:v>43293</c:v>
                </c:pt>
                <c:pt idx="92">
                  <c:v>43292</c:v>
                </c:pt>
                <c:pt idx="93">
                  <c:v>43291</c:v>
                </c:pt>
                <c:pt idx="94">
                  <c:v>43290</c:v>
                </c:pt>
                <c:pt idx="95">
                  <c:v>43287</c:v>
                </c:pt>
                <c:pt idx="96">
                  <c:v>43286</c:v>
                </c:pt>
                <c:pt idx="97">
                  <c:v>43284</c:v>
                </c:pt>
                <c:pt idx="98">
                  <c:v>43283</c:v>
                </c:pt>
                <c:pt idx="99">
                  <c:v>43280</c:v>
                </c:pt>
                <c:pt idx="100">
                  <c:v>43279</c:v>
                </c:pt>
                <c:pt idx="101">
                  <c:v>43278</c:v>
                </c:pt>
                <c:pt idx="102">
                  <c:v>43277</c:v>
                </c:pt>
                <c:pt idx="103">
                  <c:v>43276</c:v>
                </c:pt>
                <c:pt idx="104">
                  <c:v>43273</c:v>
                </c:pt>
                <c:pt idx="105">
                  <c:v>43272</c:v>
                </c:pt>
                <c:pt idx="106">
                  <c:v>43271</c:v>
                </c:pt>
                <c:pt idx="107">
                  <c:v>43270</c:v>
                </c:pt>
                <c:pt idx="108">
                  <c:v>43269</c:v>
                </c:pt>
                <c:pt idx="109">
                  <c:v>43266</c:v>
                </c:pt>
                <c:pt idx="110">
                  <c:v>43265</c:v>
                </c:pt>
                <c:pt idx="111">
                  <c:v>43264</c:v>
                </c:pt>
                <c:pt idx="112">
                  <c:v>43263</c:v>
                </c:pt>
                <c:pt idx="113">
                  <c:v>43262</c:v>
                </c:pt>
                <c:pt idx="114">
                  <c:v>43259</c:v>
                </c:pt>
                <c:pt idx="115">
                  <c:v>43258</c:v>
                </c:pt>
                <c:pt idx="116">
                  <c:v>43257</c:v>
                </c:pt>
                <c:pt idx="117">
                  <c:v>43256</c:v>
                </c:pt>
                <c:pt idx="118">
                  <c:v>43255</c:v>
                </c:pt>
                <c:pt idx="119">
                  <c:v>43252</c:v>
                </c:pt>
                <c:pt idx="120">
                  <c:v>43251</c:v>
                </c:pt>
                <c:pt idx="121">
                  <c:v>43250</c:v>
                </c:pt>
                <c:pt idx="122">
                  <c:v>43249</c:v>
                </c:pt>
                <c:pt idx="123">
                  <c:v>43245</c:v>
                </c:pt>
                <c:pt idx="124">
                  <c:v>43244</c:v>
                </c:pt>
                <c:pt idx="125">
                  <c:v>43243</c:v>
                </c:pt>
                <c:pt idx="126">
                  <c:v>43242</c:v>
                </c:pt>
                <c:pt idx="127">
                  <c:v>43241</c:v>
                </c:pt>
                <c:pt idx="128">
                  <c:v>43238</c:v>
                </c:pt>
                <c:pt idx="129">
                  <c:v>43237</c:v>
                </c:pt>
                <c:pt idx="130">
                  <c:v>43236</c:v>
                </c:pt>
                <c:pt idx="131">
                  <c:v>43235</c:v>
                </c:pt>
                <c:pt idx="132">
                  <c:v>43234</c:v>
                </c:pt>
                <c:pt idx="133">
                  <c:v>43231</c:v>
                </c:pt>
                <c:pt idx="134">
                  <c:v>43230</c:v>
                </c:pt>
                <c:pt idx="135">
                  <c:v>43229</c:v>
                </c:pt>
                <c:pt idx="136">
                  <c:v>43228</c:v>
                </c:pt>
                <c:pt idx="137">
                  <c:v>43227</c:v>
                </c:pt>
                <c:pt idx="138">
                  <c:v>43224</c:v>
                </c:pt>
                <c:pt idx="139">
                  <c:v>43223</c:v>
                </c:pt>
                <c:pt idx="140">
                  <c:v>43222</c:v>
                </c:pt>
                <c:pt idx="141">
                  <c:v>43221</c:v>
                </c:pt>
                <c:pt idx="142">
                  <c:v>43220</c:v>
                </c:pt>
                <c:pt idx="143">
                  <c:v>43217</c:v>
                </c:pt>
                <c:pt idx="144">
                  <c:v>43216</c:v>
                </c:pt>
                <c:pt idx="145">
                  <c:v>43215</c:v>
                </c:pt>
                <c:pt idx="146">
                  <c:v>43214</c:v>
                </c:pt>
                <c:pt idx="147">
                  <c:v>43213</c:v>
                </c:pt>
                <c:pt idx="148">
                  <c:v>43210</c:v>
                </c:pt>
                <c:pt idx="149">
                  <c:v>43209</c:v>
                </c:pt>
                <c:pt idx="150">
                  <c:v>43208</c:v>
                </c:pt>
                <c:pt idx="151">
                  <c:v>43207</c:v>
                </c:pt>
                <c:pt idx="152">
                  <c:v>43206</c:v>
                </c:pt>
                <c:pt idx="153">
                  <c:v>43203</c:v>
                </c:pt>
                <c:pt idx="154">
                  <c:v>43202</c:v>
                </c:pt>
                <c:pt idx="155">
                  <c:v>43201</c:v>
                </c:pt>
                <c:pt idx="156">
                  <c:v>43200</c:v>
                </c:pt>
                <c:pt idx="157">
                  <c:v>43199</c:v>
                </c:pt>
                <c:pt idx="158">
                  <c:v>43196</c:v>
                </c:pt>
                <c:pt idx="159">
                  <c:v>43195</c:v>
                </c:pt>
                <c:pt idx="160">
                  <c:v>43194</c:v>
                </c:pt>
                <c:pt idx="161">
                  <c:v>43193</c:v>
                </c:pt>
                <c:pt idx="162">
                  <c:v>43192</c:v>
                </c:pt>
                <c:pt idx="163">
                  <c:v>43188</c:v>
                </c:pt>
                <c:pt idx="164">
                  <c:v>43187</c:v>
                </c:pt>
                <c:pt idx="165">
                  <c:v>43186</c:v>
                </c:pt>
                <c:pt idx="166">
                  <c:v>43185</c:v>
                </c:pt>
                <c:pt idx="167">
                  <c:v>43182</c:v>
                </c:pt>
                <c:pt idx="168">
                  <c:v>43181</c:v>
                </c:pt>
                <c:pt idx="169">
                  <c:v>43180</c:v>
                </c:pt>
                <c:pt idx="170">
                  <c:v>43179</c:v>
                </c:pt>
                <c:pt idx="171">
                  <c:v>43178</c:v>
                </c:pt>
                <c:pt idx="172">
                  <c:v>43175</c:v>
                </c:pt>
                <c:pt idx="173">
                  <c:v>43174</c:v>
                </c:pt>
                <c:pt idx="174">
                  <c:v>43173</c:v>
                </c:pt>
                <c:pt idx="175">
                  <c:v>43172</c:v>
                </c:pt>
                <c:pt idx="176">
                  <c:v>43171</c:v>
                </c:pt>
                <c:pt idx="177">
                  <c:v>43168</c:v>
                </c:pt>
                <c:pt idx="178">
                  <c:v>43167</c:v>
                </c:pt>
                <c:pt idx="179">
                  <c:v>43166</c:v>
                </c:pt>
                <c:pt idx="180">
                  <c:v>43165</c:v>
                </c:pt>
                <c:pt idx="181">
                  <c:v>43164</c:v>
                </c:pt>
                <c:pt idx="182">
                  <c:v>43161</c:v>
                </c:pt>
                <c:pt idx="183">
                  <c:v>43160</c:v>
                </c:pt>
                <c:pt idx="184">
                  <c:v>43159</c:v>
                </c:pt>
                <c:pt idx="185">
                  <c:v>43158</c:v>
                </c:pt>
                <c:pt idx="186">
                  <c:v>43157</c:v>
                </c:pt>
                <c:pt idx="187">
                  <c:v>43154</c:v>
                </c:pt>
                <c:pt idx="188">
                  <c:v>43153</c:v>
                </c:pt>
                <c:pt idx="189">
                  <c:v>43152</c:v>
                </c:pt>
                <c:pt idx="190">
                  <c:v>43151</c:v>
                </c:pt>
                <c:pt idx="191">
                  <c:v>43147</c:v>
                </c:pt>
                <c:pt idx="192">
                  <c:v>43146</c:v>
                </c:pt>
                <c:pt idx="193">
                  <c:v>43145</c:v>
                </c:pt>
                <c:pt idx="194">
                  <c:v>43144</c:v>
                </c:pt>
                <c:pt idx="195">
                  <c:v>43143</c:v>
                </c:pt>
                <c:pt idx="196">
                  <c:v>43140</c:v>
                </c:pt>
                <c:pt idx="197">
                  <c:v>43139</c:v>
                </c:pt>
                <c:pt idx="198">
                  <c:v>43138</c:v>
                </c:pt>
                <c:pt idx="199">
                  <c:v>43137</c:v>
                </c:pt>
                <c:pt idx="200">
                  <c:v>43136</c:v>
                </c:pt>
                <c:pt idx="201">
                  <c:v>43133</c:v>
                </c:pt>
                <c:pt idx="202">
                  <c:v>43132</c:v>
                </c:pt>
                <c:pt idx="203">
                  <c:v>43131</c:v>
                </c:pt>
                <c:pt idx="204">
                  <c:v>43130</c:v>
                </c:pt>
                <c:pt idx="205">
                  <c:v>43129</c:v>
                </c:pt>
                <c:pt idx="206">
                  <c:v>43126</c:v>
                </c:pt>
                <c:pt idx="207">
                  <c:v>43125</c:v>
                </c:pt>
                <c:pt idx="208">
                  <c:v>43124</c:v>
                </c:pt>
                <c:pt idx="209">
                  <c:v>43123</c:v>
                </c:pt>
                <c:pt idx="210">
                  <c:v>43122</c:v>
                </c:pt>
                <c:pt idx="211">
                  <c:v>43119</c:v>
                </c:pt>
                <c:pt idx="212">
                  <c:v>43118</c:v>
                </c:pt>
                <c:pt idx="213">
                  <c:v>43117</c:v>
                </c:pt>
                <c:pt idx="214">
                  <c:v>43116</c:v>
                </c:pt>
                <c:pt idx="215">
                  <c:v>43112</c:v>
                </c:pt>
                <c:pt idx="216">
                  <c:v>43111</c:v>
                </c:pt>
                <c:pt idx="217">
                  <c:v>43110</c:v>
                </c:pt>
                <c:pt idx="218">
                  <c:v>43109</c:v>
                </c:pt>
                <c:pt idx="219">
                  <c:v>43108</c:v>
                </c:pt>
                <c:pt idx="220">
                  <c:v>43105</c:v>
                </c:pt>
                <c:pt idx="221">
                  <c:v>43104</c:v>
                </c:pt>
                <c:pt idx="222">
                  <c:v>43103</c:v>
                </c:pt>
                <c:pt idx="223">
                  <c:v>43102</c:v>
                </c:pt>
                <c:pt idx="224">
                  <c:v>43098</c:v>
                </c:pt>
                <c:pt idx="225">
                  <c:v>43097</c:v>
                </c:pt>
                <c:pt idx="226">
                  <c:v>43096</c:v>
                </c:pt>
                <c:pt idx="227">
                  <c:v>43095</c:v>
                </c:pt>
                <c:pt idx="228">
                  <c:v>43091</c:v>
                </c:pt>
                <c:pt idx="229">
                  <c:v>43090</c:v>
                </c:pt>
                <c:pt idx="230">
                  <c:v>43089</c:v>
                </c:pt>
                <c:pt idx="231">
                  <c:v>43088</c:v>
                </c:pt>
                <c:pt idx="232">
                  <c:v>43087</c:v>
                </c:pt>
                <c:pt idx="233">
                  <c:v>43084</c:v>
                </c:pt>
                <c:pt idx="234">
                  <c:v>43083</c:v>
                </c:pt>
                <c:pt idx="235">
                  <c:v>43082</c:v>
                </c:pt>
                <c:pt idx="236">
                  <c:v>43081</c:v>
                </c:pt>
                <c:pt idx="237">
                  <c:v>43080</c:v>
                </c:pt>
              </c:numCache>
            </c:numRef>
          </c:cat>
          <c:val>
            <c:numRef>
              <c:f>Sheet1!$Q$2:$Q$239</c:f>
              <c:numCache>
                <c:formatCode>0.0\x</c:formatCode>
                <c:ptCount val="238"/>
                <c:pt idx="0">
                  <c:v>6.8975400000000011</c:v>
                </c:pt>
                <c:pt idx="1">
                  <c:v>7.5800600000000005</c:v>
                </c:pt>
                <c:pt idx="2">
                  <c:v>7.6701000000000006</c:v>
                </c:pt>
                <c:pt idx="3">
                  <c:v>7.4057600000000008</c:v>
                </c:pt>
                <c:pt idx="4">
                  <c:v>7.4858000000000002</c:v>
                </c:pt>
                <c:pt idx="5">
                  <c:v>7.4518000000000004</c:v>
                </c:pt>
                <c:pt idx="6">
                  <c:v>7.7454799999999988</c:v>
                </c:pt>
                <c:pt idx="7">
                  <c:v>8.0838599999999978</c:v>
                </c:pt>
                <c:pt idx="8">
                  <c:v>8.1384399999999992</c:v>
                </c:pt>
                <c:pt idx="9">
                  <c:v>7.5546000000000006</c:v>
                </c:pt>
                <c:pt idx="10">
                  <c:v>7.6995999999999993</c:v>
                </c:pt>
                <c:pt idx="11">
                  <c:v>7.8018400000000003</c:v>
                </c:pt>
                <c:pt idx="12">
                  <c:v>7.9506600000000009</c:v>
                </c:pt>
                <c:pt idx="13">
                  <c:v>7.759479999999999</c:v>
                </c:pt>
                <c:pt idx="14">
                  <c:v>7.3666999999999998</c:v>
                </c:pt>
                <c:pt idx="15">
                  <c:v>7.1370200000000015</c:v>
                </c:pt>
                <c:pt idx="16">
                  <c:v>7.1451200000000004</c:v>
                </c:pt>
                <c:pt idx="17">
                  <c:v>7.4343599999999999</c:v>
                </c:pt>
                <c:pt idx="18">
                  <c:v>7.2105399999999991</c:v>
                </c:pt>
                <c:pt idx="19">
                  <c:v>7.6713799999999992</c:v>
                </c:pt>
                <c:pt idx="20">
                  <c:v>7.6683599999999998</c:v>
                </c:pt>
                <c:pt idx="21">
                  <c:v>7.5568799999999996</c:v>
                </c:pt>
                <c:pt idx="22">
                  <c:v>7.83948</c:v>
                </c:pt>
                <c:pt idx="23">
                  <c:v>8.1384799999999995</c:v>
                </c:pt>
                <c:pt idx="24">
                  <c:v>8.1433400000000002</c:v>
                </c:pt>
                <c:pt idx="25">
                  <c:v>7.7458</c:v>
                </c:pt>
                <c:pt idx="26">
                  <c:v>7.8800600000000003</c:v>
                </c:pt>
                <c:pt idx="27">
                  <c:v>7.5326000000000004</c:v>
                </c:pt>
                <c:pt idx="28">
                  <c:v>7.4653400000000003</c:v>
                </c:pt>
                <c:pt idx="29">
                  <c:v>7.9412600000000015</c:v>
                </c:pt>
                <c:pt idx="30">
                  <c:v>7.9478000000000009</c:v>
                </c:pt>
                <c:pt idx="31">
                  <c:v>8.3520399999999988</c:v>
                </c:pt>
                <c:pt idx="32">
                  <c:v>8.3843800000000002</c:v>
                </c:pt>
                <c:pt idx="33">
                  <c:v>8.6821799999999989</c:v>
                </c:pt>
                <c:pt idx="34">
                  <c:v>8.5538399999999992</c:v>
                </c:pt>
                <c:pt idx="35">
                  <c:v>8.7844800000000003</c:v>
                </c:pt>
                <c:pt idx="36">
                  <c:v>8.8553800000000003</c:v>
                </c:pt>
                <c:pt idx="37">
                  <c:v>8.8588199999999997</c:v>
                </c:pt>
                <c:pt idx="38">
                  <c:v>8.8282799999999995</c:v>
                </c:pt>
                <c:pt idx="39">
                  <c:v>8.8434200000000001</c:v>
                </c:pt>
                <c:pt idx="40">
                  <c:v>8.7063600000000001</c:v>
                </c:pt>
                <c:pt idx="41">
                  <c:v>8.6022999999999996</c:v>
                </c:pt>
                <c:pt idx="42">
                  <c:v>8.633420000000001</c:v>
                </c:pt>
                <c:pt idx="43">
                  <c:v>8.5674799999999998</c:v>
                </c:pt>
                <c:pt idx="44">
                  <c:v>8.7650000000000006</c:v>
                </c:pt>
                <c:pt idx="45">
                  <c:v>8.7900000000000009</c:v>
                </c:pt>
                <c:pt idx="46">
                  <c:v>9.1866000000000003</c:v>
                </c:pt>
                <c:pt idx="47">
                  <c:v>9.2168600000000005</c:v>
                </c:pt>
                <c:pt idx="48">
                  <c:v>9.1366199999999989</c:v>
                </c:pt>
                <c:pt idx="49">
                  <c:v>9.0458600000000011</c:v>
                </c:pt>
                <c:pt idx="50">
                  <c:v>8.9560199999999988</c:v>
                </c:pt>
                <c:pt idx="51">
                  <c:v>8.9724199999999996</c:v>
                </c:pt>
                <c:pt idx="52">
                  <c:v>8.8690999999999995</c:v>
                </c:pt>
                <c:pt idx="53">
                  <c:v>8.7507399999999986</c:v>
                </c:pt>
                <c:pt idx="54">
                  <c:v>9.2985199999999999</c:v>
                </c:pt>
                <c:pt idx="55">
                  <c:v>9.2217599999999997</c:v>
                </c:pt>
                <c:pt idx="56">
                  <c:v>9.1376799999999996</c:v>
                </c:pt>
                <c:pt idx="57">
                  <c:v>9.2288400000000017</c:v>
                </c:pt>
                <c:pt idx="58">
                  <c:v>9.0708599999999997</c:v>
                </c:pt>
                <c:pt idx="59">
                  <c:v>8.9307800000000022</c:v>
                </c:pt>
                <c:pt idx="60">
                  <c:v>9.0038800000000005</c:v>
                </c:pt>
                <c:pt idx="61">
                  <c:v>8.4900800000000007</c:v>
                </c:pt>
                <c:pt idx="62">
                  <c:v>8.450680000000002</c:v>
                </c:pt>
                <c:pt idx="63">
                  <c:v>8.4024400000000004</c:v>
                </c:pt>
                <c:pt idx="64">
                  <c:v>8.3264800000000001</c:v>
                </c:pt>
                <c:pt idx="65">
                  <c:v>8.2784800000000001</c:v>
                </c:pt>
                <c:pt idx="66">
                  <c:v>8.3184599999999982</c:v>
                </c:pt>
                <c:pt idx="67">
                  <c:v>8.31738</c:v>
                </c:pt>
                <c:pt idx="68">
                  <c:v>8.3878200000000014</c:v>
                </c:pt>
                <c:pt idx="69">
                  <c:v>8.3521600000000014</c:v>
                </c:pt>
                <c:pt idx="70">
                  <c:v>8.4302799999999998</c:v>
                </c:pt>
                <c:pt idx="71">
                  <c:v>8.4309600000000007</c:v>
                </c:pt>
                <c:pt idx="72">
                  <c:v>8.3164600000000011</c:v>
                </c:pt>
                <c:pt idx="73">
                  <c:v>8.2942</c:v>
                </c:pt>
                <c:pt idx="74">
                  <c:v>8.2553200000000011</c:v>
                </c:pt>
                <c:pt idx="75">
                  <c:v>8.0905799999999992</c:v>
                </c:pt>
                <c:pt idx="76">
                  <c:v>8.3104999999999993</c:v>
                </c:pt>
                <c:pt idx="77">
                  <c:v>8.0400000000000009</c:v>
                </c:pt>
                <c:pt idx="78">
                  <c:v>7.8835999999999995</c:v>
                </c:pt>
                <c:pt idx="79">
                  <c:v>7.8367999999999993</c:v>
                </c:pt>
                <c:pt idx="80">
                  <c:v>8.2360199999999999</c:v>
                </c:pt>
                <c:pt idx="81">
                  <c:v>8.528459999999999</c:v>
                </c:pt>
                <c:pt idx="82">
                  <c:v>8.4340000000000011</c:v>
                </c:pt>
                <c:pt idx="83">
                  <c:v>8.32456</c:v>
                </c:pt>
                <c:pt idx="84">
                  <c:v>8.5506399999999996</c:v>
                </c:pt>
                <c:pt idx="85">
                  <c:v>8.5290599999999994</c:v>
                </c:pt>
                <c:pt idx="86">
                  <c:v>8.5418000000000003</c:v>
                </c:pt>
                <c:pt idx="87">
                  <c:v>8.6116600000000005</c:v>
                </c:pt>
                <c:pt idx="88">
                  <c:v>8.5829999999999984</c:v>
                </c:pt>
                <c:pt idx="89">
                  <c:v>8.5171400000000013</c:v>
                </c:pt>
                <c:pt idx="90">
                  <c:v>8.5814800000000009</c:v>
                </c:pt>
                <c:pt idx="91">
                  <c:v>8.6731200000000008</c:v>
                </c:pt>
                <c:pt idx="92">
                  <c:v>8.3773400000000002</c:v>
                </c:pt>
                <c:pt idx="93">
                  <c:v>8.2328799999999998</c:v>
                </c:pt>
                <c:pt idx="94">
                  <c:v>8.2528199999999998</c:v>
                </c:pt>
                <c:pt idx="95">
                  <c:v>8.1920999999999999</c:v>
                </c:pt>
                <c:pt idx="96">
                  <c:v>8.0482200000000006</c:v>
                </c:pt>
                <c:pt idx="97">
                  <c:v>7.9544200000000007</c:v>
                </c:pt>
                <c:pt idx="98">
                  <c:v>8.0303199999999997</c:v>
                </c:pt>
                <c:pt idx="99">
                  <c:v>7.8307799999999999</c:v>
                </c:pt>
                <c:pt idx="100">
                  <c:v>7.8004199999999999</c:v>
                </c:pt>
                <c:pt idx="101">
                  <c:v>7.6162999999999998</c:v>
                </c:pt>
                <c:pt idx="102">
                  <c:v>7.8674599999999995</c:v>
                </c:pt>
                <c:pt idx="103">
                  <c:v>7.7899200000000004</c:v>
                </c:pt>
                <c:pt idx="104">
                  <c:v>8.0494799999999991</c:v>
                </c:pt>
                <c:pt idx="105">
                  <c:v>8.3360599999999998</c:v>
                </c:pt>
                <c:pt idx="106">
                  <c:v>8.5370799999999996</c:v>
                </c:pt>
                <c:pt idx="107">
                  <c:v>8.5732599999999994</c:v>
                </c:pt>
                <c:pt idx="108">
                  <c:v>8.6505200000000002</c:v>
                </c:pt>
                <c:pt idx="109">
                  <c:v>8.5584400000000009</c:v>
                </c:pt>
                <c:pt idx="110">
                  <c:v>8.5923800000000004</c:v>
                </c:pt>
                <c:pt idx="111">
                  <c:v>8.4626399999999986</c:v>
                </c:pt>
                <c:pt idx="112">
                  <c:v>8.4855</c:v>
                </c:pt>
                <c:pt idx="113">
                  <c:v>8.3567199999999993</c:v>
                </c:pt>
                <c:pt idx="114">
                  <c:v>8.3284400000000005</c:v>
                </c:pt>
                <c:pt idx="115">
                  <c:v>8.2627400000000009</c:v>
                </c:pt>
                <c:pt idx="116">
                  <c:v>8.5706600000000002</c:v>
                </c:pt>
                <c:pt idx="117">
                  <c:v>8.5437399999999997</c:v>
                </c:pt>
                <c:pt idx="118">
                  <c:v>8.4671600000000016</c:v>
                </c:pt>
                <c:pt idx="119">
                  <c:v>8.3583999999999996</c:v>
                </c:pt>
                <c:pt idx="120">
                  <c:v>8.3273799999999998</c:v>
                </c:pt>
                <c:pt idx="121">
                  <c:v>8.3759399999999999</c:v>
                </c:pt>
                <c:pt idx="122">
                  <c:v>8.2678799999999999</c:v>
                </c:pt>
                <c:pt idx="123">
                  <c:v>8.3487800000000014</c:v>
                </c:pt>
                <c:pt idx="124">
                  <c:v>8.4451199999999993</c:v>
                </c:pt>
                <c:pt idx="125">
                  <c:v>8.3983200000000018</c:v>
                </c:pt>
                <c:pt idx="126">
                  <c:v>8.281839999999999</c:v>
                </c:pt>
                <c:pt idx="127">
                  <c:v>8.3349799999999998</c:v>
                </c:pt>
                <c:pt idx="128">
                  <c:v>8.4661799999999996</c:v>
                </c:pt>
                <c:pt idx="129">
                  <c:v>8.3622399999999999</c:v>
                </c:pt>
                <c:pt idx="130">
                  <c:v>8.4013200000000001</c:v>
                </c:pt>
                <c:pt idx="131">
                  <c:v>8.3821399999999997</c:v>
                </c:pt>
                <c:pt idx="132">
                  <c:v>8.3733000000000004</c:v>
                </c:pt>
                <c:pt idx="133">
                  <c:v>8.6198800000000002</c:v>
                </c:pt>
                <c:pt idx="134">
                  <c:v>8.6705000000000005</c:v>
                </c:pt>
                <c:pt idx="135">
                  <c:v>8.6288599999999995</c:v>
                </c:pt>
                <c:pt idx="136">
                  <c:v>8.4878</c:v>
                </c:pt>
                <c:pt idx="137">
                  <c:v>8.363760000000001</c:v>
                </c:pt>
                <c:pt idx="138">
                  <c:v>8.2035400000000003</c:v>
                </c:pt>
                <c:pt idx="139">
                  <c:v>8.1022999999999996</c:v>
                </c:pt>
                <c:pt idx="140">
                  <c:v>7.8899599999999994</c:v>
                </c:pt>
                <c:pt idx="141">
                  <c:v>7.8861800000000004</c:v>
                </c:pt>
                <c:pt idx="142">
                  <c:v>7.861320000000001</c:v>
                </c:pt>
                <c:pt idx="143">
                  <c:v>7.7925399999999998</c:v>
                </c:pt>
                <c:pt idx="144">
                  <c:v>7.7953599999999996</c:v>
                </c:pt>
                <c:pt idx="145">
                  <c:v>7.5244600000000004</c:v>
                </c:pt>
                <c:pt idx="146">
                  <c:v>7.6813400000000005</c:v>
                </c:pt>
                <c:pt idx="147">
                  <c:v>8.007200000000001</c:v>
                </c:pt>
                <c:pt idx="148">
                  <c:v>8.0316599999999987</c:v>
                </c:pt>
                <c:pt idx="149">
                  <c:v>8.1511400000000016</c:v>
                </c:pt>
                <c:pt idx="150">
                  <c:v>8.2146799999999995</c:v>
                </c:pt>
                <c:pt idx="151">
                  <c:v>8.21434</c:v>
                </c:pt>
                <c:pt idx="152">
                  <c:v>7.9120999999999997</c:v>
                </c:pt>
                <c:pt idx="153">
                  <c:v>7.8394599999999999</c:v>
                </c:pt>
                <c:pt idx="154">
                  <c:v>7.9996600000000004</c:v>
                </c:pt>
                <c:pt idx="155">
                  <c:v>7.8347600000000002</c:v>
                </c:pt>
                <c:pt idx="156">
                  <c:v>7.8255799999999995</c:v>
                </c:pt>
                <c:pt idx="157">
                  <c:v>7.6302200000000013</c:v>
                </c:pt>
                <c:pt idx="158">
                  <c:v>7.6196200000000003</c:v>
                </c:pt>
                <c:pt idx="159">
                  <c:v>7.8076999999999996</c:v>
                </c:pt>
                <c:pt idx="160">
                  <c:v>7.794579999999999</c:v>
                </c:pt>
                <c:pt idx="161">
                  <c:v>7.6848200000000002</c:v>
                </c:pt>
                <c:pt idx="162">
                  <c:v>7.6568399999999999</c:v>
                </c:pt>
                <c:pt idx="163">
                  <c:v>7.7821200000000008</c:v>
                </c:pt>
                <c:pt idx="164">
                  <c:v>7.5708600000000006</c:v>
                </c:pt>
                <c:pt idx="165">
                  <c:v>7.7699400000000001</c:v>
                </c:pt>
                <c:pt idx="166">
                  <c:v>8.1561799999999991</c:v>
                </c:pt>
                <c:pt idx="167">
                  <c:v>7.8820199999999998</c:v>
                </c:pt>
                <c:pt idx="168">
                  <c:v>8.1101600000000005</c:v>
                </c:pt>
                <c:pt idx="169">
                  <c:v>8.3204799999999999</c:v>
                </c:pt>
                <c:pt idx="170">
                  <c:v>8.3562600000000007</c:v>
                </c:pt>
                <c:pt idx="171">
                  <c:v>8.2391400000000008</c:v>
                </c:pt>
                <c:pt idx="172">
                  <c:v>8.3356200000000005</c:v>
                </c:pt>
                <c:pt idx="173">
                  <c:v>8.4586000000000006</c:v>
                </c:pt>
                <c:pt idx="174">
                  <c:v>8.5431399999999993</c:v>
                </c:pt>
                <c:pt idx="175">
                  <c:v>8.4306800000000006</c:v>
                </c:pt>
                <c:pt idx="176">
                  <c:v>8.530759999999999</c:v>
                </c:pt>
                <c:pt idx="177">
                  <c:v>8.4995799999999999</c:v>
                </c:pt>
                <c:pt idx="178">
                  <c:v>8.4356000000000009</c:v>
                </c:pt>
                <c:pt idx="179">
                  <c:v>8.4064399999999999</c:v>
                </c:pt>
                <c:pt idx="180">
                  <c:v>8.3224600000000013</c:v>
                </c:pt>
                <c:pt idx="181">
                  <c:v>8.2056000000000004</c:v>
                </c:pt>
                <c:pt idx="182">
                  <c:v>8.1398600000000023</c:v>
                </c:pt>
                <c:pt idx="183">
                  <c:v>7.7812799999999998</c:v>
                </c:pt>
                <c:pt idx="184">
                  <c:v>7.8051999999999992</c:v>
                </c:pt>
                <c:pt idx="185">
                  <c:v>7.8961399999999999</c:v>
                </c:pt>
                <c:pt idx="186">
                  <c:v>7.9130200000000004</c:v>
                </c:pt>
                <c:pt idx="187">
                  <c:v>7.8711799999999998</c:v>
                </c:pt>
                <c:pt idx="188">
                  <c:v>7.6914800000000003</c:v>
                </c:pt>
                <c:pt idx="189">
                  <c:v>7.7535399999999992</c:v>
                </c:pt>
                <c:pt idx="190">
                  <c:v>7.77616</c:v>
                </c:pt>
                <c:pt idx="191">
                  <c:v>7.6720600000000001</c:v>
                </c:pt>
                <c:pt idx="192">
                  <c:v>7.7596800000000004</c:v>
                </c:pt>
                <c:pt idx="193">
                  <c:v>7.5039800000000003</c:v>
                </c:pt>
                <c:pt idx="194">
                  <c:v>7.3331</c:v>
                </c:pt>
                <c:pt idx="195">
                  <c:v>7.3144399999999994</c:v>
                </c:pt>
                <c:pt idx="196">
                  <c:v>7.1796600000000002</c:v>
                </c:pt>
                <c:pt idx="197">
                  <c:v>7.0130399999999993</c:v>
                </c:pt>
                <c:pt idx="198">
                  <c:v>7.4511400000000005</c:v>
                </c:pt>
                <c:pt idx="199">
                  <c:v>7.3912199999999997</c:v>
                </c:pt>
                <c:pt idx="200">
                  <c:v>7.3587800000000003</c:v>
                </c:pt>
                <c:pt idx="201">
                  <c:v>7.5791200000000005</c:v>
                </c:pt>
                <c:pt idx="202">
                  <c:v>7.58704</c:v>
                </c:pt>
                <c:pt idx="203">
                  <c:v>7.6002399999999994</c:v>
                </c:pt>
                <c:pt idx="204">
                  <c:v>7.5585599999999999</c:v>
                </c:pt>
                <c:pt idx="205">
                  <c:v>7.5559399999999997</c:v>
                </c:pt>
                <c:pt idx="206">
                  <c:v>7.6535600000000006</c:v>
                </c:pt>
                <c:pt idx="207">
                  <c:v>7.4826799999999993</c:v>
                </c:pt>
                <c:pt idx="208">
                  <c:v>7.4842999999999993</c:v>
                </c:pt>
                <c:pt idx="209">
                  <c:v>7.5094400000000006</c:v>
                </c:pt>
                <c:pt idx="210">
                  <c:v>7.4696200000000008</c:v>
                </c:pt>
                <c:pt idx="211">
                  <c:v>7.4005600000000005</c:v>
                </c:pt>
                <c:pt idx="212">
                  <c:v>7.3853600000000004</c:v>
                </c:pt>
                <c:pt idx="213">
                  <c:v>7.3510200000000001</c:v>
                </c:pt>
                <c:pt idx="214">
                  <c:v>7.2174800000000001</c:v>
                </c:pt>
                <c:pt idx="215">
                  <c:v>7.3301800000000004</c:v>
                </c:pt>
                <c:pt idx="216">
                  <c:v>7.3242999999999991</c:v>
                </c:pt>
                <c:pt idx="217">
                  <c:v>7.2796599999999998</c:v>
                </c:pt>
                <c:pt idx="218">
                  <c:v>7.1861199999999998</c:v>
                </c:pt>
                <c:pt idx="219">
                  <c:v>7.1967600000000003</c:v>
                </c:pt>
                <c:pt idx="220">
                  <c:v>7.13788</c:v>
                </c:pt>
                <c:pt idx="221">
                  <c:v>7.1096000000000004</c:v>
                </c:pt>
                <c:pt idx="222">
                  <c:v>7.0396199999999993</c:v>
                </c:pt>
                <c:pt idx="223">
                  <c:v>6.9394599999999995</c:v>
                </c:pt>
                <c:pt idx="224">
                  <c:v>6.7873600000000014</c:v>
                </c:pt>
                <c:pt idx="225">
                  <c:v>6.8135999999999992</c:v>
                </c:pt>
                <c:pt idx="226">
                  <c:v>6.8338799999999988</c:v>
                </c:pt>
                <c:pt idx="227">
                  <c:v>6.8189200000000003</c:v>
                </c:pt>
                <c:pt idx="228">
                  <c:v>6.8133799999999995</c:v>
                </c:pt>
                <c:pt idx="229">
                  <c:v>6.8720600000000003</c:v>
                </c:pt>
                <c:pt idx="230">
                  <c:v>6.8432999999999993</c:v>
                </c:pt>
                <c:pt idx="231">
                  <c:v>6.9082600000000003</c:v>
                </c:pt>
                <c:pt idx="232">
                  <c:v>6.9385999999999992</c:v>
                </c:pt>
                <c:pt idx="233">
                  <c:v>6.90198</c:v>
                </c:pt>
                <c:pt idx="234">
                  <c:v>6.7994800000000009</c:v>
                </c:pt>
                <c:pt idx="235">
                  <c:v>6.7295999999999996</c:v>
                </c:pt>
                <c:pt idx="236">
                  <c:v>6.7196400000000001</c:v>
                </c:pt>
                <c:pt idx="237">
                  <c:v>6.8330600000000006</c:v>
                </c:pt>
              </c:numCache>
            </c:numRef>
          </c:val>
          <c:smooth val="0"/>
          <c:extLst>
            <c:ext xmlns:c16="http://schemas.microsoft.com/office/drawing/2014/chart" uri="{C3380CC4-5D6E-409C-BE32-E72D297353CC}">
              <c16:uniqueId val="{00000001-2F84-4ABA-AB92-6F534B99E7C3}"/>
            </c:ext>
          </c:extLst>
        </c:ser>
        <c:ser>
          <c:idx val="2"/>
          <c:order val="2"/>
          <c:tx>
            <c:strRef>
              <c:f>Sheet1!$R$1</c:f>
              <c:strCache>
                <c:ptCount val="1"/>
                <c:pt idx="0">
                  <c:v>Proxy Peers</c:v>
                </c:pt>
              </c:strCache>
            </c:strRef>
          </c:tx>
          <c:spPr>
            <a:ln w="28575" cap="rnd">
              <a:solidFill>
                <a:schemeClr val="accent3"/>
              </a:solidFill>
              <a:round/>
            </a:ln>
            <a:effectLst/>
          </c:spPr>
          <c:marker>
            <c:symbol val="none"/>
          </c:marker>
          <c:dLbls>
            <c:dLbl>
              <c:idx val="23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F84-4ABA-AB92-6F534B99E7C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Sheet1!$O$2:$O$239</c:f>
              <c:numCache>
                <c:formatCode>m/d/yyyy</c:formatCode>
                <c:ptCount val="238"/>
                <c:pt idx="0">
                  <c:v>43423</c:v>
                </c:pt>
                <c:pt idx="1">
                  <c:v>43420</c:v>
                </c:pt>
                <c:pt idx="2">
                  <c:v>43419</c:v>
                </c:pt>
                <c:pt idx="3">
                  <c:v>43418</c:v>
                </c:pt>
                <c:pt idx="4">
                  <c:v>43417</c:v>
                </c:pt>
                <c:pt idx="5">
                  <c:v>43416</c:v>
                </c:pt>
                <c:pt idx="6">
                  <c:v>43413</c:v>
                </c:pt>
                <c:pt idx="7">
                  <c:v>43412</c:v>
                </c:pt>
                <c:pt idx="8">
                  <c:v>43411</c:v>
                </c:pt>
                <c:pt idx="9">
                  <c:v>43410</c:v>
                </c:pt>
                <c:pt idx="10">
                  <c:v>43409</c:v>
                </c:pt>
                <c:pt idx="11">
                  <c:v>43406</c:v>
                </c:pt>
                <c:pt idx="12">
                  <c:v>43405</c:v>
                </c:pt>
                <c:pt idx="13">
                  <c:v>43404</c:v>
                </c:pt>
                <c:pt idx="14">
                  <c:v>43403</c:v>
                </c:pt>
                <c:pt idx="15">
                  <c:v>43402</c:v>
                </c:pt>
                <c:pt idx="16">
                  <c:v>43399</c:v>
                </c:pt>
                <c:pt idx="17">
                  <c:v>43398</c:v>
                </c:pt>
                <c:pt idx="18">
                  <c:v>43397</c:v>
                </c:pt>
                <c:pt idx="19">
                  <c:v>43396</c:v>
                </c:pt>
                <c:pt idx="20">
                  <c:v>43395</c:v>
                </c:pt>
                <c:pt idx="21">
                  <c:v>43392</c:v>
                </c:pt>
                <c:pt idx="22">
                  <c:v>43391</c:v>
                </c:pt>
                <c:pt idx="23">
                  <c:v>43390</c:v>
                </c:pt>
                <c:pt idx="24">
                  <c:v>43389</c:v>
                </c:pt>
                <c:pt idx="25">
                  <c:v>43388</c:v>
                </c:pt>
                <c:pt idx="26">
                  <c:v>43385</c:v>
                </c:pt>
                <c:pt idx="27">
                  <c:v>43384</c:v>
                </c:pt>
                <c:pt idx="28">
                  <c:v>43383</c:v>
                </c:pt>
                <c:pt idx="29">
                  <c:v>43382</c:v>
                </c:pt>
                <c:pt idx="30">
                  <c:v>43381</c:v>
                </c:pt>
                <c:pt idx="31">
                  <c:v>43378</c:v>
                </c:pt>
                <c:pt idx="32">
                  <c:v>43377</c:v>
                </c:pt>
                <c:pt idx="33">
                  <c:v>43376</c:v>
                </c:pt>
                <c:pt idx="34">
                  <c:v>43375</c:v>
                </c:pt>
                <c:pt idx="35">
                  <c:v>43374</c:v>
                </c:pt>
                <c:pt idx="36">
                  <c:v>43371</c:v>
                </c:pt>
                <c:pt idx="37">
                  <c:v>43370</c:v>
                </c:pt>
                <c:pt idx="38">
                  <c:v>43369</c:v>
                </c:pt>
                <c:pt idx="39">
                  <c:v>43368</c:v>
                </c:pt>
                <c:pt idx="40">
                  <c:v>43367</c:v>
                </c:pt>
                <c:pt idx="41">
                  <c:v>43364</c:v>
                </c:pt>
                <c:pt idx="42">
                  <c:v>43363</c:v>
                </c:pt>
                <c:pt idx="43">
                  <c:v>43362</c:v>
                </c:pt>
                <c:pt idx="44">
                  <c:v>43361</c:v>
                </c:pt>
                <c:pt idx="45">
                  <c:v>43360</c:v>
                </c:pt>
                <c:pt idx="46">
                  <c:v>43357</c:v>
                </c:pt>
                <c:pt idx="47">
                  <c:v>43356</c:v>
                </c:pt>
                <c:pt idx="48">
                  <c:v>43355</c:v>
                </c:pt>
                <c:pt idx="49">
                  <c:v>43354</c:v>
                </c:pt>
                <c:pt idx="50">
                  <c:v>43353</c:v>
                </c:pt>
                <c:pt idx="51">
                  <c:v>43350</c:v>
                </c:pt>
                <c:pt idx="52">
                  <c:v>43349</c:v>
                </c:pt>
                <c:pt idx="53">
                  <c:v>43348</c:v>
                </c:pt>
                <c:pt idx="54">
                  <c:v>43347</c:v>
                </c:pt>
                <c:pt idx="55">
                  <c:v>43343</c:v>
                </c:pt>
                <c:pt idx="56">
                  <c:v>43342</c:v>
                </c:pt>
                <c:pt idx="57">
                  <c:v>43341</c:v>
                </c:pt>
                <c:pt idx="58">
                  <c:v>43340</c:v>
                </c:pt>
                <c:pt idx="59">
                  <c:v>43339</c:v>
                </c:pt>
                <c:pt idx="60">
                  <c:v>43336</c:v>
                </c:pt>
                <c:pt idx="61">
                  <c:v>43335</c:v>
                </c:pt>
                <c:pt idx="62">
                  <c:v>43334</c:v>
                </c:pt>
                <c:pt idx="63">
                  <c:v>43333</c:v>
                </c:pt>
                <c:pt idx="64">
                  <c:v>43332</c:v>
                </c:pt>
                <c:pt idx="65">
                  <c:v>43329</c:v>
                </c:pt>
                <c:pt idx="66">
                  <c:v>43328</c:v>
                </c:pt>
                <c:pt idx="67">
                  <c:v>43327</c:v>
                </c:pt>
                <c:pt idx="68">
                  <c:v>43326</c:v>
                </c:pt>
                <c:pt idx="69">
                  <c:v>43325</c:v>
                </c:pt>
                <c:pt idx="70">
                  <c:v>43322</c:v>
                </c:pt>
                <c:pt idx="71">
                  <c:v>43321</c:v>
                </c:pt>
                <c:pt idx="72">
                  <c:v>43320</c:v>
                </c:pt>
                <c:pt idx="73">
                  <c:v>43319</c:v>
                </c:pt>
                <c:pt idx="74">
                  <c:v>43318</c:v>
                </c:pt>
                <c:pt idx="75">
                  <c:v>43315</c:v>
                </c:pt>
                <c:pt idx="76">
                  <c:v>43314</c:v>
                </c:pt>
                <c:pt idx="77">
                  <c:v>43313</c:v>
                </c:pt>
                <c:pt idx="78">
                  <c:v>43312</c:v>
                </c:pt>
                <c:pt idx="79">
                  <c:v>43311</c:v>
                </c:pt>
                <c:pt idx="80">
                  <c:v>43308</c:v>
                </c:pt>
                <c:pt idx="81">
                  <c:v>43307</c:v>
                </c:pt>
                <c:pt idx="82">
                  <c:v>43306</c:v>
                </c:pt>
                <c:pt idx="83">
                  <c:v>43305</c:v>
                </c:pt>
                <c:pt idx="84">
                  <c:v>43304</c:v>
                </c:pt>
                <c:pt idx="85">
                  <c:v>43301</c:v>
                </c:pt>
                <c:pt idx="86">
                  <c:v>43300</c:v>
                </c:pt>
                <c:pt idx="87">
                  <c:v>43299</c:v>
                </c:pt>
                <c:pt idx="88">
                  <c:v>43298</c:v>
                </c:pt>
                <c:pt idx="89">
                  <c:v>43297</c:v>
                </c:pt>
                <c:pt idx="90">
                  <c:v>43294</c:v>
                </c:pt>
                <c:pt idx="91">
                  <c:v>43293</c:v>
                </c:pt>
                <c:pt idx="92">
                  <c:v>43292</c:v>
                </c:pt>
                <c:pt idx="93">
                  <c:v>43291</c:v>
                </c:pt>
                <c:pt idx="94">
                  <c:v>43290</c:v>
                </c:pt>
                <c:pt idx="95">
                  <c:v>43287</c:v>
                </c:pt>
                <c:pt idx="96">
                  <c:v>43286</c:v>
                </c:pt>
                <c:pt idx="97">
                  <c:v>43284</c:v>
                </c:pt>
                <c:pt idx="98">
                  <c:v>43283</c:v>
                </c:pt>
                <c:pt idx="99">
                  <c:v>43280</c:v>
                </c:pt>
                <c:pt idx="100">
                  <c:v>43279</c:v>
                </c:pt>
                <c:pt idx="101">
                  <c:v>43278</c:v>
                </c:pt>
                <c:pt idx="102">
                  <c:v>43277</c:v>
                </c:pt>
                <c:pt idx="103">
                  <c:v>43276</c:v>
                </c:pt>
                <c:pt idx="104">
                  <c:v>43273</c:v>
                </c:pt>
                <c:pt idx="105">
                  <c:v>43272</c:v>
                </c:pt>
                <c:pt idx="106">
                  <c:v>43271</c:v>
                </c:pt>
                <c:pt idx="107">
                  <c:v>43270</c:v>
                </c:pt>
                <c:pt idx="108">
                  <c:v>43269</c:v>
                </c:pt>
                <c:pt idx="109">
                  <c:v>43266</c:v>
                </c:pt>
                <c:pt idx="110">
                  <c:v>43265</c:v>
                </c:pt>
                <c:pt idx="111">
                  <c:v>43264</c:v>
                </c:pt>
                <c:pt idx="112">
                  <c:v>43263</c:v>
                </c:pt>
                <c:pt idx="113">
                  <c:v>43262</c:v>
                </c:pt>
                <c:pt idx="114">
                  <c:v>43259</c:v>
                </c:pt>
                <c:pt idx="115">
                  <c:v>43258</c:v>
                </c:pt>
                <c:pt idx="116">
                  <c:v>43257</c:v>
                </c:pt>
                <c:pt idx="117">
                  <c:v>43256</c:v>
                </c:pt>
                <c:pt idx="118">
                  <c:v>43255</c:v>
                </c:pt>
                <c:pt idx="119">
                  <c:v>43252</c:v>
                </c:pt>
                <c:pt idx="120">
                  <c:v>43251</c:v>
                </c:pt>
                <c:pt idx="121">
                  <c:v>43250</c:v>
                </c:pt>
                <c:pt idx="122">
                  <c:v>43249</c:v>
                </c:pt>
                <c:pt idx="123">
                  <c:v>43245</c:v>
                </c:pt>
                <c:pt idx="124">
                  <c:v>43244</c:v>
                </c:pt>
                <c:pt idx="125">
                  <c:v>43243</c:v>
                </c:pt>
                <c:pt idx="126">
                  <c:v>43242</c:v>
                </c:pt>
                <c:pt idx="127">
                  <c:v>43241</c:v>
                </c:pt>
                <c:pt idx="128">
                  <c:v>43238</c:v>
                </c:pt>
                <c:pt idx="129">
                  <c:v>43237</c:v>
                </c:pt>
                <c:pt idx="130">
                  <c:v>43236</c:v>
                </c:pt>
                <c:pt idx="131">
                  <c:v>43235</c:v>
                </c:pt>
                <c:pt idx="132">
                  <c:v>43234</c:v>
                </c:pt>
                <c:pt idx="133">
                  <c:v>43231</c:v>
                </c:pt>
                <c:pt idx="134">
                  <c:v>43230</c:v>
                </c:pt>
                <c:pt idx="135">
                  <c:v>43229</c:v>
                </c:pt>
                <c:pt idx="136">
                  <c:v>43228</c:v>
                </c:pt>
                <c:pt idx="137">
                  <c:v>43227</c:v>
                </c:pt>
                <c:pt idx="138">
                  <c:v>43224</c:v>
                </c:pt>
                <c:pt idx="139">
                  <c:v>43223</c:v>
                </c:pt>
                <c:pt idx="140">
                  <c:v>43222</c:v>
                </c:pt>
                <c:pt idx="141">
                  <c:v>43221</c:v>
                </c:pt>
                <c:pt idx="142">
                  <c:v>43220</c:v>
                </c:pt>
                <c:pt idx="143">
                  <c:v>43217</c:v>
                </c:pt>
                <c:pt idx="144">
                  <c:v>43216</c:v>
                </c:pt>
                <c:pt idx="145">
                  <c:v>43215</c:v>
                </c:pt>
                <c:pt idx="146">
                  <c:v>43214</c:v>
                </c:pt>
                <c:pt idx="147">
                  <c:v>43213</c:v>
                </c:pt>
                <c:pt idx="148">
                  <c:v>43210</c:v>
                </c:pt>
                <c:pt idx="149">
                  <c:v>43209</c:v>
                </c:pt>
                <c:pt idx="150">
                  <c:v>43208</c:v>
                </c:pt>
                <c:pt idx="151">
                  <c:v>43207</c:v>
                </c:pt>
                <c:pt idx="152">
                  <c:v>43206</c:v>
                </c:pt>
                <c:pt idx="153">
                  <c:v>43203</c:v>
                </c:pt>
                <c:pt idx="154">
                  <c:v>43202</c:v>
                </c:pt>
                <c:pt idx="155">
                  <c:v>43201</c:v>
                </c:pt>
                <c:pt idx="156">
                  <c:v>43200</c:v>
                </c:pt>
                <c:pt idx="157">
                  <c:v>43199</c:v>
                </c:pt>
                <c:pt idx="158">
                  <c:v>43196</c:v>
                </c:pt>
                <c:pt idx="159">
                  <c:v>43195</c:v>
                </c:pt>
                <c:pt idx="160">
                  <c:v>43194</c:v>
                </c:pt>
                <c:pt idx="161">
                  <c:v>43193</c:v>
                </c:pt>
                <c:pt idx="162">
                  <c:v>43192</c:v>
                </c:pt>
                <c:pt idx="163">
                  <c:v>43188</c:v>
                </c:pt>
                <c:pt idx="164">
                  <c:v>43187</c:v>
                </c:pt>
                <c:pt idx="165">
                  <c:v>43186</c:v>
                </c:pt>
                <c:pt idx="166">
                  <c:v>43185</c:v>
                </c:pt>
                <c:pt idx="167">
                  <c:v>43182</c:v>
                </c:pt>
                <c:pt idx="168">
                  <c:v>43181</c:v>
                </c:pt>
                <c:pt idx="169">
                  <c:v>43180</c:v>
                </c:pt>
                <c:pt idx="170">
                  <c:v>43179</c:v>
                </c:pt>
                <c:pt idx="171">
                  <c:v>43178</c:v>
                </c:pt>
                <c:pt idx="172">
                  <c:v>43175</c:v>
                </c:pt>
                <c:pt idx="173">
                  <c:v>43174</c:v>
                </c:pt>
                <c:pt idx="174">
                  <c:v>43173</c:v>
                </c:pt>
                <c:pt idx="175">
                  <c:v>43172</c:v>
                </c:pt>
                <c:pt idx="176">
                  <c:v>43171</c:v>
                </c:pt>
                <c:pt idx="177">
                  <c:v>43168</c:v>
                </c:pt>
                <c:pt idx="178">
                  <c:v>43167</c:v>
                </c:pt>
                <c:pt idx="179">
                  <c:v>43166</c:v>
                </c:pt>
                <c:pt idx="180">
                  <c:v>43165</c:v>
                </c:pt>
                <c:pt idx="181">
                  <c:v>43164</c:v>
                </c:pt>
                <c:pt idx="182">
                  <c:v>43161</c:v>
                </c:pt>
                <c:pt idx="183">
                  <c:v>43160</c:v>
                </c:pt>
                <c:pt idx="184">
                  <c:v>43159</c:v>
                </c:pt>
                <c:pt idx="185">
                  <c:v>43158</c:v>
                </c:pt>
                <c:pt idx="186">
                  <c:v>43157</c:v>
                </c:pt>
                <c:pt idx="187">
                  <c:v>43154</c:v>
                </c:pt>
                <c:pt idx="188">
                  <c:v>43153</c:v>
                </c:pt>
                <c:pt idx="189">
                  <c:v>43152</c:v>
                </c:pt>
                <c:pt idx="190">
                  <c:v>43151</c:v>
                </c:pt>
                <c:pt idx="191">
                  <c:v>43147</c:v>
                </c:pt>
                <c:pt idx="192">
                  <c:v>43146</c:v>
                </c:pt>
                <c:pt idx="193">
                  <c:v>43145</c:v>
                </c:pt>
                <c:pt idx="194">
                  <c:v>43144</c:v>
                </c:pt>
                <c:pt idx="195">
                  <c:v>43143</c:v>
                </c:pt>
                <c:pt idx="196">
                  <c:v>43140</c:v>
                </c:pt>
                <c:pt idx="197">
                  <c:v>43139</c:v>
                </c:pt>
                <c:pt idx="198">
                  <c:v>43138</c:v>
                </c:pt>
                <c:pt idx="199">
                  <c:v>43137</c:v>
                </c:pt>
                <c:pt idx="200">
                  <c:v>43136</c:v>
                </c:pt>
                <c:pt idx="201">
                  <c:v>43133</c:v>
                </c:pt>
                <c:pt idx="202">
                  <c:v>43132</c:v>
                </c:pt>
                <c:pt idx="203">
                  <c:v>43131</c:v>
                </c:pt>
                <c:pt idx="204">
                  <c:v>43130</c:v>
                </c:pt>
                <c:pt idx="205">
                  <c:v>43129</c:v>
                </c:pt>
                <c:pt idx="206">
                  <c:v>43126</c:v>
                </c:pt>
                <c:pt idx="207">
                  <c:v>43125</c:v>
                </c:pt>
                <c:pt idx="208">
                  <c:v>43124</c:v>
                </c:pt>
                <c:pt idx="209">
                  <c:v>43123</c:v>
                </c:pt>
                <c:pt idx="210">
                  <c:v>43122</c:v>
                </c:pt>
                <c:pt idx="211">
                  <c:v>43119</c:v>
                </c:pt>
                <c:pt idx="212">
                  <c:v>43118</c:v>
                </c:pt>
                <c:pt idx="213">
                  <c:v>43117</c:v>
                </c:pt>
                <c:pt idx="214">
                  <c:v>43116</c:v>
                </c:pt>
                <c:pt idx="215">
                  <c:v>43112</c:v>
                </c:pt>
                <c:pt idx="216">
                  <c:v>43111</c:v>
                </c:pt>
                <c:pt idx="217">
                  <c:v>43110</c:v>
                </c:pt>
                <c:pt idx="218">
                  <c:v>43109</c:v>
                </c:pt>
                <c:pt idx="219">
                  <c:v>43108</c:v>
                </c:pt>
                <c:pt idx="220">
                  <c:v>43105</c:v>
                </c:pt>
                <c:pt idx="221">
                  <c:v>43104</c:v>
                </c:pt>
                <c:pt idx="222">
                  <c:v>43103</c:v>
                </c:pt>
                <c:pt idx="223">
                  <c:v>43102</c:v>
                </c:pt>
                <c:pt idx="224">
                  <c:v>43098</c:v>
                </c:pt>
                <c:pt idx="225">
                  <c:v>43097</c:v>
                </c:pt>
                <c:pt idx="226">
                  <c:v>43096</c:v>
                </c:pt>
                <c:pt idx="227">
                  <c:v>43095</c:v>
                </c:pt>
                <c:pt idx="228">
                  <c:v>43091</c:v>
                </c:pt>
                <c:pt idx="229">
                  <c:v>43090</c:v>
                </c:pt>
                <c:pt idx="230">
                  <c:v>43089</c:v>
                </c:pt>
                <c:pt idx="231">
                  <c:v>43088</c:v>
                </c:pt>
                <c:pt idx="232">
                  <c:v>43087</c:v>
                </c:pt>
                <c:pt idx="233">
                  <c:v>43084</c:v>
                </c:pt>
                <c:pt idx="234">
                  <c:v>43083</c:v>
                </c:pt>
                <c:pt idx="235">
                  <c:v>43082</c:v>
                </c:pt>
                <c:pt idx="236">
                  <c:v>43081</c:v>
                </c:pt>
                <c:pt idx="237">
                  <c:v>43080</c:v>
                </c:pt>
              </c:numCache>
            </c:numRef>
          </c:cat>
          <c:val>
            <c:numRef>
              <c:f>Sheet1!$R$2:$R$239</c:f>
              <c:numCache>
                <c:formatCode>0.0\x</c:formatCode>
                <c:ptCount val="238"/>
                <c:pt idx="0">
                  <c:v>7.9736571428571432</c:v>
                </c:pt>
                <c:pt idx="1">
                  <c:v>9.1423571428571417</c:v>
                </c:pt>
                <c:pt idx="2">
                  <c:v>9.1733428571428579</c:v>
                </c:pt>
                <c:pt idx="3">
                  <c:v>8.657685714285714</c:v>
                </c:pt>
                <c:pt idx="4">
                  <c:v>8.6951000000000001</c:v>
                </c:pt>
                <c:pt idx="5">
                  <c:v>8.6481285714285718</c:v>
                </c:pt>
                <c:pt idx="6">
                  <c:v>9.382771428571429</c:v>
                </c:pt>
                <c:pt idx="7">
                  <c:v>9.5303571428571434</c:v>
                </c:pt>
                <c:pt idx="8">
                  <c:v>9.9730428571428575</c:v>
                </c:pt>
                <c:pt idx="9">
                  <c:v>8.5439428571428575</c:v>
                </c:pt>
                <c:pt idx="10">
                  <c:v>8.6710999999999991</c:v>
                </c:pt>
                <c:pt idx="11">
                  <c:v>8.940199999999999</c:v>
                </c:pt>
                <c:pt idx="12">
                  <c:v>9.1065285714285711</c:v>
                </c:pt>
                <c:pt idx="13">
                  <c:v>8.9277428571428565</c:v>
                </c:pt>
                <c:pt idx="14">
                  <c:v>8.3619285714285692</c:v>
                </c:pt>
                <c:pt idx="15">
                  <c:v>8.1008857142857131</c:v>
                </c:pt>
                <c:pt idx="16">
                  <c:v>8.1530571428571417</c:v>
                </c:pt>
                <c:pt idx="17">
                  <c:v>8.520542857142857</c:v>
                </c:pt>
                <c:pt idx="18">
                  <c:v>8.2241285714285706</c:v>
                </c:pt>
                <c:pt idx="19">
                  <c:v>8.7890714285714289</c:v>
                </c:pt>
                <c:pt idx="20">
                  <c:v>8.7427142857142872</c:v>
                </c:pt>
                <c:pt idx="21">
                  <c:v>8.531071428571428</c:v>
                </c:pt>
                <c:pt idx="22">
                  <c:v>9.0478142857142867</c:v>
                </c:pt>
                <c:pt idx="23">
                  <c:v>9.3559857142857137</c:v>
                </c:pt>
                <c:pt idx="24">
                  <c:v>9.4276285714285706</c:v>
                </c:pt>
                <c:pt idx="25">
                  <c:v>8.8519285714285711</c:v>
                </c:pt>
                <c:pt idx="26">
                  <c:v>8.8332285714285721</c:v>
                </c:pt>
                <c:pt idx="27">
                  <c:v>8.3773000000000017</c:v>
                </c:pt>
                <c:pt idx="28">
                  <c:v>8.4834142857142858</c:v>
                </c:pt>
                <c:pt idx="29">
                  <c:v>9.1641142857142857</c:v>
                </c:pt>
                <c:pt idx="30">
                  <c:v>9.337428571428573</c:v>
                </c:pt>
                <c:pt idx="31">
                  <c:v>9.7474714285714299</c:v>
                </c:pt>
                <c:pt idx="32">
                  <c:v>9.8546714285714305</c:v>
                </c:pt>
                <c:pt idx="33">
                  <c:v>10.230642857142858</c:v>
                </c:pt>
                <c:pt idx="34">
                  <c:v>10.07537142857143</c:v>
                </c:pt>
                <c:pt idx="35">
                  <c:v>10.542199999999999</c:v>
                </c:pt>
                <c:pt idx="36">
                  <c:v>10.776085714285715</c:v>
                </c:pt>
                <c:pt idx="37">
                  <c:v>10.798042857142857</c:v>
                </c:pt>
                <c:pt idx="38">
                  <c:v>10.8065</c:v>
                </c:pt>
                <c:pt idx="39">
                  <c:v>10.927571428571428</c:v>
                </c:pt>
                <c:pt idx="40">
                  <c:v>10.476385714285714</c:v>
                </c:pt>
                <c:pt idx="41">
                  <c:v>10.463928571428571</c:v>
                </c:pt>
                <c:pt idx="42">
                  <c:v>10.731642857142857</c:v>
                </c:pt>
                <c:pt idx="43">
                  <c:v>10.6113</c:v>
                </c:pt>
                <c:pt idx="44">
                  <c:v>10.787071428571428</c:v>
                </c:pt>
                <c:pt idx="45">
                  <c:v>10.655657142857143</c:v>
                </c:pt>
                <c:pt idx="46">
                  <c:v>11.084100000000001</c:v>
                </c:pt>
                <c:pt idx="47">
                  <c:v>11.068928571428572</c:v>
                </c:pt>
                <c:pt idx="48">
                  <c:v>11.124414285714286</c:v>
                </c:pt>
                <c:pt idx="49">
                  <c:v>11.158671428571427</c:v>
                </c:pt>
                <c:pt idx="50">
                  <c:v>10.992914285714283</c:v>
                </c:pt>
                <c:pt idx="51">
                  <c:v>10.92162857142857</c:v>
                </c:pt>
                <c:pt idx="52">
                  <c:v>10.261100000000001</c:v>
                </c:pt>
                <c:pt idx="53">
                  <c:v>10.316657142857142</c:v>
                </c:pt>
                <c:pt idx="54">
                  <c:v>10.744157142857144</c:v>
                </c:pt>
                <c:pt idx="55">
                  <c:v>10.45037142857143</c:v>
                </c:pt>
                <c:pt idx="56">
                  <c:v>10.406600000000001</c:v>
                </c:pt>
                <c:pt idx="57">
                  <c:v>10.572028571428572</c:v>
                </c:pt>
                <c:pt idx="58">
                  <c:v>10.399742857142858</c:v>
                </c:pt>
                <c:pt idx="59">
                  <c:v>10.317285714285715</c:v>
                </c:pt>
                <c:pt idx="60">
                  <c:v>10.251485714285716</c:v>
                </c:pt>
                <c:pt idx="61">
                  <c:v>10.022228571428572</c:v>
                </c:pt>
                <c:pt idx="62">
                  <c:v>9.7752857142857152</c:v>
                </c:pt>
                <c:pt idx="63">
                  <c:v>9.5894285714285719</c:v>
                </c:pt>
                <c:pt idx="64">
                  <c:v>9.5098285714285709</c:v>
                </c:pt>
                <c:pt idx="65">
                  <c:v>9.4476857142857149</c:v>
                </c:pt>
                <c:pt idx="66">
                  <c:v>9.4291571428571412</c:v>
                </c:pt>
                <c:pt idx="67">
                  <c:v>9.3688142857142847</c:v>
                </c:pt>
                <c:pt idx="68">
                  <c:v>9.6946428571428562</c:v>
                </c:pt>
                <c:pt idx="69">
                  <c:v>9.4609571428571417</c:v>
                </c:pt>
                <c:pt idx="70">
                  <c:v>9.6025285714285733</c:v>
                </c:pt>
                <c:pt idx="71">
                  <c:v>9.2419714285714285</c:v>
                </c:pt>
                <c:pt idx="72">
                  <c:v>8.9830285714285711</c:v>
                </c:pt>
                <c:pt idx="73">
                  <c:v>8.9451285714285724</c:v>
                </c:pt>
                <c:pt idx="74">
                  <c:v>8.8066571428571425</c:v>
                </c:pt>
                <c:pt idx="75">
                  <c:v>8.5506142857142855</c:v>
                </c:pt>
                <c:pt idx="76">
                  <c:v>8.807500000000001</c:v>
                </c:pt>
                <c:pt idx="77">
                  <c:v>8.5505285714285701</c:v>
                </c:pt>
                <c:pt idx="78">
                  <c:v>8.0855142857142859</c:v>
                </c:pt>
                <c:pt idx="79">
                  <c:v>8.1474857142857147</c:v>
                </c:pt>
                <c:pt idx="80">
                  <c:v>8.5917999999999992</c:v>
                </c:pt>
                <c:pt idx="81">
                  <c:v>9.0477857142857161</c:v>
                </c:pt>
                <c:pt idx="82">
                  <c:v>9.0503428571428568</c:v>
                </c:pt>
                <c:pt idx="83">
                  <c:v>8.5904285714285731</c:v>
                </c:pt>
                <c:pt idx="84">
                  <c:v>8.8566714285714276</c:v>
                </c:pt>
                <c:pt idx="85">
                  <c:v>8.7895571428571433</c:v>
                </c:pt>
                <c:pt idx="86">
                  <c:v>8.7539857142857151</c:v>
                </c:pt>
                <c:pt idx="87">
                  <c:v>8.8058142857142858</c:v>
                </c:pt>
                <c:pt idx="88">
                  <c:v>8.7935285714285705</c:v>
                </c:pt>
                <c:pt idx="89">
                  <c:v>8.5758714285714284</c:v>
                </c:pt>
                <c:pt idx="90">
                  <c:v>8.5943571428571435</c:v>
                </c:pt>
                <c:pt idx="91">
                  <c:v>8.5908285714285721</c:v>
                </c:pt>
                <c:pt idx="92">
                  <c:v>8.2951428571428583</c:v>
                </c:pt>
                <c:pt idx="93">
                  <c:v>8.3487000000000009</c:v>
                </c:pt>
                <c:pt idx="94">
                  <c:v>8.4964142857142839</c:v>
                </c:pt>
                <c:pt idx="95">
                  <c:v>8.5113714285714277</c:v>
                </c:pt>
                <c:pt idx="96">
                  <c:v>8.3642857142857139</c:v>
                </c:pt>
                <c:pt idx="97">
                  <c:v>8.3195714285714306</c:v>
                </c:pt>
                <c:pt idx="98">
                  <c:v>8.4296999999999986</c:v>
                </c:pt>
                <c:pt idx="99">
                  <c:v>8.3004714285714289</c:v>
                </c:pt>
                <c:pt idx="100">
                  <c:v>8.3318285714285718</c:v>
                </c:pt>
                <c:pt idx="101">
                  <c:v>8.0606857142857145</c:v>
                </c:pt>
                <c:pt idx="102">
                  <c:v>8.39662857142857</c:v>
                </c:pt>
                <c:pt idx="103">
                  <c:v>8.1961428571428581</c:v>
                </c:pt>
                <c:pt idx="104">
                  <c:v>8.5137714285714292</c:v>
                </c:pt>
                <c:pt idx="105">
                  <c:v>8.8217000000000017</c:v>
                </c:pt>
                <c:pt idx="106">
                  <c:v>9.0385142857142853</c:v>
                </c:pt>
                <c:pt idx="107">
                  <c:v>8.8694285714285712</c:v>
                </c:pt>
                <c:pt idx="108">
                  <c:v>9.1033428571428576</c:v>
                </c:pt>
                <c:pt idx="109">
                  <c:v>8.9368285714285722</c:v>
                </c:pt>
                <c:pt idx="110">
                  <c:v>8.8780857142857137</c:v>
                </c:pt>
                <c:pt idx="111">
                  <c:v>8.7315142857142849</c:v>
                </c:pt>
                <c:pt idx="112">
                  <c:v>8.7157285714285724</c:v>
                </c:pt>
                <c:pt idx="113">
                  <c:v>8.5229285714285705</c:v>
                </c:pt>
                <c:pt idx="114">
                  <c:v>8.4639571428571436</c:v>
                </c:pt>
                <c:pt idx="115">
                  <c:v>8.3310857142857149</c:v>
                </c:pt>
                <c:pt idx="116">
                  <c:v>8.7347142857142863</c:v>
                </c:pt>
                <c:pt idx="117">
                  <c:v>8.6912142857142864</c:v>
                </c:pt>
                <c:pt idx="118">
                  <c:v>8.7517714285714288</c:v>
                </c:pt>
                <c:pt idx="119">
                  <c:v>8.7195285714285706</c:v>
                </c:pt>
                <c:pt idx="120">
                  <c:v>8.4064428571428582</c:v>
                </c:pt>
                <c:pt idx="121">
                  <c:v>8.3658285714285707</c:v>
                </c:pt>
                <c:pt idx="122">
                  <c:v>8.2314571428571419</c:v>
                </c:pt>
                <c:pt idx="123">
                  <c:v>8.1294000000000004</c:v>
                </c:pt>
                <c:pt idx="124">
                  <c:v>8.0918714285714284</c:v>
                </c:pt>
                <c:pt idx="125">
                  <c:v>8.0074857142857141</c:v>
                </c:pt>
                <c:pt idx="126">
                  <c:v>7.972500000000001</c:v>
                </c:pt>
                <c:pt idx="127">
                  <c:v>8.1539999999999999</c:v>
                </c:pt>
                <c:pt idx="128">
                  <c:v>8.1786571428571424</c:v>
                </c:pt>
                <c:pt idx="129">
                  <c:v>7.9806857142857144</c:v>
                </c:pt>
                <c:pt idx="130">
                  <c:v>7.9860857142857142</c:v>
                </c:pt>
                <c:pt idx="131">
                  <c:v>7.9418285714285703</c:v>
                </c:pt>
                <c:pt idx="132">
                  <c:v>7.8405571428571426</c:v>
                </c:pt>
                <c:pt idx="133">
                  <c:v>8.1066714285714276</c:v>
                </c:pt>
                <c:pt idx="134">
                  <c:v>7.9258857142857142</c:v>
                </c:pt>
                <c:pt idx="135">
                  <c:v>7.742928571428572</c:v>
                </c:pt>
                <c:pt idx="136">
                  <c:v>7.3940714285714284</c:v>
                </c:pt>
                <c:pt idx="137">
                  <c:v>7.3688428571428561</c:v>
                </c:pt>
                <c:pt idx="138">
                  <c:v>7.2593714285714288</c:v>
                </c:pt>
                <c:pt idx="139">
                  <c:v>7.1479428571428567</c:v>
                </c:pt>
                <c:pt idx="140">
                  <c:v>7.0874000000000006</c:v>
                </c:pt>
                <c:pt idx="141">
                  <c:v>7.0672857142857151</c:v>
                </c:pt>
                <c:pt idx="142">
                  <c:v>7.0768571428571434</c:v>
                </c:pt>
                <c:pt idx="143">
                  <c:v>7.057842857142858</c:v>
                </c:pt>
                <c:pt idx="144">
                  <c:v>7.1369999999999996</c:v>
                </c:pt>
                <c:pt idx="145">
                  <c:v>6.9209285714285729</c:v>
                </c:pt>
                <c:pt idx="146">
                  <c:v>6.9702857142857146</c:v>
                </c:pt>
                <c:pt idx="147">
                  <c:v>7.1555571428571429</c:v>
                </c:pt>
                <c:pt idx="148">
                  <c:v>7.1446000000000014</c:v>
                </c:pt>
                <c:pt idx="149">
                  <c:v>7.1984428571428571</c:v>
                </c:pt>
                <c:pt idx="150">
                  <c:v>7.2473142857142863</c:v>
                </c:pt>
                <c:pt idx="151">
                  <c:v>7.1941571428571427</c:v>
                </c:pt>
                <c:pt idx="152">
                  <c:v>6.9468571428571426</c:v>
                </c:pt>
                <c:pt idx="153">
                  <c:v>6.9414285714285713</c:v>
                </c:pt>
                <c:pt idx="154">
                  <c:v>6.9469428571428571</c:v>
                </c:pt>
                <c:pt idx="155">
                  <c:v>6.8333999999999993</c:v>
                </c:pt>
                <c:pt idx="156">
                  <c:v>6.7376000000000005</c:v>
                </c:pt>
                <c:pt idx="157">
                  <c:v>6.5357428571428562</c:v>
                </c:pt>
                <c:pt idx="158">
                  <c:v>6.5542428571428584</c:v>
                </c:pt>
                <c:pt idx="159">
                  <c:v>6.6405714285714286</c:v>
                </c:pt>
                <c:pt idx="160">
                  <c:v>6.6688000000000001</c:v>
                </c:pt>
                <c:pt idx="161">
                  <c:v>6.6583571428571426</c:v>
                </c:pt>
                <c:pt idx="162">
                  <c:v>6.6382714285714286</c:v>
                </c:pt>
                <c:pt idx="163">
                  <c:v>6.8730857142857147</c:v>
                </c:pt>
                <c:pt idx="164">
                  <c:v>6.7512571428571437</c:v>
                </c:pt>
                <c:pt idx="165">
                  <c:v>6.9336571428571441</c:v>
                </c:pt>
                <c:pt idx="166">
                  <c:v>7.3048285714285726</c:v>
                </c:pt>
                <c:pt idx="167">
                  <c:v>7.0343142857142853</c:v>
                </c:pt>
                <c:pt idx="168">
                  <c:v>7.2489571428571429</c:v>
                </c:pt>
                <c:pt idx="169">
                  <c:v>7.326885714285714</c:v>
                </c:pt>
                <c:pt idx="170">
                  <c:v>7.2264142857142852</c:v>
                </c:pt>
                <c:pt idx="171">
                  <c:v>7.0976285714285714</c:v>
                </c:pt>
                <c:pt idx="172">
                  <c:v>7.2477857142857145</c:v>
                </c:pt>
                <c:pt idx="173">
                  <c:v>7.2679428571428577</c:v>
                </c:pt>
                <c:pt idx="174">
                  <c:v>7.3890285714285708</c:v>
                </c:pt>
                <c:pt idx="175">
                  <c:v>7.2613714285714286</c:v>
                </c:pt>
                <c:pt idx="176">
                  <c:v>7.3463428571428571</c:v>
                </c:pt>
                <c:pt idx="177">
                  <c:v>7.3076714285714273</c:v>
                </c:pt>
                <c:pt idx="178">
                  <c:v>7.4089714285714283</c:v>
                </c:pt>
                <c:pt idx="179">
                  <c:v>7.228714285714287</c:v>
                </c:pt>
                <c:pt idx="180">
                  <c:v>7.0733857142857133</c:v>
                </c:pt>
                <c:pt idx="181">
                  <c:v>7.051057142857144</c:v>
                </c:pt>
                <c:pt idx="182">
                  <c:v>6.9427000000000003</c:v>
                </c:pt>
                <c:pt idx="183">
                  <c:v>6.6938714285714278</c:v>
                </c:pt>
                <c:pt idx="184">
                  <c:v>6.7508571428571429</c:v>
                </c:pt>
                <c:pt idx="185">
                  <c:v>6.7338714285714287</c:v>
                </c:pt>
                <c:pt idx="186">
                  <c:v>6.7376857142857132</c:v>
                </c:pt>
                <c:pt idx="187">
                  <c:v>6.6442999999999994</c:v>
                </c:pt>
                <c:pt idx="188">
                  <c:v>6.414985714285713</c:v>
                </c:pt>
                <c:pt idx="189">
                  <c:v>6.4559428571428574</c:v>
                </c:pt>
                <c:pt idx="190">
                  <c:v>6.4665428571428567</c:v>
                </c:pt>
                <c:pt idx="191">
                  <c:v>6.3679428571428565</c:v>
                </c:pt>
                <c:pt idx="192">
                  <c:v>6.1877571428571425</c:v>
                </c:pt>
                <c:pt idx="193">
                  <c:v>6.1714000000000002</c:v>
                </c:pt>
                <c:pt idx="194">
                  <c:v>5.7754571428571424</c:v>
                </c:pt>
                <c:pt idx="195">
                  <c:v>5.6779285714285708</c:v>
                </c:pt>
                <c:pt idx="196">
                  <c:v>5.4025857142857143</c:v>
                </c:pt>
                <c:pt idx="197">
                  <c:v>5.3450857142857151</c:v>
                </c:pt>
                <c:pt idx="198">
                  <c:v>5.6107999999999993</c:v>
                </c:pt>
                <c:pt idx="199">
                  <c:v>5.5398428571428573</c:v>
                </c:pt>
                <c:pt idx="200">
                  <c:v>5.4206142857142856</c:v>
                </c:pt>
                <c:pt idx="201">
                  <c:v>5.6195428571428581</c:v>
                </c:pt>
                <c:pt idx="202">
                  <c:v>5.7336714285714292</c:v>
                </c:pt>
                <c:pt idx="203">
                  <c:v>5.7626714285714291</c:v>
                </c:pt>
                <c:pt idx="204">
                  <c:v>5.7645999999999997</c:v>
                </c:pt>
                <c:pt idx="205">
                  <c:v>5.9373000000000005</c:v>
                </c:pt>
                <c:pt idx="206">
                  <c:v>6.0273428571428562</c:v>
                </c:pt>
                <c:pt idx="207">
                  <c:v>5.8952714285714283</c:v>
                </c:pt>
                <c:pt idx="208">
                  <c:v>5.9387857142857134</c:v>
                </c:pt>
                <c:pt idx="209">
                  <c:v>6.0219000000000005</c:v>
                </c:pt>
                <c:pt idx="210">
                  <c:v>5.9480571428571434</c:v>
                </c:pt>
                <c:pt idx="211">
                  <c:v>5.8605285714285724</c:v>
                </c:pt>
                <c:pt idx="212">
                  <c:v>5.7288857142857141</c:v>
                </c:pt>
                <c:pt idx="213">
                  <c:v>5.7590571428571433</c:v>
                </c:pt>
                <c:pt idx="214">
                  <c:v>5.7541285714285717</c:v>
                </c:pt>
                <c:pt idx="215">
                  <c:v>5.8447999999999993</c:v>
                </c:pt>
                <c:pt idx="216">
                  <c:v>5.7795285714285711</c:v>
                </c:pt>
                <c:pt idx="217">
                  <c:v>5.7136285714285719</c:v>
                </c:pt>
                <c:pt idx="218">
                  <c:v>5.6883857142857144</c:v>
                </c:pt>
                <c:pt idx="219">
                  <c:v>5.7346571428571433</c:v>
                </c:pt>
                <c:pt idx="220">
                  <c:v>5.7463428571428565</c:v>
                </c:pt>
                <c:pt idx="221">
                  <c:v>5.6912142857142864</c:v>
                </c:pt>
                <c:pt idx="222">
                  <c:v>5.6349428571428577</c:v>
                </c:pt>
                <c:pt idx="223">
                  <c:v>5.6251571428571427</c:v>
                </c:pt>
                <c:pt idx="224">
                  <c:v>5.4969857142857137</c:v>
                </c:pt>
                <c:pt idx="225">
                  <c:v>5.5927999999999995</c:v>
                </c:pt>
                <c:pt idx="226">
                  <c:v>5.6269999999999998</c:v>
                </c:pt>
                <c:pt idx="227">
                  <c:v>5.631785714285714</c:v>
                </c:pt>
                <c:pt idx="228">
                  <c:v>5.6571428571428566</c:v>
                </c:pt>
                <c:pt idx="229">
                  <c:v>5.7049857142857148</c:v>
                </c:pt>
                <c:pt idx="230">
                  <c:v>5.7935999999999996</c:v>
                </c:pt>
                <c:pt idx="231">
                  <c:v>5.8150142857142857</c:v>
                </c:pt>
                <c:pt idx="232">
                  <c:v>5.8595285714285712</c:v>
                </c:pt>
                <c:pt idx="233">
                  <c:v>5.7248428571428578</c:v>
                </c:pt>
                <c:pt idx="234">
                  <c:v>5.6140428571428567</c:v>
                </c:pt>
                <c:pt idx="235">
                  <c:v>5.6382714285714286</c:v>
                </c:pt>
                <c:pt idx="236">
                  <c:v>5.534585714285714</c:v>
                </c:pt>
                <c:pt idx="237">
                  <c:v>5.6263428571428573</c:v>
                </c:pt>
              </c:numCache>
            </c:numRef>
          </c:val>
          <c:smooth val="0"/>
          <c:extLst>
            <c:ext xmlns:c16="http://schemas.microsoft.com/office/drawing/2014/chart" uri="{C3380CC4-5D6E-409C-BE32-E72D297353CC}">
              <c16:uniqueId val="{00000002-2F84-4ABA-AB92-6F534B99E7C3}"/>
            </c:ext>
          </c:extLst>
        </c:ser>
        <c:dLbls>
          <c:showLegendKey val="0"/>
          <c:showVal val="0"/>
          <c:showCatName val="0"/>
          <c:showSerName val="0"/>
          <c:showPercent val="0"/>
          <c:showBubbleSize val="0"/>
        </c:dLbls>
        <c:smooth val="0"/>
        <c:axId val="106663903"/>
        <c:axId val="804582495"/>
      </c:lineChart>
      <c:dateAx>
        <c:axId val="10666390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582495"/>
        <c:crosses val="autoZero"/>
        <c:auto val="1"/>
        <c:lblOffset val="100"/>
        <c:baseTimeUnit val="days"/>
      </c:dateAx>
      <c:valAx>
        <c:axId val="804582495"/>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0.0\x" sourceLinked="1"/>
        <c:majorTickMark val="in"/>
        <c:minorTickMark val="in"/>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3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323850</xdr:colOff>
      <xdr:row>161</xdr:row>
      <xdr:rowOff>57150</xdr:rowOff>
    </xdr:from>
    <xdr:to>
      <xdr:col>26</xdr:col>
      <xdr:colOff>276225</xdr:colOff>
      <xdr:row>181</xdr:row>
      <xdr:rowOff>95250</xdr:rowOff>
    </xdr:to>
    <xdr:graphicFrame macro="">
      <xdr:nvGraphicFramePr>
        <xdr:cNvPr id="4861475" name="Chart 198">
          <a:extLst>
            <a:ext uri="{FF2B5EF4-FFF2-40B4-BE49-F238E27FC236}">
              <a16:creationId xmlns:a16="http://schemas.microsoft.com/office/drawing/2014/main" id="{00000000-0008-0000-0100-0000232E4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142</xdr:row>
      <xdr:rowOff>47625</xdr:rowOff>
    </xdr:from>
    <xdr:to>
      <xdr:col>26</xdr:col>
      <xdr:colOff>266700</xdr:colOff>
      <xdr:row>160</xdr:row>
      <xdr:rowOff>57150</xdr:rowOff>
    </xdr:to>
    <xdr:graphicFrame macro="">
      <xdr:nvGraphicFramePr>
        <xdr:cNvPr id="4861476" name="Chart 201">
          <a:extLst>
            <a:ext uri="{FF2B5EF4-FFF2-40B4-BE49-F238E27FC236}">
              <a16:creationId xmlns:a16="http://schemas.microsoft.com/office/drawing/2014/main" id="{00000000-0008-0000-0100-0000242E4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28</xdr:col>
          <xdr:colOff>0</xdr:colOff>
          <xdr:row>16</xdr:row>
          <xdr:rowOff>133350</xdr:rowOff>
        </xdr:from>
        <xdr:to>
          <xdr:col>30</xdr:col>
          <xdr:colOff>28575</xdr:colOff>
          <xdr:row>31</xdr:row>
          <xdr:rowOff>76200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FF"/>
                  </a:solidFill>
                  <a:latin typeface="Book Antiqua"/>
                </a:rPr>
                <a:t>If you have</a:t>
              </a:r>
            </a:p>
            <a:p>
              <a:pPr algn="l" rtl="0">
                <a:defRPr sz="1000"/>
              </a:pPr>
              <a:r>
                <a:rPr lang="en-US" sz="800" b="0" i="0" u="none" strike="noStrike" baseline="0">
                  <a:solidFill>
                    <a:srgbClr val="0000FF"/>
                  </a:solidFill>
                  <a:latin typeface="Book Antiqua"/>
                </a:rPr>
                <a:t> macros enabled, </a:t>
              </a:r>
              <a:r>
                <a:rPr lang="en-US" sz="800" b="1" i="0" u="none" strike="noStrike" baseline="0">
                  <a:solidFill>
                    <a:srgbClr val="0000FF"/>
                  </a:solidFill>
                  <a:latin typeface="Book Antiqua"/>
                </a:rPr>
                <a:t>click here to print</a:t>
              </a:r>
              <a:r>
                <a:rPr lang="en-US" sz="800" b="0" i="0" u="none" strike="noStrike" baseline="0">
                  <a:solidFill>
                    <a:srgbClr val="0000FF"/>
                  </a:solidFill>
                  <a:latin typeface="Book Antiqua"/>
                </a:rPr>
                <a:t>: </a:t>
              </a:r>
            </a:p>
            <a:p>
              <a:pPr algn="l" rtl="0">
                <a:defRPr sz="1000"/>
              </a:pPr>
              <a:r>
                <a:rPr lang="en-US" sz="800" b="0" i="1" u="none" strike="noStrike" baseline="0">
                  <a:solidFill>
                    <a:srgbClr val="0000FF"/>
                  </a:solidFill>
                  <a:latin typeface="Book Antiqua"/>
                </a:rPr>
                <a:t>• Summary</a:t>
              </a:r>
            </a:p>
            <a:p>
              <a:pPr algn="l" rtl="0">
                <a:defRPr sz="1000"/>
              </a:pPr>
              <a:r>
                <a:rPr lang="en-US" sz="800" b="0" i="1" u="none" strike="noStrike" baseline="0">
                  <a:solidFill>
                    <a:srgbClr val="0000FF"/>
                  </a:solidFill>
                  <a:latin typeface="Book Antiqua"/>
                </a:rPr>
                <a:t>• Income Statment</a:t>
              </a:r>
            </a:p>
            <a:p>
              <a:pPr algn="l" rtl="0">
                <a:defRPr sz="1000"/>
              </a:pPr>
              <a:r>
                <a:rPr lang="en-US" sz="800" b="0" i="1" u="none" strike="noStrike" baseline="0">
                  <a:solidFill>
                    <a:srgbClr val="0000FF"/>
                  </a:solidFill>
                  <a:latin typeface="Book Antiqua"/>
                </a:rPr>
                <a:t>• Balance Sheet</a:t>
              </a:r>
            </a:p>
            <a:p>
              <a:pPr algn="l" rtl="0">
                <a:defRPr sz="1000"/>
              </a:pPr>
              <a:r>
                <a:rPr lang="en-US" sz="800" b="0" i="1" u="none" strike="noStrike" baseline="0">
                  <a:solidFill>
                    <a:srgbClr val="0000FF"/>
                  </a:solidFill>
                  <a:latin typeface="Book Antiqua"/>
                </a:rPr>
                <a:t>• Cash Flow Statement</a:t>
              </a:r>
            </a:p>
            <a:p>
              <a:pPr algn="l" rtl="0">
                <a:defRPr sz="1000"/>
              </a:pPr>
              <a:r>
                <a:rPr lang="en-US" sz="800" b="0" i="1" u="none" strike="noStrike" baseline="0">
                  <a:solidFill>
                    <a:srgbClr val="0000FF"/>
                  </a:solidFill>
                  <a:latin typeface="Book Antiqua"/>
                </a:rPr>
                <a:t>• Segments</a:t>
              </a:r>
            </a:p>
            <a:p>
              <a:pPr algn="l" rtl="0">
                <a:defRPr sz="1000"/>
              </a:pPr>
              <a:r>
                <a:rPr lang="en-US" sz="800" b="0" i="1" u="none" strike="noStrike" baseline="0">
                  <a:solidFill>
                    <a:srgbClr val="0000FF"/>
                  </a:solidFill>
                  <a:latin typeface="Book Antiqua"/>
                </a:rPr>
                <a:t>• Qtr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519112</xdr:colOff>
      <xdr:row>1</xdr:row>
      <xdr:rowOff>104775</xdr:rowOff>
    </xdr:from>
    <xdr:to>
      <xdr:col>34</xdr:col>
      <xdr:colOff>419100</xdr:colOff>
      <xdr:row>27</xdr:row>
      <xdr:rowOff>85725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10</xdr:row>
      <xdr:rowOff>107950</xdr:rowOff>
    </xdr:from>
    <xdr:to>
      <xdr:col>6</xdr:col>
      <xdr:colOff>76200</xdr:colOff>
      <xdr:row>20</xdr:row>
      <xdr:rowOff>3583</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533400" y="1631950"/>
          <a:ext cx="2743200" cy="1419633"/>
        </a:xfrm>
        <a:prstGeom prst="rect">
          <a:avLst/>
        </a:prstGeom>
      </xdr:spPr>
    </xdr:pic>
    <xdr:clientData/>
  </xdr:twoCellAnchor>
  <xdr:twoCellAnchor editAs="oneCell">
    <xdr:from>
      <xdr:col>6</xdr:col>
      <xdr:colOff>101600</xdr:colOff>
      <xdr:row>10</xdr:row>
      <xdr:rowOff>107950</xdr:rowOff>
    </xdr:from>
    <xdr:to>
      <xdr:col>11</xdr:col>
      <xdr:colOff>177800</xdr:colOff>
      <xdr:row>20</xdr:row>
      <xdr:rowOff>20126</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3302000" y="1631950"/>
          <a:ext cx="2743200" cy="1436176"/>
        </a:xfrm>
        <a:prstGeom prst="rect">
          <a:avLst/>
        </a:prstGeom>
      </xdr:spPr>
    </xdr:pic>
    <xdr:clientData/>
  </xdr:twoCellAnchor>
  <xdr:twoCellAnchor editAs="oneCell">
    <xdr:from>
      <xdr:col>11</xdr:col>
      <xdr:colOff>279400</xdr:colOff>
      <xdr:row>10</xdr:row>
      <xdr:rowOff>107950</xdr:rowOff>
    </xdr:from>
    <xdr:to>
      <xdr:col>16</xdr:col>
      <xdr:colOff>355600</xdr:colOff>
      <xdr:row>20</xdr:row>
      <xdr:rowOff>125952</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3"/>
        <a:stretch>
          <a:fillRect/>
        </a:stretch>
      </xdr:blipFill>
      <xdr:spPr>
        <a:xfrm>
          <a:off x="6146800" y="1631950"/>
          <a:ext cx="2743200" cy="154200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HIGHTECH\DATA%20NETWORKING\Universe%20Downloads\D_Univers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Universe"/>
      <sheetName val="Sheet2"/>
      <sheetName val="Sheet4"/>
      <sheetName val="Sheet3"/>
      <sheetName val="Sheet5"/>
      <sheetName val="Sheet6"/>
      <sheetName val="D_Universe"/>
      <sheetName val="#REF"/>
      <sheetName val="IS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B1"/>
  <sheetViews>
    <sheetView workbookViewId="0"/>
  </sheetViews>
  <sheetFormatPr defaultRowHeight="12.75" x14ac:dyDescent="0.25"/>
  <sheetData>
    <row r="1" spans="1:2" x14ac:dyDescent="0.25">
      <c r="B1" t="s">
        <v>675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X1160"/>
  <sheetViews>
    <sheetView showGridLines="0" topLeftCell="D1" zoomScaleNormal="100" workbookViewId="0">
      <pane xSplit="1" ySplit="6" topLeftCell="E7" activePane="bottomRight" state="frozen"/>
      <selection activeCell="D1" sqref="D1"/>
      <selection pane="topRight" activeCell="E1" sqref="E1"/>
      <selection pane="bottomLeft" activeCell="D7" sqref="D7"/>
      <selection pane="bottomRight" activeCell="Y18" sqref="Y18"/>
    </sheetView>
  </sheetViews>
  <sheetFormatPr defaultColWidth="9" defaultRowHeight="12.75" outlineLevelCol="1" x14ac:dyDescent="0.25"/>
  <cols>
    <col min="1" max="3" width="10.33203125" style="2" customWidth="1"/>
    <col min="4" max="4" width="1.83203125" style="2" customWidth="1"/>
    <col min="5" max="5" width="32.83203125" style="2" customWidth="1"/>
    <col min="6" max="7" width="12.83203125" style="6" hidden="1" customWidth="1"/>
    <col min="8" max="11" width="6.83203125" style="6" hidden="1" customWidth="1"/>
    <col min="12" max="14" width="12.83203125" style="6" hidden="1" customWidth="1"/>
    <col min="15" max="16" width="15.6640625" style="6" hidden="1" customWidth="1"/>
    <col min="17" max="18" width="15.6640625" style="6" hidden="1" customWidth="1" outlineLevel="1"/>
    <col min="19" max="19" width="10.83203125" style="975" customWidth="1" collapsed="1"/>
    <col min="20" max="24" width="10.83203125" style="975" customWidth="1"/>
    <col min="25" max="25" width="13.1640625" style="975" bestFit="1" customWidth="1"/>
    <col min="26" max="26" width="14.33203125" style="975" bestFit="1" customWidth="1"/>
    <col min="27" max="28" width="10.33203125" style="6" customWidth="1"/>
    <col min="29" max="29" width="10.33203125" style="92" customWidth="1"/>
    <col min="30" max="31" width="9" style="6" customWidth="1"/>
    <col min="32" max="32" width="28.1640625" style="6" bestFit="1" customWidth="1"/>
    <col min="33" max="33" width="14.5" style="6" customWidth="1"/>
    <col min="34" max="34" width="16.5" style="6" customWidth="1"/>
    <col min="35" max="35" width="10" style="6" customWidth="1"/>
    <col min="36" max="38" width="9" style="6" customWidth="1"/>
    <col min="39" max="39" width="28.1640625" style="6" customWidth="1"/>
    <col min="40" max="40" width="14.5" style="6" customWidth="1"/>
    <col min="41" max="41" width="9" style="6" customWidth="1"/>
    <col min="42" max="42" width="15.5" style="6" customWidth="1"/>
    <col min="43" max="45" width="9" style="6" customWidth="1"/>
    <col min="46" max="46" width="10" style="6" customWidth="1"/>
    <col min="47" max="71" width="9" style="6" customWidth="1"/>
    <col min="72" max="76" width="9" style="6" hidden="1" customWidth="1"/>
    <col min="77" max="16384" width="9" style="6"/>
  </cols>
  <sheetData>
    <row r="1" spans="1:68" ht="12.75" customHeight="1" x14ac:dyDescent="0.25">
      <c r="E1" s="595" t="s">
        <v>805</v>
      </c>
    </row>
    <row r="2" spans="1:68" ht="12.75" customHeight="1" x14ac:dyDescent="0.25">
      <c r="E2" s="1058" t="s">
        <v>739</v>
      </c>
      <c r="F2" s="1059"/>
      <c r="G2" s="1059"/>
      <c r="H2" s="1059"/>
      <c r="I2" s="1059"/>
      <c r="J2" s="1059"/>
      <c r="K2" s="1059"/>
      <c r="L2" s="1059"/>
      <c r="M2" s="1059"/>
      <c r="N2" s="1059"/>
      <c r="O2" s="1059"/>
      <c r="P2" s="1059"/>
      <c r="Q2" s="1059"/>
      <c r="R2" s="1059"/>
      <c r="S2" s="1060"/>
      <c r="T2" s="1060"/>
      <c r="U2" s="1060"/>
      <c r="V2" s="1060"/>
      <c r="W2" s="1060"/>
      <c r="X2" s="1060"/>
      <c r="Y2" s="1060"/>
      <c r="Z2" s="1061"/>
      <c r="AC2" s="6"/>
    </row>
    <row r="3" spans="1:68" x14ac:dyDescent="0.25">
      <c r="E3" s="1062" t="s">
        <v>131</v>
      </c>
      <c r="F3" s="897"/>
      <c r="G3" s="897"/>
      <c r="H3" s="897"/>
      <c r="I3" s="897"/>
      <c r="J3" s="897"/>
      <c r="K3" s="897"/>
      <c r="L3" s="897"/>
      <c r="M3" s="897"/>
      <c r="N3" s="897"/>
      <c r="O3" s="897"/>
      <c r="P3" s="897"/>
      <c r="Q3" s="898"/>
      <c r="R3" s="898"/>
      <c r="S3" s="976"/>
      <c r="T3" s="976"/>
      <c r="U3" s="976"/>
      <c r="V3" s="976"/>
      <c r="W3" s="976"/>
      <c r="X3" s="976"/>
      <c r="Y3" s="976"/>
      <c r="Z3" s="1063"/>
      <c r="AC3" s="6"/>
    </row>
    <row r="4" spans="1:68" ht="12" customHeight="1" x14ac:dyDescent="0.25">
      <c r="E4" s="910" t="s">
        <v>107</v>
      </c>
      <c r="F4" s="897"/>
      <c r="G4" s="897"/>
      <c r="H4" s="897"/>
      <c r="I4" s="897"/>
      <c r="J4" s="897"/>
      <c r="K4" s="897"/>
      <c r="L4" s="897"/>
      <c r="M4" s="897"/>
      <c r="N4" s="897"/>
      <c r="O4" s="897"/>
      <c r="P4" s="897"/>
      <c r="Q4" s="898"/>
      <c r="R4" s="898"/>
      <c r="S4" s="976"/>
      <c r="T4" s="976"/>
      <c r="U4" s="976"/>
      <c r="V4" s="976"/>
      <c r="W4" s="976"/>
      <c r="X4" s="976"/>
      <c r="Y4" s="976"/>
      <c r="Z4" s="1063"/>
      <c r="AC4" s="6"/>
    </row>
    <row r="5" spans="1:68" ht="12" customHeight="1" x14ac:dyDescent="0.25">
      <c r="E5" s="910" t="s">
        <v>201</v>
      </c>
      <c r="F5" s="900"/>
      <c r="G5" s="897"/>
      <c r="H5" s="897"/>
      <c r="I5" s="897"/>
      <c r="J5" s="897"/>
      <c r="K5" s="897"/>
      <c r="L5" s="897"/>
      <c r="M5" s="897"/>
      <c r="N5" s="897"/>
      <c r="O5" s="897"/>
      <c r="P5" s="897"/>
      <c r="Q5" s="897"/>
      <c r="R5" s="897"/>
      <c r="S5" s="976"/>
      <c r="T5" s="976"/>
      <c r="U5" s="976"/>
      <c r="V5" s="976"/>
      <c r="W5" s="976"/>
      <c r="X5" s="976"/>
      <c r="Y5" s="976"/>
      <c r="Z5" s="1063"/>
      <c r="AA5" s="4"/>
      <c r="AB5" s="4"/>
      <c r="AC5" s="5"/>
      <c r="AF5" s="5"/>
      <c r="AT5" s="5"/>
      <c r="AU5" s="5"/>
      <c r="AV5" s="3"/>
      <c r="AW5" s="5"/>
      <c r="AX5" s="5"/>
      <c r="AY5" s="5"/>
      <c r="AZ5" s="5"/>
      <c r="BA5" s="3"/>
      <c r="BB5" s="5"/>
      <c r="BC5" s="5"/>
      <c r="BD5" s="5"/>
      <c r="BE5" s="5"/>
      <c r="BF5" s="3"/>
      <c r="BG5" s="5"/>
      <c r="BH5" s="5"/>
      <c r="BI5" s="5"/>
      <c r="BJ5" s="5"/>
      <c r="BK5" s="3"/>
      <c r="BL5" s="5"/>
      <c r="BM5" s="5"/>
      <c r="BN5" s="5"/>
      <c r="BO5" s="5"/>
      <c r="BP5" s="3"/>
    </row>
    <row r="6" spans="1:68" ht="3.95" customHeight="1" x14ac:dyDescent="0.25">
      <c r="E6" s="910"/>
      <c r="F6" s="900"/>
      <c r="G6" s="897"/>
      <c r="H6" s="897"/>
      <c r="I6" s="897"/>
      <c r="J6" s="897"/>
      <c r="K6" s="897"/>
      <c r="L6" s="897"/>
      <c r="M6" s="897"/>
      <c r="N6" s="897"/>
      <c r="O6" s="897"/>
      <c r="P6" s="897"/>
      <c r="Q6" s="897"/>
      <c r="R6" s="897"/>
      <c r="S6" s="976"/>
      <c r="T6" s="976"/>
      <c r="U6" s="976"/>
      <c r="V6" s="976"/>
      <c r="W6" s="976"/>
      <c r="X6" s="976"/>
      <c r="Y6" s="976"/>
      <c r="Z6" s="1063"/>
      <c r="AA6" s="7"/>
      <c r="AB6" s="7"/>
      <c r="AC6" s="5"/>
      <c r="AF6" s="5"/>
      <c r="AG6" s="5"/>
      <c r="AH6" s="5"/>
      <c r="AI6" s="5"/>
      <c r="AJ6" s="5"/>
      <c r="AK6" s="5"/>
      <c r="AL6" s="5"/>
      <c r="AT6" s="5"/>
      <c r="AU6" s="5"/>
      <c r="AV6" s="3"/>
      <c r="AW6" s="5"/>
      <c r="AX6" s="5"/>
      <c r="AY6" s="5"/>
      <c r="AZ6" s="5"/>
      <c r="BA6" s="3"/>
      <c r="BB6" s="5"/>
      <c r="BC6" s="5"/>
      <c r="BD6" s="5"/>
      <c r="BE6" s="5"/>
      <c r="BF6" s="3"/>
      <c r="BG6" s="5"/>
      <c r="BH6" s="5"/>
      <c r="BI6" s="5"/>
      <c r="BJ6" s="5"/>
      <c r="BK6" s="3"/>
      <c r="BL6" s="5"/>
      <c r="BM6" s="5"/>
      <c r="BN6" s="5"/>
      <c r="BO6" s="5"/>
      <c r="BP6" s="3"/>
    </row>
    <row r="7" spans="1:68" ht="12" customHeight="1" x14ac:dyDescent="0.25">
      <c r="E7" s="1064" t="s">
        <v>0</v>
      </c>
      <c r="F7" s="902"/>
      <c r="G7" s="902"/>
      <c r="H7" s="902" t="s">
        <v>216</v>
      </c>
      <c r="I7" s="902" t="s">
        <v>215</v>
      </c>
      <c r="J7" s="902" t="s">
        <v>214</v>
      </c>
      <c r="K7" s="902" t="s">
        <v>403</v>
      </c>
      <c r="L7" s="902" t="str">
        <f t="shared" ref="L7:Q7" si="0">L15</f>
        <v>F2011A</v>
      </c>
      <c r="M7" s="902" t="str">
        <f t="shared" si="0"/>
        <v>F2012A</v>
      </c>
      <c r="N7" s="902" t="str">
        <f t="shared" si="0"/>
        <v>F2013A</v>
      </c>
      <c r="O7" s="902" t="str">
        <f t="shared" si="0"/>
        <v>F2014A</v>
      </c>
      <c r="P7" s="902" t="str">
        <f t="shared" si="0"/>
        <v>F2015A</v>
      </c>
      <c r="Q7" s="902" t="str">
        <f t="shared" si="0"/>
        <v>F2016A</v>
      </c>
      <c r="R7" s="902" t="str">
        <f>R15</f>
        <v>F2017A</v>
      </c>
      <c r="S7" s="957" t="str">
        <f>S15</f>
        <v>F2018A</v>
      </c>
      <c r="T7" s="977" t="s">
        <v>1022</v>
      </c>
      <c r="U7" s="978" t="s">
        <v>1023</v>
      </c>
      <c r="V7" s="957" t="str">
        <f>V15</f>
        <v>F2019E</v>
      </c>
      <c r="W7" s="957" t="str">
        <f>W15</f>
        <v>F2020E</v>
      </c>
      <c r="X7" s="957" t="str">
        <f>X15</f>
        <v>F2021E</v>
      </c>
      <c r="Y7" s="957" t="s">
        <v>1024</v>
      </c>
      <c r="Z7" s="1065"/>
      <c r="AA7" s="8"/>
      <c r="AB7" s="8"/>
      <c r="AC7" s="9"/>
      <c r="AF7" s="10"/>
      <c r="AT7" s="10"/>
      <c r="AU7" s="10"/>
      <c r="AV7" s="10"/>
      <c r="AW7" s="10"/>
      <c r="AX7" s="10"/>
      <c r="AY7" s="10"/>
      <c r="AZ7" s="10"/>
      <c r="BA7" s="10"/>
      <c r="BB7" s="10"/>
      <c r="BC7" s="10"/>
      <c r="BD7" s="10"/>
      <c r="BE7" s="10"/>
      <c r="BF7" s="10"/>
      <c r="BG7" s="10"/>
      <c r="BH7" s="10"/>
      <c r="BI7" s="10"/>
      <c r="BJ7" s="10"/>
      <c r="BK7" s="10"/>
      <c r="BL7" s="10"/>
      <c r="BM7" s="10"/>
      <c r="BN7" s="10"/>
      <c r="BO7" s="10"/>
      <c r="BP7" s="10"/>
    </row>
    <row r="8" spans="1:68" ht="4.1500000000000004" customHeight="1" x14ac:dyDescent="0.25">
      <c r="E8" s="1066"/>
      <c r="F8" s="900"/>
      <c r="G8" s="900"/>
      <c r="H8" s="900"/>
      <c r="I8" s="900"/>
      <c r="J8" s="900"/>
      <c r="K8" s="900"/>
      <c r="L8" s="900"/>
      <c r="M8" s="900"/>
      <c r="N8" s="900"/>
      <c r="O8" s="900"/>
      <c r="P8" s="900"/>
      <c r="Q8" s="900"/>
      <c r="R8" s="900"/>
      <c r="S8" s="980"/>
      <c r="T8" s="981"/>
      <c r="U8" s="982"/>
      <c r="V8" s="980"/>
      <c r="W8" s="980"/>
      <c r="X8" s="980"/>
      <c r="Y8" s="980"/>
      <c r="Z8" s="1067"/>
      <c r="AA8" s="7"/>
      <c r="AB8" s="7"/>
      <c r="AC8" s="6"/>
      <c r="AD8" s="5"/>
      <c r="AG8" s="5"/>
      <c r="AH8" s="5"/>
      <c r="AI8" s="5"/>
      <c r="AJ8" s="5"/>
      <c r="AK8" s="5"/>
      <c r="AL8" s="5"/>
      <c r="AT8" s="5"/>
      <c r="AU8" s="5"/>
      <c r="AV8" s="3"/>
      <c r="AW8" s="5"/>
      <c r="AX8" s="5"/>
      <c r="AY8" s="5"/>
      <c r="AZ8" s="5"/>
      <c r="BA8" s="3"/>
      <c r="BB8" s="5"/>
      <c r="BC8" s="5"/>
      <c r="BD8" s="5"/>
      <c r="BE8" s="5"/>
      <c r="BF8" s="3"/>
      <c r="BG8" s="5"/>
      <c r="BH8" s="5"/>
      <c r="BI8" s="5"/>
      <c r="BJ8" s="5"/>
      <c r="BK8" s="3"/>
      <c r="BL8" s="5"/>
      <c r="BM8" s="5"/>
      <c r="BN8" s="5"/>
      <c r="BO8" s="5"/>
      <c r="BP8" s="3"/>
    </row>
    <row r="9" spans="1:68" ht="12" customHeight="1" x14ac:dyDescent="0.25">
      <c r="E9" s="1066" t="s">
        <v>804</v>
      </c>
      <c r="F9" s="903"/>
      <c r="G9" s="903"/>
      <c r="H9" s="903">
        <v>29.629999160766602</v>
      </c>
      <c r="I9" s="903">
        <v>29.629999160766602</v>
      </c>
      <c r="J9" s="903">
        <v>29.629999160766602</v>
      </c>
      <c r="K9" s="903" t="e">
        <f ca="1">_xll.FDSC("na",$E$1,"FG_PRICE(NOW)")</f>
        <v>#NAME?</v>
      </c>
      <c r="L9" s="903" t="e">
        <f ca="1">_xll.FDSC("na",$E$1,"FG_PRICE(NOW)")</f>
        <v>#NAME?</v>
      </c>
      <c r="M9" s="903" t="e">
        <f ca="1">_xll.FDSC("na",$E$1,"FG_PRICE(NOW)")</f>
        <v>#NAME?</v>
      </c>
      <c r="N9" s="903" t="e">
        <f ca="1">_xll.FDSC("na",$E$1,"FG_PRICE(NOW)")</f>
        <v>#NAME?</v>
      </c>
      <c r="O9" s="903" t="e">
        <f ca="1">_xll.FDSC("na",$E$1,"FG_PRICE(NOW)")</f>
        <v>#NAME?</v>
      </c>
      <c r="P9" s="903" t="e">
        <f ca="1">_xll.FDSC("na",$E$1,"FG_PRICE(NOW)")</f>
        <v>#NAME?</v>
      </c>
      <c r="Q9" s="903">
        <v>41.71</v>
      </c>
      <c r="R9" s="903">
        <v>41.71</v>
      </c>
      <c r="S9" s="983"/>
      <c r="T9" s="984"/>
      <c r="U9" s="985"/>
      <c r="V9" s="983">
        <f>_xll.BDP("RAMP US EQUITY","LAST PRICE")</f>
        <v>46.52</v>
      </c>
      <c r="W9" s="983">
        <f>+V9</f>
        <v>46.52</v>
      </c>
      <c r="X9" s="983">
        <f t="shared" ref="X9" si="1">+W9</f>
        <v>46.52</v>
      </c>
      <c r="Y9" s="983"/>
      <c r="Z9" s="1068"/>
      <c r="AA9" s="8"/>
      <c r="AB9" s="8"/>
      <c r="AC9" s="11"/>
      <c r="AD9" s="5"/>
      <c r="AG9" s="5"/>
      <c r="AH9" s="701"/>
      <c r="AI9" s="5"/>
      <c r="AJ9" s="5"/>
      <c r="AK9" s="5"/>
      <c r="AL9" s="5"/>
      <c r="AT9" s="5"/>
      <c r="AU9" s="5"/>
      <c r="AV9" s="3"/>
      <c r="AW9" s="5"/>
      <c r="AX9" s="5"/>
      <c r="AY9" s="5"/>
      <c r="AZ9" s="5"/>
      <c r="BA9" s="3"/>
      <c r="BB9" s="5"/>
      <c r="BC9" s="5"/>
      <c r="BD9" s="5"/>
      <c r="BE9" s="5"/>
      <c r="BF9" s="3"/>
      <c r="BG9" s="5"/>
      <c r="BH9" s="5"/>
      <c r="BI9" s="5"/>
      <c r="BJ9" s="5"/>
      <c r="BK9" s="3"/>
      <c r="BL9" s="5"/>
      <c r="BM9" s="5"/>
      <c r="BN9" s="5"/>
      <c r="BO9" s="5"/>
      <c r="BP9" s="3"/>
    </row>
    <row r="10" spans="1:68" ht="12" customHeight="1" x14ac:dyDescent="0.25">
      <c r="E10" s="1066" t="s">
        <v>25</v>
      </c>
      <c r="F10" s="904"/>
      <c r="G10" s="904"/>
      <c r="H10" s="904">
        <v>84</v>
      </c>
      <c r="I10" s="905">
        <v>79.123000000000005</v>
      </c>
      <c r="J10" s="905">
        <f>Income!AN86</f>
        <v>78.224999999999994</v>
      </c>
      <c r="K10" s="905">
        <f>Income!AS86</f>
        <v>79.724999999999994</v>
      </c>
      <c r="L10" s="905">
        <f>Income!AX86</f>
        <v>81.314750000000004</v>
      </c>
      <c r="M10" s="905">
        <f>Income!BC86</f>
        <v>80.394499999999994</v>
      </c>
      <c r="N10" s="905">
        <f>Income!BH86</f>
        <v>76.496749999999992</v>
      </c>
      <c r="O10" s="905">
        <f>Income!BM86</f>
        <v>76.414749999999998</v>
      </c>
      <c r="P10" s="905">
        <f>Income!BR86</f>
        <v>77.105500000000006</v>
      </c>
      <c r="Q10" s="905">
        <f>Income!BW86</f>
        <v>79.098500000000001</v>
      </c>
      <c r="R10" s="905">
        <f>Income!CB86</f>
        <v>79.848250000000007</v>
      </c>
      <c r="S10" s="966"/>
      <c r="T10" s="986"/>
      <c r="U10" s="987"/>
      <c r="V10" s="966">
        <f ca="1">'Current Comps'!CN41</f>
        <v>67.505600000000001</v>
      </c>
      <c r="W10" s="966">
        <f>Income!CQ86</f>
        <v>62.37299999999999</v>
      </c>
      <c r="X10" s="966">
        <f>Income!CV86</f>
        <v>59.847999999999999</v>
      </c>
      <c r="Y10" s="966"/>
      <c r="Z10" s="1069"/>
      <c r="AA10" s="8"/>
      <c r="AB10" s="8"/>
      <c r="AC10" s="12"/>
      <c r="AD10" s="5"/>
      <c r="AF10" s="5"/>
      <c r="AG10" s="5"/>
      <c r="AH10" s="5"/>
      <c r="AI10" s="5"/>
      <c r="AJ10" s="5"/>
      <c r="AK10" s="5"/>
      <c r="AL10" s="5"/>
      <c r="AT10" s="5"/>
      <c r="AU10" s="5"/>
      <c r="AV10" s="3"/>
      <c r="AW10" s="5"/>
      <c r="AX10" s="5"/>
      <c r="AY10" s="5"/>
      <c r="AZ10" s="5"/>
      <c r="BA10" s="3"/>
      <c r="BB10" s="5"/>
      <c r="BC10" s="5"/>
      <c r="BD10" s="5"/>
      <c r="BE10" s="5"/>
      <c r="BF10" s="3"/>
      <c r="BG10" s="5"/>
      <c r="BH10" s="5"/>
      <c r="BI10" s="5"/>
      <c r="BJ10" s="5"/>
      <c r="BK10" s="3"/>
      <c r="BL10" s="5"/>
      <c r="BM10" s="5"/>
      <c r="BN10" s="5"/>
      <c r="BO10" s="5"/>
      <c r="BP10" s="3"/>
    </row>
    <row r="11" spans="1:68" ht="12" customHeight="1" x14ac:dyDescent="0.25">
      <c r="E11" s="1070" t="s">
        <v>26</v>
      </c>
      <c r="F11" s="906"/>
      <c r="G11" s="906"/>
      <c r="H11" s="906">
        <v>2488.9199295043945</v>
      </c>
      <c r="I11" s="906">
        <f t="shared" ref="I11:Q11" si="2">I$9*I10</f>
        <v>2344.4144235973358</v>
      </c>
      <c r="J11" s="906">
        <f t="shared" si="2"/>
        <v>2317.8066843509673</v>
      </c>
      <c r="K11" s="906" t="e">
        <f t="shared" ca="1" si="2"/>
        <v>#NAME?</v>
      </c>
      <c r="L11" s="906" t="e">
        <f t="shared" ca="1" si="2"/>
        <v>#NAME?</v>
      </c>
      <c r="M11" s="906" t="e">
        <f t="shared" ca="1" si="2"/>
        <v>#NAME?</v>
      </c>
      <c r="N11" s="906" t="e">
        <f t="shared" ca="1" si="2"/>
        <v>#NAME?</v>
      </c>
      <c r="O11" s="906" t="e">
        <f t="shared" ca="1" si="2"/>
        <v>#NAME?</v>
      </c>
      <c r="P11" s="906" t="e">
        <f t="shared" ca="1" si="2"/>
        <v>#NAME?</v>
      </c>
      <c r="Q11" s="906">
        <f t="shared" si="2"/>
        <v>3299.1984350000002</v>
      </c>
      <c r="R11" s="906">
        <f>R$9*R10</f>
        <v>3330.4705075000002</v>
      </c>
      <c r="S11" s="988"/>
      <c r="T11" s="989"/>
      <c r="U11" s="990"/>
      <c r="V11" s="988">
        <f ca="1">V$9*V10</f>
        <v>3140.3605120000002</v>
      </c>
      <c r="W11" s="988">
        <f>W$9*W10</f>
        <v>2901.5919599999997</v>
      </c>
      <c r="X11" s="988">
        <f>X$9*X10</f>
        <v>2784.12896</v>
      </c>
      <c r="Y11" s="988"/>
      <c r="Z11" s="1069"/>
      <c r="AA11" s="8"/>
      <c r="AB11" s="8"/>
      <c r="AC11" s="12"/>
      <c r="AD11" s="596"/>
      <c r="AE11" s="21"/>
      <c r="AF11" s="5"/>
      <c r="AG11" s="5"/>
      <c r="AH11" s="5"/>
      <c r="AI11" s="5"/>
      <c r="AJ11" s="5"/>
      <c r="AK11" s="5"/>
      <c r="AL11" s="5"/>
      <c r="AT11" s="5"/>
      <c r="AU11" s="5"/>
      <c r="AV11" s="3"/>
      <c r="AW11" s="5"/>
      <c r="AX11" s="5"/>
      <c r="AY11" s="5"/>
      <c r="AZ11" s="5"/>
      <c r="BA11" s="3"/>
      <c r="BB11" s="5"/>
      <c r="BC11" s="5"/>
      <c r="BD11" s="5"/>
      <c r="BE11" s="5"/>
      <c r="BF11" s="3"/>
      <c r="BG11" s="5"/>
      <c r="BH11" s="5"/>
      <c r="BI11" s="5"/>
      <c r="BJ11" s="5"/>
      <c r="BK11" s="3"/>
      <c r="BL11" s="5"/>
      <c r="BM11" s="5"/>
      <c r="BN11" s="5"/>
      <c r="BO11" s="5"/>
      <c r="BP11" s="3"/>
    </row>
    <row r="12" spans="1:68" s="15" customFormat="1" ht="12" customHeight="1" x14ac:dyDescent="0.25">
      <c r="A12" s="14"/>
      <c r="B12" s="14"/>
      <c r="C12" s="14"/>
      <c r="D12" s="14"/>
      <c r="E12" s="1071" t="s">
        <v>20</v>
      </c>
      <c r="F12" s="905"/>
      <c r="G12" s="905"/>
      <c r="H12" s="905">
        <v>-717.97900000000004</v>
      </c>
      <c r="I12" s="905">
        <v>-581.86099999999999</v>
      </c>
      <c r="J12" s="905">
        <f>Balance!AN61</f>
        <v>-401.02800000000002</v>
      </c>
      <c r="K12" s="905">
        <f>Balance!AS61</f>
        <v>-276.58600000000001</v>
      </c>
      <c r="L12" s="905">
        <f>Balance!AX61</f>
        <v>-215.21499999999997</v>
      </c>
      <c r="M12" s="905">
        <f>Balance!BC61</f>
        <v>-48.603999999999985</v>
      </c>
      <c r="N12" s="905">
        <f>Balance!BH61</f>
        <v>-30.530999999999949</v>
      </c>
      <c r="O12" s="905">
        <f>Balance!BM61</f>
        <v>100.976</v>
      </c>
      <c r="P12" s="905">
        <f>Balance!BR61</f>
        <v>-146.41359999999992</v>
      </c>
      <c r="Q12" s="905">
        <f>Balance!BW61</f>
        <v>-0.51059999999989714</v>
      </c>
      <c r="R12" s="905">
        <f>Balance!CB61</f>
        <v>-58.716599999999914</v>
      </c>
      <c r="S12" s="966"/>
      <c r="T12" s="986"/>
      <c r="U12" s="987"/>
      <c r="V12" s="966">
        <f>Balance!CL61</f>
        <v>1001.6681068537501</v>
      </c>
      <c r="W12" s="966">
        <f>Balance!CQ61</f>
        <v>661.05203097623507</v>
      </c>
      <c r="X12" s="966">
        <f>Balance!CV61</f>
        <v>578.00855648671825</v>
      </c>
      <c r="Y12" s="966"/>
      <c r="Z12" s="1072"/>
      <c r="AA12" s="8"/>
      <c r="AB12" s="8"/>
      <c r="AC12" s="12"/>
      <c r="AD12" s="16"/>
      <c r="AE12" s="10"/>
      <c r="AF12" s="16"/>
      <c r="AG12" s="16"/>
      <c r="AH12" s="16"/>
      <c r="AI12" s="16"/>
      <c r="AJ12" s="16"/>
      <c r="AK12" s="16"/>
      <c r="AL12" s="16"/>
      <c r="AT12" s="16"/>
      <c r="AU12" s="16"/>
      <c r="AV12" s="10"/>
      <c r="AW12" s="16"/>
      <c r="AX12" s="16"/>
      <c r="AY12" s="16"/>
      <c r="AZ12" s="16"/>
      <c r="BA12" s="10"/>
      <c r="BB12" s="16"/>
      <c r="BC12" s="16"/>
      <c r="BD12" s="16"/>
      <c r="BE12" s="16"/>
      <c r="BF12" s="10"/>
      <c r="BG12" s="16"/>
      <c r="BH12" s="16"/>
      <c r="BI12" s="16"/>
      <c r="BJ12" s="16"/>
      <c r="BK12" s="10"/>
      <c r="BL12" s="16"/>
      <c r="BM12" s="16"/>
      <c r="BN12" s="16"/>
      <c r="BO12" s="16"/>
      <c r="BP12" s="10"/>
    </row>
    <row r="13" spans="1:68" ht="12" customHeight="1" x14ac:dyDescent="0.25">
      <c r="E13" s="1066" t="s">
        <v>21</v>
      </c>
      <c r="F13" s="906"/>
      <c r="G13" s="906"/>
      <c r="H13" s="906">
        <v>3206.8989295043948</v>
      </c>
      <c r="I13" s="906">
        <f t="shared" ref="I13:Q13" si="3">I11-I12</f>
        <v>2926.2754235973357</v>
      </c>
      <c r="J13" s="906">
        <f t="shared" si="3"/>
        <v>2718.8346843509671</v>
      </c>
      <c r="K13" s="906" t="e">
        <f t="shared" ca="1" si="3"/>
        <v>#NAME?</v>
      </c>
      <c r="L13" s="906" t="e">
        <f t="shared" ca="1" si="3"/>
        <v>#NAME?</v>
      </c>
      <c r="M13" s="906" t="e">
        <f t="shared" ca="1" si="3"/>
        <v>#NAME?</v>
      </c>
      <c r="N13" s="906" t="e">
        <f t="shared" ca="1" si="3"/>
        <v>#NAME?</v>
      </c>
      <c r="O13" s="906" t="e">
        <f t="shared" ca="1" si="3"/>
        <v>#NAME?</v>
      </c>
      <c r="P13" s="906" t="e">
        <f t="shared" ca="1" si="3"/>
        <v>#NAME?</v>
      </c>
      <c r="Q13" s="906">
        <f t="shared" si="3"/>
        <v>3299.7090350000003</v>
      </c>
      <c r="R13" s="906">
        <f>R11-R12</f>
        <v>3389.1871074999999</v>
      </c>
      <c r="S13" s="988"/>
      <c r="T13" s="989"/>
      <c r="U13" s="990"/>
      <c r="V13" s="988">
        <f ca="1">V11-V12</f>
        <v>2138.6924051462502</v>
      </c>
      <c r="W13" s="988">
        <f>W11-W12</f>
        <v>2240.5399290237647</v>
      </c>
      <c r="X13" s="988">
        <f>X11-X12</f>
        <v>2206.1204035132819</v>
      </c>
      <c r="Y13" s="988"/>
      <c r="Z13" s="1069"/>
      <c r="AA13" s="8"/>
      <c r="AB13" s="8"/>
      <c r="AC13" s="12"/>
      <c r="AD13" s="5"/>
      <c r="AE13" s="3"/>
      <c r="AF13" s="5"/>
      <c r="AG13" s="5"/>
      <c r="AH13" s="5"/>
      <c r="AI13" s="5"/>
      <c r="AJ13" s="5"/>
      <c r="AK13" s="5"/>
      <c r="AL13" s="5"/>
      <c r="AT13" s="5"/>
      <c r="AU13" s="5"/>
      <c r="AV13" s="3"/>
      <c r="AW13" s="5"/>
      <c r="AX13" s="5"/>
      <c r="AY13" s="5"/>
      <c r="AZ13" s="5"/>
      <c r="BA13" s="3"/>
      <c r="BB13" s="5"/>
      <c r="BC13" s="5"/>
      <c r="BD13" s="5"/>
      <c r="BE13" s="5"/>
      <c r="BF13" s="3"/>
      <c r="BG13" s="5"/>
      <c r="BH13" s="5"/>
      <c r="BI13" s="5"/>
      <c r="BJ13" s="5"/>
      <c r="BK13" s="3"/>
      <c r="BL13" s="5"/>
      <c r="BM13" s="5"/>
      <c r="BN13" s="5"/>
      <c r="BO13" s="5"/>
      <c r="BP13" s="3"/>
    </row>
    <row r="14" spans="1:68" ht="3.95" customHeight="1" x14ac:dyDescent="0.25">
      <c r="E14" s="1066"/>
      <c r="F14" s="900"/>
      <c r="G14" s="900"/>
      <c r="H14" s="900"/>
      <c r="I14" s="900"/>
      <c r="J14" s="900"/>
      <c r="K14" s="900"/>
      <c r="L14" s="900"/>
      <c r="M14" s="900"/>
      <c r="N14" s="900"/>
      <c r="O14" s="900"/>
      <c r="P14" s="900"/>
      <c r="Q14" s="900"/>
      <c r="R14" s="900"/>
      <c r="S14" s="980"/>
      <c r="T14" s="981"/>
      <c r="U14" s="982"/>
      <c r="V14" s="980"/>
      <c r="W14" s="980"/>
      <c r="X14" s="980"/>
      <c r="Y14" s="980"/>
      <c r="Z14" s="1069"/>
      <c r="AC14" s="6"/>
      <c r="AD14" s="5"/>
      <c r="AE14" s="3"/>
      <c r="AF14" s="5"/>
      <c r="AG14" s="5"/>
      <c r="AH14" s="5"/>
      <c r="AI14" s="5"/>
      <c r="AJ14" s="5"/>
      <c r="AK14" s="5"/>
      <c r="AL14" s="5"/>
      <c r="AT14" s="5"/>
      <c r="AU14" s="5"/>
      <c r="AV14" s="3"/>
      <c r="AW14" s="5"/>
      <c r="AX14" s="5"/>
      <c r="AY14" s="5"/>
      <c r="AZ14" s="5"/>
      <c r="BA14" s="3"/>
      <c r="BB14" s="5"/>
      <c r="BC14" s="5"/>
      <c r="BD14" s="5"/>
      <c r="BE14" s="5"/>
      <c r="BF14" s="3"/>
      <c r="BG14" s="5"/>
      <c r="BH14" s="5"/>
      <c r="BI14" s="5"/>
      <c r="BJ14" s="5"/>
      <c r="BK14" s="3"/>
      <c r="BL14" s="5"/>
      <c r="BM14" s="5"/>
      <c r="BN14" s="5"/>
      <c r="BO14" s="5"/>
      <c r="BP14" s="3"/>
    </row>
    <row r="15" spans="1:68" ht="12" customHeight="1" x14ac:dyDescent="0.25">
      <c r="E15" s="1064" t="s">
        <v>1</v>
      </c>
      <c r="F15" s="902"/>
      <c r="G15" s="902"/>
      <c r="H15" s="902" t="s">
        <v>216</v>
      </c>
      <c r="I15" s="902" t="s">
        <v>215</v>
      </c>
      <c r="J15" s="902" t="str">
        <f>Income!AN5</f>
        <v>F2009A</v>
      </c>
      <c r="K15" s="902" t="str">
        <f>Income!AS5</f>
        <v>F2010A</v>
      </c>
      <c r="L15" s="902" t="str">
        <f>Income!AX5</f>
        <v>F2011A</v>
      </c>
      <c r="M15" s="902" t="str">
        <f>Income!BC5</f>
        <v>F2012A</v>
      </c>
      <c r="N15" s="902" t="str">
        <f>Income!BH5</f>
        <v>F2013A</v>
      </c>
      <c r="O15" s="902" t="str">
        <f>Income!BM5</f>
        <v>F2014A</v>
      </c>
      <c r="P15" s="902" t="str">
        <f>Income!BR5</f>
        <v>F2015A</v>
      </c>
      <c r="Q15" s="902" t="str">
        <f>Income!BW5</f>
        <v>F2016A</v>
      </c>
      <c r="R15" s="902" t="str">
        <f>Income!CB5</f>
        <v>F2017A</v>
      </c>
      <c r="S15" s="957" t="str">
        <f>Income!CG5</f>
        <v>F2018A</v>
      </c>
      <c r="T15" s="977" t="s">
        <v>1022</v>
      </c>
      <c r="U15" s="978" t="s">
        <v>1023</v>
      </c>
      <c r="V15" s="957" t="str">
        <f>Income!CL5</f>
        <v>F2019E</v>
      </c>
      <c r="W15" s="957" t="str">
        <f>Income!CQ5</f>
        <v>F2020E</v>
      </c>
      <c r="X15" s="957" t="str">
        <f>Income!CV5</f>
        <v>F2021E</v>
      </c>
      <c r="Y15" s="957" t="s">
        <v>1024</v>
      </c>
      <c r="Z15" s="1073" t="s">
        <v>1015</v>
      </c>
      <c r="AA15" s="10"/>
      <c r="AB15" s="10"/>
      <c r="AC15" s="10"/>
      <c r="AD15" s="10"/>
      <c r="AE15" s="10"/>
      <c r="AF15" s="10"/>
      <c r="AG15" s="10"/>
      <c r="AH15" s="10"/>
      <c r="AI15" s="10"/>
      <c r="AJ15" s="10"/>
      <c r="AK15" s="10"/>
      <c r="AL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row>
    <row r="16" spans="1:68" ht="3.95" customHeight="1" x14ac:dyDescent="0.25">
      <c r="E16" s="1074"/>
      <c r="F16" s="907"/>
      <c r="G16" s="907"/>
      <c r="H16" s="907"/>
      <c r="I16" s="907"/>
      <c r="J16" s="907"/>
      <c r="K16" s="907"/>
      <c r="L16" s="907"/>
      <c r="M16" s="907"/>
      <c r="N16" s="907"/>
      <c r="O16" s="907"/>
      <c r="P16" s="907"/>
      <c r="Q16" s="907"/>
      <c r="R16" s="907"/>
      <c r="S16" s="991"/>
      <c r="T16" s="981"/>
      <c r="U16" s="982"/>
      <c r="V16" s="991"/>
      <c r="W16" s="991"/>
      <c r="X16" s="991"/>
      <c r="Y16" s="991"/>
      <c r="Z16" s="1075"/>
      <c r="AA16" s="10"/>
      <c r="AB16" s="10"/>
      <c r="AC16" s="10"/>
      <c r="AD16" s="10"/>
      <c r="AE16" s="10"/>
      <c r="AF16" s="10"/>
      <c r="AG16" s="10"/>
      <c r="AH16" s="10"/>
      <c r="AI16" s="10"/>
      <c r="AJ16" s="10"/>
      <c r="AK16" s="10"/>
      <c r="AL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row>
    <row r="17" spans="1:33" ht="12" customHeight="1" x14ac:dyDescent="0.25">
      <c r="E17" s="908" t="s">
        <v>29</v>
      </c>
      <c r="F17" s="909"/>
      <c r="G17" s="909"/>
      <c r="H17" s="909">
        <v>1395.136</v>
      </c>
      <c r="I17" s="909">
        <v>1383.771</v>
      </c>
      <c r="J17" s="909">
        <f>Income!AN22</f>
        <v>1277.2619999999999</v>
      </c>
      <c r="K17" s="909">
        <f>Income!AS22</f>
        <v>1099.2350000000001</v>
      </c>
      <c r="L17" s="909">
        <f>Income!AX22</f>
        <v>1113.7539999999999</v>
      </c>
      <c r="M17" s="909">
        <f>Income!BC22</f>
        <v>1130.624</v>
      </c>
      <c r="N17" s="909">
        <f>Income!BH22</f>
        <v>1099.3589999999999</v>
      </c>
      <c r="O17" s="909">
        <f>Income!BM22</f>
        <v>805.15300000000002</v>
      </c>
      <c r="P17" s="909">
        <f>Income!BR22</f>
        <v>804.91100000000006</v>
      </c>
      <c r="Q17" s="909">
        <f>Income!BW22</f>
        <v>850.08799999999997</v>
      </c>
      <c r="R17" s="909">
        <f>Income!CB22</f>
        <v>880.24800000000005</v>
      </c>
      <c r="S17" s="992">
        <f>Income!CG22</f>
        <v>220.101</v>
      </c>
      <c r="T17" s="993">
        <f>SUM(Income!CH22:CI22)</f>
        <v>127.28299999999999</v>
      </c>
      <c r="U17" s="994">
        <f>SUM(Income!CJ22:CK22)</f>
        <v>154.76686800000002</v>
      </c>
      <c r="V17" s="992">
        <f>Income!CL22</f>
        <v>282.049868</v>
      </c>
      <c r="W17" s="992">
        <f>Income!CQ22</f>
        <v>372.53183008000002</v>
      </c>
      <c r="X17" s="992">
        <f>Income!CV22</f>
        <v>489.73229630630004</v>
      </c>
      <c r="Y17" s="992"/>
      <c r="Z17" s="995">
        <f>RATE(3,,-S17,X17)</f>
        <v>0.30550611339163586</v>
      </c>
      <c r="AC17" s="95"/>
      <c r="AD17" s="96"/>
    </row>
    <row r="18" spans="1:33" ht="12" customHeight="1" x14ac:dyDescent="0.25">
      <c r="C18" s="2" t="s">
        <v>805</v>
      </c>
      <c r="E18" s="910" t="s">
        <v>156</v>
      </c>
      <c r="F18" s="904"/>
      <c r="G18" s="904"/>
      <c r="H18" s="904"/>
      <c r="I18" s="911"/>
      <c r="J18" s="911"/>
      <c r="K18" s="912"/>
      <c r="L18" s="911"/>
      <c r="M18" s="911"/>
      <c r="N18" s="913"/>
      <c r="O18" s="914"/>
      <c r="P18" s="914"/>
      <c r="Q18" s="914"/>
      <c r="R18" s="914"/>
      <c r="S18" s="996">
        <f>+S17</f>
        <v>220.101</v>
      </c>
      <c r="T18" s="997">
        <f>T17</f>
        <v>127.28299999999999</v>
      </c>
      <c r="U18" s="998">
        <f>_xll.BDP("RAMP EQUITY","BEST SALES","BEST_FPERIOD_OVERRIDE=19Q3")+_xll.BDP("RAMP EQUITY","BEST SALES","BEST_FPERIOD_OVERRIDE=19Q4")</f>
        <v>153.72</v>
      </c>
      <c r="V18" s="996">
        <f>_xll.BDP("RAMP EQUITY","BEST SALES","BEST_FPERIOD_OVERRIDE=19Y")</f>
        <v>279.83300000000003</v>
      </c>
      <c r="W18" s="996">
        <f>_xll.BDP("RAMP EQUITY","BEST SALES","BEST_FPERIOD_OVERRIDE=20Y")</f>
        <v>368.33300000000003</v>
      </c>
      <c r="X18" s="996">
        <f>_xll.BDP("RAMP EQUITY","BEST SALES","BEST_FPERIOD_OVERRIDE=21Y")</f>
        <v>482.25</v>
      </c>
      <c r="Y18" s="996"/>
      <c r="Z18" s="999">
        <f>RATE(3,,-S18,X18)</f>
        <v>0.29882330766638726</v>
      </c>
      <c r="AC18" s="95"/>
      <c r="AD18" s="96"/>
    </row>
    <row r="19" spans="1:33" x14ac:dyDescent="0.25">
      <c r="E19" s="915" t="s">
        <v>1016</v>
      </c>
      <c r="F19" s="916"/>
      <c r="G19" s="916"/>
      <c r="H19" s="916">
        <v>1041.278</v>
      </c>
      <c r="I19" s="916">
        <v>1330.8609999999999</v>
      </c>
      <c r="J19" s="916">
        <v>1106.402</v>
      </c>
      <c r="K19" s="916">
        <v>1114.8710000000001</v>
      </c>
      <c r="L19" s="916">
        <f>Income!AW22+Income!AY22+Income!AZ22+Income!BA22</f>
        <v>1130.5940000000001</v>
      </c>
      <c r="M19" s="916">
        <f>Income!BB22+Income!BD22+Income!BE22+Income!BF22</f>
        <v>1109.4829999999999</v>
      </c>
      <c r="N19" s="916">
        <f>Income!BG22+Income!BI22+Income!BJ22+Income!BK22</f>
        <v>1097.4679999999998</v>
      </c>
      <c r="O19" s="917"/>
      <c r="P19" s="918"/>
      <c r="Q19" s="918"/>
      <c r="R19" s="919"/>
      <c r="S19" s="1000"/>
      <c r="T19" s="1001">
        <f>T17</f>
        <v>127.28299999999999</v>
      </c>
      <c r="U19" s="1002">
        <f>Income!DA22</f>
        <v>155.56811111111111</v>
      </c>
      <c r="V19" s="1000">
        <v>283</v>
      </c>
      <c r="W19" s="1003"/>
      <c r="X19" s="1003"/>
      <c r="Y19" s="1052" t="s">
        <v>1025</v>
      </c>
      <c r="Z19" s="1004"/>
      <c r="AC19" s="95"/>
      <c r="AD19" s="96"/>
      <c r="AG19" s="717"/>
    </row>
    <row r="20" spans="1:33" s="717" customFormat="1" ht="12" customHeight="1" x14ac:dyDescent="0.25">
      <c r="A20" s="2"/>
      <c r="B20" s="2"/>
      <c r="C20" s="2"/>
      <c r="D20" s="2"/>
      <c r="E20" s="1066" t="s">
        <v>1012</v>
      </c>
      <c r="F20" s="904"/>
      <c r="G20" s="904"/>
      <c r="H20" s="904">
        <v>397.23299999999995</v>
      </c>
      <c r="I20" s="904">
        <v>379.28699999999992</v>
      </c>
      <c r="J20" s="904">
        <f>Income!AN131</f>
        <v>0</v>
      </c>
      <c r="K20" s="904">
        <f>Income!AS131</f>
        <v>0</v>
      </c>
      <c r="L20" s="904">
        <f>Income!AX131</f>
        <v>0</v>
      </c>
      <c r="M20" s="904">
        <f>Income!BC131</f>
        <v>0</v>
      </c>
      <c r="N20" s="904">
        <f>Income!BH131</f>
        <v>0</v>
      </c>
      <c r="O20" s="904">
        <f>Income!BM131</f>
        <v>0</v>
      </c>
      <c r="P20" s="904">
        <f>Income!BR131</f>
        <v>0</v>
      </c>
      <c r="Q20" s="904">
        <f>Income!BW131</f>
        <v>0</v>
      </c>
      <c r="R20" s="904">
        <f>Income!CB131</f>
        <v>0</v>
      </c>
      <c r="S20" s="964">
        <f>Income!CG112</f>
        <v>150.251</v>
      </c>
      <c r="T20" s="1005">
        <f>SUM(Income!CH112:CI112)</f>
        <v>90.173999999999992</v>
      </c>
      <c r="U20" s="1006">
        <f>SUM(Income!CJ112:CK112)</f>
        <v>87.946868000000009</v>
      </c>
      <c r="V20" s="964">
        <f>+Income!CL112</f>
        <v>178.120868</v>
      </c>
      <c r="W20" s="964">
        <f>Income!CQ112</f>
        <v>234.13183007999999</v>
      </c>
      <c r="X20" s="964">
        <f>Income!CV112</f>
        <v>325.83229630630001</v>
      </c>
      <c r="Y20" s="964"/>
      <c r="Z20" s="999">
        <f>RATE(3,,-S20,X20)</f>
        <v>0.29437143271791616</v>
      </c>
      <c r="AC20" s="97"/>
      <c r="AD20" s="723"/>
    </row>
    <row r="21" spans="1:33" s="717" customFormat="1" ht="12" customHeight="1" x14ac:dyDescent="0.25">
      <c r="A21" s="2"/>
      <c r="B21" s="2"/>
      <c r="C21" s="2"/>
      <c r="D21" s="2"/>
      <c r="E21" s="910" t="s">
        <v>1013</v>
      </c>
      <c r="F21" s="904"/>
      <c r="G21" s="904"/>
      <c r="H21" s="904"/>
      <c r="I21" s="904"/>
      <c r="J21" s="904"/>
      <c r="K21" s="904"/>
      <c r="L21" s="904"/>
      <c r="M21" s="904"/>
      <c r="N21" s="904"/>
      <c r="O21" s="904"/>
      <c r="P21" s="904"/>
      <c r="Q21" s="904"/>
      <c r="R21" s="904"/>
      <c r="S21" s="1007">
        <f>S20/S17</f>
        <v>0.68264569447662671</v>
      </c>
      <c r="T21" s="1008">
        <f>T20/T17</f>
        <v>0.70845281773685409</v>
      </c>
      <c r="U21" s="1009">
        <f>U20/U17</f>
        <v>0.56825384616557595</v>
      </c>
      <c r="V21" s="1007">
        <f t="shared" ref="V21:X21" si="4">V20/V17</f>
        <v>0.63152260720079467</v>
      </c>
      <c r="W21" s="1007">
        <f t="shared" si="4"/>
        <v>0.62848812148406463</v>
      </c>
      <c r="X21" s="1007">
        <f t="shared" si="4"/>
        <v>0.66532736101706924</v>
      </c>
      <c r="Y21" s="1007"/>
      <c r="Z21" s="999"/>
      <c r="AC21" s="97"/>
      <c r="AD21" s="723"/>
    </row>
    <row r="22" spans="1:33" s="717" customFormat="1" ht="12" customHeight="1" x14ac:dyDescent="0.25">
      <c r="A22" s="2"/>
      <c r="B22" s="2"/>
      <c r="C22" s="2" t="s">
        <v>805</v>
      </c>
      <c r="D22" s="2"/>
      <c r="E22" s="910" t="s">
        <v>1014</v>
      </c>
      <c r="F22" s="904"/>
      <c r="G22" s="904"/>
      <c r="H22" s="904"/>
      <c r="I22" s="911"/>
      <c r="J22" s="911"/>
      <c r="K22" s="912"/>
      <c r="L22" s="911"/>
      <c r="M22" s="911"/>
      <c r="N22" s="913"/>
      <c r="O22" s="914"/>
      <c r="P22" s="914"/>
      <c r="Q22" s="914"/>
      <c r="R22" s="914"/>
      <c r="S22" s="1010">
        <f>+S21</f>
        <v>0.68264569447662671</v>
      </c>
      <c r="T22" s="1011">
        <f>+T21</f>
        <v>0.70845281773685409</v>
      </c>
      <c r="U22" s="1012">
        <f>AVERAGE(_xll.BDP("RAMP EQUITY","BEST GROSS MARGIN","BEST_FPERIOD_OVERRIDE=19Q3")%,_xll.BDP("RAMP EQUITY","BEST GROSS MARGIN","BEST_FPERIOD_OVERRIDE=19Q4")%)</f>
        <v>0.55149999999999999</v>
      </c>
      <c r="V22" s="1010">
        <f>_xll.BDP("RAMP EQUITY","BEST GROSS MARGIN","BEST_FPERIOD_OVERRIDE=19Y")%</f>
        <v>0.59667000000000003</v>
      </c>
      <c r="W22" s="1010">
        <f>_xll.BDP("RAMP EQUITY","BEST GROSS MARGIN","BEST_FPERIOD_OVERRIDE=20Y")%</f>
        <v>0.67249999999999999</v>
      </c>
      <c r="X22" s="1010">
        <f>_xll.BDP("RAMP EQUITY","BEST GROSS MARGIN","BEST_FPERIOD_OVERRIDE=21Y")%</f>
        <v>0.74</v>
      </c>
      <c r="Y22" s="1010"/>
      <c r="Z22" s="999"/>
      <c r="AC22" s="97"/>
      <c r="AD22" s="723"/>
    </row>
    <row r="23" spans="1:33" s="717" customFormat="1" x14ac:dyDescent="0.25">
      <c r="A23" s="2"/>
      <c r="B23" s="2"/>
      <c r="C23" s="2"/>
      <c r="D23" s="2"/>
      <c r="E23" s="915" t="s">
        <v>1019</v>
      </c>
      <c r="F23" s="916"/>
      <c r="G23" s="916"/>
      <c r="H23" s="916">
        <v>1041.278</v>
      </c>
      <c r="I23" s="916">
        <v>1330.8609999999999</v>
      </c>
      <c r="J23" s="916">
        <v>1106.402</v>
      </c>
      <c r="K23" s="916">
        <v>1114.8710000000001</v>
      </c>
      <c r="L23" s="916">
        <f>Income!AW26+Income!AY26+Income!AZ26+Income!BA26</f>
        <v>-865.31999999999994</v>
      </c>
      <c r="M23" s="916">
        <f>Income!BB26+Income!BD26+Income!BE26+Income!BF26</f>
        <v>-842.02700000000004</v>
      </c>
      <c r="N23" s="916">
        <f>Income!BG26+Income!BI26+Income!BJ26+Income!BK26</f>
        <v>-833.44600000000003</v>
      </c>
      <c r="O23" s="917"/>
      <c r="P23" s="918"/>
      <c r="Q23" s="918"/>
      <c r="R23" s="919"/>
      <c r="S23" s="1000"/>
      <c r="T23" s="1013">
        <f>T21</f>
        <v>0.70845281773685409</v>
      </c>
      <c r="U23" s="1014">
        <v>0.56999999999999995</v>
      </c>
      <c r="V23" s="1015">
        <v>0.63</v>
      </c>
      <c r="W23" s="1003"/>
      <c r="X23" s="1003"/>
      <c r="Y23" s="1052" t="s">
        <v>1026</v>
      </c>
      <c r="Z23" s="1004"/>
      <c r="AC23" s="95"/>
      <c r="AD23" s="723"/>
    </row>
    <row r="24" spans="1:33" s="717" customFormat="1" x14ac:dyDescent="0.25">
      <c r="A24" s="2"/>
      <c r="B24" s="2"/>
      <c r="C24" s="2"/>
      <c r="D24" s="2"/>
      <c r="E24" s="1066" t="s">
        <v>1017</v>
      </c>
      <c r="F24" s="904"/>
      <c r="G24" s="904"/>
      <c r="H24" s="904">
        <v>397.23299999999995</v>
      </c>
      <c r="I24" s="904">
        <v>379.28699999999992</v>
      </c>
      <c r="J24" s="904">
        <f>Income!AN132</f>
        <v>330.8</v>
      </c>
      <c r="K24" s="904">
        <f>Income!AS132</f>
        <v>265.43300000000011</v>
      </c>
      <c r="L24" s="904">
        <f>Income!AX132</f>
        <v>255.8029999999998</v>
      </c>
      <c r="M24" s="904">
        <f>Income!BC132</f>
        <v>250.666</v>
      </c>
      <c r="N24" s="904">
        <f>Income!BH132</f>
        <v>220.9369999999999</v>
      </c>
      <c r="O24" s="904">
        <f>Income!BM132</f>
        <v>146.684</v>
      </c>
      <c r="P24" s="904">
        <f>Income!BR132</f>
        <v>101.63200000000001</v>
      </c>
      <c r="Q24" s="904">
        <f>Income!BW132</f>
        <v>112.18700000000004</v>
      </c>
      <c r="R24" s="904">
        <f>Income!CB132</f>
        <v>115.39299999999999</v>
      </c>
      <c r="S24" s="964">
        <f>Income!CG123</f>
        <v>-36.253000000000014</v>
      </c>
      <c r="T24" s="1005">
        <f>SUM(Income!CH123:CI123)</f>
        <v>-20.206</v>
      </c>
      <c r="U24" s="1006">
        <f>SUM(Income!CJ123:CK123)</f>
        <v>-37.273131999999976</v>
      </c>
      <c r="V24" s="964">
        <f>Income!CL123</f>
        <v>-57.479131999999986</v>
      </c>
      <c r="W24" s="964">
        <f>Income!CQ123</f>
        <v>-32.668169919999983</v>
      </c>
      <c r="X24" s="964">
        <f>Income!CV123</f>
        <v>20.432296306300049</v>
      </c>
      <c r="Y24" s="964"/>
      <c r="Z24" s="995" t="s">
        <v>490</v>
      </c>
      <c r="AC24" s="95"/>
      <c r="AD24" s="723"/>
    </row>
    <row r="25" spans="1:33" s="717" customFormat="1" x14ac:dyDescent="0.25">
      <c r="A25" s="2"/>
      <c r="B25" s="2"/>
      <c r="C25" s="2"/>
      <c r="D25" s="2"/>
      <c r="E25" s="910" t="s">
        <v>1018</v>
      </c>
      <c r="F25" s="904"/>
      <c r="G25" s="904"/>
      <c r="H25" s="904"/>
      <c r="I25" s="911"/>
      <c r="J25" s="911"/>
      <c r="K25" s="912"/>
      <c r="L25" s="911"/>
      <c r="M25" s="911"/>
      <c r="N25" s="913"/>
      <c r="O25" s="914"/>
      <c r="P25" s="914"/>
      <c r="Q25" s="914"/>
      <c r="R25" s="914"/>
      <c r="S25" s="996">
        <f>S24</f>
        <v>-36.253000000000014</v>
      </c>
      <c r="T25" s="997">
        <f>T24</f>
        <v>-20.206</v>
      </c>
      <c r="U25" s="998">
        <f>_xll.BDP("RAMP EQUITY","BEST EBIT","BEST_FPERIOD_OVERRIDE=19Q3")+_xll.BDP("RAMP EQUITY","BEST EBIT","BEST_FPERIOD_OVERRIDE=19Q4")</f>
        <v>-670.19999999999993</v>
      </c>
      <c r="V25" s="996">
        <f>_xll.BDP("RAMP EQUITY","BEST EBIT","BEST_FPERIOD_OVERRIDE=19Y")</f>
        <v>54.332999999999998</v>
      </c>
      <c r="W25" s="996">
        <f>_xll.BDP("RAMP EQUITY","BEST EBIT","BEST_FPERIOD_OVERRIDE=20Y")</f>
        <v>-21.150000000000002</v>
      </c>
      <c r="X25" s="996">
        <f>_xll.BDP("RAMP EQUITY","BEST EBIT","BEST_FPERIOD_OVERRIDE=21Y")</f>
        <v>-17.13</v>
      </c>
      <c r="Y25" s="996"/>
      <c r="Z25" s="999" t="s">
        <v>490</v>
      </c>
      <c r="AC25" s="95"/>
      <c r="AD25" s="723"/>
    </row>
    <row r="26" spans="1:33" s="717" customFormat="1" x14ac:dyDescent="0.25">
      <c r="A26" s="2"/>
      <c r="B26" s="2"/>
      <c r="C26" s="2"/>
      <c r="D26" s="2"/>
      <c r="E26" s="915" t="s">
        <v>1020</v>
      </c>
      <c r="F26" s="916"/>
      <c r="G26" s="916"/>
      <c r="H26" s="916"/>
      <c r="I26" s="920"/>
      <c r="J26" s="920"/>
      <c r="K26" s="921"/>
      <c r="L26" s="920"/>
      <c r="M26" s="920"/>
      <c r="N26" s="922"/>
      <c r="O26" s="923"/>
      <c r="P26" s="923"/>
      <c r="Q26" s="923"/>
      <c r="R26" s="923"/>
      <c r="S26" s="1016"/>
      <c r="T26" s="1017">
        <f>T25</f>
        <v>-20.206</v>
      </c>
      <c r="U26" s="1002">
        <f>U19*-25%</f>
        <v>-38.892027777777777</v>
      </c>
      <c r="V26" s="1000">
        <f>V19*-21%</f>
        <v>-59.43</v>
      </c>
      <c r="W26" s="1016"/>
      <c r="X26" s="1018" t="s">
        <v>1021</v>
      </c>
      <c r="Y26" s="1052" t="s">
        <v>1027</v>
      </c>
      <c r="Z26" s="999" t="s">
        <v>490</v>
      </c>
      <c r="AC26" s="95"/>
      <c r="AD26" s="723"/>
    </row>
    <row r="27" spans="1:33" ht="12" customHeight="1" x14ac:dyDescent="0.25">
      <c r="E27" s="1066" t="s">
        <v>161</v>
      </c>
      <c r="F27" s="904"/>
      <c r="G27" s="904"/>
      <c r="H27" s="904">
        <v>397.23299999999995</v>
      </c>
      <c r="I27" s="904">
        <v>379.28699999999992</v>
      </c>
      <c r="J27" s="904">
        <f>Income!AN134</f>
        <v>341.14100000000002</v>
      </c>
      <c r="K27" s="904">
        <f>Income!AS134</f>
        <v>276.22200000000009</v>
      </c>
      <c r="L27" s="904">
        <f>Income!AX134</f>
        <v>268.89999999999981</v>
      </c>
      <c r="M27" s="904">
        <f>Income!BC134</f>
        <v>259.63600000000002</v>
      </c>
      <c r="N27" s="904">
        <f>Income!BH134</f>
        <v>232.93899999999991</v>
      </c>
      <c r="O27" s="904">
        <f>Income!BM134</f>
        <v>159.88999999999999</v>
      </c>
      <c r="P27" s="904">
        <f>Income!BR134</f>
        <v>129.94800000000001</v>
      </c>
      <c r="Q27" s="904">
        <f>Income!BW134</f>
        <v>143.65000000000003</v>
      </c>
      <c r="R27" s="904">
        <f>Income!CB134</f>
        <v>164.53799999999998</v>
      </c>
      <c r="S27" s="964">
        <f>Income!CG134</f>
        <v>-21.515000000000008</v>
      </c>
      <c r="T27" s="1005">
        <f>SUM(Income!CH134:CI134)</f>
        <v>-13.184000000000005</v>
      </c>
      <c r="U27" s="1006">
        <f>SUM(Income!CJ134:CK134)</f>
        <v>-30.433131999999972</v>
      </c>
      <c r="V27" s="964">
        <f>Income!CL134</f>
        <v>-43.61713199999997</v>
      </c>
      <c r="W27" s="964">
        <f>Income!CQ134</f>
        <v>-18.818169919999974</v>
      </c>
      <c r="X27" s="964">
        <f>Income!CV134</f>
        <v>34.032296306300047</v>
      </c>
      <c r="Y27" s="964"/>
      <c r="Z27" s="995" t="s">
        <v>490</v>
      </c>
      <c r="AC27" s="97"/>
      <c r="AD27" s="96"/>
      <c r="AG27" s="717"/>
    </row>
    <row r="28" spans="1:33" ht="12" customHeight="1" x14ac:dyDescent="0.25">
      <c r="C28" s="2" t="s">
        <v>805</v>
      </c>
      <c r="E28" s="910" t="s">
        <v>708</v>
      </c>
      <c r="F28" s="904"/>
      <c r="G28" s="904"/>
      <c r="H28" s="904"/>
      <c r="I28" s="911"/>
      <c r="J28" s="911"/>
      <c r="K28" s="912"/>
      <c r="L28" s="911"/>
      <c r="M28" s="911"/>
      <c r="N28" s="913"/>
      <c r="O28" s="914"/>
      <c r="P28" s="914"/>
      <c r="Q28" s="914"/>
      <c r="R28" s="914"/>
      <c r="S28" s="996">
        <f>+S27</f>
        <v>-21.515000000000008</v>
      </c>
      <c r="T28" s="997">
        <f>T27</f>
        <v>-13.184000000000005</v>
      </c>
      <c r="U28" s="998">
        <f>_xll.BDP("RAMP EQUITY","BEST EBITDA","BEST_FPERIOD_OVERRIDE=19Q3")+_xll.BDP("RAMP EQUITY","BEST EBITDA","BEST_FPERIOD_OVERRIDE=19Q4")</f>
        <v>-41.18</v>
      </c>
      <c r="V28" s="996">
        <f>_xll.BDP("RAMP EQUITY","BEST EBITDA","BEST_FPERIOD_OVERRIDE=19Y")</f>
        <v>-54.767000000000003</v>
      </c>
      <c r="W28" s="996">
        <f>_xll.BDP("RAMP EQUITY","BEST EBITDA","BEST_FPERIOD_OVERRIDE=20Y")</f>
        <v>-5.24</v>
      </c>
      <c r="X28" s="996">
        <f>_xll.BDP("RAMP EQUITY","BEST EBITDA","BEST_FPERIOD_OVERRIDE=21Y")</f>
        <v>40.325000000000003</v>
      </c>
      <c r="Y28" s="996"/>
      <c r="Z28" s="999" t="s">
        <v>490</v>
      </c>
      <c r="AC28" s="97"/>
      <c r="AD28" s="96"/>
      <c r="AG28" s="717"/>
    </row>
    <row r="29" spans="1:33" ht="12" hidden="1" customHeight="1" x14ac:dyDescent="0.25">
      <c r="E29" s="1076" t="s">
        <v>407</v>
      </c>
      <c r="F29" s="904"/>
      <c r="G29" s="904"/>
      <c r="H29" s="904">
        <v>270.452</v>
      </c>
      <c r="I29" s="904">
        <v>372.38299999999998</v>
      </c>
      <c r="J29" s="904">
        <v>284.26300000000009</v>
      </c>
      <c r="K29" s="904">
        <v>272.90500000000003</v>
      </c>
      <c r="L29" s="904">
        <f>Income!AW134+Income!AY134+Income!AZ134+Income!BA134</f>
        <v>265.57799999999997</v>
      </c>
      <c r="M29" s="904">
        <f>Income!BB134+Income!BD134+Income!BE134+Income!BF134</f>
        <v>249.46800000000002</v>
      </c>
      <c r="N29" s="904">
        <f>Income!BG134+Income!BI134+Income!BJ134+Income!BK134</f>
        <v>219.92499999999995</v>
      </c>
      <c r="O29" s="924">
        <f>Income!BL134+Income!BN134+Income!BO134+Income!BP134</f>
        <v>152.62700000000001</v>
      </c>
      <c r="P29" s="925" t="s">
        <v>406</v>
      </c>
      <c r="Q29" s="925" t="s">
        <v>406</v>
      </c>
      <c r="R29" s="925" t="s">
        <v>406</v>
      </c>
      <c r="S29" s="964" t="s">
        <v>406</v>
      </c>
      <c r="T29" s="1005"/>
      <c r="U29" s="1006"/>
      <c r="V29" s="964" t="s">
        <v>406</v>
      </c>
      <c r="W29" s="964"/>
      <c r="X29" s="964"/>
      <c r="Y29" s="964"/>
      <c r="Z29" s="1077" t="s">
        <v>406</v>
      </c>
      <c r="AC29" s="97"/>
      <c r="AD29" s="96"/>
      <c r="AG29" s="715"/>
    </row>
    <row r="30" spans="1:33" ht="13.5" x14ac:dyDescent="0.25">
      <c r="E30" s="926" t="s">
        <v>542</v>
      </c>
      <c r="F30" s="927"/>
      <c r="G30" s="927"/>
      <c r="H30" s="927"/>
      <c r="I30" s="927"/>
      <c r="J30" s="927"/>
      <c r="K30" s="927"/>
      <c r="L30" s="927"/>
      <c r="M30" s="927"/>
      <c r="N30" s="927">
        <f>Income!BH163</f>
        <v>0.86070323249026959</v>
      </c>
      <c r="O30" s="927">
        <f>Income!BM163</f>
        <v>0.47900044182238732</v>
      </c>
      <c r="P30" s="927">
        <f>Income!BR163</f>
        <v>0.48736209137004105</v>
      </c>
      <c r="Q30" s="927">
        <f>Income!BW163</f>
        <v>0.59204662541009023</v>
      </c>
      <c r="R30" s="927">
        <f>Income!CB163</f>
        <v>0.71126167448879563</v>
      </c>
      <c r="S30" s="1019">
        <f>Income!CG163</f>
        <v>-0.2936329872862562</v>
      </c>
      <c r="T30" s="1020">
        <f>SUM(Income!CH163:CI163)</f>
        <v>-0.19745290239232016</v>
      </c>
      <c r="U30" s="1021">
        <f>SUM(Income!CJ163:CK163)</f>
        <v>-0.22612713778949409</v>
      </c>
      <c r="V30" s="1019">
        <f>Income!CL163</f>
        <v>-0.42109348648809136</v>
      </c>
      <c r="W30" s="1019">
        <f>Income!CQ163</f>
        <v>-0.19305036371545314</v>
      </c>
      <c r="X30" s="1019">
        <f>Income!CV163</f>
        <v>0.40629473083259154</v>
      </c>
      <c r="Y30" s="1019"/>
      <c r="Z30" s="995" t="s">
        <v>490</v>
      </c>
      <c r="AC30" s="97"/>
      <c r="AG30" s="715"/>
    </row>
    <row r="31" spans="1:33" ht="13.5" x14ac:dyDescent="0.25">
      <c r="C31" s="2" t="s">
        <v>805</v>
      </c>
      <c r="E31" s="972" t="s">
        <v>157</v>
      </c>
      <c r="F31" s="928"/>
      <c r="G31" s="928"/>
      <c r="H31" s="928"/>
      <c r="I31" s="973"/>
      <c r="J31" s="973"/>
      <c r="K31" s="973"/>
      <c r="L31" s="973"/>
      <c r="M31" s="973"/>
      <c r="N31" s="974"/>
      <c r="O31" s="974"/>
      <c r="P31" s="974"/>
      <c r="Q31" s="974"/>
      <c r="R31" s="974"/>
      <c r="S31" s="1022">
        <f>+S30</f>
        <v>-0.2936329872862562</v>
      </c>
      <c r="T31" s="1023">
        <f>+T30</f>
        <v>-0.19745290239232016</v>
      </c>
      <c r="U31" s="1024">
        <f>_xll.BDP("RAMP EQUITY","BEST EPS","BEST_FPERIOD_OVERRIDE=19Q3")+_xll.BDP("RAMP EQUITY","BEST EPS","BEST_FPERIOD_OVERRIDE=19Q4")</f>
        <v>-0.25700000000000001</v>
      </c>
      <c r="V31" s="1022">
        <f>_xll.BDP("RAMP EQUITY","BEST EPS","BEST_FPERIOD_OVERRIDE=19Y")</f>
        <v>-0.17</v>
      </c>
      <c r="W31" s="1022">
        <f>_xll.BDP("RAMP EQUITY","BEST EPS","BEST_FPERIOD_OVERRIDE=20Y")</f>
        <v>-0.127</v>
      </c>
      <c r="X31" s="1022">
        <f>_xll.BDP("RAMP EQUITY","BEST EPS","BEST_FPERIOD_OVERRIDE=21Y")</f>
        <v>0.47300000000000003</v>
      </c>
      <c r="Y31" s="1022"/>
      <c r="Z31" s="1025" t="s">
        <v>490</v>
      </c>
      <c r="AC31" s="97"/>
      <c r="AG31" s="715"/>
    </row>
    <row r="32" spans="1:33" ht="13.5" hidden="1" x14ac:dyDescent="0.25">
      <c r="E32" s="1078" t="s">
        <v>24</v>
      </c>
      <c r="F32" s="929"/>
      <c r="G32" s="929"/>
      <c r="H32" s="929">
        <v>0.84214285714285675</v>
      </c>
      <c r="I32" s="929">
        <v>-9.8327919821039306E-2</v>
      </c>
      <c r="J32" s="929">
        <f>Income!AN95</f>
        <v>0.48824544582933865</v>
      </c>
      <c r="K32" s="929">
        <f>Income!AS95</f>
        <v>0.55878331765443734</v>
      </c>
      <c r="L32" s="929">
        <f>Income!AX95</f>
        <v>-0.28467160017094034</v>
      </c>
      <c r="M32" s="929">
        <f>Income!BC95</f>
        <v>0.96104833042061344</v>
      </c>
      <c r="N32" s="929">
        <f>Income!BH95</f>
        <v>0.75306467268217314</v>
      </c>
      <c r="O32" s="929">
        <f>Income!BM95</f>
        <v>0.11520027219875741</v>
      </c>
      <c r="P32" s="929">
        <f>Income!BR95</f>
        <v>-0.1430637243776384</v>
      </c>
      <c r="Q32" s="929">
        <f>Income!BW95</f>
        <v>8.4742441386373213E-2</v>
      </c>
      <c r="R32" s="929">
        <f>Income!CB95</f>
        <v>5.1447589646610781E-2</v>
      </c>
      <c r="S32" s="1026">
        <f>Income!CG95</f>
        <v>0.29762583818179483</v>
      </c>
      <c r="T32" s="984"/>
      <c r="U32" s="985"/>
      <c r="V32" s="1026">
        <f>Income!CL95</f>
        <v>15.088756142983547</v>
      </c>
      <c r="W32" s="1026">
        <f>Income!CQ95</f>
        <v>-1.271992848483873</v>
      </c>
      <c r="X32" s="1026">
        <f>Income!CV95</f>
        <v>-0.71814097234036256</v>
      </c>
      <c r="Y32" s="1026"/>
      <c r="Z32" s="999">
        <f>IF(Q32&lt;0,"nm ",((X32/Q32)^0.2)-1)</f>
        <v>-2.5332809742202382</v>
      </c>
      <c r="AC32" s="97"/>
      <c r="AG32" s="715"/>
    </row>
    <row r="33" spans="1:68" ht="13.5" hidden="1" customHeight="1" x14ac:dyDescent="0.25">
      <c r="E33" s="1079" t="s">
        <v>22</v>
      </c>
      <c r="F33" s="929"/>
      <c r="G33" s="929"/>
      <c r="H33" s="929">
        <v>1.7028214285714276</v>
      </c>
      <c r="I33" s="929">
        <v>1.7601455960972139</v>
      </c>
      <c r="J33" s="929">
        <f>'Cash Flow'!AN77</f>
        <v>2.1660083093640146</v>
      </c>
      <c r="K33" s="929">
        <f>'Cash Flow'!AS77</f>
        <v>1.7446848541862665</v>
      </c>
      <c r="L33" s="929">
        <f>'Cash Flow'!AX77</f>
        <v>1.4445964600518326</v>
      </c>
      <c r="M33" s="929">
        <f>'Cash Flow'!BC77</f>
        <v>1.6296015274676752</v>
      </c>
      <c r="N33" s="929">
        <f>'Cash Flow'!BH77</f>
        <v>1.0138757528914619</v>
      </c>
      <c r="O33" s="929">
        <f>'Cash Flow'!BM77</f>
        <v>0.78305562734943157</v>
      </c>
      <c r="P33" s="929">
        <f>'Cash Flow'!BR77</f>
        <v>0.42537821556179523</v>
      </c>
      <c r="Q33" s="929">
        <f>'Cash Flow'!BW77</f>
        <v>0.83392226148409931</v>
      </c>
      <c r="R33" s="929">
        <f>'Cash Flow'!CB77</f>
        <v>1.0910696226905408</v>
      </c>
      <c r="S33" s="1026">
        <f>'Cash Flow'!CG77</f>
        <v>-0.44861898061882871</v>
      </c>
      <c r="T33" s="984"/>
      <c r="U33" s="985"/>
      <c r="V33" s="1026">
        <f>'Cash Flow'!CL77</f>
        <v>-0.61400708756460465</v>
      </c>
      <c r="W33" s="1026">
        <f>'Cash Flow'!CQ77</f>
        <v>-0.46199598989170121</v>
      </c>
      <c r="X33" s="1026">
        <f>'Cash Flow'!CV77</f>
        <v>0.19476883956829177</v>
      </c>
      <c r="Y33" s="1026"/>
      <c r="Z33" s="999">
        <f>IF(Q33&lt;0,"nm ",((X33/Q33)^0.2)-1)</f>
        <v>-0.25238366507493559</v>
      </c>
      <c r="AC33" s="97"/>
      <c r="AG33" s="715"/>
    </row>
    <row r="34" spans="1:68" ht="3.95" customHeight="1" x14ac:dyDescent="0.25">
      <c r="E34" s="1079"/>
      <c r="F34" s="930"/>
      <c r="G34" s="930"/>
      <c r="H34" s="930"/>
      <c r="I34" s="930"/>
      <c r="J34" s="930"/>
      <c r="K34" s="930"/>
      <c r="L34" s="930"/>
      <c r="M34" s="930"/>
      <c r="N34" s="930"/>
      <c r="O34" s="930"/>
      <c r="P34" s="930"/>
      <c r="Q34" s="930"/>
      <c r="R34" s="930"/>
      <c r="S34" s="1027"/>
      <c r="T34" s="1028"/>
      <c r="U34" s="1029"/>
      <c r="V34" s="1027"/>
      <c r="W34" s="1027"/>
      <c r="X34" s="1027"/>
      <c r="Y34" s="1027"/>
      <c r="Z34" s="1069"/>
      <c r="AG34" s="715"/>
    </row>
    <row r="35" spans="1:68" ht="12" customHeight="1" x14ac:dyDescent="0.25">
      <c r="E35" s="1064" t="s">
        <v>28</v>
      </c>
      <c r="F35" s="902"/>
      <c r="G35" s="902"/>
      <c r="H35" s="902" t="s">
        <v>216</v>
      </c>
      <c r="I35" s="902" t="str">
        <f t="shared" ref="I35:S35" si="5">I15</f>
        <v>F2008A</v>
      </c>
      <c r="J35" s="902" t="str">
        <f t="shared" si="5"/>
        <v>F2009A</v>
      </c>
      <c r="K35" s="902" t="str">
        <f t="shared" si="5"/>
        <v>F2010A</v>
      </c>
      <c r="L35" s="902" t="str">
        <f t="shared" si="5"/>
        <v>F2011A</v>
      </c>
      <c r="M35" s="902" t="str">
        <f t="shared" si="5"/>
        <v>F2012A</v>
      </c>
      <c r="N35" s="902" t="str">
        <f t="shared" si="5"/>
        <v>F2013A</v>
      </c>
      <c r="O35" s="902" t="str">
        <f t="shared" si="5"/>
        <v>F2014A</v>
      </c>
      <c r="P35" s="902" t="str">
        <f t="shared" si="5"/>
        <v>F2015A</v>
      </c>
      <c r="Q35" s="902" t="str">
        <f t="shared" si="5"/>
        <v>F2016A</v>
      </c>
      <c r="R35" s="902" t="str">
        <f t="shared" si="5"/>
        <v>F2017A</v>
      </c>
      <c r="S35" s="957" t="str">
        <f t="shared" si="5"/>
        <v>F2018A</v>
      </c>
      <c r="T35" s="977" t="s">
        <v>1022</v>
      </c>
      <c r="U35" s="978" t="s">
        <v>1023</v>
      </c>
      <c r="V35" s="957" t="str">
        <f>V15</f>
        <v>F2019E</v>
      </c>
      <c r="W35" s="957" t="str">
        <f>W15</f>
        <v>F2020E</v>
      </c>
      <c r="X35" s="957" t="str">
        <f>X15</f>
        <v>F2021E</v>
      </c>
      <c r="Y35" s="957"/>
      <c r="Z35" s="1065"/>
      <c r="AC35" s="6"/>
      <c r="AG35" s="717"/>
    </row>
    <row r="36" spans="1:68" s="94" customFormat="1" ht="3.95" customHeight="1" x14ac:dyDescent="0.25">
      <c r="A36" s="99"/>
      <c r="B36" s="99"/>
      <c r="C36" s="99"/>
      <c r="D36" s="99"/>
      <c r="E36" s="910"/>
      <c r="F36" s="899"/>
      <c r="G36" s="899"/>
      <c r="H36" s="899"/>
      <c r="I36" s="899"/>
      <c r="J36" s="899"/>
      <c r="K36" s="899"/>
      <c r="L36" s="899"/>
      <c r="M36" s="899"/>
      <c r="N36" s="899"/>
      <c r="O36" s="899"/>
      <c r="P36" s="899"/>
      <c r="Q36" s="899"/>
      <c r="R36" s="899"/>
      <c r="S36" s="1030"/>
      <c r="T36" s="1031"/>
      <c r="U36" s="1032"/>
      <c r="V36" s="1030"/>
      <c r="W36" s="1030"/>
      <c r="X36" s="1030"/>
      <c r="Y36" s="1030"/>
      <c r="Z36" s="1080"/>
      <c r="AG36" s="722"/>
    </row>
    <row r="37" spans="1:68" s="94" customFormat="1" ht="12" customHeight="1" x14ac:dyDescent="0.25">
      <c r="A37" s="99"/>
      <c r="B37" s="99"/>
      <c r="C37" s="99"/>
      <c r="D37" s="99"/>
      <c r="E37" s="1081" t="s">
        <v>85</v>
      </c>
      <c r="F37" s="931"/>
      <c r="G37" s="931"/>
      <c r="H37" s="931"/>
      <c r="I37" s="931">
        <v>0.18322468096238465</v>
      </c>
      <c r="J37" s="931">
        <f>Income!AN40</f>
        <v>0.23650276920475208</v>
      </c>
      <c r="K37" s="931">
        <f>Income!AS40</f>
        <v>0.23649720032568111</v>
      </c>
      <c r="L37" s="931">
        <f>Income!AX40</f>
        <v>0.23397446832963098</v>
      </c>
      <c r="M37" s="931">
        <f>Income!BC40</f>
        <v>0.2362721824408468</v>
      </c>
      <c r="N37" s="931">
        <f>Income!BH40</f>
        <v>0.23425741727679486</v>
      </c>
      <c r="O37" s="931">
        <f>Income!BM40</f>
        <v>0.41316495125771124</v>
      </c>
      <c r="P37" s="931">
        <f>Income!BR40</f>
        <v>0.3986415889458586</v>
      </c>
      <c r="Q37" s="931">
        <f>Income!BW40</f>
        <v>0.42549241960832279</v>
      </c>
      <c r="R37" s="931">
        <f>Income!CB40</f>
        <v>0.45732793485472284</v>
      </c>
      <c r="S37" s="1033">
        <f>Income!CG40</f>
        <v>0.56203742827156622</v>
      </c>
      <c r="T37" s="1034">
        <f>T21</f>
        <v>0.70845281773685409</v>
      </c>
      <c r="U37" s="1035">
        <f>U21</f>
        <v>0.56825384616557595</v>
      </c>
      <c r="V37" s="1033">
        <f>Income!CL40</f>
        <v>0.56170871173745773</v>
      </c>
      <c r="W37" s="1033">
        <f>Income!CQ40</f>
        <v>0.58231757010780694</v>
      </c>
      <c r="X37" s="1033">
        <f>Income!CV40</f>
        <v>0.63020613227694477</v>
      </c>
      <c r="Y37" s="1033"/>
      <c r="Z37" s="999"/>
      <c r="AG37" s="717"/>
    </row>
    <row r="38" spans="1:68" s="722" customFormat="1" ht="12" customHeight="1" x14ac:dyDescent="0.25">
      <c r="A38" s="99"/>
      <c r="B38" s="99"/>
      <c r="C38" s="99"/>
      <c r="D38" s="99"/>
      <c r="E38" s="1081" t="s">
        <v>1028</v>
      </c>
      <c r="F38" s="931"/>
      <c r="G38" s="931"/>
      <c r="H38" s="931"/>
      <c r="I38" s="931">
        <v>0.27409665327572258</v>
      </c>
      <c r="J38" s="931">
        <f>Income!AN135</f>
        <v>-0.10057291707862361</v>
      </c>
      <c r="K38" s="931">
        <f>Income!AS135</f>
        <v>-0.19029961218381819</v>
      </c>
      <c r="L38" s="931">
        <f>Income!AX135</f>
        <v>-2.6507664125233633E-2</v>
      </c>
      <c r="M38" s="931">
        <f>Income!BC135</f>
        <v>-3.4451468947563367E-2</v>
      </c>
      <c r="N38" s="931">
        <f>Income!BH135</f>
        <v>-0.10282472384415148</v>
      </c>
      <c r="O38" s="931">
        <f>Income!BM135</f>
        <v>-0.31359712199331136</v>
      </c>
      <c r="P38" s="931">
        <f>Income!BR135</f>
        <v>-0.18726624554381124</v>
      </c>
      <c r="Q38" s="931">
        <f>Income!BW135</f>
        <v>0.1054421768707485</v>
      </c>
      <c r="R38" s="931">
        <f>Income!CB135</f>
        <v>0.145408980160111</v>
      </c>
      <c r="S38" s="1033">
        <f>+S24/S17</f>
        <v>-0.1647107464300481</v>
      </c>
      <c r="T38" s="1034">
        <f t="shared" ref="T38:X38" si="6">+T24/T17</f>
        <v>-0.15874861529033729</v>
      </c>
      <c r="U38" s="1035">
        <f t="shared" si="6"/>
        <v>-0.24083405241488748</v>
      </c>
      <c r="V38" s="1033">
        <f t="shared" si="6"/>
        <v>-0.20379067151345018</v>
      </c>
      <c r="W38" s="1033">
        <f t="shared" si="6"/>
        <v>-8.7692291724400032E-2</v>
      </c>
      <c r="X38" s="1033">
        <f t="shared" si="6"/>
        <v>4.172135768950961E-2</v>
      </c>
      <c r="Y38" s="1033"/>
      <c r="Z38" s="999"/>
    </row>
    <row r="39" spans="1:68" s="94" customFormat="1" ht="12" customHeight="1" x14ac:dyDescent="0.25">
      <c r="A39" s="99"/>
      <c r="B39" s="99"/>
      <c r="C39" s="99"/>
      <c r="D39" s="99"/>
      <c r="E39" s="1081" t="s">
        <v>161</v>
      </c>
      <c r="F39" s="931"/>
      <c r="G39" s="931"/>
      <c r="H39" s="931"/>
      <c r="I39" s="931">
        <v>0.27409665327572258</v>
      </c>
      <c r="J39" s="931">
        <f>Income!AN136</f>
        <v>0.26708772358372834</v>
      </c>
      <c r="K39" s="931">
        <f>Income!AS136</f>
        <v>0.25128566685012765</v>
      </c>
      <c r="L39" s="931">
        <f>Income!AX136</f>
        <v>0.24143572099404342</v>
      </c>
      <c r="M39" s="931">
        <f>Income!BC136</f>
        <v>0.22963956187025927</v>
      </c>
      <c r="N39" s="931">
        <f>Income!BH136</f>
        <v>0.2118861991396804</v>
      </c>
      <c r="O39" s="931">
        <f>Income!BM136</f>
        <v>0.19858337483683222</v>
      </c>
      <c r="P39" s="931">
        <f>Income!BR136</f>
        <v>0.16144393603764889</v>
      </c>
      <c r="Q39" s="931">
        <f>Income!BW136</f>
        <v>0.16898250534062362</v>
      </c>
      <c r="R39" s="931">
        <f>Income!CB136</f>
        <v>0.18692232189110339</v>
      </c>
      <c r="S39" s="1033">
        <f>Income!CG136</f>
        <v>-9.7750578143670441E-2</v>
      </c>
      <c r="T39" s="1034">
        <f>T27/T17</f>
        <v>-0.10358021102582439</v>
      </c>
      <c r="U39" s="1035">
        <f>U27/U17</f>
        <v>-0.19663854669463213</v>
      </c>
      <c r="V39" s="1033">
        <f>Income!CL136</f>
        <v>-0.1546433342064176</v>
      </c>
      <c r="W39" s="1033">
        <f>Income!CQ136</f>
        <v>-5.0514260528983071E-2</v>
      </c>
      <c r="X39" s="1033">
        <f>Income!CV136</f>
        <v>6.949163157704992E-2</v>
      </c>
      <c r="Y39" s="1033"/>
      <c r="Z39" s="999"/>
      <c r="AG39" s="722"/>
    </row>
    <row r="40" spans="1:68" s="94" customFormat="1" ht="12" hidden="1" customHeight="1" x14ac:dyDescent="0.25">
      <c r="A40" s="99"/>
      <c r="B40" s="99"/>
      <c r="C40" s="99"/>
      <c r="D40" s="99"/>
      <c r="E40" s="1081" t="s">
        <v>544</v>
      </c>
      <c r="F40" s="931"/>
      <c r="G40" s="931"/>
      <c r="H40" s="931"/>
      <c r="I40" s="931">
        <v>2.400037996852784E-2</v>
      </c>
      <c r="J40" s="931">
        <f>Income!AN82</f>
        <v>4.9225860606128963E-2</v>
      </c>
      <c r="K40" s="931">
        <f>Income!AS82</f>
        <v>3.8440742013306883E-2</v>
      </c>
      <c r="L40" s="931">
        <f>Income!AX82</f>
        <v>4.8966292447455532E-2</v>
      </c>
      <c r="M40" s="931">
        <f>Income!BC82</f>
        <v>5.321132401222689E-2</v>
      </c>
      <c r="N40" s="931">
        <f>Income!BH82</f>
        <v>5.3305608086166592E-2</v>
      </c>
      <c r="O40" s="931">
        <f>Income!BM82</f>
        <v>8.2185621863173811E-2</v>
      </c>
      <c r="P40" s="931">
        <f>Income!BR82</f>
        <v>-3.3752775151538496E-2</v>
      </c>
      <c r="Q40" s="931">
        <f>Income!BW82</f>
        <v>1.2131685190239173E-2</v>
      </c>
      <c r="R40" s="931">
        <f>Income!CB82</f>
        <v>1.4181230744063028E-2</v>
      </c>
      <c r="S40" s="1033">
        <f>Income!CG82</f>
        <v>-0.30631846288749265</v>
      </c>
      <c r="T40" s="1034"/>
      <c r="U40" s="1035"/>
      <c r="V40" s="1033">
        <f>Income!CL82</f>
        <v>-0.643417755991469</v>
      </c>
      <c r="W40" s="1033">
        <f>Income!CQ82</f>
        <v>-0.21296974790435216</v>
      </c>
      <c r="X40" s="1033">
        <f>Income!CV82</f>
        <v>-8.7760805723429119E-2</v>
      </c>
      <c r="Y40" s="1033"/>
      <c r="Z40" s="999"/>
      <c r="AG40" s="717"/>
    </row>
    <row r="41" spans="1:68" s="94" customFormat="1" ht="3.95" customHeight="1" x14ac:dyDescent="0.25">
      <c r="A41" s="99"/>
      <c r="B41" s="99"/>
      <c r="C41" s="99"/>
      <c r="D41" s="99"/>
      <c r="E41" s="1081"/>
      <c r="F41" s="931"/>
      <c r="G41" s="931"/>
      <c r="H41" s="931"/>
      <c r="I41" s="931"/>
      <c r="J41" s="931"/>
      <c r="K41" s="931"/>
      <c r="L41" s="931"/>
      <c r="M41" s="931"/>
      <c r="N41" s="931"/>
      <c r="O41" s="931"/>
      <c r="P41" s="931"/>
      <c r="Q41" s="931"/>
      <c r="R41" s="931"/>
      <c r="S41" s="1033"/>
      <c r="T41" s="1034"/>
      <c r="U41" s="1035"/>
      <c r="V41" s="1033"/>
      <c r="W41" s="1033"/>
      <c r="X41" s="1033"/>
      <c r="Y41" s="1033"/>
      <c r="Z41" s="999"/>
      <c r="AG41" s="717"/>
    </row>
    <row r="42" spans="1:68" s="94" customFormat="1" ht="12" customHeight="1" x14ac:dyDescent="0.25">
      <c r="A42" s="99"/>
      <c r="B42" s="99"/>
      <c r="C42" s="99"/>
      <c r="D42" s="99"/>
      <c r="E42" s="1064" t="s">
        <v>512</v>
      </c>
      <c r="F42" s="902"/>
      <c r="G42" s="902"/>
      <c r="H42" s="902">
        <v>0</v>
      </c>
      <c r="I42" s="902" t="str">
        <f t="shared" ref="I42:S42" si="7">I7</f>
        <v>F2008A</v>
      </c>
      <c r="J42" s="902" t="str">
        <f t="shared" si="7"/>
        <v>F2009A</v>
      </c>
      <c r="K42" s="902" t="str">
        <f t="shared" si="7"/>
        <v>F2010A</v>
      </c>
      <c r="L42" s="902" t="str">
        <f t="shared" si="7"/>
        <v>F2011A</v>
      </c>
      <c r="M42" s="902" t="str">
        <f t="shared" si="7"/>
        <v>F2012A</v>
      </c>
      <c r="N42" s="902" t="str">
        <f t="shared" si="7"/>
        <v>F2013A</v>
      </c>
      <c r="O42" s="902" t="str">
        <f t="shared" si="7"/>
        <v>F2014A</v>
      </c>
      <c r="P42" s="902" t="str">
        <f t="shared" si="7"/>
        <v>F2015A</v>
      </c>
      <c r="Q42" s="902" t="str">
        <f t="shared" si="7"/>
        <v>F2016A</v>
      </c>
      <c r="R42" s="902" t="str">
        <f t="shared" si="7"/>
        <v>F2017A</v>
      </c>
      <c r="S42" s="957" t="str">
        <f t="shared" si="7"/>
        <v>F2018A</v>
      </c>
      <c r="T42" s="977"/>
      <c r="U42" s="978"/>
      <c r="V42" s="957" t="str">
        <f>V7</f>
        <v>F2019E</v>
      </c>
      <c r="W42" s="957" t="str">
        <f>W7</f>
        <v>F2020E</v>
      </c>
      <c r="X42" s="957" t="str">
        <f>X7</f>
        <v>F2021E</v>
      </c>
      <c r="Y42" s="957"/>
      <c r="Z42" s="1065"/>
      <c r="AG42" s="717"/>
    </row>
    <row r="43" spans="1:68" s="94" customFormat="1" ht="3.95" customHeight="1" x14ac:dyDescent="0.25">
      <c r="A43" s="99"/>
      <c r="B43" s="99"/>
      <c r="C43" s="99"/>
      <c r="D43" s="99"/>
      <c r="E43" s="1081"/>
      <c r="F43" s="931"/>
      <c r="G43" s="931"/>
      <c r="H43" s="931"/>
      <c r="I43" s="931"/>
      <c r="J43" s="931"/>
      <c r="K43" s="931"/>
      <c r="L43" s="931"/>
      <c r="M43" s="931"/>
      <c r="N43" s="931"/>
      <c r="O43" s="931"/>
      <c r="P43" s="931"/>
      <c r="Q43" s="931"/>
      <c r="R43" s="931"/>
      <c r="S43" s="1033"/>
      <c r="T43" s="1034"/>
      <c r="U43" s="1035"/>
      <c r="V43" s="1033"/>
      <c r="W43" s="1033"/>
      <c r="X43" s="1033"/>
      <c r="Y43" s="1033"/>
      <c r="Z43" s="999"/>
      <c r="AG43" s="722"/>
    </row>
    <row r="44" spans="1:68" s="94" customFormat="1" ht="12" customHeight="1" x14ac:dyDescent="0.25">
      <c r="A44" s="99"/>
      <c r="B44" s="99"/>
      <c r="C44" s="99"/>
      <c r="D44" s="99"/>
      <c r="E44" s="1081" t="s">
        <v>29</v>
      </c>
      <c r="F44" s="931"/>
      <c r="G44" s="931"/>
      <c r="H44" s="931"/>
      <c r="I44" s="931"/>
      <c r="J44" s="931"/>
      <c r="K44" s="931">
        <f t="shared" ref="K44:S44" si="8">K17/J17-1</f>
        <v>-0.13938174000322556</v>
      </c>
      <c r="L44" s="931">
        <f t="shared" si="8"/>
        <v>1.3208276665135132E-2</v>
      </c>
      <c r="M44" s="931">
        <f t="shared" si="8"/>
        <v>1.5146971413795285E-2</v>
      </c>
      <c r="N44" s="931">
        <f t="shared" si="8"/>
        <v>-2.7652871334767459E-2</v>
      </c>
      <c r="O44" s="931">
        <f t="shared" si="8"/>
        <v>-0.26761594711099823</v>
      </c>
      <c r="P44" s="931">
        <f t="shared" si="8"/>
        <v>-3.0056399218525431E-4</v>
      </c>
      <c r="Q44" s="931">
        <f t="shared" si="8"/>
        <v>5.6126702206827694E-2</v>
      </c>
      <c r="R44" s="931">
        <f t="shared" si="8"/>
        <v>3.547867985432096E-2</v>
      </c>
      <c r="S44" s="1033">
        <f t="shared" si="8"/>
        <v>-0.7499556943043324</v>
      </c>
      <c r="T44" s="1034"/>
      <c r="U44" s="1035"/>
      <c r="V44" s="1033">
        <f>V17/S17-1</f>
        <v>0.28145654949318732</v>
      </c>
      <c r="W44" s="1033">
        <f>W17/V17-1</f>
        <v>0.32080129206087782</v>
      </c>
      <c r="X44" s="1033">
        <f>X17/W17-1</f>
        <v>0.31460524111760213</v>
      </c>
      <c r="Y44" s="1033"/>
      <c r="Z44" s="999"/>
      <c r="AG44" s="722"/>
    </row>
    <row r="45" spans="1:68" s="94" customFormat="1" ht="12" customHeight="1" x14ac:dyDescent="0.25">
      <c r="A45" s="99"/>
      <c r="B45" s="99"/>
      <c r="C45" s="99"/>
      <c r="D45" s="99"/>
      <c r="E45" s="1081" t="s">
        <v>161</v>
      </c>
      <c r="F45" s="931"/>
      <c r="G45" s="931"/>
      <c r="H45" s="931"/>
      <c r="I45" s="931"/>
      <c r="J45" s="931"/>
      <c r="K45" s="931">
        <f t="shared" ref="K45:S45" si="9">K27/J27-1</f>
        <v>-0.19029961218381819</v>
      </c>
      <c r="L45" s="931">
        <f t="shared" si="9"/>
        <v>-2.6507664125233643E-2</v>
      </c>
      <c r="M45" s="931">
        <f t="shared" si="9"/>
        <v>-3.4451468947563346E-2</v>
      </c>
      <c r="N45" s="931">
        <f t="shared" si="9"/>
        <v>-0.10282472384415153</v>
      </c>
      <c r="O45" s="931">
        <f t="shared" si="9"/>
        <v>-0.31359712199331136</v>
      </c>
      <c r="P45" s="931">
        <f t="shared" si="9"/>
        <v>-0.18726624554381122</v>
      </c>
      <c r="Q45" s="931">
        <f t="shared" si="9"/>
        <v>0.10544217687074853</v>
      </c>
      <c r="R45" s="931">
        <f t="shared" si="9"/>
        <v>0.14540898016011106</v>
      </c>
      <c r="S45" s="1033">
        <f t="shared" si="9"/>
        <v>-1.1307600675831724</v>
      </c>
      <c r="T45" s="1034"/>
      <c r="U45" s="1035"/>
      <c r="V45" s="1033">
        <f>V27/S27-1</f>
        <v>1.0272894259818708</v>
      </c>
      <c r="W45" s="1033">
        <f>W27/V27-1</f>
        <v>-0.56856012632834307</v>
      </c>
      <c r="X45" s="1033">
        <f>X27/W27-1</f>
        <v>-2.8084806573103842</v>
      </c>
      <c r="Y45" s="1033"/>
      <c r="Z45" s="999"/>
      <c r="AG45" s="717"/>
    </row>
    <row r="46" spans="1:68" s="94" customFormat="1" ht="12" hidden="1" customHeight="1" x14ac:dyDescent="0.25">
      <c r="A46" s="99"/>
      <c r="B46" s="99"/>
      <c r="C46" s="99"/>
      <c r="D46" s="99"/>
      <c r="E46" s="1081" t="s">
        <v>22</v>
      </c>
      <c r="F46" s="931"/>
      <c r="G46" s="931"/>
      <c r="H46" s="931"/>
      <c r="I46" s="931"/>
      <c r="J46" s="931"/>
      <c r="K46" s="931">
        <f t="shared" ref="K46:S46" si="10">K33/J33-1</f>
        <v>-0.19451608442880697</v>
      </c>
      <c r="L46" s="931">
        <f t="shared" si="10"/>
        <v>-0.17200148979019891</v>
      </c>
      <c r="M46" s="931">
        <f t="shared" si="10"/>
        <v>0.12806695332010198</v>
      </c>
      <c r="N46" s="931">
        <f t="shared" si="10"/>
        <v>-0.37783824094287788</v>
      </c>
      <c r="O46" s="931">
        <f t="shared" si="10"/>
        <v>-0.22766115560388611</v>
      </c>
      <c r="P46" s="931">
        <f t="shared" si="10"/>
        <v>-0.45677139566487779</v>
      </c>
      <c r="Q46" s="931">
        <f t="shared" si="10"/>
        <v>0.96042540726431347</v>
      </c>
      <c r="R46" s="931">
        <f t="shared" si="10"/>
        <v>0.30835891195518172</v>
      </c>
      <c r="S46" s="1033">
        <f t="shared" si="10"/>
        <v>-1.4111735596785744</v>
      </c>
      <c r="T46" s="1034"/>
      <c r="U46" s="1035"/>
      <c r="V46" s="1033">
        <f>V33/S33-1</f>
        <v>0.36866052059954812</v>
      </c>
      <c r="W46" s="1033">
        <f>W33/V33-1</f>
        <v>-0.24757221985146727</v>
      </c>
      <c r="X46" s="1033">
        <f>X33/W33-1</f>
        <v>-1.4215812341010763</v>
      </c>
      <c r="Y46" s="1033"/>
      <c r="Z46" s="999"/>
      <c r="AG46" s="722"/>
    </row>
    <row r="47" spans="1:68" s="94" customFormat="1" ht="3.95" customHeight="1" x14ac:dyDescent="0.25">
      <c r="A47" s="99"/>
      <c r="B47" s="99"/>
      <c r="C47" s="99"/>
      <c r="D47" s="99"/>
      <c r="E47" s="1081"/>
      <c r="F47" s="931"/>
      <c r="G47" s="931"/>
      <c r="H47" s="931"/>
      <c r="I47" s="931"/>
      <c r="J47" s="931"/>
      <c r="K47" s="931"/>
      <c r="L47" s="931"/>
      <c r="M47" s="931"/>
      <c r="N47" s="931"/>
      <c r="O47" s="931"/>
      <c r="P47" s="931"/>
      <c r="Q47" s="931"/>
      <c r="R47" s="931"/>
      <c r="S47" s="1033"/>
      <c r="T47" s="1034"/>
      <c r="U47" s="1035"/>
      <c r="V47" s="1033"/>
      <c r="W47" s="1033"/>
      <c r="X47" s="1033"/>
      <c r="Y47" s="1033"/>
      <c r="Z47" s="999"/>
      <c r="AG47" s="722"/>
    </row>
    <row r="48" spans="1:68" ht="12" customHeight="1" x14ac:dyDescent="0.25">
      <c r="E48" s="1064" t="s">
        <v>168</v>
      </c>
      <c r="F48" s="902"/>
      <c r="G48" s="902"/>
      <c r="H48" s="902" t="s">
        <v>216</v>
      </c>
      <c r="I48" s="902" t="s">
        <v>215</v>
      </c>
      <c r="J48" s="902" t="s">
        <v>214</v>
      </c>
      <c r="K48" s="902" t="s">
        <v>403</v>
      </c>
      <c r="L48" s="902" t="str">
        <f t="shared" ref="L48:R48" si="11">L15</f>
        <v>F2011A</v>
      </c>
      <c r="M48" s="902" t="str">
        <f t="shared" si="11"/>
        <v>F2012A</v>
      </c>
      <c r="N48" s="902" t="str">
        <f t="shared" si="11"/>
        <v>F2013A</v>
      </c>
      <c r="O48" s="902" t="str">
        <f t="shared" si="11"/>
        <v>F2014A</v>
      </c>
      <c r="P48" s="902" t="str">
        <f t="shared" si="11"/>
        <v>F2015A</v>
      </c>
      <c r="Q48" s="902" t="str">
        <f t="shared" si="11"/>
        <v>F2016A</v>
      </c>
      <c r="R48" s="902" t="str">
        <f t="shared" si="11"/>
        <v>F2017A</v>
      </c>
      <c r="S48" s="957"/>
      <c r="T48" s="977"/>
      <c r="U48" s="978"/>
      <c r="V48" s="957" t="str">
        <f>V15</f>
        <v>F2019E</v>
      </c>
      <c r="W48" s="957" t="str">
        <f>W15</f>
        <v>F2020E</v>
      </c>
      <c r="X48" s="957" t="str">
        <f>X15</f>
        <v>F2021E</v>
      </c>
      <c r="Y48" s="957"/>
      <c r="Z48" s="1065"/>
      <c r="AA48" s="8"/>
      <c r="AB48" s="8"/>
      <c r="AC48" s="6"/>
      <c r="AD48" s="5"/>
      <c r="AE48" s="3"/>
      <c r="AF48" s="5"/>
      <c r="AG48" s="716"/>
      <c r="AH48" s="5"/>
      <c r="AI48" s="5"/>
      <c r="AJ48" s="5"/>
      <c r="AK48" s="5"/>
      <c r="AL48" s="5"/>
      <c r="AT48" s="5"/>
      <c r="AU48" s="5"/>
      <c r="AV48" s="3"/>
      <c r="AW48" s="5"/>
      <c r="AX48" s="5"/>
      <c r="AY48" s="5"/>
      <c r="AZ48" s="5"/>
      <c r="BA48" s="3"/>
      <c r="BB48" s="5"/>
      <c r="BC48" s="5"/>
      <c r="BD48" s="5"/>
      <c r="BE48" s="5"/>
      <c r="BF48" s="3"/>
      <c r="BG48" s="5"/>
      <c r="BH48" s="5"/>
      <c r="BI48" s="5"/>
      <c r="BJ48" s="5"/>
      <c r="BK48" s="3"/>
      <c r="BL48" s="5"/>
      <c r="BM48" s="5"/>
      <c r="BN48" s="5"/>
      <c r="BO48" s="5"/>
      <c r="BP48" s="3"/>
    </row>
    <row r="49" spans="5:68" ht="3.95" customHeight="1" x14ac:dyDescent="0.25">
      <c r="E49" s="1066"/>
      <c r="F49" s="900"/>
      <c r="G49" s="900"/>
      <c r="H49" s="900"/>
      <c r="I49" s="900"/>
      <c r="J49" s="900"/>
      <c r="K49" s="900"/>
      <c r="L49" s="900"/>
      <c r="M49" s="900"/>
      <c r="N49" s="900"/>
      <c r="O49" s="900"/>
      <c r="P49" s="900"/>
      <c r="Q49" s="900"/>
      <c r="R49" s="900"/>
      <c r="S49" s="980"/>
      <c r="T49" s="981"/>
      <c r="U49" s="982"/>
      <c r="V49" s="980"/>
      <c r="W49" s="980"/>
      <c r="X49" s="980"/>
      <c r="Y49" s="980"/>
      <c r="Z49" s="1069"/>
      <c r="AA49" s="5"/>
      <c r="AB49" s="5"/>
      <c r="AC49" s="5"/>
      <c r="AD49" s="5"/>
      <c r="AE49" s="3"/>
      <c r="AF49" s="5"/>
      <c r="AG49" s="716"/>
      <c r="AH49" s="5"/>
      <c r="AI49" s="5"/>
      <c r="AJ49" s="5"/>
      <c r="AK49" s="5"/>
      <c r="AL49" s="5"/>
      <c r="AT49" s="5"/>
      <c r="AU49" s="5"/>
      <c r="AV49" s="3"/>
      <c r="AW49" s="5"/>
      <c r="AX49" s="5"/>
      <c r="AY49" s="5"/>
      <c r="AZ49" s="5"/>
      <c r="BA49" s="3"/>
      <c r="BB49" s="5"/>
      <c r="BC49" s="5"/>
      <c r="BD49" s="5"/>
      <c r="BE49" s="5"/>
      <c r="BF49" s="3"/>
      <c r="BG49" s="5"/>
      <c r="BH49" s="5"/>
      <c r="BI49" s="5"/>
      <c r="BJ49" s="5"/>
      <c r="BK49" s="3"/>
      <c r="BL49" s="5"/>
      <c r="BM49" s="5"/>
      <c r="BN49" s="5"/>
      <c r="BO49" s="5"/>
      <c r="BP49" s="3"/>
    </row>
    <row r="50" spans="5:68" ht="12" customHeight="1" x14ac:dyDescent="0.25">
      <c r="E50" s="1066" t="s">
        <v>27</v>
      </c>
      <c r="F50" s="932"/>
      <c r="G50" s="932"/>
      <c r="H50" s="932">
        <v>2.2986281835637494</v>
      </c>
      <c r="I50" s="932">
        <v>2.114710760376779</v>
      </c>
      <c r="J50" s="932">
        <v>2.1286428973467992</v>
      </c>
      <c r="K50" s="932" t="e">
        <f t="shared" ref="K50:R50" ca="1" si="12">K13/K17</f>
        <v>#NAME?</v>
      </c>
      <c r="L50" s="932" t="e">
        <f t="shared" ca="1" si="12"/>
        <v>#NAME?</v>
      </c>
      <c r="M50" s="932" t="e">
        <f t="shared" ca="1" si="12"/>
        <v>#NAME?</v>
      </c>
      <c r="N50" s="932" t="e">
        <f t="shared" ca="1" si="12"/>
        <v>#NAME?</v>
      </c>
      <c r="O50" s="932" t="e">
        <f t="shared" ca="1" si="12"/>
        <v>#NAME?</v>
      </c>
      <c r="P50" s="932" t="e">
        <f t="shared" ca="1" si="12"/>
        <v>#NAME?</v>
      </c>
      <c r="Q50" s="932">
        <f t="shared" si="12"/>
        <v>3.8816087687392371</v>
      </c>
      <c r="R50" s="932">
        <f t="shared" si="12"/>
        <v>3.8502639114204178</v>
      </c>
      <c r="S50" s="939"/>
      <c r="T50" s="1036"/>
      <c r="U50" s="1037"/>
      <c r="V50" s="939">
        <f ca="1">V13/V17</f>
        <v>7.5826747245499515</v>
      </c>
      <c r="W50" s="939">
        <f>W13/W17</f>
        <v>6.0143583664853981</v>
      </c>
      <c r="X50" s="939">
        <f>X13/X17</f>
        <v>4.5047476348863817</v>
      </c>
      <c r="Y50" s="939"/>
      <c r="Z50" s="1069"/>
      <c r="AA50" s="5"/>
      <c r="AB50" s="5"/>
      <c r="AC50" s="5"/>
      <c r="AD50" s="5"/>
      <c r="AE50" s="3"/>
      <c r="AF50" s="5"/>
      <c r="AG50" s="728"/>
      <c r="AH50" s="5"/>
      <c r="AI50" s="5"/>
      <c r="AJ50" s="5"/>
      <c r="AK50" s="5"/>
      <c r="AL50" s="5"/>
      <c r="AT50" s="5"/>
      <c r="AU50" s="5"/>
      <c r="AV50" s="3"/>
      <c r="AW50" s="5"/>
      <c r="AX50" s="5"/>
      <c r="AY50" s="5"/>
      <c r="AZ50" s="5"/>
      <c r="BA50" s="3"/>
      <c r="BB50" s="5"/>
      <c r="BC50" s="5"/>
      <c r="BD50" s="5"/>
      <c r="BE50" s="5"/>
      <c r="BF50" s="3"/>
      <c r="BG50" s="5"/>
      <c r="BH50" s="5"/>
      <c r="BI50" s="5"/>
      <c r="BJ50" s="5"/>
      <c r="BK50" s="3"/>
      <c r="BL50" s="5"/>
      <c r="BM50" s="5"/>
      <c r="BN50" s="5"/>
      <c r="BO50" s="5"/>
      <c r="BP50" s="3"/>
    </row>
    <row r="51" spans="5:68" ht="12" customHeight="1" x14ac:dyDescent="0.25">
      <c r="E51" s="1066" t="s">
        <v>546</v>
      </c>
      <c r="F51" s="932"/>
      <c r="G51" s="932"/>
      <c r="H51" s="932">
        <v>7.9961375207063234</v>
      </c>
      <c r="I51" s="932">
        <v>7.9012715464819872</v>
      </c>
      <c r="J51" s="932">
        <v>8.21896821146</v>
      </c>
      <c r="K51" s="932" t="e">
        <f t="shared" ref="K51:R51" ca="1" si="13">K13/K27</f>
        <v>#NAME?</v>
      </c>
      <c r="L51" s="932" t="e">
        <f t="shared" ca="1" si="13"/>
        <v>#NAME?</v>
      </c>
      <c r="M51" s="932" t="e">
        <f t="shared" ca="1" si="13"/>
        <v>#NAME?</v>
      </c>
      <c r="N51" s="932" t="e">
        <f t="shared" ca="1" si="13"/>
        <v>#NAME?</v>
      </c>
      <c r="O51" s="932" t="e">
        <f t="shared" ca="1" si="13"/>
        <v>#NAME?</v>
      </c>
      <c r="P51" s="932" t="e">
        <f t="shared" ca="1" si="13"/>
        <v>#NAME?</v>
      </c>
      <c r="Q51" s="932">
        <f t="shared" si="13"/>
        <v>22.970477097111029</v>
      </c>
      <c r="R51" s="932">
        <f t="shared" si="13"/>
        <v>20.598202892340982</v>
      </c>
      <c r="S51" s="939"/>
      <c r="T51" s="1036"/>
      <c r="U51" s="1037"/>
      <c r="V51" s="939">
        <f ca="1">V13/V27</f>
        <v>-49.033311157328079</v>
      </c>
      <c r="W51" s="939">
        <f>W13/W27</f>
        <v>-119.06258358537384</v>
      </c>
      <c r="X51" s="939">
        <f>X13/X27</f>
        <v>64.824318161125248</v>
      </c>
      <c r="Y51" s="939"/>
      <c r="Z51" s="1069"/>
      <c r="AA51" s="5"/>
      <c r="AB51" s="5"/>
      <c r="AC51" s="5"/>
      <c r="AD51" s="5"/>
      <c r="AE51" s="3"/>
      <c r="AF51" s="5"/>
      <c r="AG51" s="5"/>
      <c r="AH51" s="5"/>
      <c r="AI51" s="5"/>
      <c r="AJ51" s="5"/>
      <c r="AK51" s="5"/>
      <c r="AL51" s="5"/>
      <c r="AT51" s="5"/>
      <c r="AU51" s="5"/>
      <c r="AV51" s="3"/>
      <c r="AW51" s="5"/>
      <c r="AX51" s="5"/>
      <c r="AY51" s="5"/>
      <c r="AZ51" s="5"/>
      <c r="BA51" s="3"/>
      <c r="BB51" s="5"/>
      <c r="BC51" s="5"/>
      <c r="BD51" s="5"/>
      <c r="BE51" s="5"/>
      <c r="BF51" s="3"/>
      <c r="BG51" s="5"/>
      <c r="BH51" s="5"/>
      <c r="BI51" s="5"/>
      <c r="BJ51" s="5"/>
      <c r="BK51" s="3"/>
      <c r="BL51" s="5"/>
      <c r="BM51" s="5"/>
      <c r="BN51" s="5"/>
      <c r="BO51" s="5"/>
      <c r="BP51" s="3"/>
    </row>
    <row r="52" spans="5:68" ht="12" customHeight="1" x14ac:dyDescent="0.25">
      <c r="E52" s="1066" t="s">
        <v>545</v>
      </c>
      <c r="F52" s="933"/>
      <c r="G52" s="933"/>
      <c r="H52" s="933">
        <v>32.71860906385357</v>
      </c>
      <c r="I52" s="933">
        <v>70.591440207117756</v>
      </c>
      <c r="J52" s="933">
        <v>36.864122605829699</v>
      </c>
      <c r="K52" s="933" t="s">
        <v>405</v>
      </c>
      <c r="L52" s="933" t="s">
        <v>405</v>
      </c>
      <c r="M52" s="933" t="s">
        <v>405</v>
      </c>
      <c r="N52" s="933" t="e">
        <f ca="1">N9/N30</f>
        <v>#NAME?</v>
      </c>
      <c r="O52" s="933" t="e">
        <f ca="1">O9/O30</f>
        <v>#NAME?</v>
      </c>
      <c r="P52" s="933" t="e">
        <f ca="1">P9/P30</f>
        <v>#NAME?</v>
      </c>
      <c r="Q52" s="933">
        <f>Q9/Q30</f>
        <v>70.450532457826142</v>
      </c>
      <c r="R52" s="933">
        <f>R9/R30</f>
        <v>58.642271186589923</v>
      </c>
      <c r="S52" s="939"/>
      <c r="T52" s="1036"/>
      <c r="U52" s="1037"/>
      <c r="V52" s="939">
        <f>V9/V30</f>
        <v>-110.47428063534201</v>
      </c>
      <c r="W52" s="939">
        <f>W9/W30</f>
        <v>-240.97338696842976</v>
      </c>
      <c r="X52" s="939">
        <f>X9/X30</f>
        <v>114.4981622199968</v>
      </c>
      <c r="Y52" s="939"/>
      <c r="Z52" s="1069"/>
      <c r="AA52" s="5"/>
      <c r="AB52" s="5"/>
      <c r="AC52" s="5"/>
      <c r="AD52" s="5"/>
      <c r="AE52" s="3"/>
      <c r="AF52" s="5"/>
      <c r="AG52" s="593"/>
      <c r="AH52" s="5"/>
      <c r="AI52" s="5"/>
      <c r="AJ52" s="747"/>
      <c r="AK52" s="5"/>
      <c r="AL52" s="5"/>
      <c r="AT52" s="5"/>
      <c r="AU52" s="5"/>
      <c r="AV52" s="3"/>
      <c r="AW52" s="5"/>
      <c r="AX52" s="5"/>
      <c r="AY52" s="5"/>
      <c r="AZ52" s="5"/>
      <c r="BA52" s="3"/>
      <c r="BB52" s="5"/>
      <c r="BC52" s="5"/>
      <c r="BD52" s="5"/>
      <c r="BE52" s="5"/>
      <c r="BF52" s="3"/>
      <c r="BG52" s="5"/>
      <c r="BH52" s="5"/>
      <c r="BI52" s="5"/>
      <c r="BJ52" s="5"/>
      <c r="BK52" s="3"/>
      <c r="BL52" s="5"/>
      <c r="BM52" s="5"/>
      <c r="BN52" s="5"/>
      <c r="BO52" s="5"/>
      <c r="BP52" s="3"/>
    </row>
    <row r="53" spans="5:68" ht="12" hidden="1" customHeight="1" x14ac:dyDescent="0.25">
      <c r="E53" s="1066" t="s">
        <v>547</v>
      </c>
      <c r="F53" s="933"/>
      <c r="G53" s="933"/>
      <c r="H53" s="933"/>
      <c r="I53" s="933"/>
      <c r="J53" s="933"/>
      <c r="K53" s="933" t="e">
        <f t="shared" ref="K53:S53" ca="1" si="14">IF(K32&lt;0,"nm ",K9/K32)</f>
        <v>#NAME?</v>
      </c>
      <c r="L53" s="933" t="str">
        <f t="shared" si="14"/>
        <v xml:space="preserve">nm </v>
      </c>
      <c r="M53" s="933" t="e">
        <f t="shared" ca="1" si="14"/>
        <v>#NAME?</v>
      </c>
      <c r="N53" s="933" t="e">
        <f t="shared" ca="1" si="14"/>
        <v>#NAME?</v>
      </c>
      <c r="O53" s="933" t="e">
        <f t="shared" ca="1" si="14"/>
        <v>#NAME?</v>
      </c>
      <c r="P53" s="933" t="str">
        <f t="shared" si="14"/>
        <v xml:space="preserve">nm </v>
      </c>
      <c r="Q53" s="933">
        <f t="shared" si="14"/>
        <v>492.19729001939123</v>
      </c>
      <c r="R53" s="933">
        <f t="shared" si="14"/>
        <v>810.72797164070323</v>
      </c>
      <c r="S53" s="939">
        <f t="shared" si="14"/>
        <v>0</v>
      </c>
      <c r="T53" s="1038"/>
      <c r="U53" s="1038"/>
      <c r="V53" s="939">
        <f>IF(V32&lt;0,"nm ",V9/V32)</f>
        <v>3.0830904521995581</v>
      </c>
      <c r="W53" s="939" t="str">
        <f>IF(W32&lt;0,"nm ",W9/W32)</f>
        <v xml:space="preserve">nm </v>
      </c>
      <c r="X53" s="939" t="str">
        <f>IF(X32&lt;0,"nm ",X9/X32)</f>
        <v xml:space="preserve">nm </v>
      </c>
      <c r="Y53" s="939"/>
      <c r="Z53" s="1069"/>
      <c r="AA53" s="5"/>
      <c r="AB53" s="5"/>
      <c r="AC53" s="5"/>
      <c r="AD53" s="5"/>
      <c r="AE53" s="771"/>
      <c r="AF53" s="772"/>
      <c r="AG53" s="772"/>
      <c r="AH53" s="773"/>
      <c r="AI53" s="773"/>
      <c r="AJ53" s="773"/>
      <c r="AK53" s="772"/>
      <c r="AL53" s="5"/>
      <c r="AT53" s="5"/>
      <c r="AU53" s="5"/>
      <c r="AV53" s="3"/>
      <c r="AW53" s="5"/>
      <c r="AX53" s="5"/>
      <c r="AY53" s="5"/>
      <c r="AZ53" s="5"/>
      <c r="BA53" s="3"/>
      <c r="BB53" s="5"/>
      <c r="BC53" s="5"/>
      <c r="BD53" s="5"/>
      <c r="BE53" s="5"/>
      <c r="BF53" s="3"/>
      <c r="BG53" s="5"/>
      <c r="BH53" s="5"/>
      <c r="BI53" s="5"/>
      <c r="BJ53" s="5"/>
      <c r="BK53" s="3"/>
      <c r="BL53" s="5"/>
      <c r="BM53" s="5"/>
      <c r="BN53" s="5"/>
      <c r="BO53" s="5"/>
      <c r="BP53" s="3"/>
    </row>
    <row r="54" spans="5:68" ht="12" hidden="1" customHeight="1" x14ac:dyDescent="0.25">
      <c r="E54" s="1066" t="s">
        <v>398</v>
      </c>
      <c r="F54" s="933"/>
      <c r="G54" s="933"/>
      <c r="H54" s="931">
        <v>5.7469506473228377E-2</v>
      </c>
      <c r="I54" s="931">
        <v>5.9404172998689837E-2</v>
      </c>
      <c r="J54" s="931">
        <v>6.8169188166891534E-2</v>
      </c>
      <c r="K54" s="931" t="e">
        <f t="shared" ref="K54:R54" ca="1" si="15">K33/K9</f>
        <v>#NAME?</v>
      </c>
      <c r="L54" s="931" t="e">
        <f t="shared" ca="1" si="15"/>
        <v>#NAME?</v>
      </c>
      <c r="M54" s="931" t="e">
        <f t="shared" ca="1" si="15"/>
        <v>#NAME?</v>
      </c>
      <c r="N54" s="931" t="e">
        <f t="shared" ca="1" si="15"/>
        <v>#NAME?</v>
      </c>
      <c r="O54" s="931" t="e">
        <f t="shared" ca="1" si="15"/>
        <v>#NAME?</v>
      </c>
      <c r="P54" s="931" t="e">
        <f t="shared" ca="1" si="15"/>
        <v>#NAME?</v>
      </c>
      <c r="Q54" s="931">
        <f t="shared" si="15"/>
        <v>1.9993341200769583E-2</v>
      </c>
      <c r="R54" s="931">
        <f t="shared" si="15"/>
        <v>2.61584661397876E-2</v>
      </c>
      <c r="S54" s="1033" t="s">
        <v>490</v>
      </c>
      <c r="T54" s="1039"/>
      <c r="U54" s="1039"/>
      <c r="V54" s="1033">
        <f>V33/V9</f>
        <v>-1.3198776602850485E-2</v>
      </c>
      <c r="W54" s="1033">
        <f>W33/W9</f>
        <v>-9.9311261799591832E-3</v>
      </c>
      <c r="X54" s="1033">
        <f>X33/X9</f>
        <v>4.1867764309607E-3</v>
      </c>
      <c r="Y54" s="1033"/>
      <c r="Z54" s="1069"/>
      <c r="AA54" s="5"/>
      <c r="AB54" s="5"/>
      <c r="AC54" s="5"/>
      <c r="AD54" s="5"/>
      <c r="AE54" s="771"/>
      <c r="AF54" s="772"/>
      <c r="AG54" s="774"/>
      <c r="AH54" s="773"/>
      <c r="AI54" s="773"/>
      <c r="AJ54" s="773"/>
      <c r="AK54" s="772"/>
      <c r="AL54" s="5"/>
      <c r="AT54" s="5"/>
      <c r="AU54" s="5"/>
      <c r="AV54" s="3"/>
      <c r="AW54" s="5"/>
      <c r="AX54" s="5"/>
      <c r="AY54" s="5"/>
      <c r="AZ54" s="5"/>
      <c r="BA54" s="3"/>
      <c r="BB54" s="5"/>
      <c r="BC54" s="5"/>
      <c r="BD54" s="5"/>
      <c r="BE54" s="5"/>
      <c r="BF54" s="3"/>
      <c r="BG54" s="5"/>
      <c r="BH54" s="5"/>
      <c r="BI54" s="5"/>
      <c r="BJ54" s="5"/>
      <c r="BK54" s="3"/>
      <c r="BL54" s="5"/>
      <c r="BM54" s="5"/>
      <c r="BN54" s="5"/>
      <c r="BO54" s="5"/>
      <c r="BP54" s="3"/>
    </row>
    <row r="55" spans="5:68" ht="3.95" customHeight="1" x14ac:dyDescent="0.25">
      <c r="E55" s="1082"/>
      <c r="F55" s="1083"/>
      <c r="G55" s="1083"/>
      <c r="H55" s="1083"/>
      <c r="I55" s="1083"/>
      <c r="J55" s="1083"/>
      <c r="K55" s="1083"/>
      <c r="L55" s="1083"/>
      <c r="M55" s="1083"/>
      <c r="N55" s="1083"/>
      <c r="O55" s="1083"/>
      <c r="P55" s="1083"/>
      <c r="Q55" s="1083"/>
      <c r="R55" s="1083"/>
      <c r="S55" s="1084"/>
      <c r="T55" s="1085"/>
      <c r="U55" s="1085"/>
      <c r="V55" s="1084"/>
      <c r="W55" s="1084"/>
      <c r="X55" s="1084"/>
      <c r="Y55" s="1084"/>
      <c r="Z55" s="1086"/>
      <c r="AC55" s="6"/>
      <c r="AE55" s="700"/>
      <c r="AF55" s="700"/>
      <c r="AG55" s="700"/>
      <c r="AH55" s="700"/>
      <c r="AI55" s="700"/>
      <c r="AJ55" s="700"/>
      <c r="AK55" s="700"/>
    </row>
    <row r="56" spans="5:68" ht="12" hidden="1" customHeight="1" x14ac:dyDescent="0.25">
      <c r="E56" s="946" t="s">
        <v>772</v>
      </c>
      <c r="F56" s="897"/>
      <c r="G56" s="897"/>
      <c r="H56" s="897"/>
      <c r="I56" s="897"/>
      <c r="J56" s="897"/>
      <c r="K56" s="897"/>
      <c r="L56" s="897"/>
      <c r="M56" s="897"/>
      <c r="N56" s="897"/>
      <c r="O56" s="897"/>
      <c r="P56" s="897"/>
      <c r="Q56" s="1053" t="s">
        <v>775</v>
      </c>
      <c r="R56" s="1054" t="s">
        <v>816</v>
      </c>
      <c r="S56" s="1053"/>
      <c r="T56" s="957"/>
      <c r="U56" s="957"/>
      <c r="V56" s="1055" t="s">
        <v>159</v>
      </c>
      <c r="W56" s="1053"/>
      <c r="X56" s="1056" t="s">
        <v>160</v>
      </c>
      <c r="Y56" s="979"/>
      <c r="Z56" s="1057"/>
      <c r="AA56" s="9"/>
      <c r="AB56" s="9"/>
      <c r="AC56" s="6"/>
      <c r="AE56" s="700"/>
      <c r="AF56" s="775"/>
      <c r="AG56" s="700"/>
      <c r="AH56" s="700"/>
      <c r="AI56" s="700"/>
      <c r="AJ56" s="700"/>
      <c r="AK56" s="700"/>
      <c r="AM56" s="94"/>
    </row>
    <row r="57" spans="5:68" ht="4.1500000000000004" hidden="1" customHeight="1" x14ac:dyDescent="0.25">
      <c r="E57" s="934"/>
      <c r="F57" s="897"/>
      <c r="G57" s="897"/>
      <c r="H57" s="897"/>
      <c r="I57" s="897"/>
      <c r="J57" s="897"/>
      <c r="K57" s="897"/>
      <c r="L57" s="897"/>
      <c r="M57" s="897"/>
      <c r="N57" s="897"/>
      <c r="O57" s="897"/>
      <c r="P57" s="897"/>
      <c r="Q57" s="935"/>
      <c r="R57" s="936"/>
      <c r="S57" s="935"/>
      <c r="T57" s="991"/>
      <c r="U57" s="991"/>
      <c r="V57" s="991"/>
      <c r="W57" s="991"/>
      <c r="X57" s="1040"/>
      <c r="Y57" s="1051"/>
      <c r="Z57" s="1041"/>
      <c r="AC57" s="6"/>
      <c r="AE57" s="700"/>
      <c r="AF57" s="700"/>
      <c r="AG57" s="700"/>
      <c r="AH57" s="700"/>
      <c r="AI57" s="700"/>
      <c r="AJ57" s="700"/>
      <c r="AK57" s="700"/>
    </row>
    <row r="58" spans="5:68" ht="12" hidden="1" customHeight="1" x14ac:dyDescent="0.25">
      <c r="E58" s="937" t="s">
        <v>5</v>
      </c>
      <c r="F58" s="897"/>
      <c r="G58" s="897"/>
      <c r="H58" s="897"/>
      <c r="I58" s="897"/>
      <c r="J58" s="897"/>
      <c r="K58" s="897"/>
      <c r="L58" s="897"/>
      <c r="M58" s="897"/>
      <c r="N58" s="897"/>
      <c r="O58" s="897"/>
      <c r="P58" s="897"/>
      <c r="Q58" s="938">
        <f>W17</f>
        <v>372.53183008000002</v>
      </c>
      <c r="R58" s="897" t="s">
        <v>643</v>
      </c>
      <c r="S58" s="938">
        <f>Income!CQ112</f>
        <v>234.13183007999999</v>
      </c>
      <c r="T58" s="964"/>
      <c r="U58" s="964"/>
      <c r="V58" s="1042" t="s">
        <v>164</v>
      </c>
      <c r="W58" s="939">
        <f>DCF!AA18</f>
        <v>18.45</v>
      </c>
      <c r="X58" s="1043" t="s">
        <v>162</v>
      </c>
      <c r="Y58" s="988"/>
      <c r="Z58" s="1044"/>
      <c r="AC58" s="6"/>
      <c r="AE58" s="700"/>
      <c r="AF58" s="781"/>
      <c r="AG58" s="782"/>
      <c r="AH58" s="782"/>
      <c r="AI58" s="781"/>
      <c r="AJ58" s="771"/>
      <c r="AK58" s="700"/>
      <c r="AL58" s="20"/>
    </row>
    <row r="59" spans="5:68" ht="12" hidden="1" customHeight="1" x14ac:dyDescent="0.25">
      <c r="E59" s="940" t="s">
        <v>163</v>
      </c>
      <c r="F59" s="897"/>
      <c r="G59" s="897"/>
      <c r="H59" s="897"/>
      <c r="I59" s="897"/>
      <c r="J59" s="897"/>
      <c r="K59" s="897"/>
      <c r="L59" s="897"/>
      <c r="M59" s="897"/>
      <c r="N59" s="897"/>
      <c r="O59" s="897"/>
      <c r="P59" s="897"/>
      <c r="Q59" s="941">
        <v>7.85</v>
      </c>
      <c r="R59" s="940" t="s">
        <v>163</v>
      </c>
      <c r="S59" s="941">
        <v>12.685</v>
      </c>
      <c r="T59" s="965"/>
      <c r="U59" s="965"/>
      <c r="V59" s="1045" t="s">
        <v>103</v>
      </c>
      <c r="W59" s="942">
        <f>DCF!W23</f>
        <v>9.7901599999999991E-2</v>
      </c>
      <c r="X59" s="1045" t="s">
        <v>27</v>
      </c>
      <c r="Y59" s="964"/>
      <c r="Z59" s="943">
        <f>((Z64*W10)-W12)/W17</f>
        <v>7.9358650796640777</v>
      </c>
      <c r="AB59" s="27"/>
      <c r="AE59" s="700"/>
      <c r="AF59" s="700"/>
      <c r="AG59" s="776"/>
      <c r="AH59" s="776"/>
      <c r="AI59" s="777"/>
      <c r="AJ59" s="645"/>
      <c r="AK59" s="700"/>
      <c r="AL59" s="20"/>
      <c r="AT59" s="723" t="e">
        <f>#REF!/1911.9-1</f>
        <v>#REF!</v>
      </c>
    </row>
    <row r="60" spans="5:68" ht="12" hidden="1" customHeight="1" x14ac:dyDescent="0.25">
      <c r="E60" s="937" t="s">
        <v>165</v>
      </c>
      <c r="F60" s="897"/>
      <c r="G60" s="897"/>
      <c r="H60" s="897"/>
      <c r="I60" s="897"/>
      <c r="J60" s="897"/>
      <c r="K60" s="897"/>
      <c r="L60" s="897"/>
      <c r="M60" s="897"/>
      <c r="N60" s="897"/>
      <c r="O60" s="897"/>
      <c r="P60" s="897"/>
      <c r="Q60" s="938">
        <f>Q58*$Q59</f>
        <v>2924.3748661280001</v>
      </c>
      <c r="R60" s="937" t="s">
        <v>165</v>
      </c>
      <c r="S60" s="938">
        <f>S58*S59</f>
        <v>2969.9622645648001</v>
      </c>
      <c r="T60" s="964"/>
      <c r="U60" s="964"/>
      <c r="V60" s="967" t="s">
        <v>793</v>
      </c>
      <c r="W60" s="942">
        <f>DCF!W16</f>
        <v>0.73499999999999999</v>
      </c>
      <c r="X60" s="1045" t="s">
        <v>815</v>
      </c>
      <c r="Y60" s="964"/>
      <c r="Z60" s="943">
        <f>((Z64*W10)-W12)/Income!CQ112</f>
        <v>12.626913394838589</v>
      </c>
      <c r="AE60" s="700"/>
      <c r="AF60" s="778"/>
      <c r="AG60" s="778"/>
      <c r="AH60" s="778"/>
      <c r="AI60" s="778"/>
      <c r="AJ60" s="783"/>
      <c r="AK60" s="700"/>
      <c r="AL60" s="20"/>
      <c r="AT60" s="723">
        <f>AJ59/1718.2-1</f>
        <v>-1</v>
      </c>
    </row>
    <row r="61" spans="5:68" ht="12" hidden="1" customHeight="1" x14ac:dyDescent="0.25">
      <c r="E61" s="940" t="s">
        <v>20</v>
      </c>
      <c r="F61" s="897"/>
      <c r="G61" s="897"/>
      <c r="H61" s="897"/>
      <c r="I61" s="897"/>
      <c r="J61" s="897"/>
      <c r="K61" s="897"/>
      <c r="L61" s="897"/>
      <c r="M61" s="897"/>
      <c r="N61" s="897"/>
      <c r="O61" s="897"/>
      <c r="P61" s="897"/>
      <c r="Q61" s="944">
        <f>W12</f>
        <v>661.05203097623507</v>
      </c>
      <c r="R61" s="940" t="s">
        <v>16</v>
      </c>
      <c r="S61" s="944">
        <f>Q61</f>
        <v>661.05203097623507</v>
      </c>
      <c r="T61" s="966"/>
      <c r="U61" s="966"/>
      <c r="V61" s="967" t="s">
        <v>794</v>
      </c>
      <c r="W61" s="942">
        <f>DCF!AA16</f>
        <v>0.3</v>
      </c>
      <c r="X61" s="1045" t="s">
        <v>398</v>
      </c>
      <c r="Y61" s="964"/>
      <c r="Z61" s="942">
        <f>W33/Z64</f>
        <v>-7.9659317156481006E-3</v>
      </c>
      <c r="AE61" s="700"/>
      <c r="AF61" s="700"/>
      <c r="AG61" s="700"/>
      <c r="AH61" s="700"/>
      <c r="AI61" s="700"/>
      <c r="AJ61" s="645"/>
      <c r="AK61" s="700"/>
      <c r="AL61" s="20"/>
    </row>
    <row r="62" spans="5:68" ht="12" hidden="1" customHeight="1" x14ac:dyDescent="0.25">
      <c r="E62" s="937" t="s">
        <v>89</v>
      </c>
      <c r="F62" s="897"/>
      <c r="G62" s="897"/>
      <c r="H62" s="897"/>
      <c r="I62" s="897"/>
      <c r="J62" s="897"/>
      <c r="K62" s="897"/>
      <c r="L62" s="897"/>
      <c r="M62" s="897"/>
      <c r="N62" s="897"/>
      <c r="O62" s="897"/>
      <c r="P62" s="897"/>
      <c r="Q62" s="938">
        <f>Q60+Q61</f>
        <v>3585.4268971042352</v>
      </c>
      <c r="R62" s="937" t="s">
        <v>89</v>
      </c>
      <c r="S62" s="938">
        <f>S60+S61</f>
        <v>3631.0142955410352</v>
      </c>
      <c r="T62" s="964"/>
      <c r="U62" s="964"/>
      <c r="V62" s="1045"/>
      <c r="W62" s="938"/>
      <c r="X62" s="1045" t="s">
        <v>545</v>
      </c>
      <c r="Y62" s="964"/>
      <c r="Z62" s="943" t="s">
        <v>490</v>
      </c>
      <c r="AE62" s="700"/>
      <c r="AF62" s="700"/>
      <c r="AG62" s="700"/>
      <c r="AH62" s="700"/>
      <c r="AI62" s="700"/>
      <c r="AJ62" s="645"/>
      <c r="AK62" s="700"/>
      <c r="AL62" s="20"/>
    </row>
    <row r="63" spans="5:68" ht="3.95" hidden="1" customHeight="1" thickBot="1" x14ac:dyDescent="0.3">
      <c r="E63" s="937"/>
      <c r="F63" s="897"/>
      <c r="G63" s="897"/>
      <c r="H63" s="897"/>
      <c r="I63" s="897"/>
      <c r="J63" s="897"/>
      <c r="K63" s="897"/>
      <c r="L63" s="897"/>
      <c r="M63" s="897"/>
      <c r="N63" s="897"/>
      <c r="O63" s="897"/>
      <c r="P63" s="897"/>
      <c r="Q63" s="938"/>
      <c r="R63" s="937"/>
      <c r="S63" s="945"/>
      <c r="T63" s="967"/>
      <c r="U63" s="967"/>
      <c r="V63" s="1045"/>
      <c r="W63" s="938"/>
      <c r="X63" s="1045"/>
      <c r="Y63" s="964"/>
      <c r="Z63" s="945"/>
      <c r="AE63" s="700"/>
      <c r="AF63" s="700"/>
      <c r="AG63" s="700"/>
      <c r="AH63" s="700"/>
      <c r="AI63" s="700"/>
      <c r="AJ63" s="700"/>
      <c r="AK63" s="700"/>
    </row>
    <row r="64" spans="5:68" ht="12" hidden="1" customHeight="1" x14ac:dyDescent="0.25">
      <c r="E64" s="946" t="s">
        <v>90</v>
      </c>
      <c r="F64" s="897"/>
      <c r="G64" s="897"/>
      <c r="H64" s="897"/>
      <c r="I64" s="897"/>
      <c r="J64" s="897"/>
      <c r="K64" s="897"/>
      <c r="L64" s="897"/>
      <c r="M64" s="897"/>
      <c r="N64" s="897"/>
      <c r="O64" s="897"/>
      <c r="P64" s="897"/>
      <c r="Q64" s="947">
        <f>Q62/W10</f>
        <v>57.483637104263636</v>
      </c>
      <c r="R64" s="948"/>
      <c r="S64" s="947">
        <f>S62/W10</f>
        <v>58.214520634586052</v>
      </c>
      <c r="T64" s="968"/>
      <c r="U64" s="968"/>
      <c r="V64" s="968"/>
      <c r="W64" s="947">
        <f>DCF!AA23</f>
        <v>58.291278669762676</v>
      </c>
      <c r="X64" s="1046"/>
      <c r="Y64" s="1046"/>
      <c r="Z64" s="949">
        <f>AVERAGE(W64,S64,Q64)</f>
        <v>57.99647880287079</v>
      </c>
      <c r="AE64" s="700"/>
      <c r="AF64" s="779"/>
      <c r="AG64" s="700"/>
      <c r="AH64" s="780"/>
      <c r="AI64" s="780"/>
      <c r="AJ64" s="784"/>
      <c r="AK64" s="700"/>
    </row>
    <row r="65" spans="5:37" ht="12" hidden="1" customHeight="1" thickBot="1" x14ac:dyDescent="0.3">
      <c r="E65" s="950" t="s">
        <v>17</v>
      </c>
      <c r="F65" s="897"/>
      <c r="G65" s="897"/>
      <c r="H65" s="897"/>
      <c r="I65" s="897"/>
      <c r="J65" s="897"/>
      <c r="K65" s="897"/>
      <c r="L65" s="897"/>
      <c r="M65" s="897"/>
      <c r="N65" s="897"/>
      <c r="O65" s="897"/>
      <c r="P65" s="897"/>
      <c r="Q65" s="951">
        <f>(Q64/W9)-1</f>
        <v>0.23567577610196966</v>
      </c>
      <c r="R65" s="952"/>
      <c r="S65" s="951">
        <f>(S64/W9)-1</f>
        <v>0.25138694399368111</v>
      </c>
      <c r="T65" s="969"/>
      <c r="U65" s="969"/>
      <c r="V65" s="969"/>
      <c r="W65" s="951">
        <f>(W64/R9)-1</f>
        <v>0.39753724933499579</v>
      </c>
      <c r="X65" s="969"/>
      <c r="Y65" s="969"/>
      <c r="Z65" s="953">
        <f>(Z64/W9)-1</f>
        <v>0.2466998882818312</v>
      </c>
      <c r="AE65" s="700"/>
      <c r="AF65" s="779"/>
      <c r="AG65" s="700"/>
      <c r="AH65" s="785"/>
      <c r="AI65" s="785"/>
      <c r="AJ65" s="786"/>
      <c r="AK65" s="700"/>
    </row>
    <row r="66" spans="5:37" ht="3.95" hidden="1" customHeight="1" x14ac:dyDescent="0.25">
      <c r="E66" s="897"/>
      <c r="F66" s="897"/>
      <c r="G66" s="897"/>
      <c r="H66" s="897"/>
      <c r="I66" s="897"/>
      <c r="J66" s="954"/>
      <c r="K66" s="897"/>
      <c r="L66" s="897"/>
      <c r="M66" s="897"/>
      <c r="N66" s="897"/>
      <c r="O66" s="932"/>
      <c r="P66" s="897"/>
      <c r="Q66" s="932"/>
      <c r="R66" s="932"/>
      <c r="S66" s="939"/>
      <c r="T66" s="939"/>
      <c r="U66" s="939"/>
      <c r="V66" s="939"/>
      <c r="W66" s="939"/>
      <c r="X66" s="939"/>
      <c r="Y66" s="939"/>
      <c r="Z66" s="967"/>
      <c r="AE66" s="700"/>
      <c r="AF66" s="700"/>
      <c r="AG66" s="700"/>
      <c r="AH66" s="700"/>
      <c r="AI66" s="700"/>
      <c r="AJ66" s="700"/>
      <c r="AK66" s="700"/>
    </row>
    <row r="67" spans="5:37" ht="12" hidden="1" customHeight="1" x14ac:dyDescent="0.25">
      <c r="E67" s="901" t="s">
        <v>776</v>
      </c>
      <c r="F67" s="897"/>
      <c r="G67" s="897"/>
      <c r="H67" s="897"/>
      <c r="I67" s="897"/>
      <c r="J67" s="897"/>
      <c r="K67" s="897"/>
      <c r="L67" s="897"/>
      <c r="M67" s="897"/>
      <c r="N67" s="897"/>
      <c r="O67" s="897"/>
      <c r="P67" s="897"/>
      <c r="Q67" s="955">
        <f>R67-0.05</f>
        <v>0.22080129206087779</v>
      </c>
      <c r="R67" s="955">
        <f>S67-0.05</f>
        <v>0.27080129206087777</v>
      </c>
      <c r="S67" s="955">
        <f>Income!CQ23</f>
        <v>0.32080129206087776</v>
      </c>
      <c r="T67" s="955"/>
      <c r="U67" s="955"/>
      <c r="V67" s="955">
        <f>S67+0.05</f>
        <v>0.37080129206087775</v>
      </c>
      <c r="W67" s="955">
        <f>V67+0.05</f>
        <v>0.42080129206087774</v>
      </c>
      <c r="X67" s="979" t="s">
        <v>724</v>
      </c>
      <c r="Y67" s="979"/>
      <c r="Z67" s="979"/>
      <c r="AA67" s="9"/>
      <c r="AB67" s="9"/>
      <c r="AE67" s="700"/>
      <c r="AF67" s="700"/>
      <c r="AG67" s="700"/>
      <c r="AH67" s="700"/>
      <c r="AI67" s="700"/>
      <c r="AJ67" s="700"/>
      <c r="AK67" s="700"/>
    </row>
    <row r="68" spans="5:37" ht="12" hidden="1" customHeight="1" x14ac:dyDescent="0.25">
      <c r="E68" s="932">
        <f>E69+0.5</f>
        <v>8.9358650796640777</v>
      </c>
      <c r="F68" s="897"/>
      <c r="G68" s="897"/>
      <c r="H68" s="897"/>
      <c r="I68" s="897"/>
      <c r="J68" s="897"/>
      <c r="K68" s="897"/>
      <c r="L68" s="897"/>
      <c r="M68" s="897"/>
      <c r="N68" s="897"/>
      <c r="O68" s="897"/>
      <c r="P68" s="897"/>
      <c r="Q68" s="956">
        <f t="shared" ref="Q68:S72" si="16">(($E68*($V$17*(1+((Q$67))))+$W$12)/$W$10)</f>
        <v>59.928338316786963</v>
      </c>
      <c r="R68" s="956">
        <f t="shared" si="16"/>
        <v>61.948731408497366</v>
      </c>
      <c r="S68" s="956">
        <f t="shared" si="16"/>
        <v>63.969124500207776</v>
      </c>
      <c r="T68" s="956"/>
      <c r="U68" s="956"/>
      <c r="V68" s="956">
        <f t="shared" ref="V68:W72" si="17">(($E68*($V$17*(1+((V$67))))+$W$12)/$W$10)</f>
        <v>65.989517591918187</v>
      </c>
      <c r="W68" s="956">
        <f t="shared" si="17"/>
        <v>68.009910683628576</v>
      </c>
      <c r="X68" s="956"/>
      <c r="Y68" s="956"/>
      <c r="Z68" s="967"/>
      <c r="AE68" s="717"/>
    </row>
    <row r="69" spans="5:37" ht="12" hidden="1" customHeight="1" thickBot="1" x14ac:dyDescent="0.3">
      <c r="E69" s="932">
        <f>E70+0.5</f>
        <v>8.4358650796640777</v>
      </c>
      <c r="F69" s="897"/>
      <c r="G69" s="897"/>
      <c r="H69" s="897"/>
      <c r="I69" s="897"/>
      <c r="J69" s="897"/>
      <c r="K69" s="897"/>
      <c r="L69" s="897"/>
      <c r="M69" s="897"/>
      <c r="N69" s="897"/>
      <c r="O69" s="897"/>
      <c r="P69" s="897"/>
      <c r="Q69" s="956">
        <f t="shared" si="16"/>
        <v>57.168114796353443</v>
      </c>
      <c r="R69" s="956">
        <f t="shared" si="16"/>
        <v>59.075458223946363</v>
      </c>
      <c r="S69" s="956">
        <f t="shared" si="16"/>
        <v>60.982801651539283</v>
      </c>
      <c r="T69" s="956"/>
      <c r="U69" s="956"/>
      <c r="V69" s="956">
        <f t="shared" si="17"/>
        <v>62.890145079132203</v>
      </c>
      <c r="W69" s="956">
        <f t="shared" si="17"/>
        <v>64.797488506725117</v>
      </c>
      <c r="X69" s="957" t="s">
        <v>153</v>
      </c>
      <c r="Y69" s="957"/>
      <c r="Z69" s="958">
        <f>AVERAGE(AF101:AF65542)</f>
        <v>26.02373316844486</v>
      </c>
    </row>
    <row r="70" spans="5:37" ht="12" hidden="1" customHeight="1" thickBot="1" x14ac:dyDescent="0.3">
      <c r="E70" s="932">
        <f>Z59</f>
        <v>7.9358650796640777</v>
      </c>
      <c r="F70" s="897"/>
      <c r="G70" s="897"/>
      <c r="H70" s="897"/>
      <c r="I70" s="897"/>
      <c r="J70" s="897"/>
      <c r="K70" s="897"/>
      <c r="L70" s="897"/>
      <c r="M70" s="897"/>
      <c r="N70" s="897"/>
      <c r="O70" s="897"/>
      <c r="P70" s="897"/>
      <c r="Q70" s="956">
        <f t="shared" si="16"/>
        <v>54.407891275919916</v>
      </c>
      <c r="R70" s="956">
        <f t="shared" si="16"/>
        <v>56.202185039395353</v>
      </c>
      <c r="S70" s="959">
        <f t="shared" si="16"/>
        <v>57.99647880287079</v>
      </c>
      <c r="T70" s="970"/>
      <c r="U70" s="970"/>
      <c r="V70" s="956">
        <f t="shared" si="17"/>
        <v>59.790772566346227</v>
      </c>
      <c r="W70" s="956">
        <f t="shared" si="17"/>
        <v>61.585066329821643</v>
      </c>
      <c r="X70" s="957" t="s">
        <v>118</v>
      </c>
      <c r="Y70" s="957"/>
      <c r="Z70" s="958">
        <f>MAX(AF101:AF65542)</f>
        <v>57</v>
      </c>
      <c r="AE70" s="717"/>
      <c r="AF70" s="743"/>
      <c r="AG70" s="718"/>
      <c r="AH70" s="744"/>
      <c r="AI70" s="744"/>
      <c r="AJ70" s="744"/>
      <c r="AK70" s="745"/>
    </row>
    <row r="71" spans="5:37" ht="12" hidden="1" customHeight="1" x14ac:dyDescent="0.25">
      <c r="E71" s="932">
        <f>E70-0.5</f>
        <v>7.4358650796640777</v>
      </c>
      <c r="F71" s="897"/>
      <c r="G71" s="897"/>
      <c r="H71" s="897"/>
      <c r="I71" s="897"/>
      <c r="J71" s="897"/>
      <c r="K71" s="897"/>
      <c r="L71" s="897"/>
      <c r="M71" s="897"/>
      <c r="N71" s="897"/>
      <c r="O71" s="897"/>
      <c r="P71" s="897"/>
      <c r="Q71" s="956">
        <f t="shared" si="16"/>
        <v>51.647667755486403</v>
      </c>
      <c r="R71" s="956">
        <f t="shared" si="16"/>
        <v>53.328911854844343</v>
      </c>
      <c r="S71" s="956">
        <f t="shared" si="16"/>
        <v>55.010155954202297</v>
      </c>
      <c r="T71" s="956"/>
      <c r="U71" s="956"/>
      <c r="V71" s="956">
        <f t="shared" si="17"/>
        <v>56.691400053560237</v>
      </c>
      <c r="W71" s="956">
        <f t="shared" si="17"/>
        <v>58.372644152918184</v>
      </c>
      <c r="X71" s="957" t="s">
        <v>116</v>
      </c>
      <c r="Y71" s="957"/>
      <c r="Z71" s="958">
        <f>MIN(AF101:AF65542)</f>
        <v>8.0786516853932593</v>
      </c>
      <c r="AK71" s="393"/>
    </row>
    <row r="72" spans="5:37" ht="12" hidden="1" customHeight="1" x14ac:dyDescent="0.25">
      <c r="E72" s="932">
        <f>E71-0.5</f>
        <v>6.9358650796640777</v>
      </c>
      <c r="F72" s="897"/>
      <c r="G72" s="897"/>
      <c r="H72" s="897"/>
      <c r="I72" s="897"/>
      <c r="J72" s="897"/>
      <c r="K72" s="897"/>
      <c r="L72" s="897"/>
      <c r="M72" s="897"/>
      <c r="N72" s="897"/>
      <c r="O72" s="897"/>
      <c r="P72" s="897"/>
      <c r="Q72" s="956">
        <f t="shared" si="16"/>
        <v>48.887444235052875</v>
      </c>
      <c r="R72" s="956">
        <f t="shared" si="16"/>
        <v>50.455638670293332</v>
      </c>
      <c r="S72" s="956">
        <f t="shared" si="16"/>
        <v>52.023833105533804</v>
      </c>
      <c r="T72" s="956"/>
      <c r="U72" s="956"/>
      <c r="V72" s="956">
        <f t="shared" si="17"/>
        <v>53.592027540774261</v>
      </c>
      <c r="W72" s="956">
        <f t="shared" si="17"/>
        <v>55.160221976014711</v>
      </c>
      <c r="X72" s="956"/>
      <c r="Y72" s="956"/>
      <c r="Z72" s="967"/>
      <c r="AC72" s="6"/>
      <c r="AF72" s="11"/>
      <c r="AK72" s="394"/>
    </row>
    <row r="73" spans="5:37" ht="3.95" hidden="1" customHeight="1" x14ac:dyDescent="0.25">
      <c r="E73" s="960"/>
      <c r="F73" s="897"/>
      <c r="G73" s="897"/>
      <c r="H73" s="897"/>
      <c r="I73" s="897"/>
      <c r="J73" s="897"/>
      <c r="K73" s="897"/>
      <c r="L73" s="897"/>
      <c r="M73" s="897"/>
      <c r="N73" s="897"/>
      <c r="O73" s="897"/>
      <c r="P73" s="897"/>
      <c r="Q73" s="897"/>
      <c r="R73" s="897"/>
      <c r="S73" s="967"/>
      <c r="T73" s="967"/>
      <c r="U73" s="967"/>
      <c r="V73" s="967"/>
      <c r="W73" s="967"/>
      <c r="X73" s="967"/>
      <c r="Y73" s="967"/>
      <c r="Z73" s="967"/>
      <c r="AC73" s="6"/>
      <c r="AF73" s="11"/>
    </row>
    <row r="74" spans="5:37" ht="12" hidden="1" customHeight="1" x14ac:dyDescent="0.25">
      <c r="E74" s="961" t="s">
        <v>777</v>
      </c>
      <c r="F74" s="897"/>
      <c r="G74" s="897"/>
      <c r="H74" s="897"/>
      <c r="I74" s="897"/>
      <c r="J74" s="962"/>
      <c r="K74" s="962"/>
      <c r="L74" s="962"/>
      <c r="M74" s="902"/>
      <c r="N74" s="963"/>
      <c r="O74" s="963"/>
      <c r="P74" s="963"/>
      <c r="Q74" s="963"/>
      <c r="R74" s="963"/>
      <c r="S74" s="1047"/>
      <c r="T74" s="1047"/>
      <c r="U74" s="1047"/>
      <c r="V74" s="1047"/>
      <c r="W74" s="1047"/>
      <c r="X74" s="1047"/>
      <c r="Y74" s="1047"/>
      <c r="Z74" s="1047"/>
      <c r="AC74" s="6"/>
      <c r="AF74" s="11"/>
    </row>
    <row r="75" spans="5:37" ht="12" customHeight="1" x14ac:dyDescent="0.25">
      <c r="E75" s="100"/>
      <c r="J75" s="101"/>
      <c r="K75" s="101"/>
      <c r="L75" s="101"/>
      <c r="M75" s="101"/>
      <c r="N75" s="101"/>
      <c r="O75" s="101"/>
      <c r="P75" s="101"/>
      <c r="Q75" s="101"/>
      <c r="R75" s="101"/>
      <c r="S75" s="1048"/>
      <c r="T75" s="1048"/>
      <c r="U75" s="1048"/>
      <c r="V75" s="1048"/>
      <c r="W75" s="1048"/>
      <c r="X75" s="1048"/>
      <c r="Y75" s="1048"/>
      <c r="Z75" s="1048"/>
      <c r="AA75" s="101"/>
      <c r="AB75" s="101"/>
      <c r="AC75" s="101"/>
      <c r="AD75" s="101"/>
      <c r="AE75" s="101"/>
      <c r="AF75" s="11"/>
    </row>
    <row r="76" spans="5:37" ht="12" customHeight="1" x14ac:dyDescent="0.25">
      <c r="E76" s="100"/>
      <c r="J76" s="101"/>
      <c r="K76" s="101"/>
      <c r="L76" s="101"/>
      <c r="M76" s="101"/>
      <c r="N76" s="101"/>
      <c r="O76" s="101"/>
      <c r="P76" s="101"/>
      <c r="Q76" s="101"/>
      <c r="R76" s="101"/>
      <c r="S76" s="1048"/>
      <c r="T76" s="1048"/>
      <c r="U76" s="1048"/>
      <c r="V76" s="1048"/>
      <c r="W76" s="1048"/>
      <c r="X76" s="1048"/>
      <c r="Y76" s="1048"/>
      <c r="Z76" s="1048"/>
      <c r="AA76" s="47"/>
      <c r="AB76" s="47"/>
      <c r="AD76" s="47"/>
      <c r="AE76" s="11"/>
      <c r="AF76" s="11"/>
    </row>
    <row r="77" spans="5:37" ht="12" customHeight="1" x14ac:dyDescent="0.25">
      <c r="E77" s="100"/>
      <c r="J77" s="101"/>
      <c r="K77" s="101"/>
      <c r="L77" s="101"/>
      <c r="M77" s="101"/>
      <c r="N77" s="101"/>
      <c r="O77" s="101"/>
      <c r="P77" s="101"/>
      <c r="Q77" s="101"/>
      <c r="R77" s="101"/>
      <c r="S77" s="1048"/>
      <c r="T77" s="1048"/>
      <c r="U77" s="1048"/>
      <c r="V77" s="1048"/>
      <c r="W77" s="1048"/>
      <c r="X77" s="1048"/>
      <c r="Y77" s="1048"/>
      <c r="Z77" s="1048"/>
      <c r="AA77" s="47"/>
      <c r="AB77" s="47"/>
      <c r="AD77" s="47"/>
      <c r="AE77" s="11"/>
      <c r="AF77" s="11"/>
    </row>
    <row r="78" spans="5:37" ht="12" customHeight="1" x14ac:dyDescent="0.25">
      <c r="E78" s="100"/>
      <c r="J78" s="101"/>
      <c r="K78" s="101"/>
      <c r="L78" s="101"/>
      <c r="M78" s="101"/>
      <c r="N78" s="101"/>
      <c r="O78" s="101"/>
      <c r="P78" s="101"/>
      <c r="Q78" s="101"/>
      <c r="R78" s="101"/>
      <c r="S78" s="1048"/>
      <c r="T78" s="1048"/>
      <c r="U78" s="1048"/>
      <c r="V78" s="1048"/>
      <c r="W78" s="1048"/>
      <c r="X78" s="1048"/>
      <c r="Y78" s="1048"/>
      <c r="Z78" s="1048"/>
      <c r="AE78" s="11"/>
      <c r="AF78" s="11"/>
    </row>
    <row r="79" spans="5:37" ht="12" customHeight="1" x14ac:dyDescent="0.25">
      <c r="E79" s="100"/>
      <c r="J79" s="101"/>
      <c r="K79" s="101"/>
      <c r="L79" s="101"/>
      <c r="M79" s="101"/>
      <c r="N79" s="101"/>
      <c r="O79" s="101"/>
      <c r="P79" s="101"/>
      <c r="Q79" s="101"/>
      <c r="R79" s="101"/>
      <c r="S79" s="1048"/>
      <c r="T79" s="1048"/>
      <c r="U79" s="1048"/>
      <c r="V79" s="1048"/>
      <c r="W79" s="1048"/>
      <c r="X79" s="1048"/>
      <c r="Y79" s="1048"/>
      <c r="Z79" s="1048"/>
      <c r="AA79" s="9"/>
      <c r="AB79" s="9"/>
      <c r="AC79" s="6"/>
      <c r="AE79" s="11"/>
      <c r="AF79" s="11"/>
    </row>
    <row r="80" spans="5:37" ht="12" customHeight="1" x14ac:dyDescent="0.25">
      <c r="E80" s="100"/>
      <c r="J80" s="101"/>
      <c r="K80" s="101"/>
      <c r="L80" s="101"/>
      <c r="M80" s="101"/>
      <c r="N80" s="101"/>
      <c r="O80" s="101"/>
      <c r="P80" s="101"/>
      <c r="Q80" s="101"/>
      <c r="R80" s="101"/>
      <c r="S80" s="1048"/>
      <c r="T80" s="1048"/>
      <c r="U80" s="1048"/>
      <c r="V80" s="1048"/>
      <c r="W80" s="1048"/>
      <c r="X80" s="1048"/>
      <c r="Y80" s="1048"/>
      <c r="Z80" s="1048"/>
      <c r="AC80" s="6"/>
      <c r="AE80" s="11"/>
      <c r="AF80" s="11"/>
    </row>
    <row r="81" spans="5:32" ht="12" customHeight="1" x14ac:dyDescent="0.25">
      <c r="E81" s="100"/>
      <c r="J81" s="101"/>
      <c r="K81" s="101"/>
      <c r="L81" s="101"/>
      <c r="M81" s="101"/>
      <c r="N81" s="101"/>
      <c r="O81" s="101"/>
      <c r="P81" s="101"/>
      <c r="Q81" s="101"/>
      <c r="R81" s="101"/>
      <c r="S81" s="1048"/>
      <c r="T81" s="1048"/>
      <c r="U81" s="1048"/>
      <c r="V81" s="1048"/>
      <c r="W81" s="1048"/>
      <c r="X81" s="1048"/>
      <c r="Y81" s="1048"/>
      <c r="Z81" s="1048"/>
      <c r="AC81" s="6"/>
      <c r="AE81" s="11"/>
      <c r="AF81" s="11"/>
    </row>
    <row r="82" spans="5:32" ht="12" customHeight="1" x14ac:dyDescent="0.25">
      <c r="E82" s="100"/>
      <c r="J82" s="101"/>
      <c r="K82" s="101"/>
      <c r="L82" s="101"/>
      <c r="M82" s="101"/>
      <c r="N82" s="101"/>
      <c r="O82" s="101"/>
      <c r="P82" s="101"/>
      <c r="Q82" s="101"/>
      <c r="R82" s="101"/>
      <c r="S82" s="1048"/>
      <c r="T82" s="1048"/>
      <c r="U82" s="1048"/>
      <c r="V82" s="1048"/>
      <c r="W82" s="1048"/>
      <c r="X82" s="1048"/>
      <c r="Y82" s="1048"/>
      <c r="Z82" s="1048"/>
      <c r="AC82" s="6"/>
      <c r="AE82" s="11"/>
      <c r="AF82" s="11"/>
    </row>
    <row r="83" spans="5:32" ht="12" customHeight="1" x14ac:dyDescent="0.25">
      <c r="E83" s="100"/>
      <c r="J83" s="101"/>
      <c r="K83" s="101"/>
      <c r="L83" s="101"/>
      <c r="M83" s="101"/>
      <c r="N83" s="101"/>
      <c r="O83" s="101"/>
      <c r="P83" s="101"/>
      <c r="Q83" s="101"/>
      <c r="R83" s="101"/>
      <c r="S83" s="1048"/>
      <c r="T83" s="1048"/>
      <c r="U83" s="1048"/>
      <c r="V83" s="1048"/>
      <c r="W83" s="1048"/>
      <c r="X83" s="1048"/>
      <c r="Y83" s="1048"/>
      <c r="Z83" s="1048"/>
      <c r="AC83" s="6"/>
      <c r="AE83" s="11"/>
      <c r="AF83" s="11"/>
    </row>
    <row r="84" spans="5:32" ht="12" customHeight="1" x14ac:dyDescent="0.25">
      <c r="E84" s="100"/>
      <c r="J84" s="101"/>
      <c r="K84" s="101"/>
      <c r="L84" s="101"/>
      <c r="M84" s="101"/>
      <c r="N84" s="101"/>
      <c r="O84" s="101"/>
      <c r="P84" s="101"/>
      <c r="Q84" s="101"/>
      <c r="R84" s="101"/>
      <c r="S84" s="1048"/>
      <c r="T84" s="1048"/>
      <c r="U84" s="1048"/>
      <c r="V84" s="1048"/>
      <c r="W84" s="1048"/>
      <c r="X84" s="1048"/>
      <c r="Y84" s="1048"/>
      <c r="Z84" s="1048"/>
      <c r="AC84" s="6"/>
      <c r="AE84" s="11"/>
      <c r="AF84" s="11"/>
    </row>
    <row r="85" spans="5:32" ht="12" customHeight="1" x14ac:dyDescent="0.25">
      <c r="E85" s="6"/>
      <c r="J85" s="101"/>
      <c r="K85" s="101"/>
      <c r="L85" s="101"/>
      <c r="M85" s="101"/>
      <c r="N85" s="101"/>
      <c r="O85" s="101"/>
      <c r="P85" s="101"/>
      <c r="Q85" s="101"/>
      <c r="R85" s="101"/>
      <c r="S85" s="1048"/>
      <c r="T85" s="1048"/>
      <c r="U85" s="1048"/>
      <c r="V85" s="1048"/>
      <c r="W85" s="1048"/>
      <c r="X85" s="1048"/>
      <c r="Y85" s="1048"/>
      <c r="Z85" s="1048"/>
      <c r="AC85" s="6"/>
      <c r="AE85" s="11"/>
      <c r="AF85" s="11"/>
    </row>
    <row r="86" spans="5:32" ht="12" customHeight="1" x14ac:dyDescent="0.25">
      <c r="E86" s="6"/>
      <c r="J86" s="101"/>
      <c r="K86" s="101"/>
      <c r="L86" s="101"/>
      <c r="M86" s="101"/>
      <c r="N86" s="101"/>
      <c r="O86" s="101"/>
      <c r="P86" s="101"/>
      <c r="Q86" s="101"/>
      <c r="R86" s="101"/>
      <c r="S86" s="1048"/>
      <c r="T86" s="1048"/>
      <c r="U86" s="1048"/>
      <c r="V86" s="1048"/>
      <c r="W86" s="1048"/>
      <c r="X86" s="1048"/>
      <c r="Y86" s="1048"/>
      <c r="Z86" s="1048"/>
      <c r="AC86" s="6"/>
      <c r="AE86" s="11"/>
      <c r="AF86" s="11"/>
    </row>
    <row r="87" spans="5:32" ht="12" customHeight="1" x14ac:dyDescent="0.25">
      <c r="E87" s="6"/>
      <c r="J87" s="101"/>
      <c r="K87" s="101"/>
      <c r="L87" s="101"/>
      <c r="M87" s="101"/>
      <c r="N87" s="101"/>
      <c r="O87" s="101"/>
      <c r="P87" s="101"/>
      <c r="Q87" s="101"/>
      <c r="R87" s="101"/>
      <c r="S87" s="1048"/>
      <c r="T87" s="1048"/>
      <c r="U87" s="1048"/>
      <c r="V87" s="1048"/>
      <c r="W87" s="1048"/>
      <c r="X87" s="1048"/>
      <c r="Y87" s="1048"/>
      <c r="Z87" s="1048"/>
      <c r="AC87" s="6"/>
      <c r="AE87" s="11"/>
      <c r="AF87" s="11"/>
    </row>
    <row r="88" spans="5:32" ht="12" customHeight="1" x14ac:dyDescent="0.25">
      <c r="E88" s="6"/>
      <c r="J88" s="101"/>
      <c r="K88" s="101"/>
      <c r="L88" s="101"/>
      <c r="M88" s="101"/>
      <c r="N88" s="101"/>
      <c r="O88" s="101"/>
      <c r="P88" s="101"/>
      <c r="Q88" s="101"/>
      <c r="R88" s="101"/>
      <c r="S88" s="1048"/>
      <c r="T88" s="1048"/>
      <c r="U88" s="1048"/>
      <c r="V88" s="1048"/>
      <c r="W88" s="1048"/>
      <c r="X88" s="1048"/>
      <c r="Y88" s="1048"/>
      <c r="Z88" s="1048"/>
      <c r="AC88" s="6"/>
      <c r="AE88" s="11"/>
      <c r="AF88" s="11"/>
    </row>
    <row r="89" spans="5:32" ht="12" customHeight="1" x14ac:dyDescent="0.25">
      <c r="E89" s="6"/>
      <c r="J89" s="101"/>
      <c r="K89" s="101"/>
      <c r="L89" s="101"/>
      <c r="M89" s="101"/>
      <c r="N89" s="101"/>
      <c r="O89" s="101"/>
      <c r="P89" s="101"/>
      <c r="Q89" s="101"/>
      <c r="R89" s="101"/>
      <c r="S89" s="1048"/>
      <c r="T89" s="1048"/>
      <c r="U89" s="1048"/>
      <c r="V89" s="1048"/>
      <c r="W89" s="1048"/>
      <c r="X89" s="1048"/>
      <c r="Y89" s="1048"/>
      <c r="Z89" s="1048"/>
      <c r="AC89" s="6"/>
      <c r="AE89" s="11"/>
      <c r="AF89" s="11"/>
    </row>
    <row r="90" spans="5:32" ht="12" customHeight="1" x14ac:dyDescent="0.25">
      <c r="E90" s="6"/>
      <c r="J90" s="101"/>
      <c r="K90" s="101"/>
      <c r="L90" s="101"/>
      <c r="M90" s="101"/>
      <c r="N90" s="101"/>
      <c r="O90" s="101"/>
      <c r="P90" s="101"/>
      <c r="Q90" s="101"/>
      <c r="R90" s="101"/>
      <c r="S90" s="1048"/>
      <c r="T90" s="1048"/>
      <c r="U90" s="1048"/>
      <c r="V90" s="1048"/>
      <c r="W90" s="1048"/>
      <c r="X90" s="1048"/>
      <c r="Y90" s="1048"/>
      <c r="Z90" s="1048"/>
      <c r="AA90" s="47"/>
      <c r="AB90" s="47"/>
      <c r="AD90" s="47"/>
      <c r="AE90" s="11"/>
      <c r="AF90" s="11"/>
    </row>
    <row r="91" spans="5:32" ht="12" customHeight="1" x14ac:dyDescent="0.25">
      <c r="E91" s="6"/>
      <c r="J91" s="101"/>
      <c r="K91" s="101"/>
      <c r="L91" s="101"/>
      <c r="M91" s="101"/>
      <c r="N91" s="101"/>
      <c r="O91" s="101"/>
      <c r="P91" s="101"/>
      <c r="Q91" s="101"/>
      <c r="R91" s="101"/>
      <c r="S91" s="1048"/>
      <c r="T91" s="1048"/>
      <c r="U91" s="1048"/>
      <c r="V91" s="1048"/>
      <c r="W91" s="1048"/>
      <c r="X91" s="1048"/>
      <c r="Y91" s="1048"/>
      <c r="Z91" s="1048"/>
      <c r="AC91" s="6"/>
      <c r="AE91" s="11"/>
      <c r="AF91" s="11"/>
    </row>
    <row r="92" spans="5:32" ht="12" customHeight="1" x14ac:dyDescent="0.25">
      <c r="E92" s="6"/>
      <c r="J92" s="101"/>
      <c r="K92" s="101"/>
      <c r="L92" s="101"/>
      <c r="M92" s="101"/>
      <c r="N92" s="101"/>
      <c r="O92" s="101"/>
      <c r="P92" s="101"/>
      <c r="Q92" s="101"/>
      <c r="R92" s="101"/>
      <c r="S92" s="1048"/>
      <c r="T92" s="1048"/>
      <c r="U92" s="1048"/>
      <c r="V92" s="1048"/>
      <c r="W92" s="1048"/>
      <c r="X92" s="1048"/>
      <c r="Y92" s="1048"/>
      <c r="Z92" s="1048"/>
      <c r="AC92" s="6"/>
      <c r="AE92" s="11"/>
      <c r="AF92" s="11"/>
    </row>
    <row r="93" spans="5:32" ht="12" customHeight="1" x14ac:dyDescent="0.25">
      <c r="E93" s="6"/>
      <c r="J93" s="101"/>
      <c r="K93" s="101"/>
      <c r="L93" s="101"/>
      <c r="M93" s="101"/>
      <c r="N93" s="101"/>
      <c r="O93" s="101"/>
      <c r="P93" s="101"/>
      <c r="Q93" s="101"/>
      <c r="R93" s="101"/>
      <c r="S93" s="1048"/>
      <c r="T93" s="1048"/>
      <c r="U93" s="1048"/>
      <c r="V93" s="1048"/>
      <c r="W93" s="1048"/>
      <c r="X93" s="1048"/>
      <c r="Y93" s="1048"/>
      <c r="Z93" s="1048"/>
      <c r="AC93" s="6"/>
      <c r="AE93" s="11"/>
      <c r="AF93" s="11"/>
    </row>
    <row r="94" spans="5:32" ht="12" customHeight="1" x14ac:dyDescent="0.25">
      <c r="E94" s="6"/>
      <c r="J94" s="101"/>
      <c r="K94" s="101"/>
      <c r="L94" s="101"/>
      <c r="M94" s="101"/>
      <c r="N94" s="101"/>
      <c r="O94" s="101"/>
      <c r="P94" s="101"/>
      <c r="Q94" s="101"/>
      <c r="R94" s="101"/>
      <c r="S94" s="1048"/>
      <c r="T94" s="1048"/>
      <c r="U94" s="1048"/>
      <c r="V94" s="1048"/>
      <c r="W94" s="1048"/>
      <c r="X94" s="1048"/>
      <c r="Y94" s="1048"/>
      <c r="Z94" s="1048"/>
      <c r="AC94" s="6"/>
      <c r="AE94" s="11"/>
      <c r="AF94" s="11"/>
    </row>
    <row r="95" spans="5:32" ht="12" customHeight="1" x14ac:dyDescent="0.25">
      <c r="AC95" s="6"/>
      <c r="AE95" s="11"/>
      <c r="AF95" s="11"/>
    </row>
    <row r="96" spans="5:32" ht="12" customHeight="1" x14ac:dyDescent="0.25">
      <c r="E96" s="6" t="s">
        <v>88</v>
      </c>
      <c r="J96" s="101"/>
      <c r="K96" s="101"/>
      <c r="L96" s="101"/>
      <c r="M96" s="101"/>
      <c r="N96" s="101"/>
      <c r="O96" s="101"/>
      <c r="P96" s="101"/>
      <c r="Q96" s="101"/>
      <c r="R96" s="101"/>
      <c r="S96" s="1048"/>
      <c r="T96" s="1048"/>
      <c r="U96" s="1048"/>
      <c r="V96" s="1048"/>
      <c r="W96" s="1048"/>
      <c r="X96" s="1048"/>
      <c r="Y96" s="1048"/>
      <c r="Z96" s="1048"/>
      <c r="AA96" s="47"/>
      <c r="AB96" s="47"/>
      <c r="AD96" s="47"/>
      <c r="AE96" s="11"/>
      <c r="AF96" s="11"/>
    </row>
    <row r="97" spans="5:36" ht="12" customHeight="1" x14ac:dyDescent="0.25">
      <c r="E97" s="100"/>
      <c r="J97" s="101"/>
      <c r="K97" s="101"/>
      <c r="L97" s="101"/>
      <c r="M97" s="101"/>
      <c r="N97" s="101"/>
      <c r="O97" s="101"/>
      <c r="P97" s="101"/>
      <c r="Q97" s="101"/>
      <c r="R97" s="101"/>
      <c r="S97" s="1048"/>
      <c r="T97" s="1048"/>
      <c r="U97" s="1048"/>
      <c r="V97" s="1048"/>
      <c r="W97" s="1048"/>
      <c r="X97" s="1048"/>
      <c r="Y97" s="1048"/>
      <c r="Z97" s="1048"/>
      <c r="AA97" s="47"/>
      <c r="AB97" s="47"/>
      <c r="AD97" s="47"/>
      <c r="AE97" s="11"/>
      <c r="AF97" s="11"/>
    </row>
    <row r="98" spans="5:36" ht="12" customHeight="1" x14ac:dyDescent="0.25">
      <c r="E98" s="24" t="s">
        <v>166</v>
      </c>
      <c r="Q98" s="223">
        <f>R98-0.02</f>
        <v>0.52856012632834293</v>
      </c>
      <c r="R98" s="223">
        <f>S98-0.02</f>
        <v>0.54856012632834295</v>
      </c>
      <c r="S98" s="223">
        <f>Income!CQ135</f>
        <v>0.56856012632834296</v>
      </c>
      <c r="T98" s="223"/>
      <c r="U98" s="223"/>
      <c r="V98" s="223">
        <f>S98+0.02</f>
        <v>0.58856012632834298</v>
      </c>
      <c r="W98" s="223">
        <f>V98+0.02</f>
        <v>0.608560126328343</v>
      </c>
      <c r="X98" s="1049" t="s">
        <v>725</v>
      </c>
      <c r="Y98" s="1049"/>
      <c r="Z98" s="1049"/>
      <c r="AC98" s="6"/>
      <c r="AD98" s="47"/>
      <c r="AE98" s="11"/>
      <c r="AF98" s="11"/>
    </row>
    <row r="99" spans="5:36" ht="12" customHeight="1" x14ac:dyDescent="0.25">
      <c r="E99" s="17">
        <f>E100+10</f>
        <v>32.626913394838589</v>
      </c>
      <c r="Q99" s="224">
        <f t="shared" ref="Q99:S103" si="18">(($E99*($V$27*(1+((Q$98))))+$W$12)/$W$10)</f>
        <v>-24.277014891912259</v>
      </c>
      <c r="R99" s="224">
        <f t="shared" si="18"/>
        <v>-24.733331691904326</v>
      </c>
      <c r="S99" s="224">
        <f t="shared" si="18"/>
        <v>-25.189648491896381</v>
      </c>
      <c r="T99" s="224"/>
      <c r="U99" s="224"/>
      <c r="V99" s="224">
        <f t="shared" ref="V99:W103" si="19">(($E99*($V$27*(1+((V$98))))+$W$12)/$W$10)</f>
        <v>-25.645965291888448</v>
      </c>
      <c r="W99" s="224">
        <f t="shared" si="19"/>
        <v>-26.102282091880504</v>
      </c>
      <c r="X99" s="224"/>
      <c r="Y99" s="224"/>
      <c r="AA99" s="13"/>
      <c r="AB99" s="13" t="s">
        <v>130</v>
      </c>
      <c r="AD99" s="47"/>
      <c r="AE99" s="11"/>
      <c r="AF99" s="11"/>
    </row>
    <row r="100" spans="5:36" ht="12" customHeight="1" thickBot="1" x14ac:dyDescent="0.3">
      <c r="E100" s="17">
        <f>E101+10</f>
        <v>22.626913394838589</v>
      </c>
      <c r="Q100" s="224">
        <f t="shared" si="18"/>
        <v>-13.587869139743859</v>
      </c>
      <c r="R100" s="224">
        <f t="shared" si="18"/>
        <v>-13.904326923815569</v>
      </c>
      <c r="S100" s="224">
        <f t="shared" si="18"/>
        <v>-14.220784707887278</v>
      </c>
      <c r="T100" s="224"/>
      <c r="U100" s="224"/>
      <c r="V100" s="224">
        <f t="shared" si="19"/>
        <v>-14.537242491958992</v>
      </c>
      <c r="W100" s="224">
        <f t="shared" si="19"/>
        <v>-14.853700276030702</v>
      </c>
      <c r="X100" s="106" t="s">
        <v>153</v>
      </c>
      <c r="Y100" s="106"/>
      <c r="Z100" s="236">
        <f>AVERAGE(AC101:AC65542)</f>
        <v>6.1710590659690858</v>
      </c>
      <c r="AC100" s="104" t="s">
        <v>387</v>
      </c>
      <c r="AD100" s="105" t="s">
        <v>388</v>
      </c>
      <c r="AE100" s="105" t="s">
        <v>390</v>
      </c>
      <c r="AF100" s="104" t="s">
        <v>389</v>
      </c>
      <c r="AG100" s="105" t="s">
        <v>388</v>
      </c>
      <c r="AH100" s="105" t="s">
        <v>390</v>
      </c>
      <c r="AI100" s="105"/>
      <c r="AJ100" s="105"/>
    </row>
    <row r="101" spans="5:36" ht="12" customHeight="1" thickBot="1" x14ac:dyDescent="0.3">
      <c r="E101" s="17">
        <f>Z60</f>
        <v>12.626913394838589</v>
      </c>
      <c r="Q101" s="224">
        <f t="shared" si="18"/>
        <v>-2.8987233875754561</v>
      </c>
      <c r="R101" s="224">
        <f t="shared" si="18"/>
        <v>-3.0753221557268171</v>
      </c>
      <c r="S101" s="339">
        <f t="shared" si="18"/>
        <v>-3.2519209238781768</v>
      </c>
      <c r="T101" s="971"/>
      <c r="U101" s="971"/>
      <c r="V101" s="224">
        <f t="shared" si="19"/>
        <v>-3.4285196920295382</v>
      </c>
      <c r="W101" s="224">
        <f t="shared" si="19"/>
        <v>-3.6051184601808997</v>
      </c>
      <c r="X101" s="106" t="s">
        <v>118</v>
      </c>
      <c r="Y101" s="106"/>
      <c r="Z101" s="236">
        <f>MAX(AC101:AC65542)</f>
        <v>12.666697485773183</v>
      </c>
      <c r="AA101" s="26"/>
      <c r="AB101" s="26">
        <v>35433</v>
      </c>
      <c r="AC101" s="43"/>
      <c r="AD101" s="25"/>
      <c r="AE101" s="43"/>
      <c r="AF101" s="43">
        <v>47.207447000000002</v>
      </c>
      <c r="AG101" s="25">
        <f>$Z$69</f>
        <v>26.02373316844486</v>
      </c>
      <c r="AH101" s="43">
        <v>28.164459125</v>
      </c>
      <c r="AI101" s="43"/>
      <c r="AJ101" s="43"/>
    </row>
    <row r="102" spans="5:36" ht="12" customHeight="1" x14ac:dyDescent="0.25">
      <c r="E102" s="17">
        <f>E101-10</f>
        <v>2.6269133948385885</v>
      </c>
      <c r="Q102" s="224">
        <f t="shared" si="18"/>
        <v>7.7904223645929473</v>
      </c>
      <c r="R102" s="224">
        <f t="shared" si="18"/>
        <v>7.7536826123619358</v>
      </c>
      <c r="S102" s="224">
        <f t="shared" si="18"/>
        <v>7.7169428601309251</v>
      </c>
      <c r="T102" s="224"/>
      <c r="U102" s="224"/>
      <c r="V102" s="224">
        <f t="shared" si="19"/>
        <v>7.6802031078999136</v>
      </c>
      <c r="W102" s="224">
        <f t="shared" si="19"/>
        <v>7.643463355668902</v>
      </c>
      <c r="X102" s="106" t="s">
        <v>116</v>
      </c>
      <c r="Y102" s="106"/>
      <c r="Z102" s="236">
        <f>MIN(AC101:AC65542)</f>
        <v>2.5812258359324085</v>
      </c>
      <c r="AA102" s="26"/>
      <c r="AB102" s="26">
        <v>35440</v>
      </c>
      <c r="AC102" s="43"/>
      <c r="AD102" s="25"/>
      <c r="AE102" s="43"/>
      <c r="AF102" s="43">
        <v>47.340426999999998</v>
      </c>
      <c r="AG102" s="25">
        <f t="shared" ref="AG102:AG165" si="20">$Z$69</f>
        <v>26.02373316844486</v>
      </c>
      <c r="AH102" s="43">
        <v>28.169324375000002</v>
      </c>
      <c r="AI102" s="43"/>
      <c r="AJ102" s="43"/>
    </row>
    <row r="103" spans="5:36" ht="12" customHeight="1" x14ac:dyDescent="0.25">
      <c r="E103" s="17">
        <f>E102-10</f>
        <v>-7.3730866051614115</v>
      </c>
      <c r="Q103" s="224">
        <f t="shared" si="18"/>
        <v>18.479568116761349</v>
      </c>
      <c r="R103" s="224">
        <f t="shared" si="18"/>
        <v>18.58268738045069</v>
      </c>
      <c r="S103" s="224">
        <f t="shared" si="18"/>
        <v>18.68580664414003</v>
      </c>
      <c r="T103" s="224"/>
      <c r="U103" s="224"/>
      <c r="V103" s="224">
        <f t="shared" si="19"/>
        <v>18.788925907829366</v>
      </c>
      <c r="W103" s="224">
        <f t="shared" si="19"/>
        <v>18.892045171518706</v>
      </c>
      <c r="X103" s="224"/>
      <c r="Y103" s="224"/>
      <c r="AA103" s="26"/>
      <c r="AB103" s="26">
        <v>35447</v>
      </c>
      <c r="AC103" s="43"/>
      <c r="AD103" s="25"/>
      <c r="AE103" s="43"/>
      <c r="AF103" s="43">
        <v>36.037235000000003</v>
      </c>
      <c r="AG103" s="25">
        <f t="shared" si="20"/>
        <v>26.02373316844486</v>
      </c>
      <c r="AH103" s="43">
        <v>27.188181625000002</v>
      </c>
      <c r="AI103" s="43"/>
      <c r="AJ103" s="43"/>
    </row>
    <row r="104" spans="5:36" ht="12" customHeight="1" x14ac:dyDescent="0.25">
      <c r="E104" s="101"/>
      <c r="J104" s="103"/>
      <c r="K104" s="103"/>
      <c r="L104" s="103"/>
      <c r="M104" s="103"/>
      <c r="N104" s="103"/>
      <c r="O104" s="103"/>
      <c r="P104" s="103"/>
      <c r="Q104" s="103"/>
      <c r="R104" s="103"/>
      <c r="AA104" s="26"/>
      <c r="AB104" s="26">
        <v>35454</v>
      </c>
      <c r="AC104" s="43"/>
      <c r="AD104" s="25"/>
      <c r="AE104" s="43"/>
      <c r="AF104" s="43">
        <v>38.031914</v>
      </c>
      <c r="AG104" s="25">
        <f t="shared" si="20"/>
        <v>26.02373316844486</v>
      </c>
      <c r="AH104" s="43">
        <v>27.36582275</v>
      </c>
      <c r="AI104" s="43"/>
      <c r="AJ104" s="43"/>
    </row>
    <row r="105" spans="5:36" ht="12" customHeight="1" x14ac:dyDescent="0.25">
      <c r="E105" s="225" t="s">
        <v>167</v>
      </c>
      <c r="J105" s="90"/>
      <c r="K105" s="90"/>
      <c r="L105" s="90"/>
      <c r="M105" s="88"/>
      <c r="N105" s="89"/>
      <c r="O105" s="89"/>
      <c r="P105" s="89"/>
      <c r="Q105" s="89"/>
      <c r="R105" s="89"/>
      <c r="S105" s="117"/>
      <c r="T105" s="117"/>
      <c r="U105" s="117"/>
      <c r="V105" s="117"/>
      <c r="W105" s="117"/>
      <c r="X105" s="117"/>
      <c r="Y105" s="117"/>
      <c r="Z105" s="117"/>
      <c r="AA105" s="26"/>
      <c r="AB105" s="26">
        <v>35461</v>
      </c>
      <c r="AC105" s="43"/>
      <c r="AD105" s="25"/>
      <c r="AE105" s="43"/>
      <c r="AF105" s="43">
        <v>37.5</v>
      </c>
      <c r="AG105" s="25">
        <f t="shared" si="20"/>
        <v>26.02373316844486</v>
      </c>
      <c r="AH105" s="43">
        <v>27.108155124999996</v>
      </c>
      <c r="AI105" s="43"/>
      <c r="AJ105" s="43"/>
    </row>
    <row r="106" spans="5:36" ht="12" customHeight="1" x14ac:dyDescent="0.25">
      <c r="E106" s="6"/>
      <c r="N106" s="100"/>
      <c r="O106" s="100"/>
      <c r="P106" s="100"/>
      <c r="Q106" s="100"/>
      <c r="R106" s="100"/>
      <c r="S106" s="1050"/>
      <c r="T106" s="1050"/>
      <c r="U106" s="1050"/>
      <c r="V106" s="1050"/>
      <c r="W106" s="1050"/>
      <c r="X106" s="1050"/>
      <c r="Y106" s="1050"/>
      <c r="Z106" s="1050"/>
      <c r="AA106" s="26"/>
      <c r="AB106" s="26">
        <v>35468</v>
      </c>
      <c r="AC106" s="43"/>
      <c r="AD106" s="25"/>
      <c r="AE106" s="43"/>
      <c r="AF106" s="43">
        <v>36.436169999999997</v>
      </c>
      <c r="AG106" s="25">
        <f t="shared" si="20"/>
        <v>26.02373316844486</v>
      </c>
      <c r="AH106" s="43">
        <v>27.080063625000005</v>
      </c>
      <c r="AI106" s="43"/>
      <c r="AJ106" s="43"/>
    </row>
    <row r="107" spans="5:36" ht="12" customHeight="1" x14ac:dyDescent="0.25">
      <c r="E107" s="100"/>
      <c r="J107" s="101"/>
      <c r="K107" s="101"/>
      <c r="L107" s="101"/>
      <c r="M107" s="101"/>
      <c r="N107" s="101"/>
      <c r="O107" s="101"/>
      <c r="P107" s="101"/>
      <c r="Q107" s="101"/>
      <c r="R107" s="101"/>
      <c r="S107" s="1048"/>
      <c r="T107" s="1048"/>
      <c r="U107" s="1048"/>
      <c r="V107" s="1048"/>
      <c r="W107" s="1048"/>
      <c r="X107" s="1048"/>
      <c r="Y107" s="1048"/>
      <c r="Z107" s="1048"/>
      <c r="AA107" s="26"/>
      <c r="AB107" s="26">
        <v>35475</v>
      </c>
      <c r="AC107" s="43"/>
      <c r="AD107" s="25"/>
      <c r="AE107" s="43"/>
      <c r="AF107" s="43">
        <v>35.372340000000001</v>
      </c>
      <c r="AG107" s="25">
        <f t="shared" si="20"/>
        <v>26.02373316844486</v>
      </c>
      <c r="AH107" s="43">
        <v>26.534550375000006</v>
      </c>
      <c r="AI107" s="43"/>
      <c r="AJ107" s="43"/>
    </row>
    <row r="108" spans="5:36" ht="12" customHeight="1" x14ac:dyDescent="0.25">
      <c r="E108" s="100"/>
      <c r="J108" s="101"/>
      <c r="K108" s="101"/>
      <c r="L108" s="101"/>
      <c r="M108" s="101"/>
      <c r="N108" s="101"/>
      <c r="O108" s="101"/>
      <c r="P108" s="101"/>
      <c r="Q108" s="101"/>
      <c r="R108" s="101"/>
      <c r="S108" s="1048"/>
      <c r="T108" s="1048"/>
      <c r="U108" s="1048"/>
      <c r="V108" s="1048"/>
      <c r="W108" s="1048"/>
      <c r="X108" s="1048"/>
      <c r="Y108" s="1048"/>
      <c r="Z108" s="1048"/>
      <c r="AA108" s="26"/>
      <c r="AB108" s="26">
        <v>35482</v>
      </c>
      <c r="AC108" s="43"/>
      <c r="AD108" s="25"/>
      <c r="AE108" s="43"/>
      <c r="AF108" s="43">
        <v>33.510640000000002</v>
      </c>
      <c r="AG108" s="25">
        <f t="shared" si="20"/>
        <v>26.02373316844486</v>
      </c>
      <c r="AH108" s="43">
        <v>25.722177375000001</v>
      </c>
      <c r="AI108" s="43"/>
      <c r="AJ108" s="43"/>
    </row>
    <row r="109" spans="5:36" ht="12" customHeight="1" x14ac:dyDescent="0.25">
      <c r="E109" s="100"/>
      <c r="J109" s="101"/>
      <c r="K109" s="101"/>
      <c r="L109" s="101"/>
      <c r="M109" s="101"/>
      <c r="N109" s="101"/>
      <c r="O109" s="101"/>
      <c r="P109" s="101"/>
      <c r="Q109" s="101"/>
      <c r="R109" s="101"/>
      <c r="S109" s="1048"/>
      <c r="T109" s="1048"/>
      <c r="U109" s="1048"/>
      <c r="V109" s="1048"/>
      <c r="W109" s="1048"/>
      <c r="X109" s="1048"/>
      <c r="Y109" s="1048"/>
      <c r="Z109" s="1048"/>
      <c r="AA109" s="26"/>
      <c r="AB109" s="26">
        <v>35489</v>
      </c>
      <c r="AC109" s="43"/>
      <c r="AD109" s="25"/>
      <c r="AE109" s="43"/>
      <c r="AF109" s="43">
        <v>32.446807999999997</v>
      </c>
      <c r="AG109" s="25">
        <f t="shared" si="20"/>
        <v>26.02373316844486</v>
      </c>
      <c r="AH109" s="43">
        <v>22.467678250000002</v>
      </c>
      <c r="AI109" s="43"/>
      <c r="AJ109" s="43"/>
    </row>
    <row r="110" spans="5:36" ht="12" customHeight="1" x14ac:dyDescent="0.25">
      <c r="E110" s="100"/>
      <c r="J110" s="101"/>
      <c r="K110" s="101"/>
      <c r="L110" s="101"/>
      <c r="M110" s="101"/>
      <c r="N110" s="101"/>
      <c r="O110" s="101"/>
      <c r="P110" s="101"/>
      <c r="Q110" s="101"/>
      <c r="R110" s="101"/>
      <c r="S110" s="1048"/>
      <c r="T110" s="1048"/>
      <c r="U110" s="1048"/>
      <c r="V110" s="1048"/>
      <c r="W110" s="1048"/>
      <c r="X110" s="1048"/>
      <c r="Y110" s="1048"/>
      <c r="Z110" s="1048"/>
      <c r="AA110" s="26"/>
      <c r="AB110" s="26">
        <v>35496</v>
      </c>
      <c r="AC110" s="43"/>
      <c r="AD110" s="25"/>
      <c r="AE110" s="43"/>
      <c r="AF110" s="43">
        <v>33.510640000000002</v>
      </c>
      <c r="AG110" s="25">
        <f t="shared" si="20"/>
        <v>26.02373316844486</v>
      </c>
      <c r="AH110" s="43">
        <v>23.558436374999999</v>
      </c>
      <c r="AI110" s="43"/>
      <c r="AJ110" s="43"/>
    </row>
    <row r="111" spans="5:36" ht="12" customHeight="1" x14ac:dyDescent="0.25">
      <c r="E111" s="100"/>
      <c r="J111" s="101"/>
      <c r="K111" s="101"/>
      <c r="L111" s="101"/>
      <c r="M111" s="101"/>
      <c r="N111" s="101"/>
      <c r="O111" s="101"/>
      <c r="P111" s="101"/>
      <c r="Q111" s="101"/>
      <c r="R111" s="101"/>
      <c r="S111" s="1048"/>
      <c r="T111" s="1048"/>
      <c r="U111" s="1048"/>
      <c r="V111" s="1048"/>
      <c r="W111" s="1048"/>
      <c r="X111" s="1048"/>
      <c r="Y111" s="1048"/>
      <c r="Z111" s="1048"/>
      <c r="AA111" s="26"/>
      <c r="AB111" s="26">
        <v>35503</v>
      </c>
      <c r="AC111" s="43"/>
      <c r="AD111" s="25"/>
      <c r="AE111" s="43"/>
      <c r="AF111" s="43">
        <v>35.372340000000001</v>
      </c>
      <c r="AG111" s="25">
        <f t="shared" si="20"/>
        <v>26.02373316844486</v>
      </c>
      <c r="AH111" s="43">
        <v>23.435419687500001</v>
      </c>
      <c r="AI111" s="43"/>
      <c r="AJ111" s="43"/>
    </row>
    <row r="112" spans="5:36" ht="12" customHeight="1" x14ac:dyDescent="0.25">
      <c r="E112" s="100"/>
      <c r="J112" s="101"/>
      <c r="K112" s="101"/>
      <c r="L112" s="101"/>
      <c r="M112" s="101"/>
      <c r="N112" s="101"/>
      <c r="O112" s="101"/>
      <c r="P112" s="101"/>
      <c r="Q112" s="101"/>
      <c r="R112" s="101"/>
      <c r="S112" s="1048"/>
      <c r="T112" s="1048"/>
      <c r="U112" s="1048"/>
      <c r="V112" s="1048"/>
      <c r="W112" s="1048"/>
      <c r="X112" s="1048"/>
      <c r="Y112" s="1048"/>
      <c r="Z112" s="1048"/>
      <c r="AA112" s="26"/>
      <c r="AB112" s="26">
        <v>35510</v>
      </c>
      <c r="AC112" s="43"/>
      <c r="AD112" s="25"/>
      <c r="AE112" s="43"/>
      <c r="AF112" s="43">
        <v>32.712764999999997</v>
      </c>
      <c r="AG112" s="25">
        <f t="shared" si="20"/>
        <v>26.02373316844486</v>
      </c>
      <c r="AH112" s="43">
        <v>22.759079375000002</v>
      </c>
      <c r="AI112" s="43"/>
      <c r="AJ112" s="43"/>
    </row>
    <row r="113" spans="5:36" ht="13.5" x14ac:dyDescent="0.25">
      <c r="E113" s="100"/>
      <c r="J113" s="101"/>
      <c r="K113" s="101"/>
      <c r="L113" s="101"/>
      <c r="M113" s="101"/>
      <c r="N113" s="101"/>
      <c r="O113" s="101"/>
      <c r="P113" s="101"/>
      <c r="Q113" s="101"/>
      <c r="R113" s="101"/>
      <c r="S113" s="1048"/>
      <c r="T113" s="1048"/>
      <c r="U113" s="1048"/>
      <c r="V113" s="1048"/>
      <c r="W113" s="1048"/>
      <c r="X113" s="1048"/>
      <c r="Y113" s="1048"/>
      <c r="Z113" s="1048"/>
      <c r="AA113" s="26"/>
      <c r="AB113" s="26">
        <v>35517</v>
      </c>
      <c r="AC113" s="43"/>
      <c r="AD113" s="25"/>
      <c r="AE113" s="43"/>
      <c r="AF113" s="43">
        <v>31.914894</v>
      </c>
      <c r="AG113" s="25">
        <f t="shared" si="20"/>
        <v>26.02373316844486</v>
      </c>
      <c r="AH113" s="43">
        <v>22.737635874999999</v>
      </c>
      <c r="AI113" s="43"/>
      <c r="AJ113" s="43"/>
    </row>
    <row r="114" spans="5:36" ht="13.5" x14ac:dyDescent="0.25">
      <c r="E114" s="100"/>
      <c r="J114" s="101"/>
      <c r="K114" s="101"/>
      <c r="L114" s="101"/>
      <c r="M114" s="101"/>
      <c r="N114" s="101"/>
      <c r="O114" s="101"/>
      <c r="P114" s="101"/>
      <c r="Q114" s="101"/>
      <c r="R114" s="101"/>
      <c r="S114" s="1048"/>
      <c r="T114" s="1048"/>
      <c r="U114" s="1048"/>
      <c r="V114" s="1048"/>
      <c r="W114" s="1048"/>
      <c r="X114" s="1048"/>
      <c r="Y114" s="1048"/>
      <c r="Z114" s="1048"/>
      <c r="AA114" s="26"/>
      <c r="AB114" s="26">
        <v>35524</v>
      </c>
      <c r="AC114" s="43"/>
      <c r="AD114" s="25"/>
      <c r="AE114" s="43"/>
      <c r="AF114" s="43">
        <v>29.255320000000001</v>
      </c>
      <c r="AG114" s="25">
        <f t="shared" si="20"/>
        <v>26.02373316844486</v>
      </c>
      <c r="AH114" s="43">
        <v>22.386136999999998</v>
      </c>
      <c r="AI114" s="43"/>
      <c r="AJ114" s="43"/>
    </row>
    <row r="115" spans="5:36" ht="13.5" x14ac:dyDescent="0.25">
      <c r="E115" s="100"/>
      <c r="J115" s="101"/>
      <c r="K115" s="101"/>
      <c r="L115" s="101"/>
      <c r="M115" s="101"/>
      <c r="N115" s="101"/>
      <c r="O115" s="101"/>
      <c r="P115" s="101"/>
      <c r="Q115" s="101"/>
      <c r="R115" s="101"/>
      <c r="S115" s="1048"/>
      <c r="T115" s="1048"/>
      <c r="U115" s="1048"/>
      <c r="V115" s="1048"/>
      <c r="W115" s="1048"/>
      <c r="X115" s="1048"/>
      <c r="Y115" s="1048"/>
      <c r="Z115" s="1048"/>
      <c r="AA115" s="26"/>
      <c r="AB115" s="26">
        <v>35531</v>
      </c>
      <c r="AC115" s="43"/>
      <c r="AD115" s="25"/>
      <c r="AE115" s="43"/>
      <c r="AF115" s="43">
        <v>28.723403999999999</v>
      </c>
      <c r="AG115" s="25">
        <f t="shared" si="20"/>
        <v>26.02373316844486</v>
      </c>
      <c r="AH115" s="43">
        <v>22.153627375000003</v>
      </c>
      <c r="AI115" s="43"/>
      <c r="AJ115" s="43"/>
    </row>
    <row r="116" spans="5:36" ht="13.5" x14ac:dyDescent="0.25">
      <c r="E116" s="100"/>
      <c r="J116" s="101"/>
      <c r="K116" s="101"/>
      <c r="L116" s="101"/>
      <c r="M116" s="101"/>
      <c r="N116" s="101"/>
      <c r="O116" s="101"/>
      <c r="P116" s="101"/>
      <c r="Q116" s="101"/>
      <c r="R116" s="101"/>
      <c r="S116" s="1048"/>
      <c r="T116" s="1048"/>
      <c r="U116" s="1048"/>
      <c r="V116" s="1048"/>
      <c r="W116" s="1048"/>
      <c r="X116" s="1048"/>
      <c r="Y116" s="1048"/>
      <c r="Z116" s="1048"/>
      <c r="AA116" s="26"/>
      <c r="AB116" s="26">
        <v>35538</v>
      </c>
      <c r="AC116" s="43"/>
      <c r="AD116" s="25"/>
      <c r="AE116" s="43"/>
      <c r="AF116" s="43">
        <v>30.053191999999999</v>
      </c>
      <c r="AG116" s="25">
        <f t="shared" si="20"/>
        <v>26.02373316844486</v>
      </c>
      <c r="AH116" s="43">
        <v>22.772420499999999</v>
      </c>
      <c r="AI116" s="43"/>
      <c r="AJ116" s="43"/>
    </row>
    <row r="117" spans="5:36" ht="13.5" x14ac:dyDescent="0.25">
      <c r="E117" s="100"/>
      <c r="J117" s="101"/>
      <c r="K117" s="101"/>
      <c r="L117" s="101"/>
      <c r="M117" s="101"/>
      <c r="N117" s="101"/>
      <c r="O117" s="101"/>
      <c r="P117" s="101"/>
      <c r="Q117" s="101"/>
      <c r="R117" s="101"/>
      <c r="S117" s="1048"/>
      <c r="T117" s="1048"/>
      <c r="U117" s="1048"/>
      <c r="V117" s="1048"/>
      <c r="W117" s="1048"/>
      <c r="X117" s="1048"/>
      <c r="Y117" s="1048"/>
      <c r="Z117" s="1048"/>
      <c r="AA117" s="26"/>
      <c r="AB117" s="26">
        <v>35545</v>
      </c>
      <c r="AC117" s="43"/>
      <c r="AD117" s="25"/>
      <c r="AE117" s="43"/>
      <c r="AF117" s="43">
        <v>28.457446999999998</v>
      </c>
      <c r="AG117" s="25">
        <f t="shared" si="20"/>
        <v>26.02373316844486</v>
      </c>
      <c r="AH117" s="43">
        <v>21.216509375000001</v>
      </c>
      <c r="AI117" s="43"/>
      <c r="AJ117" s="43"/>
    </row>
    <row r="118" spans="5:36" ht="13.5" x14ac:dyDescent="0.25">
      <c r="E118" s="100"/>
      <c r="J118" s="101"/>
      <c r="K118" s="101"/>
      <c r="L118" s="101"/>
      <c r="M118" s="101"/>
      <c r="N118" s="101"/>
      <c r="O118" s="101"/>
      <c r="P118" s="101"/>
      <c r="Q118" s="101"/>
      <c r="R118" s="101"/>
      <c r="S118" s="1048"/>
      <c r="T118" s="1048"/>
      <c r="U118" s="1048"/>
      <c r="V118" s="1048"/>
      <c r="W118" s="1048"/>
      <c r="X118" s="1048"/>
      <c r="Y118" s="1048"/>
      <c r="Z118" s="1048"/>
      <c r="AA118" s="26"/>
      <c r="AB118" s="26">
        <v>35552</v>
      </c>
      <c r="AC118" s="43"/>
      <c r="AD118" s="25"/>
      <c r="AE118" s="43"/>
      <c r="AF118" s="43">
        <v>27.925530999999999</v>
      </c>
      <c r="AG118" s="25">
        <f t="shared" si="20"/>
        <v>26.02373316844486</v>
      </c>
      <c r="AH118" s="43">
        <v>22.120676999999997</v>
      </c>
      <c r="AI118" s="43"/>
      <c r="AJ118" s="43"/>
    </row>
    <row r="119" spans="5:36" ht="13.5" x14ac:dyDescent="0.25">
      <c r="E119" s="100"/>
      <c r="J119" s="101"/>
      <c r="K119" s="101"/>
      <c r="L119" s="101"/>
      <c r="M119" s="101"/>
      <c r="N119" s="101"/>
      <c r="O119" s="101"/>
      <c r="P119" s="101"/>
      <c r="Q119" s="101"/>
      <c r="R119" s="101"/>
      <c r="S119" s="1048"/>
      <c r="T119" s="1048"/>
      <c r="U119" s="1048"/>
      <c r="V119" s="1048"/>
      <c r="W119" s="1048"/>
      <c r="X119" s="1048"/>
      <c r="Y119" s="1048"/>
      <c r="Z119" s="1048"/>
      <c r="AA119" s="26"/>
      <c r="AB119" s="26">
        <v>35559</v>
      </c>
      <c r="AC119" s="43"/>
      <c r="AD119" s="25"/>
      <c r="AE119" s="43"/>
      <c r="AF119" s="43">
        <v>32.712764999999997</v>
      </c>
      <c r="AG119" s="25">
        <f t="shared" si="20"/>
        <v>26.02373316844486</v>
      </c>
      <c r="AH119" s="43">
        <v>23.079464374999997</v>
      </c>
      <c r="AI119" s="43"/>
      <c r="AJ119" s="43"/>
    </row>
    <row r="120" spans="5:36" ht="13.5" x14ac:dyDescent="0.25">
      <c r="E120" s="100"/>
      <c r="J120" s="101"/>
      <c r="K120" s="101"/>
      <c r="L120" s="101"/>
      <c r="M120" s="101"/>
      <c r="N120" s="101"/>
      <c r="O120" s="101"/>
      <c r="P120" s="101"/>
      <c r="Q120" s="101"/>
      <c r="R120" s="101"/>
      <c r="S120" s="1048"/>
      <c r="T120" s="1048"/>
      <c r="U120" s="1048"/>
      <c r="V120" s="1048"/>
      <c r="W120" s="1048"/>
      <c r="X120" s="1048"/>
      <c r="Y120" s="1048"/>
      <c r="Z120" s="1048"/>
      <c r="AA120" s="26"/>
      <c r="AB120" s="26">
        <v>35566</v>
      </c>
      <c r="AC120" s="43"/>
      <c r="AD120" s="25"/>
      <c r="AE120" s="43"/>
      <c r="AF120" s="43">
        <v>34.308509999999998</v>
      </c>
      <c r="AG120" s="25">
        <f t="shared" si="20"/>
        <v>26.02373316844486</v>
      </c>
      <c r="AH120" s="43">
        <v>23.447959624999999</v>
      </c>
      <c r="AI120" s="43"/>
      <c r="AJ120" s="43"/>
    </row>
    <row r="121" spans="5:36" ht="13.5" x14ac:dyDescent="0.25">
      <c r="E121" s="100"/>
      <c r="J121" s="101"/>
      <c r="K121" s="101"/>
      <c r="L121" s="101"/>
      <c r="M121" s="101"/>
      <c r="N121" s="101"/>
      <c r="O121" s="101"/>
      <c r="P121" s="101"/>
      <c r="Q121" s="101"/>
      <c r="R121" s="101"/>
      <c r="S121" s="1048"/>
      <c r="T121" s="1048"/>
      <c r="U121" s="1048"/>
      <c r="V121" s="1048"/>
      <c r="W121" s="1048"/>
      <c r="X121" s="1048"/>
      <c r="Y121" s="1048"/>
      <c r="Z121" s="1048"/>
      <c r="AA121" s="26"/>
      <c r="AB121" s="26">
        <v>35573</v>
      </c>
      <c r="AC121" s="43"/>
      <c r="AD121" s="25"/>
      <c r="AE121" s="43"/>
      <c r="AF121" s="43">
        <v>33.776595999999998</v>
      </c>
      <c r="AG121" s="25">
        <f t="shared" si="20"/>
        <v>26.02373316844486</v>
      </c>
      <c r="AH121" s="43">
        <v>23.727053250000001</v>
      </c>
      <c r="AI121" s="43"/>
      <c r="AJ121" s="43"/>
    </row>
    <row r="122" spans="5:36" ht="13.5" x14ac:dyDescent="0.25">
      <c r="E122" s="100"/>
      <c r="J122" s="101"/>
      <c r="K122" s="101"/>
      <c r="L122" s="101"/>
      <c r="M122" s="101"/>
      <c r="N122" s="101"/>
      <c r="O122" s="101"/>
      <c r="P122" s="101"/>
      <c r="Q122" s="101"/>
      <c r="R122" s="101"/>
      <c r="S122" s="1048"/>
      <c r="T122" s="1048"/>
      <c r="U122" s="1048"/>
      <c r="V122" s="1048"/>
      <c r="W122" s="1048"/>
      <c r="X122" s="1048"/>
      <c r="Y122" s="1048"/>
      <c r="Z122" s="1048"/>
      <c r="AA122" s="26"/>
      <c r="AB122" s="26">
        <v>35580</v>
      </c>
      <c r="AC122" s="43"/>
      <c r="AD122" s="25"/>
      <c r="AE122" s="43"/>
      <c r="AF122" s="43">
        <v>28.333331999999999</v>
      </c>
      <c r="AG122" s="25">
        <f t="shared" si="20"/>
        <v>26.02373316844486</v>
      </c>
      <c r="AH122" s="43">
        <v>25.151318285714279</v>
      </c>
      <c r="AI122" s="43"/>
      <c r="AJ122" s="43"/>
    </row>
    <row r="123" spans="5:36" ht="13.5" x14ac:dyDescent="0.25">
      <c r="E123" s="100"/>
      <c r="J123" s="101"/>
      <c r="K123" s="101"/>
      <c r="L123" s="101"/>
      <c r="M123" s="101"/>
      <c r="N123" s="101"/>
      <c r="O123" s="101"/>
      <c r="P123" s="101"/>
      <c r="Q123" s="101"/>
      <c r="R123" s="101"/>
      <c r="S123" s="1048"/>
      <c r="T123" s="1048"/>
      <c r="U123" s="1048"/>
      <c r="V123" s="1048"/>
      <c r="W123" s="1048"/>
      <c r="X123" s="1048"/>
      <c r="Y123" s="1048"/>
      <c r="Z123" s="1048"/>
      <c r="AA123" s="26"/>
      <c r="AB123" s="26">
        <v>35587</v>
      </c>
      <c r="AC123" s="43"/>
      <c r="AD123" s="25"/>
      <c r="AE123" s="43"/>
      <c r="AF123" s="43">
        <v>29.791665999999999</v>
      </c>
      <c r="AG123" s="25">
        <f t="shared" si="20"/>
        <v>26.02373316844486</v>
      </c>
      <c r="AH123" s="43">
        <v>26.15959471428571</v>
      </c>
      <c r="AI123" s="43"/>
      <c r="AJ123" s="43"/>
    </row>
    <row r="124" spans="5:36" ht="13.5" x14ac:dyDescent="0.25">
      <c r="E124" s="100"/>
      <c r="J124" s="101"/>
      <c r="K124" s="101"/>
      <c r="L124" s="101"/>
      <c r="M124" s="101"/>
      <c r="N124" s="101"/>
      <c r="O124" s="101"/>
      <c r="P124" s="101"/>
      <c r="Q124" s="101"/>
      <c r="R124" s="101"/>
      <c r="S124" s="1048"/>
      <c r="T124" s="1048"/>
      <c r="U124" s="1048"/>
      <c r="V124" s="1048"/>
      <c r="W124" s="1048"/>
      <c r="X124" s="1048"/>
      <c r="Y124" s="1048"/>
      <c r="Z124" s="1048"/>
      <c r="AA124" s="26"/>
      <c r="AB124" s="26">
        <v>35594</v>
      </c>
      <c r="AC124" s="43"/>
      <c r="AD124" s="25"/>
      <c r="AE124" s="43"/>
      <c r="AF124" s="43">
        <v>30.208331999999999</v>
      </c>
      <c r="AG124" s="25">
        <f t="shared" si="20"/>
        <v>26.02373316844486</v>
      </c>
      <c r="AH124" s="43">
        <v>26.465295285714287</v>
      </c>
      <c r="AI124" s="43"/>
      <c r="AJ124" s="43"/>
    </row>
    <row r="125" spans="5:36" ht="13.5" x14ac:dyDescent="0.25">
      <c r="E125" s="100"/>
      <c r="J125" s="101"/>
      <c r="K125" s="101"/>
      <c r="L125" s="101"/>
      <c r="M125" s="101"/>
      <c r="N125" s="101"/>
      <c r="O125" s="101"/>
      <c r="P125" s="101"/>
      <c r="Q125" s="101"/>
      <c r="R125" s="101"/>
      <c r="S125" s="1048"/>
      <c r="T125" s="1048"/>
      <c r="U125" s="1048"/>
      <c r="V125" s="1048"/>
      <c r="W125" s="1048"/>
      <c r="X125" s="1048"/>
      <c r="Y125" s="1048"/>
      <c r="Z125" s="1048"/>
      <c r="AA125" s="26"/>
      <c r="AB125" s="26">
        <v>35601</v>
      </c>
      <c r="AC125" s="43"/>
      <c r="AD125" s="25"/>
      <c r="AE125" s="43"/>
      <c r="AF125" s="43">
        <v>29.999998000000001</v>
      </c>
      <c r="AG125" s="25">
        <f t="shared" si="20"/>
        <v>26.02373316844486</v>
      </c>
      <c r="AH125" s="43">
        <v>26.960787714285715</v>
      </c>
      <c r="AI125" s="43"/>
      <c r="AJ125" s="43"/>
    </row>
    <row r="126" spans="5:36" ht="13.5" x14ac:dyDescent="0.25">
      <c r="E126" s="100"/>
      <c r="J126" s="101"/>
      <c r="K126" s="101"/>
      <c r="L126" s="101"/>
      <c r="M126" s="101"/>
      <c r="N126" s="101"/>
      <c r="O126" s="101"/>
      <c r="P126" s="101"/>
      <c r="Q126" s="101"/>
      <c r="R126" s="101"/>
      <c r="S126" s="1048"/>
      <c r="T126" s="1048"/>
      <c r="U126" s="1048"/>
      <c r="V126" s="1048"/>
      <c r="W126" s="1048"/>
      <c r="X126" s="1048"/>
      <c r="Y126" s="1048"/>
      <c r="Z126" s="1048"/>
      <c r="AA126" s="26"/>
      <c r="AB126" s="26">
        <v>35608</v>
      </c>
      <c r="AC126" s="43"/>
      <c r="AD126" s="25"/>
      <c r="AE126" s="43"/>
      <c r="AF126" s="43">
        <v>31.979165999999999</v>
      </c>
      <c r="AG126" s="25">
        <f t="shared" si="20"/>
        <v>26.02373316844486</v>
      </c>
      <c r="AH126" s="43">
        <v>26.56231414285714</v>
      </c>
      <c r="AI126" s="43"/>
      <c r="AJ126" s="43"/>
    </row>
    <row r="127" spans="5:36" ht="13.5" x14ac:dyDescent="0.25">
      <c r="AA127" s="26"/>
      <c r="AB127" s="26">
        <v>35615</v>
      </c>
      <c r="AC127" s="43"/>
      <c r="AD127" s="25"/>
      <c r="AE127" s="43"/>
      <c r="AF127" s="43">
        <v>34.631144999999997</v>
      </c>
      <c r="AG127" s="25">
        <f t="shared" si="20"/>
        <v>26.02373316844486</v>
      </c>
      <c r="AH127" s="43">
        <v>27.458531857142862</v>
      </c>
      <c r="AI127" s="43"/>
      <c r="AJ127" s="43"/>
    </row>
    <row r="128" spans="5:36" ht="13.5" x14ac:dyDescent="0.25">
      <c r="AA128" s="26"/>
      <c r="AB128" s="26">
        <v>35622</v>
      </c>
      <c r="AC128" s="43"/>
      <c r="AD128" s="25"/>
      <c r="AE128" s="43"/>
      <c r="AF128" s="43">
        <v>32.786884000000001</v>
      </c>
      <c r="AG128" s="25">
        <f t="shared" si="20"/>
        <v>26.02373316844486</v>
      </c>
      <c r="AH128" s="43">
        <v>27.738845142857141</v>
      </c>
      <c r="AI128" s="43"/>
      <c r="AJ128" s="43"/>
    </row>
    <row r="129" spans="27:36" ht="13.5" x14ac:dyDescent="0.25">
      <c r="AA129" s="26"/>
      <c r="AB129" s="26">
        <v>35629</v>
      </c>
      <c r="AC129" s="43"/>
      <c r="AD129" s="25"/>
      <c r="AE129" s="43"/>
      <c r="AF129" s="43">
        <v>29.713114000000001</v>
      </c>
      <c r="AG129" s="25">
        <f t="shared" si="20"/>
        <v>26.02373316844486</v>
      </c>
      <c r="AH129" s="43">
        <v>27.920579571428568</v>
      </c>
      <c r="AI129" s="43"/>
      <c r="AJ129" s="43"/>
    </row>
    <row r="130" spans="27:36" ht="13.5" x14ac:dyDescent="0.25">
      <c r="AA130" s="26"/>
      <c r="AB130" s="26">
        <v>35636</v>
      </c>
      <c r="AC130" s="43"/>
      <c r="AD130" s="25"/>
      <c r="AE130" s="43"/>
      <c r="AF130" s="43">
        <v>30.532785000000001</v>
      </c>
      <c r="AG130" s="25">
        <f t="shared" si="20"/>
        <v>26.02373316844486</v>
      </c>
      <c r="AH130" s="43">
        <v>27.720842714285716</v>
      </c>
      <c r="AI130" s="43"/>
      <c r="AJ130" s="43"/>
    </row>
    <row r="131" spans="27:36" ht="13.5" x14ac:dyDescent="0.25">
      <c r="AA131" s="26"/>
      <c r="AB131" s="26">
        <v>35643</v>
      </c>
      <c r="AC131" s="43"/>
      <c r="AD131" s="25"/>
      <c r="AE131" s="43"/>
      <c r="AF131" s="43">
        <v>32.708331999999999</v>
      </c>
      <c r="AG131" s="25">
        <f t="shared" si="20"/>
        <v>26.02373316844486</v>
      </c>
      <c r="AH131" s="43">
        <v>28.299897571428573</v>
      </c>
      <c r="AI131" s="43"/>
      <c r="AJ131" s="43"/>
    </row>
    <row r="132" spans="27:36" ht="13.5" x14ac:dyDescent="0.25">
      <c r="AA132" s="26"/>
      <c r="AB132" s="26">
        <v>35650</v>
      </c>
      <c r="AC132" s="43"/>
      <c r="AD132" s="25"/>
      <c r="AE132" s="43"/>
      <c r="AF132" s="43">
        <v>30.208331999999999</v>
      </c>
      <c r="AG132" s="25">
        <f t="shared" si="20"/>
        <v>26.02373316844486</v>
      </c>
      <c r="AH132" s="43">
        <v>28.275051285714287</v>
      </c>
      <c r="AI132" s="43"/>
      <c r="AJ132" s="43"/>
    </row>
    <row r="133" spans="27:36" ht="13.5" x14ac:dyDescent="0.25">
      <c r="AA133" s="26"/>
      <c r="AB133" s="26">
        <v>35657</v>
      </c>
      <c r="AC133" s="43"/>
      <c r="AD133" s="25"/>
      <c r="AE133" s="43"/>
      <c r="AF133" s="43">
        <v>31.354165999999999</v>
      </c>
      <c r="AG133" s="25">
        <f t="shared" si="20"/>
        <v>26.02373316844486</v>
      </c>
      <c r="AH133" s="43">
        <v>27.903942000000001</v>
      </c>
      <c r="AI133" s="43"/>
      <c r="AJ133" s="43"/>
    </row>
    <row r="134" spans="27:36" ht="13.5" x14ac:dyDescent="0.25">
      <c r="AA134" s="26"/>
      <c r="AB134" s="26">
        <v>35664</v>
      </c>
      <c r="AC134" s="43"/>
      <c r="AD134" s="25"/>
      <c r="AE134" s="43"/>
      <c r="AF134" s="43">
        <v>30.104165999999999</v>
      </c>
      <c r="AG134" s="25">
        <f t="shared" si="20"/>
        <v>26.02373316844486</v>
      </c>
      <c r="AH134" s="43">
        <v>27.206147857142859</v>
      </c>
      <c r="AI134" s="43"/>
      <c r="AJ134" s="43"/>
    </row>
    <row r="135" spans="27:36" ht="13.5" x14ac:dyDescent="0.25">
      <c r="AA135" s="26"/>
      <c r="AB135" s="26">
        <v>35671</v>
      </c>
      <c r="AC135" s="43"/>
      <c r="AD135" s="25"/>
      <c r="AE135" s="43"/>
      <c r="AF135" s="43">
        <v>29.583331999999999</v>
      </c>
      <c r="AG135" s="25">
        <f t="shared" si="20"/>
        <v>26.02373316844486</v>
      </c>
      <c r="AH135" s="43">
        <v>28.328481142857139</v>
      </c>
      <c r="AI135" s="43"/>
      <c r="AJ135" s="43"/>
    </row>
    <row r="136" spans="27:36" ht="13.5" x14ac:dyDescent="0.25">
      <c r="AA136" s="26"/>
      <c r="AB136" s="26">
        <v>35678</v>
      </c>
      <c r="AC136" s="43"/>
      <c r="AD136" s="25"/>
      <c r="AE136" s="43"/>
      <c r="AF136" s="43">
        <v>30.312498000000001</v>
      </c>
      <c r="AG136" s="25">
        <f t="shared" si="20"/>
        <v>26.02373316844486</v>
      </c>
      <c r="AH136" s="43">
        <v>28.738782428571426</v>
      </c>
      <c r="AI136" s="43"/>
      <c r="AJ136" s="43"/>
    </row>
    <row r="137" spans="27:36" ht="13.5" x14ac:dyDescent="0.25">
      <c r="AA137" s="26"/>
      <c r="AB137" s="26">
        <v>35685</v>
      </c>
      <c r="AC137" s="43"/>
      <c r="AD137" s="25"/>
      <c r="AE137" s="43"/>
      <c r="AF137" s="43">
        <v>31.041665999999999</v>
      </c>
      <c r="AG137" s="25">
        <f t="shared" si="20"/>
        <v>26.02373316844486</v>
      </c>
      <c r="AH137" s="43">
        <v>29.30352228571428</v>
      </c>
      <c r="AI137" s="43"/>
      <c r="AJ137" s="43"/>
    </row>
    <row r="138" spans="27:36" ht="13.5" x14ac:dyDescent="0.25">
      <c r="AA138" s="26"/>
      <c r="AB138" s="26">
        <v>35692</v>
      </c>
      <c r="AC138" s="43"/>
      <c r="AD138" s="25"/>
      <c r="AE138" s="43"/>
      <c r="AF138" s="43">
        <v>31.458331999999999</v>
      </c>
      <c r="AG138" s="25">
        <f t="shared" si="20"/>
        <v>26.02373316844486</v>
      </c>
      <c r="AH138" s="43">
        <v>29.757743857142859</v>
      </c>
      <c r="AI138" s="43"/>
      <c r="AJ138" s="43"/>
    </row>
    <row r="139" spans="27:36" ht="13.5" x14ac:dyDescent="0.25">
      <c r="AA139" s="26"/>
      <c r="AB139" s="26">
        <v>35699</v>
      </c>
      <c r="AC139" s="43"/>
      <c r="AD139" s="25"/>
      <c r="AE139" s="43"/>
      <c r="AF139" s="43">
        <v>30.624998000000001</v>
      </c>
      <c r="AG139" s="25">
        <f t="shared" si="20"/>
        <v>26.02373316844486</v>
      </c>
      <c r="AH139" s="43">
        <v>29.128899571428573</v>
      </c>
      <c r="AI139" s="43"/>
      <c r="AJ139" s="43"/>
    </row>
    <row r="140" spans="27:36" ht="13.5" x14ac:dyDescent="0.25">
      <c r="AA140" s="26"/>
      <c r="AB140" s="26">
        <v>35706</v>
      </c>
      <c r="AC140" s="43"/>
      <c r="AD140" s="25"/>
      <c r="AE140" s="43"/>
      <c r="AF140" s="43">
        <v>31.249998000000001</v>
      </c>
      <c r="AG140" s="25">
        <f t="shared" si="20"/>
        <v>26.02373316844486</v>
      </c>
      <c r="AH140" s="43">
        <v>28.335516374999997</v>
      </c>
      <c r="AI140" s="43"/>
      <c r="AJ140" s="43"/>
    </row>
    <row r="141" spans="27:36" ht="13.5" x14ac:dyDescent="0.25">
      <c r="AA141" s="26"/>
      <c r="AB141" s="26">
        <v>35713</v>
      </c>
      <c r="AC141" s="43"/>
      <c r="AD141" s="25"/>
      <c r="AE141" s="43"/>
      <c r="AF141" s="43">
        <v>30.520831999999999</v>
      </c>
      <c r="AG141" s="25">
        <f t="shared" si="20"/>
        <v>26.02373316844486</v>
      </c>
      <c r="AH141" s="43">
        <v>25.815487000000001</v>
      </c>
      <c r="AI141" s="43"/>
      <c r="AJ141" s="43"/>
    </row>
    <row r="142" spans="27:36" ht="13.5" x14ac:dyDescent="0.25">
      <c r="AA142" s="26"/>
      <c r="AB142" s="26">
        <v>35720</v>
      </c>
      <c r="AC142" s="43"/>
      <c r="AD142" s="25"/>
      <c r="AE142" s="43"/>
      <c r="AF142" s="43">
        <v>27.499998000000001</v>
      </c>
      <c r="AG142" s="25">
        <f t="shared" si="20"/>
        <v>26.02373316844486</v>
      </c>
      <c r="AH142" s="43">
        <v>25.469458375000002</v>
      </c>
      <c r="AI142" s="43"/>
      <c r="AJ142" s="43"/>
    </row>
    <row r="143" spans="27:36" ht="13.5" x14ac:dyDescent="0.25">
      <c r="AA143" s="26"/>
      <c r="AB143" s="26">
        <v>35727</v>
      </c>
      <c r="AC143" s="43"/>
      <c r="AD143" s="25"/>
      <c r="AE143" s="43"/>
      <c r="AF143" s="43">
        <v>27.291665999999999</v>
      </c>
      <c r="AG143" s="25">
        <f t="shared" si="20"/>
        <v>26.02373316844486</v>
      </c>
      <c r="AH143" s="43">
        <v>25.501098625000001</v>
      </c>
      <c r="AI143" s="43"/>
      <c r="AJ143" s="43"/>
    </row>
    <row r="144" spans="27:36" ht="13.5" x14ac:dyDescent="0.25">
      <c r="AA144" s="26"/>
      <c r="AB144" s="26">
        <v>35734</v>
      </c>
      <c r="AC144" s="43"/>
      <c r="AD144" s="25"/>
      <c r="AE144" s="43"/>
      <c r="AF144" s="43">
        <v>27.395831999999999</v>
      </c>
      <c r="AG144" s="25">
        <f t="shared" si="20"/>
        <v>26.02373316844486</v>
      </c>
      <c r="AH144" s="43">
        <v>24.964834124999999</v>
      </c>
      <c r="AI144" s="43"/>
      <c r="AJ144" s="43"/>
    </row>
    <row r="145" spans="27:36" ht="13.5" x14ac:dyDescent="0.25">
      <c r="AA145" s="26"/>
      <c r="AB145" s="26">
        <v>35741</v>
      </c>
      <c r="AC145" s="43"/>
      <c r="AD145" s="25"/>
      <c r="AE145" s="43"/>
      <c r="AF145" s="43">
        <v>26.458331999999999</v>
      </c>
      <c r="AG145" s="25">
        <f t="shared" si="20"/>
        <v>26.02373316844486</v>
      </c>
      <c r="AH145" s="43">
        <v>24.980841624999996</v>
      </c>
      <c r="AI145" s="43"/>
      <c r="AJ145" s="43"/>
    </row>
    <row r="146" spans="27:36" ht="13.5" x14ac:dyDescent="0.25">
      <c r="AA146" s="26"/>
      <c r="AB146" s="26">
        <v>35748</v>
      </c>
      <c r="AC146" s="43"/>
      <c r="AD146" s="25"/>
      <c r="AE146" s="43"/>
      <c r="AF146" s="43">
        <v>26.874998000000001</v>
      </c>
      <c r="AG146" s="25">
        <f t="shared" si="20"/>
        <v>26.02373316844486</v>
      </c>
      <c r="AH146" s="43">
        <v>24.962174749999999</v>
      </c>
      <c r="AI146" s="43"/>
      <c r="AJ146" s="43"/>
    </row>
    <row r="147" spans="27:36" ht="13.5" x14ac:dyDescent="0.25">
      <c r="AA147" s="26"/>
      <c r="AB147" s="26">
        <v>35755</v>
      </c>
      <c r="AC147" s="43"/>
      <c r="AD147" s="25"/>
      <c r="AE147" s="43"/>
      <c r="AF147" s="43">
        <v>28.229165999999999</v>
      </c>
      <c r="AG147" s="25">
        <f t="shared" si="20"/>
        <v>26.02373316844486</v>
      </c>
      <c r="AH147" s="43">
        <v>25.178195000000002</v>
      </c>
      <c r="AI147" s="43"/>
      <c r="AJ147" s="43"/>
    </row>
    <row r="148" spans="27:36" ht="13.5" x14ac:dyDescent="0.25">
      <c r="AA148" s="26"/>
      <c r="AB148" s="26">
        <v>35762</v>
      </c>
      <c r="AC148" s="43"/>
      <c r="AD148" s="25"/>
      <c r="AE148" s="43"/>
      <c r="AF148" s="43">
        <v>28.645831999999999</v>
      </c>
      <c r="AG148" s="25">
        <f t="shared" si="20"/>
        <v>26.02373316844486</v>
      </c>
      <c r="AH148" s="43">
        <v>23.378225</v>
      </c>
      <c r="AI148" s="43"/>
      <c r="AJ148" s="43"/>
    </row>
    <row r="149" spans="27:36" ht="13.5" x14ac:dyDescent="0.25">
      <c r="AA149" s="26"/>
      <c r="AB149" s="26">
        <v>35769</v>
      </c>
      <c r="AC149" s="43"/>
      <c r="AD149" s="25"/>
      <c r="AE149" s="43"/>
      <c r="AF149" s="43">
        <v>27.708331999999999</v>
      </c>
      <c r="AG149" s="25">
        <f t="shared" si="20"/>
        <v>26.02373316844486</v>
      </c>
      <c r="AH149" s="43">
        <v>23.575517555555557</v>
      </c>
      <c r="AI149" s="43"/>
      <c r="AJ149" s="43"/>
    </row>
    <row r="150" spans="27:36" ht="13.5" x14ac:dyDescent="0.25">
      <c r="AA150" s="26"/>
      <c r="AB150" s="26">
        <v>35776</v>
      </c>
      <c r="AC150" s="43"/>
      <c r="AD150" s="25"/>
      <c r="AE150" s="43"/>
      <c r="AF150" s="43">
        <v>26.979165999999999</v>
      </c>
      <c r="AG150" s="25">
        <f t="shared" si="20"/>
        <v>26.02373316844486</v>
      </c>
      <c r="AH150" s="43">
        <v>23.262113666666668</v>
      </c>
      <c r="AI150" s="43"/>
      <c r="AJ150" s="43"/>
    </row>
    <row r="151" spans="27:36" ht="13.5" x14ac:dyDescent="0.25">
      <c r="AA151" s="26"/>
      <c r="AB151" s="26">
        <v>35783</v>
      </c>
      <c r="AC151" s="43"/>
      <c r="AD151" s="25"/>
      <c r="AE151" s="43"/>
      <c r="AF151" s="43">
        <v>27.291665999999999</v>
      </c>
      <c r="AG151" s="25">
        <f t="shared" si="20"/>
        <v>26.02373316844486</v>
      </c>
      <c r="AH151" s="43">
        <v>23.219317444444442</v>
      </c>
      <c r="AI151" s="43"/>
      <c r="AJ151" s="43"/>
    </row>
    <row r="152" spans="27:36" ht="13.5" x14ac:dyDescent="0.25">
      <c r="AA152" s="26"/>
      <c r="AB152" s="26">
        <v>35790</v>
      </c>
      <c r="AC152" s="43"/>
      <c r="AD152" s="25"/>
      <c r="AE152" s="43"/>
      <c r="AF152" s="43">
        <v>28.541665999999999</v>
      </c>
      <c r="AG152" s="25">
        <f t="shared" si="20"/>
        <v>26.02373316844486</v>
      </c>
      <c r="AH152" s="43">
        <v>23.443259666666666</v>
      </c>
      <c r="AI152" s="43"/>
      <c r="AJ152" s="43"/>
    </row>
    <row r="153" spans="27:36" ht="13.5" x14ac:dyDescent="0.25">
      <c r="AA153" s="26"/>
      <c r="AB153" s="26">
        <v>35797</v>
      </c>
      <c r="AC153" s="43"/>
      <c r="AD153" s="25"/>
      <c r="AE153" s="43"/>
      <c r="AF153" s="43">
        <v>32.083331999999999</v>
      </c>
      <c r="AG153" s="25">
        <f t="shared" si="20"/>
        <v>26.02373316844486</v>
      </c>
      <c r="AH153" s="43">
        <v>25.14027766666667</v>
      </c>
      <c r="AI153" s="43"/>
      <c r="AJ153" s="43"/>
    </row>
    <row r="154" spans="27:36" ht="13.5" x14ac:dyDescent="0.25">
      <c r="AA154" s="26"/>
      <c r="AB154" s="26">
        <v>35804</v>
      </c>
      <c r="AC154" s="43"/>
      <c r="AD154" s="25"/>
      <c r="AE154" s="43"/>
      <c r="AF154" s="43">
        <v>29.270831999999999</v>
      </c>
      <c r="AG154" s="25">
        <f t="shared" si="20"/>
        <v>26.02373316844486</v>
      </c>
      <c r="AH154" s="43">
        <v>24.215450999999998</v>
      </c>
      <c r="AI154" s="43"/>
      <c r="AJ154" s="43"/>
    </row>
    <row r="155" spans="27:36" ht="13.5" x14ac:dyDescent="0.25">
      <c r="AA155" s="26"/>
      <c r="AB155" s="26">
        <v>35811</v>
      </c>
      <c r="AC155" s="43"/>
      <c r="AD155" s="25"/>
      <c r="AE155" s="43"/>
      <c r="AF155" s="43">
        <v>29.479165999999999</v>
      </c>
      <c r="AG155" s="25">
        <f t="shared" si="20"/>
        <v>26.02373316844486</v>
      </c>
      <c r="AH155" s="43">
        <v>24.650328333333334</v>
      </c>
      <c r="AI155" s="43"/>
      <c r="AJ155" s="43"/>
    </row>
    <row r="156" spans="27:36" ht="13.5" x14ac:dyDescent="0.25">
      <c r="AA156" s="26"/>
      <c r="AB156" s="26">
        <v>35818</v>
      </c>
      <c r="AC156" s="43"/>
      <c r="AD156" s="25"/>
      <c r="AE156" s="43"/>
      <c r="AF156" s="43">
        <v>28.958331999999999</v>
      </c>
      <c r="AG156" s="25">
        <f t="shared" si="20"/>
        <v>26.02373316844486</v>
      </c>
      <c r="AH156" s="43">
        <v>24.265236333333334</v>
      </c>
      <c r="AI156" s="43"/>
      <c r="AJ156" s="43"/>
    </row>
    <row r="157" spans="27:36" ht="13.5" x14ac:dyDescent="0.25">
      <c r="AA157" s="26"/>
      <c r="AB157" s="26">
        <v>35825</v>
      </c>
      <c r="AC157" s="43"/>
      <c r="AD157" s="25"/>
      <c r="AE157" s="43"/>
      <c r="AF157" s="43">
        <v>28.333331999999999</v>
      </c>
      <c r="AG157" s="25">
        <f t="shared" si="20"/>
        <v>26.02373316844486</v>
      </c>
      <c r="AH157" s="43">
        <v>25.221659666666667</v>
      </c>
      <c r="AI157" s="43"/>
      <c r="AJ157" s="43"/>
    </row>
    <row r="158" spans="27:36" ht="13.5" x14ac:dyDescent="0.25">
      <c r="AA158" s="26"/>
      <c r="AB158" s="26">
        <v>35832</v>
      </c>
      <c r="AC158" s="43"/>
      <c r="AD158" s="25"/>
      <c r="AE158" s="43"/>
      <c r="AF158" s="43">
        <v>31.874998000000001</v>
      </c>
      <c r="AG158" s="25">
        <f t="shared" si="20"/>
        <v>26.02373316844486</v>
      </c>
      <c r="AH158" s="43">
        <v>26.278991555555553</v>
      </c>
      <c r="AI158" s="43"/>
      <c r="AJ158" s="43"/>
    </row>
    <row r="159" spans="27:36" ht="13.5" x14ac:dyDescent="0.25">
      <c r="AA159" s="26"/>
      <c r="AB159" s="26">
        <v>35839</v>
      </c>
      <c r="AC159" s="43"/>
      <c r="AD159" s="25"/>
      <c r="AE159" s="43"/>
      <c r="AF159" s="43">
        <v>33.75</v>
      </c>
      <c r="AG159" s="25">
        <f t="shared" si="20"/>
        <v>26.02373316844486</v>
      </c>
      <c r="AH159" s="43">
        <v>26.472879555555554</v>
      </c>
      <c r="AI159" s="43"/>
      <c r="AJ159" s="43"/>
    </row>
    <row r="160" spans="27:36" ht="13.5" x14ac:dyDescent="0.25">
      <c r="AA160" s="26"/>
      <c r="AB160" s="26">
        <v>35846</v>
      </c>
      <c r="AC160" s="43"/>
      <c r="AD160" s="25"/>
      <c r="AE160" s="43"/>
      <c r="AF160" s="43">
        <v>34.791663999999997</v>
      </c>
      <c r="AG160" s="25">
        <f t="shared" si="20"/>
        <v>26.02373316844486</v>
      </c>
      <c r="AH160" s="43">
        <v>26.927558999999999</v>
      </c>
      <c r="AI160" s="43"/>
      <c r="AJ160" s="43"/>
    </row>
    <row r="161" spans="9:36" ht="13.5" x14ac:dyDescent="0.25">
      <c r="AA161" s="26"/>
      <c r="AB161" s="26">
        <v>35853</v>
      </c>
      <c r="AC161" s="43"/>
      <c r="AD161" s="25"/>
      <c r="AE161" s="43"/>
      <c r="AF161" s="43">
        <v>35</v>
      </c>
      <c r="AG161" s="25">
        <f t="shared" si="20"/>
        <v>26.02373316844486</v>
      </c>
      <c r="AH161" s="43">
        <v>24.461680666666666</v>
      </c>
      <c r="AI161" s="43"/>
      <c r="AJ161" s="43"/>
    </row>
    <row r="162" spans="9:36" ht="13.5" x14ac:dyDescent="0.25">
      <c r="AA162" s="26"/>
      <c r="AB162" s="26">
        <v>35860</v>
      </c>
      <c r="AC162" s="43"/>
      <c r="AD162" s="25"/>
      <c r="AE162" s="43"/>
      <c r="AF162" s="43">
        <v>33.75</v>
      </c>
      <c r="AG162" s="25">
        <f t="shared" si="20"/>
        <v>26.02373316844486</v>
      </c>
      <c r="AH162" s="43">
        <v>24.545676222222223</v>
      </c>
      <c r="AI162" s="43"/>
      <c r="AJ162" s="43"/>
    </row>
    <row r="163" spans="9:36" ht="13.5" x14ac:dyDescent="0.25">
      <c r="AA163" s="26"/>
      <c r="AB163" s="26">
        <v>35867</v>
      </c>
      <c r="AC163" s="43"/>
      <c r="AD163" s="25"/>
      <c r="AE163" s="43"/>
      <c r="AF163" s="43">
        <v>34.895831999999999</v>
      </c>
      <c r="AG163" s="25">
        <f t="shared" si="20"/>
        <v>26.02373316844486</v>
      </c>
      <c r="AH163" s="43">
        <v>25.138686111111113</v>
      </c>
      <c r="AI163" s="43"/>
      <c r="AJ163" s="43"/>
    </row>
    <row r="164" spans="9:36" ht="13.5" x14ac:dyDescent="0.25">
      <c r="AA164" s="26"/>
      <c r="AB164" s="26">
        <v>35874</v>
      </c>
      <c r="AC164" s="43"/>
      <c r="AD164" s="25"/>
      <c r="AE164" s="43"/>
      <c r="AF164" s="43">
        <v>39.6875</v>
      </c>
      <c r="AG164" s="25">
        <f t="shared" si="20"/>
        <v>26.02373316844486</v>
      </c>
      <c r="AH164" s="43">
        <v>25.623901888888888</v>
      </c>
      <c r="AI164" s="43"/>
      <c r="AJ164" s="43"/>
    </row>
    <row r="165" spans="9:36" ht="13.5" x14ac:dyDescent="0.25">
      <c r="AA165" s="26"/>
      <c r="AB165" s="26">
        <v>35881</v>
      </c>
      <c r="AC165" s="43"/>
      <c r="AD165" s="25"/>
      <c r="AE165" s="43"/>
      <c r="AF165" s="43">
        <v>41.979163999999997</v>
      </c>
      <c r="AG165" s="25">
        <f t="shared" si="20"/>
        <v>26.02373316844486</v>
      </c>
      <c r="AH165" s="43">
        <v>26.511315111111109</v>
      </c>
      <c r="AI165" s="43"/>
      <c r="AJ165" s="43"/>
    </row>
    <row r="166" spans="9:36" ht="13.5" x14ac:dyDescent="0.25">
      <c r="AA166" s="26"/>
      <c r="AB166" s="26">
        <v>35888</v>
      </c>
      <c r="AC166" s="43"/>
      <c r="AD166" s="25"/>
      <c r="AE166" s="43"/>
      <c r="AF166" s="43">
        <v>41.458331999999999</v>
      </c>
      <c r="AG166" s="25">
        <f t="shared" ref="AG166:AG229" si="21">$Z$69</f>
        <v>26.02373316844486</v>
      </c>
      <c r="AH166" s="43">
        <v>27.579766777777778</v>
      </c>
      <c r="AI166" s="43"/>
      <c r="AJ166" s="43"/>
    </row>
    <row r="167" spans="9:36" ht="13.5" x14ac:dyDescent="0.25">
      <c r="AA167" s="26"/>
      <c r="AB167" s="26">
        <v>35895</v>
      </c>
      <c r="AC167" s="43"/>
      <c r="AD167" s="25"/>
      <c r="AE167" s="43"/>
      <c r="AF167" s="43">
        <v>41.666663999999997</v>
      </c>
      <c r="AG167" s="25">
        <f t="shared" si="21"/>
        <v>26.02373316844486</v>
      </c>
      <c r="AH167" s="43">
        <v>27.471771777777775</v>
      </c>
      <c r="AI167" s="43"/>
      <c r="AJ167" s="43"/>
    </row>
    <row r="168" spans="9:36" ht="13.5" x14ac:dyDescent="0.25">
      <c r="AA168" s="26"/>
      <c r="AB168" s="26">
        <v>35902</v>
      </c>
      <c r="AC168" s="43"/>
      <c r="AD168" s="25"/>
      <c r="AE168" s="43"/>
      <c r="AF168" s="43">
        <v>41.666663999999997</v>
      </c>
      <c r="AG168" s="25">
        <f t="shared" si="21"/>
        <v>26.02373316844486</v>
      </c>
      <c r="AH168" s="43">
        <v>26.94201122222222</v>
      </c>
      <c r="AI168" s="43"/>
      <c r="AJ168" s="43"/>
    </row>
    <row r="169" spans="9:36" ht="13.5" x14ac:dyDescent="0.25">
      <c r="AA169" s="26"/>
      <c r="AB169" s="26">
        <v>35909</v>
      </c>
      <c r="AC169" s="43"/>
      <c r="AD169" s="25"/>
      <c r="AE169" s="43"/>
      <c r="AF169" s="43">
        <v>40.416663999999997</v>
      </c>
      <c r="AG169" s="25">
        <f t="shared" si="21"/>
        <v>26.02373316844486</v>
      </c>
      <c r="AH169" s="43">
        <v>26.914505333333334</v>
      </c>
      <c r="AI169" s="43"/>
      <c r="AJ169" s="43"/>
    </row>
    <row r="170" spans="9:36" ht="13.5" x14ac:dyDescent="0.25">
      <c r="AA170" s="26"/>
      <c r="AB170" s="26">
        <v>35916</v>
      </c>
      <c r="AC170" s="43"/>
      <c r="AD170" s="25"/>
      <c r="AE170" s="43"/>
      <c r="AF170" s="43">
        <v>40.833331999999999</v>
      </c>
      <c r="AG170" s="25">
        <f t="shared" si="21"/>
        <v>26.02373316844486</v>
      </c>
      <c r="AH170" s="43">
        <v>27.069240333333333</v>
      </c>
      <c r="AI170" s="43"/>
      <c r="AJ170" s="43"/>
    </row>
    <row r="171" spans="9:36" ht="13.5" x14ac:dyDescent="0.25">
      <c r="AA171" s="26"/>
      <c r="AB171" s="26">
        <v>35923</v>
      </c>
      <c r="AC171" s="43"/>
      <c r="AD171" s="25"/>
      <c r="AE171" s="43"/>
      <c r="AF171" s="43">
        <v>40.833331999999999</v>
      </c>
      <c r="AG171" s="25">
        <f t="shared" si="21"/>
        <v>26.02373316844486</v>
      </c>
      <c r="AH171" s="43">
        <v>26.808019999999999</v>
      </c>
      <c r="AI171" s="43"/>
      <c r="AJ171" s="43"/>
    </row>
    <row r="172" spans="9:36" ht="13.5" x14ac:dyDescent="0.25">
      <c r="AA172" s="26"/>
      <c r="AB172" s="26">
        <v>35930</v>
      </c>
      <c r="AC172" s="43"/>
      <c r="AD172" s="25"/>
      <c r="AE172" s="43"/>
      <c r="AF172" s="43">
        <v>39.895831999999999</v>
      </c>
      <c r="AG172" s="25">
        <f t="shared" si="21"/>
        <v>26.02373316844486</v>
      </c>
      <c r="AH172" s="43">
        <v>25.931479888888887</v>
      </c>
      <c r="AI172" s="43"/>
      <c r="AJ172" s="43"/>
    </row>
    <row r="173" spans="9:36" ht="13.5" x14ac:dyDescent="0.25">
      <c r="I173" s="17"/>
      <c r="J173" s="17"/>
      <c r="K173" s="17"/>
      <c r="AA173" s="26"/>
      <c r="AB173" s="26">
        <v>35937</v>
      </c>
      <c r="AC173" s="43"/>
      <c r="AD173" s="25"/>
      <c r="AE173" s="43"/>
      <c r="AF173" s="43">
        <v>37.083331999999999</v>
      </c>
      <c r="AG173" s="25">
        <f t="shared" si="21"/>
        <v>26.02373316844486</v>
      </c>
      <c r="AH173" s="43">
        <v>25.246164333333336</v>
      </c>
      <c r="AI173" s="43"/>
      <c r="AJ173" s="43"/>
    </row>
    <row r="174" spans="9:36" ht="13.5" x14ac:dyDescent="0.25">
      <c r="I174" s="17"/>
      <c r="J174" s="17"/>
      <c r="K174" s="17"/>
      <c r="AA174" s="26"/>
      <c r="AB174" s="26">
        <v>35944</v>
      </c>
      <c r="AC174" s="43"/>
      <c r="AD174" s="25"/>
      <c r="AE174" s="43"/>
      <c r="AF174" s="43">
        <v>28.453946999999999</v>
      </c>
      <c r="AG174" s="25">
        <f t="shared" si="21"/>
        <v>26.02373316844486</v>
      </c>
      <c r="AH174" s="43">
        <v>23.896034888888888</v>
      </c>
      <c r="AI174" s="43"/>
      <c r="AJ174" s="43"/>
    </row>
    <row r="175" spans="9:36" ht="13.5" x14ac:dyDescent="0.25">
      <c r="AA175" s="26"/>
      <c r="AB175" s="26">
        <v>35951</v>
      </c>
      <c r="AC175" s="43"/>
      <c r="AD175" s="25"/>
      <c r="AE175" s="43"/>
      <c r="AF175" s="43">
        <v>28.700659000000002</v>
      </c>
      <c r="AG175" s="25">
        <f t="shared" si="21"/>
        <v>26.02373316844486</v>
      </c>
      <c r="AH175" s="43">
        <v>23.887512666666666</v>
      </c>
      <c r="AI175" s="43"/>
      <c r="AJ175" s="43"/>
    </row>
    <row r="176" spans="9:36" ht="13.5" x14ac:dyDescent="0.25">
      <c r="AA176" s="26"/>
      <c r="AB176" s="26">
        <v>35958</v>
      </c>
      <c r="AC176" s="43"/>
      <c r="AD176" s="25"/>
      <c r="AE176" s="43"/>
      <c r="AF176" s="43">
        <v>27.960526999999999</v>
      </c>
      <c r="AG176" s="25">
        <f t="shared" si="21"/>
        <v>26.02373316844486</v>
      </c>
      <c r="AH176" s="43">
        <v>23.690286888888892</v>
      </c>
      <c r="AI176" s="43"/>
      <c r="AJ176" s="43"/>
    </row>
    <row r="177" spans="27:36" ht="13.5" x14ac:dyDescent="0.25">
      <c r="AA177" s="26"/>
      <c r="AB177" s="26">
        <v>35965</v>
      </c>
      <c r="AC177" s="43"/>
      <c r="AD177" s="25"/>
      <c r="AE177" s="43"/>
      <c r="AF177" s="43">
        <v>28.947368999999998</v>
      </c>
      <c r="AG177" s="25">
        <f t="shared" si="21"/>
        <v>26.02373316844486</v>
      </c>
      <c r="AH177" s="43">
        <v>24.055006111111108</v>
      </c>
      <c r="AI177" s="43"/>
      <c r="AJ177" s="43"/>
    </row>
    <row r="178" spans="27:36" ht="13.5" x14ac:dyDescent="0.25">
      <c r="AA178" s="26"/>
      <c r="AB178" s="26">
        <v>35972</v>
      </c>
      <c r="AC178" s="43"/>
      <c r="AD178" s="25"/>
      <c r="AE178" s="43"/>
      <c r="AF178" s="43">
        <v>31.661183999999999</v>
      </c>
      <c r="AG178" s="25">
        <f t="shared" si="21"/>
        <v>26.02373316844486</v>
      </c>
      <c r="AH178" s="43">
        <v>24.780280444444443</v>
      </c>
      <c r="AI178" s="43"/>
      <c r="AJ178" s="43"/>
    </row>
    <row r="179" spans="27:36" ht="13.5" x14ac:dyDescent="0.25">
      <c r="AA179" s="26"/>
      <c r="AB179" s="26">
        <v>35979</v>
      </c>
      <c r="AC179" s="43"/>
      <c r="AD179" s="25"/>
      <c r="AE179" s="43"/>
      <c r="AF179" s="43">
        <v>34.166668000000001</v>
      </c>
      <c r="AG179" s="25">
        <f t="shared" si="21"/>
        <v>26.02373316844486</v>
      </c>
      <c r="AH179" s="43">
        <v>25.77281533333333</v>
      </c>
      <c r="AI179" s="43"/>
      <c r="AJ179" s="43"/>
    </row>
    <row r="180" spans="27:36" ht="13.5" x14ac:dyDescent="0.25">
      <c r="AA180" s="26"/>
      <c r="AB180" s="26">
        <v>35986</v>
      </c>
      <c r="AC180" s="43"/>
      <c r="AD180" s="25"/>
      <c r="AE180" s="43"/>
      <c r="AF180" s="43">
        <v>35.166668000000001</v>
      </c>
      <c r="AG180" s="25">
        <f t="shared" si="21"/>
        <v>26.02373316844486</v>
      </c>
      <c r="AH180" s="43">
        <v>25.759165333333335</v>
      </c>
      <c r="AI180" s="43"/>
      <c r="AJ180" s="43"/>
    </row>
    <row r="181" spans="27:36" ht="13.5" x14ac:dyDescent="0.25">
      <c r="AA181" s="26"/>
      <c r="AB181" s="26">
        <v>35993</v>
      </c>
      <c r="AC181" s="43"/>
      <c r="AD181" s="25"/>
      <c r="AE181" s="43"/>
      <c r="AF181" s="43">
        <v>36.666668000000001</v>
      </c>
      <c r="AG181" s="25">
        <f t="shared" si="21"/>
        <v>26.02373316844486</v>
      </c>
      <c r="AH181" s="43">
        <v>25.872463666666665</v>
      </c>
      <c r="AI181" s="43"/>
      <c r="AJ181" s="43"/>
    </row>
    <row r="182" spans="27:36" ht="13.5" x14ac:dyDescent="0.25">
      <c r="AA182" s="26"/>
      <c r="AB182" s="26">
        <v>36000</v>
      </c>
      <c r="AC182" s="43"/>
      <c r="AD182" s="25"/>
      <c r="AE182" s="43"/>
      <c r="AF182" s="43">
        <v>33</v>
      </c>
      <c r="AG182" s="25">
        <f t="shared" si="21"/>
        <v>26.02373316844486</v>
      </c>
      <c r="AH182" s="43">
        <v>25.367351333333332</v>
      </c>
      <c r="AI182" s="43"/>
      <c r="AJ182" s="43"/>
    </row>
    <row r="183" spans="27:36" ht="13.5" x14ac:dyDescent="0.25">
      <c r="AA183" s="26"/>
      <c r="AB183" s="26">
        <v>36007</v>
      </c>
      <c r="AC183" s="43"/>
      <c r="AD183" s="25"/>
      <c r="AE183" s="43"/>
      <c r="AF183" s="43">
        <v>30.5</v>
      </c>
      <c r="AG183" s="25">
        <f t="shared" si="21"/>
        <v>26.02373316844486</v>
      </c>
      <c r="AH183" s="43">
        <v>27.47238333333333</v>
      </c>
      <c r="AI183" s="43"/>
      <c r="AJ183" s="43"/>
    </row>
    <row r="184" spans="27:36" ht="13.5" x14ac:dyDescent="0.25">
      <c r="AA184" s="26"/>
      <c r="AB184" s="26">
        <v>36014</v>
      </c>
      <c r="AC184" s="43"/>
      <c r="AD184" s="25"/>
      <c r="AE184" s="43"/>
      <c r="AF184" s="43">
        <v>30.916665999999999</v>
      </c>
      <c r="AG184" s="25">
        <f t="shared" si="21"/>
        <v>26.02373316844486</v>
      </c>
      <c r="AH184" s="43">
        <v>27.098973222222224</v>
      </c>
      <c r="AI184" s="43"/>
      <c r="AJ184" s="43"/>
    </row>
    <row r="185" spans="27:36" ht="13.5" x14ac:dyDescent="0.25">
      <c r="AA185" s="26"/>
      <c r="AB185" s="26">
        <v>36021</v>
      </c>
      <c r="AC185" s="43"/>
      <c r="AD185" s="25"/>
      <c r="AE185" s="43"/>
      <c r="AF185" s="43">
        <v>31.166665999999999</v>
      </c>
      <c r="AG185" s="25">
        <f t="shared" si="21"/>
        <v>26.02373316844486</v>
      </c>
      <c r="AH185" s="43">
        <v>26.330954999999999</v>
      </c>
      <c r="AI185" s="43"/>
      <c r="AJ185" s="43"/>
    </row>
    <row r="186" spans="27:36" ht="13.5" x14ac:dyDescent="0.25">
      <c r="AA186" s="26"/>
      <c r="AB186" s="26">
        <v>36028</v>
      </c>
      <c r="AC186" s="43"/>
      <c r="AD186" s="25"/>
      <c r="AE186" s="43"/>
      <c r="AF186" s="43">
        <v>31.083334000000001</v>
      </c>
      <c r="AG186" s="25">
        <f t="shared" si="21"/>
        <v>26.02373316844486</v>
      </c>
      <c r="AH186" s="43">
        <v>25.970096444444447</v>
      </c>
      <c r="AI186" s="43"/>
      <c r="AJ186" s="43"/>
    </row>
    <row r="187" spans="27:36" ht="13.5" x14ac:dyDescent="0.25">
      <c r="AA187" s="26"/>
      <c r="AB187" s="26">
        <v>36035</v>
      </c>
      <c r="AC187" s="43"/>
      <c r="AD187" s="25"/>
      <c r="AE187" s="43"/>
      <c r="AF187" s="43">
        <v>27</v>
      </c>
      <c r="AG187" s="25">
        <f t="shared" si="21"/>
        <v>26.02373316844486</v>
      </c>
      <c r="AH187" s="43">
        <v>24.389462555555557</v>
      </c>
      <c r="AI187" s="43"/>
      <c r="AJ187" s="43"/>
    </row>
    <row r="188" spans="27:36" ht="13.5" x14ac:dyDescent="0.25">
      <c r="AA188" s="26"/>
      <c r="AB188" s="26">
        <v>36042</v>
      </c>
      <c r="AC188" s="43"/>
      <c r="AD188" s="25"/>
      <c r="AE188" s="43"/>
      <c r="AF188" s="43">
        <v>26.31579</v>
      </c>
      <c r="AG188" s="25">
        <f t="shared" si="21"/>
        <v>26.02373316844486</v>
      </c>
      <c r="AH188" s="43">
        <v>23.200719222222219</v>
      </c>
      <c r="AI188" s="43"/>
      <c r="AJ188" s="43"/>
    </row>
    <row r="189" spans="27:36" ht="13.5" x14ac:dyDescent="0.25">
      <c r="AA189" s="26"/>
      <c r="AB189" s="26">
        <v>36049</v>
      </c>
      <c r="AC189" s="43"/>
      <c r="AD189" s="25"/>
      <c r="AE189" s="43"/>
      <c r="AF189" s="43">
        <v>26.726973999999998</v>
      </c>
      <c r="AG189" s="25">
        <f t="shared" si="21"/>
        <v>26.02373316844486</v>
      </c>
      <c r="AH189" s="43">
        <v>23.057954777777777</v>
      </c>
      <c r="AI189" s="43"/>
      <c r="AJ189" s="43"/>
    </row>
    <row r="190" spans="27:36" ht="13.5" x14ac:dyDescent="0.25">
      <c r="AA190" s="26"/>
      <c r="AB190" s="26">
        <v>36056</v>
      </c>
      <c r="AC190" s="43"/>
      <c r="AD190" s="25"/>
      <c r="AE190" s="43"/>
      <c r="AF190" s="43">
        <v>30.263159000000002</v>
      </c>
      <c r="AG190" s="25">
        <f t="shared" si="21"/>
        <v>26.02373316844486</v>
      </c>
      <c r="AH190" s="43">
        <v>23.929807666666665</v>
      </c>
      <c r="AI190" s="43"/>
      <c r="AJ190" s="43"/>
    </row>
    <row r="191" spans="27:36" ht="13.5" x14ac:dyDescent="0.25">
      <c r="AA191" s="26"/>
      <c r="AB191" s="26">
        <v>36063</v>
      </c>
      <c r="AC191" s="43"/>
      <c r="AD191" s="25"/>
      <c r="AE191" s="43"/>
      <c r="AF191" s="43">
        <v>33.717106000000001</v>
      </c>
      <c r="AG191" s="25">
        <f t="shared" si="21"/>
        <v>26.02373316844486</v>
      </c>
      <c r="AH191" s="43">
        <v>23.91640277777778</v>
      </c>
      <c r="AI191" s="43"/>
      <c r="AJ191" s="43"/>
    </row>
    <row r="192" spans="27:36" ht="13.5" x14ac:dyDescent="0.25">
      <c r="AA192" s="26"/>
      <c r="AB192" s="26">
        <v>36070</v>
      </c>
      <c r="AC192" s="43"/>
      <c r="AD192" s="25"/>
      <c r="AE192" s="43"/>
      <c r="AF192" s="43">
        <v>30.756578000000001</v>
      </c>
      <c r="AG192" s="25">
        <f t="shared" si="21"/>
        <v>26.02373316844486</v>
      </c>
      <c r="AH192" s="43">
        <v>22.718295750000003</v>
      </c>
      <c r="AI192" s="43"/>
      <c r="AJ192" s="43"/>
    </row>
    <row r="193" spans="27:36" ht="13.5" x14ac:dyDescent="0.25">
      <c r="AA193" s="26"/>
      <c r="AB193" s="26">
        <v>36077</v>
      </c>
      <c r="AC193" s="43"/>
      <c r="AD193" s="25"/>
      <c r="AE193" s="43"/>
      <c r="AF193" s="43">
        <v>26.069078000000001</v>
      </c>
      <c r="AG193" s="25">
        <f t="shared" si="21"/>
        <v>26.02373316844486</v>
      </c>
      <c r="AH193" s="43">
        <v>20.185118687499997</v>
      </c>
      <c r="AI193" s="43"/>
      <c r="AJ193" s="43"/>
    </row>
    <row r="194" spans="27:36" ht="13.5" x14ac:dyDescent="0.25">
      <c r="AA194" s="26"/>
      <c r="AB194" s="26">
        <v>36084</v>
      </c>
      <c r="AC194" s="43"/>
      <c r="AD194" s="25"/>
      <c r="AE194" s="43"/>
      <c r="AF194" s="43">
        <v>28.782896000000001</v>
      </c>
      <c r="AG194" s="25">
        <f t="shared" si="21"/>
        <v>26.02373316844486</v>
      </c>
      <c r="AH194" s="43">
        <v>22.067185249999998</v>
      </c>
      <c r="AI194" s="43"/>
      <c r="AJ194" s="43"/>
    </row>
    <row r="195" spans="27:36" ht="13.5" x14ac:dyDescent="0.25">
      <c r="AA195" s="26"/>
      <c r="AB195" s="26">
        <v>36091</v>
      </c>
      <c r="AC195" s="43"/>
      <c r="AD195" s="25"/>
      <c r="AE195" s="43"/>
      <c r="AF195" s="43">
        <v>33.388157</v>
      </c>
      <c r="AG195" s="25">
        <f t="shared" si="21"/>
        <v>26.02373316844486</v>
      </c>
      <c r="AH195" s="43">
        <v>23.888962937500001</v>
      </c>
      <c r="AI195" s="43"/>
      <c r="AJ195" s="43"/>
    </row>
    <row r="196" spans="27:36" ht="13.5" x14ac:dyDescent="0.25">
      <c r="AA196" s="26"/>
      <c r="AB196" s="26">
        <v>36098</v>
      </c>
      <c r="AC196" s="43"/>
      <c r="AD196" s="25"/>
      <c r="AE196" s="43"/>
      <c r="AF196" s="43">
        <v>33.05921</v>
      </c>
      <c r="AG196" s="25">
        <f t="shared" si="21"/>
        <v>26.02373316844486</v>
      </c>
      <c r="AH196" s="43">
        <v>24.716187875000003</v>
      </c>
      <c r="AI196" s="43"/>
      <c r="AJ196" s="43"/>
    </row>
    <row r="197" spans="27:36" ht="13.5" x14ac:dyDescent="0.25">
      <c r="AA197" s="26"/>
      <c r="AB197" s="26">
        <v>36105</v>
      </c>
      <c r="AC197" s="43"/>
      <c r="AD197" s="25"/>
      <c r="AE197" s="43"/>
      <c r="AF197" s="43">
        <v>35.279606000000001</v>
      </c>
      <c r="AG197" s="25">
        <f t="shared" si="21"/>
        <v>26.02373316844486</v>
      </c>
      <c r="AH197" s="43">
        <v>25.583690499999999</v>
      </c>
      <c r="AI197" s="43"/>
      <c r="AJ197" s="43"/>
    </row>
    <row r="198" spans="27:36" ht="13.5" x14ac:dyDescent="0.25">
      <c r="AA198" s="26"/>
      <c r="AB198" s="26">
        <v>36112</v>
      </c>
      <c r="AC198" s="43"/>
      <c r="AD198" s="25"/>
      <c r="AE198" s="43"/>
      <c r="AF198" s="43">
        <v>33.30592</v>
      </c>
      <c r="AG198" s="25">
        <f t="shared" si="21"/>
        <v>26.02373316844486</v>
      </c>
      <c r="AH198" s="43">
        <v>25.655208875</v>
      </c>
      <c r="AI198" s="43"/>
      <c r="AJ198" s="43"/>
    </row>
    <row r="199" spans="27:36" ht="13.5" x14ac:dyDescent="0.25">
      <c r="AA199" s="26"/>
      <c r="AB199" s="26">
        <v>36119</v>
      </c>
      <c r="AC199" s="43"/>
      <c r="AD199" s="25"/>
      <c r="AE199" s="43"/>
      <c r="AF199" s="43">
        <v>32.8125</v>
      </c>
      <c r="AG199" s="25">
        <f t="shared" si="21"/>
        <v>26.02373316844486</v>
      </c>
      <c r="AH199" s="43">
        <v>26.133070375000003</v>
      </c>
      <c r="AI199" s="43"/>
      <c r="AJ199" s="43"/>
    </row>
    <row r="200" spans="27:36" ht="13.5" x14ac:dyDescent="0.25">
      <c r="AA200" s="26"/>
      <c r="AB200" s="26">
        <v>36126</v>
      </c>
      <c r="AC200" s="43"/>
      <c r="AD200" s="25"/>
      <c r="AE200" s="43"/>
      <c r="AF200" s="43">
        <v>32.730263000000001</v>
      </c>
      <c r="AG200" s="25">
        <f t="shared" si="21"/>
        <v>26.02373316844486</v>
      </c>
      <c r="AH200" s="43">
        <v>26.077479624999999</v>
      </c>
      <c r="AI200" s="43"/>
      <c r="AJ200" s="43"/>
    </row>
    <row r="201" spans="27:36" ht="13.5" x14ac:dyDescent="0.25">
      <c r="AA201" s="26"/>
      <c r="AB201" s="26">
        <v>36133</v>
      </c>
      <c r="AC201" s="43"/>
      <c r="AD201" s="25"/>
      <c r="AE201" s="43"/>
      <c r="AF201" s="43">
        <v>30.194804999999999</v>
      </c>
      <c r="AG201" s="25">
        <f t="shared" si="21"/>
        <v>26.02373316844486</v>
      </c>
      <c r="AH201" s="43">
        <v>25.494099249999998</v>
      </c>
      <c r="AI201" s="43"/>
      <c r="AJ201" s="43"/>
    </row>
    <row r="202" spans="27:36" ht="13.5" x14ac:dyDescent="0.25">
      <c r="AA202" s="26"/>
      <c r="AB202" s="26">
        <v>36140</v>
      </c>
      <c r="AC202" s="43"/>
      <c r="AD202" s="25"/>
      <c r="AE202" s="43"/>
      <c r="AF202" s="43">
        <v>29.9513</v>
      </c>
      <c r="AG202" s="25">
        <f t="shared" si="21"/>
        <v>26.02373316844486</v>
      </c>
      <c r="AH202" s="43">
        <v>25.563108500000002</v>
      </c>
      <c r="AI202" s="43"/>
      <c r="AJ202" s="43"/>
    </row>
    <row r="203" spans="27:36" ht="13.5" x14ac:dyDescent="0.25">
      <c r="AA203" s="26"/>
      <c r="AB203" s="26">
        <v>36147</v>
      </c>
      <c r="AC203" s="43"/>
      <c r="AD203" s="25"/>
      <c r="AE203" s="43"/>
      <c r="AF203" s="43">
        <v>36.201298000000001</v>
      </c>
      <c r="AG203" s="25">
        <f t="shared" si="21"/>
        <v>26.02373316844486</v>
      </c>
      <c r="AH203" s="43">
        <v>26.947110374999994</v>
      </c>
      <c r="AI203" s="43"/>
      <c r="AJ203" s="43"/>
    </row>
    <row r="204" spans="27:36" ht="13.5" x14ac:dyDescent="0.25">
      <c r="AA204" s="26"/>
      <c r="AB204" s="26">
        <v>36154</v>
      </c>
      <c r="AC204" s="43"/>
      <c r="AD204" s="25"/>
      <c r="AE204" s="43"/>
      <c r="AF204" s="43">
        <v>37.987015</v>
      </c>
      <c r="AG204" s="25">
        <f t="shared" si="21"/>
        <v>26.02373316844486</v>
      </c>
      <c r="AH204" s="43">
        <v>26.500166625000002</v>
      </c>
      <c r="AI204" s="43"/>
      <c r="AJ204" s="43"/>
    </row>
    <row r="205" spans="27:36" ht="13.5" x14ac:dyDescent="0.25">
      <c r="AA205" s="26"/>
      <c r="AB205" s="26">
        <v>36161</v>
      </c>
      <c r="AC205" s="43"/>
      <c r="AD205" s="25"/>
      <c r="AE205" s="43"/>
      <c r="AF205" s="43">
        <v>40.259743</v>
      </c>
      <c r="AG205" s="25">
        <f t="shared" si="21"/>
        <v>26.02373316844486</v>
      </c>
      <c r="AH205" s="43">
        <v>28.127128750000001</v>
      </c>
      <c r="AI205" s="43"/>
      <c r="AJ205" s="43"/>
    </row>
    <row r="206" spans="27:36" ht="13.5" x14ac:dyDescent="0.25">
      <c r="AA206" s="26"/>
      <c r="AB206" s="26">
        <v>36168</v>
      </c>
      <c r="AC206" s="43"/>
      <c r="AD206" s="25"/>
      <c r="AE206" s="43"/>
      <c r="AF206" s="43">
        <v>36.688313000000001</v>
      </c>
      <c r="AG206" s="25">
        <f t="shared" si="21"/>
        <v>26.02373316844486</v>
      </c>
      <c r="AH206" s="43">
        <v>27.229578249999999</v>
      </c>
      <c r="AI206" s="43"/>
      <c r="AJ206" s="43"/>
    </row>
    <row r="207" spans="27:36" ht="13.5" x14ac:dyDescent="0.25">
      <c r="AA207" s="26"/>
      <c r="AB207" s="26">
        <v>36175</v>
      </c>
      <c r="AC207" s="43"/>
      <c r="AD207" s="25"/>
      <c r="AE207" s="43"/>
      <c r="AF207" s="43">
        <v>37.256492999999999</v>
      </c>
      <c r="AG207" s="25">
        <f t="shared" si="21"/>
        <v>26.02373316844486</v>
      </c>
      <c r="AH207" s="43">
        <v>26.712894624999993</v>
      </c>
      <c r="AI207" s="43"/>
      <c r="AJ207" s="43"/>
    </row>
    <row r="208" spans="27:36" ht="13.5" x14ac:dyDescent="0.25">
      <c r="AA208" s="26"/>
      <c r="AB208" s="26">
        <v>36182</v>
      </c>
      <c r="AC208" s="43"/>
      <c r="AD208" s="25"/>
      <c r="AE208" s="43"/>
      <c r="AF208" s="43">
        <v>31.493507000000001</v>
      </c>
      <c r="AG208" s="25">
        <f t="shared" si="21"/>
        <v>26.02373316844486</v>
      </c>
      <c r="AH208" s="43">
        <v>26.597269624999999</v>
      </c>
      <c r="AI208" s="43"/>
      <c r="AJ208" s="43"/>
    </row>
    <row r="209" spans="27:36" ht="13.5" x14ac:dyDescent="0.25">
      <c r="AA209" s="26"/>
      <c r="AB209" s="26">
        <v>36189</v>
      </c>
      <c r="AC209" s="43"/>
      <c r="AD209" s="25"/>
      <c r="AE209" s="43"/>
      <c r="AF209" s="43">
        <v>33.116881999999997</v>
      </c>
      <c r="AG209" s="25">
        <f t="shared" si="21"/>
        <v>26.02373316844486</v>
      </c>
      <c r="AH209" s="43">
        <v>27.152369499999999</v>
      </c>
      <c r="AI209" s="43"/>
      <c r="AJ209" s="43"/>
    </row>
    <row r="210" spans="27:36" ht="13.5" x14ac:dyDescent="0.25">
      <c r="AA210" s="26"/>
      <c r="AB210" s="26">
        <v>36196</v>
      </c>
      <c r="AC210" s="43"/>
      <c r="AD210" s="25"/>
      <c r="AE210" s="43"/>
      <c r="AF210" s="43">
        <v>30.519482</v>
      </c>
      <c r="AG210" s="25">
        <f t="shared" si="21"/>
        <v>26.02373316844486</v>
      </c>
      <c r="AH210" s="43">
        <v>26.463669999999997</v>
      </c>
      <c r="AI210" s="43"/>
      <c r="AJ210" s="43"/>
    </row>
    <row r="211" spans="27:36" ht="13.5" x14ac:dyDescent="0.25">
      <c r="AA211" s="26"/>
      <c r="AB211" s="26">
        <v>36203</v>
      </c>
      <c r="AC211" s="43"/>
      <c r="AD211" s="25"/>
      <c r="AE211" s="43"/>
      <c r="AF211" s="43">
        <v>31.858767</v>
      </c>
      <c r="AG211" s="25">
        <f t="shared" si="21"/>
        <v>26.02373316844486</v>
      </c>
      <c r="AH211" s="43">
        <v>26.333894499999996</v>
      </c>
      <c r="AI211" s="43"/>
      <c r="AJ211" s="43"/>
    </row>
    <row r="212" spans="27:36" ht="13.5" x14ac:dyDescent="0.25">
      <c r="AA212" s="26"/>
      <c r="AB212" s="26">
        <v>36210</v>
      </c>
      <c r="AC212" s="43"/>
      <c r="AD212" s="25"/>
      <c r="AE212" s="43"/>
      <c r="AF212" s="43">
        <v>30.438313000000001</v>
      </c>
      <c r="AG212" s="25">
        <f t="shared" si="21"/>
        <v>26.02373316844486</v>
      </c>
      <c r="AH212" s="43">
        <v>25.912432500000001</v>
      </c>
      <c r="AI212" s="43"/>
      <c r="AJ212" s="43"/>
    </row>
    <row r="213" spans="27:36" ht="13.5" x14ac:dyDescent="0.25">
      <c r="AA213" s="26"/>
      <c r="AB213" s="26">
        <v>36217</v>
      </c>
      <c r="AC213" s="43"/>
      <c r="AD213" s="25"/>
      <c r="AE213" s="43"/>
      <c r="AF213" s="43">
        <v>31.087664</v>
      </c>
      <c r="AG213" s="25">
        <f t="shared" si="21"/>
        <v>26.02373316844486</v>
      </c>
      <c r="AH213" s="43">
        <v>25.360901125000002</v>
      </c>
      <c r="AI213" s="43"/>
      <c r="AJ213" s="43"/>
    </row>
    <row r="214" spans="27:36" ht="13.5" x14ac:dyDescent="0.25">
      <c r="AA214" s="26"/>
      <c r="AB214" s="26">
        <v>36224</v>
      </c>
      <c r="AC214" s="43"/>
      <c r="AD214" s="25"/>
      <c r="AE214" s="43"/>
      <c r="AF214" s="43">
        <v>34.577922999999998</v>
      </c>
      <c r="AG214" s="25">
        <f t="shared" si="21"/>
        <v>26.02373316844486</v>
      </c>
      <c r="AH214" s="43">
        <v>25.959680374999998</v>
      </c>
      <c r="AI214" s="43"/>
      <c r="AJ214" s="43"/>
    </row>
    <row r="215" spans="27:36" ht="13.5" x14ac:dyDescent="0.25">
      <c r="AA215" s="26"/>
      <c r="AB215" s="26">
        <v>36231</v>
      </c>
      <c r="AC215" s="43"/>
      <c r="AD215" s="25"/>
      <c r="AE215" s="43"/>
      <c r="AF215" s="43">
        <v>34.172077000000002</v>
      </c>
      <c r="AG215" s="25">
        <f t="shared" si="21"/>
        <v>26.02373316844486</v>
      </c>
      <c r="AH215" s="43">
        <v>24.881218875000002</v>
      </c>
      <c r="AI215" s="43"/>
      <c r="AJ215" s="43"/>
    </row>
    <row r="216" spans="27:36" ht="13.5" x14ac:dyDescent="0.25">
      <c r="AA216" s="26"/>
      <c r="AB216" s="26">
        <v>36238</v>
      </c>
      <c r="AC216" s="43"/>
      <c r="AD216" s="25"/>
      <c r="AE216" s="43"/>
      <c r="AF216" s="43">
        <v>32.629869999999997</v>
      </c>
      <c r="AG216" s="25">
        <f t="shared" si="21"/>
        <v>26.02373316844486</v>
      </c>
      <c r="AH216" s="43">
        <v>24.450036749999995</v>
      </c>
      <c r="AI216" s="43"/>
      <c r="AJ216" s="43"/>
    </row>
    <row r="217" spans="27:36" ht="13.5" x14ac:dyDescent="0.25">
      <c r="AA217" s="26"/>
      <c r="AB217" s="26">
        <v>36245</v>
      </c>
      <c r="AC217" s="43"/>
      <c r="AD217" s="25"/>
      <c r="AE217" s="43"/>
      <c r="AF217" s="43">
        <v>33.928573999999998</v>
      </c>
      <c r="AG217" s="25">
        <f t="shared" si="21"/>
        <v>26.02373316844486</v>
      </c>
      <c r="AH217" s="43">
        <v>24.452236374999998</v>
      </c>
      <c r="AI217" s="43"/>
      <c r="AJ217" s="43"/>
    </row>
    <row r="218" spans="27:36" ht="13.5" x14ac:dyDescent="0.25">
      <c r="AA218" s="26"/>
      <c r="AB218" s="26">
        <v>36252</v>
      </c>
      <c r="AC218" s="43"/>
      <c r="AD218" s="25"/>
      <c r="AE218" s="43"/>
      <c r="AF218" s="43">
        <v>32.954548000000003</v>
      </c>
      <c r="AG218" s="25">
        <f t="shared" si="21"/>
        <v>26.02373316844486</v>
      </c>
      <c r="AH218" s="43">
        <v>24.548041625</v>
      </c>
      <c r="AI218" s="43"/>
      <c r="AJ218" s="43"/>
    </row>
    <row r="219" spans="27:36" ht="13.5" x14ac:dyDescent="0.25">
      <c r="AA219" s="26"/>
      <c r="AB219" s="26">
        <v>36259</v>
      </c>
      <c r="AC219" s="43"/>
      <c r="AD219" s="25"/>
      <c r="AE219" s="43"/>
      <c r="AF219" s="43">
        <v>29.87013</v>
      </c>
      <c r="AG219" s="25">
        <f t="shared" si="21"/>
        <v>26.02373316844486</v>
      </c>
      <c r="AH219" s="43">
        <v>24.685603624999999</v>
      </c>
      <c r="AI219" s="43"/>
      <c r="AJ219" s="43"/>
    </row>
    <row r="220" spans="27:36" ht="13.5" x14ac:dyDescent="0.25">
      <c r="AA220" s="26"/>
      <c r="AB220" s="26">
        <v>36266</v>
      </c>
      <c r="AC220" s="43"/>
      <c r="AD220" s="25"/>
      <c r="AE220" s="43"/>
      <c r="AF220" s="43">
        <v>32.142856999999999</v>
      </c>
      <c r="AG220" s="25">
        <f t="shared" si="21"/>
        <v>26.02373316844486</v>
      </c>
      <c r="AH220" s="43">
        <v>26.034581875000001</v>
      </c>
      <c r="AI220" s="43"/>
      <c r="AJ220" s="43"/>
    </row>
    <row r="221" spans="27:36" ht="13.5" x14ac:dyDescent="0.25">
      <c r="AA221" s="26"/>
      <c r="AB221" s="26">
        <v>36273</v>
      </c>
      <c r="AC221" s="43"/>
      <c r="AD221" s="25"/>
      <c r="AE221" s="43"/>
      <c r="AF221" s="43">
        <v>32.954548000000003</v>
      </c>
      <c r="AG221" s="25">
        <f t="shared" si="21"/>
        <v>26.02373316844486</v>
      </c>
      <c r="AH221" s="43">
        <v>25.6820135</v>
      </c>
      <c r="AI221" s="43"/>
      <c r="AJ221" s="43"/>
    </row>
    <row r="222" spans="27:36" ht="13.5" x14ac:dyDescent="0.25">
      <c r="AA222" s="26"/>
      <c r="AB222" s="26">
        <v>36280</v>
      </c>
      <c r="AC222" s="43"/>
      <c r="AD222" s="25"/>
      <c r="AE222" s="43"/>
      <c r="AF222" s="43">
        <v>32.792209999999997</v>
      </c>
      <c r="AG222" s="25">
        <f t="shared" si="21"/>
        <v>26.02373316844486</v>
      </c>
      <c r="AH222" s="43">
        <v>25.470298124999999</v>
      </c>
      <c r="AI222" s="43"/>
      <c r="AJ222" s="43"/>
    </row>
    <row r="223" spans="27:36" ht="13.5" x14ac:dyDescent="0.25">
      <c r="AA223" s="26"/>
      <c r="AB223" s="26">
        <v>36287</v>
      </c>
      <c r="AC223" s="43"/>
      <c r="AD223" s="25"/>
      <c r="AE223" s="43"/>
      <c r="AF223" s="43">
        <v>32.467533000000003</v>
      </c>
      <c r="AG223" s="25">
        <f t="shared" si="21"/>
        <v>26.02373316844486</v>
      </c>
      <c r="AH223" s="43">
        <v>25.161192124999999</v>
      </c>
      <c r="AI223" s="43"/>
      <c r="AJ223" s="43"/>
    </row>
    <row r="224" spans="27:36" ht="13.5" x14ac:dyDescent="0.25">
      <c r="AA224" s="26"/>
      <c r="AB224" s="26">
        <v>36294</v>
      </c>
      <c r="AC224" s="43"/>
      <c r="AD224" s="25"/>
      <c r="AE224" s="43"/>
      <c r="AF224" s="43">
        <v>36.404220000000002</v>
      </c>
      <c r="AG224" s="25">
        <f t="shared" si="21"/>
        <v>26.02373316844486</v>
      </c>
      <c r="AH224" s="43">
        <v>25.880829000000002</v>
      </c>
      <c r="AI224" s="43"/>
      <c r="AJ224" s="43"/>
    </row>
    <row r="225" spans="27:36" ht="13.5" x14ac:dyDescent="0.25">
      <c r="AA225" s="26"/>
      <c r="AB225" s="26">
        <v>36301</v>
      </c>
      <c r="AC225" s="43"/>
      <c r="AD225" s="25"/>
      <c r="AE225" s="43"/>
      <c r="AF225" s="43">
        <v>36.282466999999997</v>
      </c>
      <c r="AG225" s="25">
        <f t="shared" si="21"/>
        <v>26.02373316844486</v>
      </c>
      <c r="AH225" s="43">
        <v>25.692135374999999</v>
      </c>
      <c r="AI225" s="43"/>
      <c r="AJ225" s="43"/>
    </row>
    <row r="226" spans="27:36" ht="13.5" x14ac:dyDescent="0.25">
      <c r="AA226" s="26"/>
      <c r="AB226" s="26">
        <v>36308</v>
      </c>
      <c r="AC226" s="43"/>
      <c r="AD226" s="25"/>
      <c r="AE226" s="43"/>
      <c r="AF226" s="43">
        <v>26.732673999999999</v>
      </c>
      <c r="AG226" s="25">
        <f t="shared" si="21"/>
        <v>26.02373316844486</v>
      </c>
      <c r="AH226" s="43">
        <v>23.089518625</v>
      </c>
      <c r="AI226" s="43"/>
      <c r="AJ226" s="43"/>
    </row>
    <row r="227" spans="27:36" ht="13.5" x14ac:dyDescent="0.25">
      <c r="AA227" s="26"/>
      <c r="AB227" s="26">
        <v>36315</v>
      </c>
      <c r="AC227" s="43"/>
      <c r="AD227" s="25"/>
      <c r="AE227" s="43"/>
      <c r="AF227" s="43">
        <v>28.712872000000001</v>
      </c>
      <c r="AG227" s="25">
        <f t="shared" si="21"/>
        <v>26.02373316844486</v>
      </c>
      <c r="AH227" s="43">
        <v>23.741954000000003</v>
      </c>
      <c r="AI227" s="43"/>
      <c r="AJ227" s="43"/>
    </row>
    <row r="228" spans="27:36" ht="13.5" x14ac:dyDescent="0.25">
      <c r="AA228" s="26"/>
      <c r="AB228" s="26">
        <v>36322</v>
      </c>
      <c r="AC228" s="43"/>
      <c r="AD228" s="25"/>
      <c r="AE228" s="43"/>
      <c r="AF228" s="43">
        <v>27.351486000000001</v>
      </c>
      <c r="AG228" s="25">
        <f t="shared" si="21"/>
        <v>26.02373316844486</v>
      </c>
      <c r="AH228" s="43">
        <v>23.448711875000001</v>
      </c>
      <c r="AI228" s="43"/>
      <c r="AJ228" s="43"/>
    </row>
    <row r="229" spans="27:36" ht="13.5" x14ac:dyDescent="0.25">
      <c r="AA229" s="26"/>
      <c r="AB229" s="26">
        <v>36329</v>
      </c>
      <c r="AC229" s="43"/>
      <c r="AD229" s="25"/>
      <c r="AE229" s="43"/>
      <c r="AF229" s="43">
        <v>27.846534999999999</v>
      </c>
      <c r="AG229" s="25">
        <f t="shared" si="21"/>
        <v>26.02373316844486</v>
      </c>
      <c r="AH229" s="43">
        <v>23.894198374999998</v>
      </c>
      <c r="AI229" s="43"/>
      <c r="AJ229" s="43"/>
    </row>
    <row r="230" spans="27:36" ht="13.5" x14ac:dyDescent="0.25">
      <c r="AA230" s="26"/>
      <c r="AB230" s="26">
        <v>36336</v>
      </c>
      <c r="AC230" s="43"/>
      <c r="AD230" s="25"/>
      <c r="AE230" s="43"/>
      <c r="AF230" s="43">
        <v>26.361387000000001</v>
      </c>
      <c r="AG230" s="25">
        <f t="shared" ref="AG230:AG293" si="22">$Z$69</f>
        <v>26.02373316844486</v>
      </c>
      <c r="AH230" s="43">
        <v>24.604797375000004</v>
      </c>
      <c r="AI230" s="43"/>
      <c r="AJ230" s="43"/>
    </row>
    <row r="231" spans="27:36" ht="13.5" x14ac:dyDescent="0.25">
      <c r="AA231" s="26"/>
      <c r="AB231" s="26">
        <v>36343</v>
      </c>
      <c r="AC231" s="43"/>
      <c r="AD231" s="25"/>
      <c r="AE231" s="43"/>
      <c r="AF231" s="43">
        <v>26.206683999999999</v>
      </c>
      <c r="AG231" s="25">
        <f t="shared" si="22"/>
        <v>26.02373316844486</v>
      </c>
      <c r="AH231" s="43">
        <v>24.772590375</v>
      </c>
      <c r="AI231" s="43"/>
      <c r="AJ231" s="43"/>
    </row>
    <row r="232" spans="27:36" ht="13.5" x14ac:dyDescent="0.25">
      <c r="AA232" s="26"/>
      <c r="AB232" s="26">
        <v>36350</v>
      </c>
      <c r="AC232" s="43"/>
      <c r="AD232" s="25"/>
      <c r="AE232" s="43"/>
      <c r="AF232" s="43">
        <v>27.568069999999999</v>
      </c>
      <c r="AG232" s="25">
        <f t="shared" si="22"/>
        <v>26.02373316844486</v>
      </c>
      <c r="AH232" s="43">
        <v>25.026604249999998</v>
      </c>
      <c r="AI232" s="43"/>
      <c r="AJ232" s="43"/>
    </row>
    <row r="233" spans="27:36" ht="13.5" x14ac:dyDescent="0.25">
      <c r="AA233" s="26"/>
      <c r="AB233" s="26">
        <v>36357</v>
      </c>
      <c r="AC233" s="43"/>
      <c r="AD233" s="25"/>
      <c r="AE233" s="43"/>
      <c r="AF233" s="43">
        <v>29.084157999999999</v>
      </c>
      <c r="AG233" s="25">
        <f t="shared" si="22"/>
        <v>26.02373316844486</v>
      </c>
      <c r="AH233" s="43">
        <v>25.369898750000001</v>
      </c>
      <c r="AI233" s="43"/>
      <c r="AJ233" s="43"/>
    </row>
    <row r="234" spans="27:36" ht="13.5" x14ac:dyDescent="0.25">
      <c r="AA234" s="26"/>
      <c r="AB234" s="26">
        <v>36364</v>
      </c>
      <c r="AC234" s="43"/>
      <c r="AD234" s="25"/>
      <c r="AE234" s="43"/>
      <c r="AF234" s="43">
        <v>27.351486000000001</v>
      </c>
      <c r="AG234" s="25">
        <f t="shared" si="22"/>
        <v>26.02373316844486</v>
      </c>
      <c r="AH234" s="43">
        <v>24.237697375</v>
      </c>
      <c r="AI234" s="43"/>
      <c r="AJ234" s="43"/>
    </row>
    <row r="235" spans="27:36" ht="13.5" x14ac:dyDescent="0.25">
      <c r="AA235" s="26"/>
      <c r="AB235" s="26">
        <v>36371</v>
      </c>
      <c r="AC235" s="43"/>
      <c r="AD235" s="25"/>
      <c r="AE235" s="43"/>
      <c r="AF235" s="43">
        <v>26.608912</v>
      </c>
      <c r="AG235" s="25">
        <f t="shared" si="22"/>
        <v>26.02373316844486</v>
      </c>
      <c r="AH235" s="43">
        <v>23.784223750000002</v>
      </c>
      <c r="AI235" s="43"/>
      <c r="AJ235" s="43"/>
    </row>
    <row r="236" spans="27:36" ht="13.5" x14ac:dyDescent="0.25">
      <c r="AA236" s="26"/>
      <c r="AB236" s="26">
        <v>36378</v>
      </c>
      <c r="AC236" s="43"/>
      <c r="AD236" s="25"/>
      <c r="AE236" s="43"/>
      <c r="AF236" s="43">
        <v>25.433167999999998</v>
      </c>
      <c r="AG236" s="25">
        <f t="shared" si="22"/>
        <v>26.02373316844486</v>
      </c>
      <c r="AH236" s="43">
        <v>22.924754374999999</v>
      </c>
      <c r="AI236" s="43"/>
      <c r="AJ236" s="43"/>
    </row>
    <row r="237" spans="27:36" ht="13.5" x14ac:dyDescent="0.25">
      <c r="AA237" s="26"/>
      <c r="AB237" s="26">
        <v>36385</v>
      </c>
      <c r="AC237" s="43"/>
      <c r="AD237" s="25"/>
      <c r="AE237" s="43"/>
      <c r="AF237" s="43">
        <v>23.205445999999998</v>
      </c>
      <c r="AG237" s="25">
        <f t="shared" si="22"/>
        <v>26.02373316844486</v>
      </c>
      <c r="AH237" s="43">
        <v>22.934148999999998</v>
      </c>
      <c r="AI237" s="43"/>
      <c r="AJ237" s="43"/>
    </row>
    <row r="238" spans="27:36" ht="13.5" x14ac:dyDescent="0.25">
      <c r="AA238" s="26"/>
      <c r="AB238" s="26">
        <v>36392</v>
      </c>
      <c r="AC238" s="43"/>
      <c r="AD238" s="25"/>
      <c r="AE238" s="43"/>
      <c r="AF238" s="43">
        <v>21.844059000000001</v>
      </c>
      <c r="AG238" s="25">
        <f t="shared" si="22"/>
        <v>26.02373316844486</v>
      </c>
      <c r="AH238" s="43">
        <v>22.251012750000001</v>
      </c>
      <c r="AI238" s="43"/>
      <c r="AJ238" s="43"/>
    </row>
    <row r="239" spans="27:36" ht="13.5" x14ac:dyDescent="0.25">
      <c r="AA239" s="26"/>
      <c r="AB239" s="26">
        <v>36399</v>
      </c>
      <c r="AC239" s="43"/>
      <c r="AD239" s="25"/>
      <c r="AE239" s="43"/>
      <c r="AF239" s="43">
        <v>20.358912</v>
      </c>
      <c r="AG239" s="25">
        <f t="shared" si="22"/>
        <v>26.02373316844486</v>
      </c>
      <c r="AH239" s="43">
        <v>21.853522375000001</v>
      </c>
      <c r="AI239" s="43"/>
      <c r="AJ239" s="43"/>
    </row>
    <row r="240" spans="27:36" ht="13.5" x14ac:dyDescent="0.25">
      <c r="AA240" s="26"/>
      <c r="AB240" s="26">
        <v>36406</v>
      </c>
      <c r="AC240" s="43"/>
      <c r="AD240" s="25"/>
      <c r="AE240" s="43"/>
      <c r="AF240" s="43">
        <v>17.945544999999999</v>
      </c>
      <c r="AG240" s="25">
        <f t="shared" si="22"/>
        <v>26.02373316844486</v>
      </c>
      <c r="AH240" s="43">
        <v>20.617701499999999</v>
      </c>
      <c r="AI240" s="43"/>
      <c r="AJ240" s="43"/>
    </row>
    <row r="241" spans="27:36" ht="13.5" x14ac:dyDescent="0.25">
      <c r="AA241" s="26"/>
      <c r="AB241" s="26">
        <v>36413</v>
      </c>
      <c r="AC241" s="43"/>
      <c r="AD241" s="25"/>
      <c r="AE241" s="43"/>
      <c r="AF241" s="43">
        <v>16.584157999999999</v>
      </c>
      <c r="AG241" s="25">
        <f t="shared" si="22"/>
        <v>26.02373316844486</v>
      </c>
      <c r="AH241" s="43">
        <v>20.688257875000001</v>
      </c>
      <c r="AI241" s="43"/>
      <c r="AJ241" s="43"/>
    </row>
    <row r="242" spans="27:36" ht="13.5" x14ac:dyDescent="0.25">
      <c r="AA242" s="26"/>
      <c r="AB242" s="26">
        <v>36420</v>
      </c>
      <c r="AC242" s="43"/>
      <c r="AD242" s="25"/>
      <c r="AE242" s="43"/>
      <c r="AF242" s="43">
        <v>16.893564000000001</v>
      </c>
      <c r="AG242" s="25">
        <f t="shared" si="22"/>
        <v>26.02373316844486</v>
      </c>
      <c r="AH242" s="43">
        <v>20.845291749999998</v>
      </c>
      <c r="AI242" s="43"/>
      <c r="AJ242" s="43"/>
    </row>
    <row r="243" spans="27:36" ht="13.5" x14ac:dyDescent="0.25">
      <c r="AA243" s="26"/>
      <c r="AB243" s="26">
        <v>36427</v>
      </c>
      <c r="AC243" s="43"/>
      <c r="AD243" s="25"/>
      <c r="AE243" s="43"/>
      <c r="AF243" s="43">
        <v>16.831683999999999</v>
      </c>
      <c r="AG243" s="25">
        <f t="shared" si="22"/>
        <v>26.02373316844486</v>
      </c>
      <c r="AH243" s="43">
        <v>20.449041874999999</v>
      </c>
      <c r="AI243" s="43"/>
      <c r="AJ243" s="43"/>
    </row>
    <row r="244" spans="27:36" ht="13.5" x14ac:dyDescent="0.25">
      <c r="AA244" s="26"/>
      <c r="AB244" s="26">
        <v>36434</v>
      </c>
      <c r="AC244" s="43"/>
      <c r="AD244" s="25"/>
      <c r="AE244" s="43"/>
      <c r="AF244" s="43">
        <v>19.121286000000001</v>
      </c>
      <c r="AG244" s="25">
        <f t="shared" si="22"/>
        <v>26.02373316844486</v>
      </c>
      <c r="AH244" s="43">
        <v>22.08547725</v>
      </c>
      <c r="AI244" s="43"/>
      <c r="AJ244" s="43"/>
    </row>
    <row r="245" spans="27:36" ht="13.5" x14ac:dyDescent="0.25">
      <c r="AA245" s="26"/>
      <c r="AB245" s="26">
        <v>36441</v>
      </c>
      <c r="AC245" s="43"/>
      <c r="AD245" s="25"/>
      <c r="AE245" s="43"/>
      <c r="AF245" s="43">
        <v>19.430693000000002</v>
      </c>
      <c r="AG245" s="25">
        <f t="shared" si="22"/>
        <v>26.02373316844486</v>
      </c>
      <c r="AH245" s="43">
        <v>21.794435875000001</v>
      </c>
      <c r="AI245" s="43"/>
      <c r="AJ245" s="43"/>
    </row>
    <row r="246" spans="27:36" ht="13.5" x14ac:dyDescent="0.25">
      <c r="AA246" s="26"/>
      <c r="AB246" s="26">
        <v>36448</v>
      </c>
      <c r="AC246" s="43"/>
      <c r="AD246" s="25"/>
      <c r="AE246" s="43"/>
      <c r="AF246" s="43">
        <v>19.740099000000001</v>
      </c>
      <c r="AG246" s="25">
        <f t="shared" si="22"/>
        <v>26.02373316844486</v>
      </c>
      <c r="AH246" s="43">
        <v>21.543566999999999</v>
      </c>
      <c r="AI246" s="43"/>
      <c r="AJ246" s="43"/>
    </row>
    <row r="247" spans="27:36" ht="13.5" x14ac:dyDescent="0.25">
      <c r="AA247" s="26"/>
      <c r="AB247" s="26">
        <v>36455</v>
      </c>
      <c r="AC247" s="43"/>
      <c r="AD247" s="25"/>
      <c r="AE247" s="43"/>
      <c r="AF247" s="43">
        <v>22.896039999999999</v>
      </c>
      <c r="AG247" s="25">
        <f t="shared" si="22"/>
        <v>26.02373316844486</v>
      </c>
      <c r="AH247" s="43">
        <v>21.978559375</v>
      </c>
      <c r="AI247" s="43"/>
      <c r="AJ247" s="43"/>
    </row>
    <row r="248" spans="27:36" ht="13.5" x14ac:dyDescent="0.25">
      <c r="AA248" s="26"/>
      <c r="AB248" s="26">
        <v>36462</v>
      </c>
      <c r="AC248" s="43"/>
      <c r="AD248" s="25"/>
      <c r="AE248" s="43"/>
      <c r="AF248" s="43">
        <v>16.5</v>
      </c>
      <c r="AG248" s="25">
        <f t="shared" si="22"/>
        <v>26.02373316844486</v>
      </c>
      <c r="AH248" s="43">
        <v>20.915365999999999</v>
      </c>
      <c r="AI248" s="43"/>
      <c r="AJ248" s="43"/>
    </row>
    <row r="249" spans="27:36" ht="13.5" x14ac:dyDescent="0.25">
      <c r="AA249" s="26"/>
      <c r="AB249" s="26">
        <v>36469</v>
      </c>
      <c r="AC249" s="43"/>
      <c r="AD249" s="25"/>
      <c r="AE249" s="43"/>
      <c r="AF249" s="43">
        <v>15.875</v>
      </c>
      <c r="AG249" s="25">
        <f t="shared" si="22"/>
        <v>26.02373316844486</v>
      </c>
      <c r="AH249" s="43">
        <v>20.540337749999999</v>
      </c>
      <c r="AI249" s="43"/>
      <c r="AJ249" s="43"/>
    </row>
    <row r="250" spans="27:36" ht="13.5" x14ac:dyDescent="0.25">
      <c r="AA250" s="26"/>
      <c r="AB250" s="26">
        <v>36476</v>
      </c>
      <c r="AC250" s="43"/>
      <c r="AD250" s="25"/>
      <c r="AE250" s="43"/>
      <c r="AF250" s="43">
        <v>17.375</v>
      </c>
      <c r="AG250" s="25">
        <f t="shared" si="22"/>
        <v>26.02373316844486</v>
      </c>
      <c r="AH250" s="43">
        <v>20.797266749999999</v>
      </c>
      <c r="AI250" s="43"/>
      <c r="AJ250" s="43"/>
    </row>
    <row r="251" spans="27:36" ht="13.5" x14ac:dyDescent="0.25">
      <c r="AA251" s="26"/>
      <c r="AB251" s="26">
        <v>36483</v>
      </c>
      <c r="AC251" s="43"/>
      <c r="AD251" s="25"/>
      <c r="AE251" s="43"/>
      <c r="AF251" s="43">
        <v>18</v>
      </c>
      <c r="AG251" s="25">
        <f t="shared" si="22"/>
        <v>26.02373316844486</v>
      </c>
      <c r="AH251" s="43">
        <v>21.406747750000001</v>
      </c>
      <c r="AI251" s="43"/>
      <c r="AJ251" s="43"/>
    </row>
    <row r="252" spans="27:36" ht="13.5" x14ac:dyDescent="0.25">
      <c r="AA252" s="26"/>
      <c r="AB252" s="26">
        <v>36490</v>
      </c>
      <c r="AC252" s="43"/>
      <c r="AD252" s="25"/>
      <c r="AE252" s="43"/>
      <c r="AF252" s="43">
        <v>19.0625</v>
      </c>
      <c r="AG252" s="25">
        <f t="shared" si="22"/>
        <v>26.02373316844486</v>
      </c>
      <c r="AH252" s="43">
        <v>21.550886500000001</v>
      </c>
      <c r="AI252" s="43"/>
      <c r="AJ252" s="43"/>
    </row>
    <row r="253" spans="27:36" ht="13.5" x14ac:dyDescent="0.25">
      <c r="AA253" s="26"/>
      <c r="AB253" s="26">
        <v>36497</v>
      </c>
      <c r="AC253" s="43"/>
      <c r="AD253" s="25"/>
      <c r="AE253" s="43"/>
      <c r="AF253" s="43">
        <v>17.25</v>
      </c>
      <c r="AG253" s="25">
        <f t="shared" si="22"/>
        <v>26.02373316844486</v>
      </c>
      <c r="AH253" s="43">
        <v>21.164952</v>
      </c>
      <c r="AI253" s="43"/>
      <c r="AJ253" s="43"/>
    </row>
    <row r="254" spans="27:36" ht="13.5" x14ac:dyDescent="0.25">
      <c r="AA254" s="26"/>
      <c r="AB254" s="26">
        <v>36504</v>
      </c>
      <c r="AC254" s="43"/>
      <c r="AD254" s="25"/>
      <c r="AE254" s="43"/>
      <c r="AF254" s="43">
        <v>18.1875</v>
      </c>
      <c r="AG254" s="25">
        <f t="shared" si="22"/>
        <v>26.02373316844486</v>
      </c>
      <c r="AH254" s="43">
        <v>22.288291375</v>
      </c>
      <c r="AI254" s="43"/>
      <c r="AJ254" s="43"/>
    </row>
    <row r="255" spans="27:36" ht="13.5" x14ac:dyDescent="0.25">
      <c r="AA255" s="26"/>
      <c r="AB255" s="26">
        <v>36511</v>
      </c>
      <c r="AC255" s="43"/>
      <c r="AD255" s="25"/>
      <c r="AE255" s="43"/>
      <c r="AF255" s="43">
        <v>21.1875</v>
      </c>
      <c r="AG255" s="25">
        <f t="shared" si="22"/>
        <v>26.02373316844486</v>
      </c>
      <c r="AH255" s="43">
        <v>23.881815187500003</v>
      </c>
      <c r="AI255" s="43"/>
      <c r="AJ255" s="43"/>
    </row>
    <row r="256" spans="27:36" ht="13.5" x14ac:dyDescent="0.25">
      <c r="AA256" s="26"/>
      <c r="AB256" s="26">
        <v>36518</v>
      </c>
      <c r="AC256" s="43"/>
      <c r="AD256" s="25"/>
      <c r="AE256" s="43"/>
      <c r="AF256" s="43">
        <v>23.625</v>
      </c>
      <c r="AG256" s="25">
        <f t="shared" si="22"/>
        <v>26.02373316844486</v>
      </c>
      <c r="AH256" s="43">
        <v>25.218281375</v>
      </c>
      <c r="AI256" s="43"/>
      <c r="AJ256" s="43"/>
    </row>
    <row r="257" spans="27:36" ht="13.5" x14ac:dyDescent="0.25">
      <c r="AA257" s="26"/>
      <c r="AB257" s="26">
        <v>36525</v>
      </c>
      <c r="AC257" s="43"/>
      <c r="AD257" s="25"/>
      <c r="AE257" s="43"/>
      <c r="AF257" s="43">
        <v>24</v>
      </c>
      <c r="AG257" s="25">
        <f t="shared" si="22"/>
        <v>26.02373316844486</v>
      </c>
      <c r="AH257" s="43">
        <v>26.693657625</v>
      </c>
      <c r="AI257" s="43"/>
      <c r="AJ257" s="43"/>
    </row>
    <row r="258" spans="27:36" ht="13.5" x14ac:dyDescent="0.25">
      <c r="AA258" s="26"/>
      <c r="AB258" s="26">
        <v>36532</v>
      </c>
      <c r="AC258" s="43"/>
      <c r="AD258" s="25"/>
      <c r="AE258" s="43"/>
      <c r="AF258" s="43">
        <v>25.5</v>
      </c>
      <c r="AG258" s="25">
        <f t="shared" si="22"/>
        <v>26.02373316844486</v>
      </c>
      <c r="AH258" s="43">
        <v>25.622680875</v>
      </c>
      <c r="AI258" s="43"/>
      <c r="AJ258" s="43"/>
    </row>
    <row r="259" spans="27:36" ht="13.5" x14ac:dyDescent="0.25">
      <c r="AA259" s="26"/>
      <c r="AB259" s="26">
        <v>36539</v>
      </c>
      <c r="AC259" s="43"/>
      <c r="AD259" s="25"/>
      <c r="AE259" s="43"/>
      <c r="AF259" s="43">
        <v>26.3125</v>
      </c>
      <c r="AG259" s="25">
        <f t="shared" si="22"/>
        <v>26.02373316844486</v>
      </c>
      <c r="AH259" s="43">
        <v>25.947488499999999</v>
      </c>
      <c r="AI259" s="43"/>
      <c r="AJ259" s="43"/>
    </row>
    <row r="260" spans="27:36" ht="13.5" x14ac:dyDescent="0.25">
      <c r="AA260" s="26"/>
      <c r="AB260" s="26">
        <v>36546</v>
      </c>
      <c r="AC260" s="43"/>
      <c r="AD260" s="25"/>
      <c r="AE260" s="43"/>
      <c r="AF260" s="43">
        <v>25.9375</v>
      </c>
      <c r="AG260" s="25">
        <f t="shared" si="22"/>
        <v>26.02373316844486</v>
      </c>
      <c r="AH260" s="43">
        <v>27.41706825</v>
      </c>
      <c r="AI260" s="43"/>
      <c r="AJ260" s="43"/>
    </row>
    <row r="261" spans="27:36" ht="13.5" x14ac:dyDescent="0.25">
      <c r="AA261" s="26"/>
      <c r="AB261" s="26">
        <v>36553</v>
      </c>
      <c r="AC261" s="43"/>
      <c r="AD261" s="25"/>
      <c r="AE261" s="43"/>
      <c r="AF261" s="43">
        <v>25.40625</v>
      </c>
      <c r="AG261" s="25">
        <f t="shared" si="22"/>
        <v>26.02373316844486</v>
      </c>
      <c r="AH261" s="43">
        <v>25.990524125</v>
      </c>
      <c r="AI261" s="43"/>
      <c r="AJ261" s="43"/>
    </row>
    <row r="262" spans="27:36" ht="13.5" x14ac:dyDescent="0.25">
      <c r="AA262" s="26"/>
      <c r="AB262" s="26">
        <v>36560</v>
      </c>
      <c r="AC262" s="43"/>
      <c r="AD262" s="25"/>
      <c r="AE262" s="43"/>
      <c r="AF262" s="43">
        <v>25.9375</v>
      </c>
      <c r="AG262" s="25">
        <f t="shared" si="22"/>
        <v>26.02373316844486</v>
      </c>
      <c r="AH262" s="43">
        <v>25.001970874999998</v>
      </c>
      <c r="AI262" s="43"/>
      <c r="AJ262" s="43"/>
    </row>
    <row r="263" spans="27:36" ht="13.5" x14ac:dyDescent="0.25">
      <c r="AA263" s="26"/>
      <c r="AB263" s="26">
        <v>36567</v>
      </c>
      <c r="AC263" s="43"/>
      <c r="AD263" s="25"/>
      <c r="AE263" s="43"/>
      <c r="AF263" s="43">
        <v>29.0625</v>
      </c>
      <c r="AG263" s="25">
        <f t="shared" si="22"/>
        <v>26.02373316844486</v>
      </c>
      <c r="AH263" s="43">
        <v>24.882877124999997</v>
      </c>
      <c r="AI263" s="43"/>
      <c r="AJ263" s="43"/>
    </row>
    <row r="264" spans="27:36" ht="13.5" x14ac:dyDescent="0.25">
      <c r="AA264" s="26"/>
      <c r="AB264" s="26">
        <v>36574</v>
      </c>
      <c r="AC264" s="43"/>
      <c r="AD264" s="25"/>
      <c r="AE264" s="43"/>
      <c r="AF264" s="43">
        <v>26.75</v>
      </c>
      <c r="AG264" s="25">
        <f t="shared" si="22"/>
        <v>26.02373316844486</v>
      </c>
      <c r="AH264" s="43">
        <v>23.100540125000002</v>
      </c>
      <c r="AI264" s="43"/>
      <c r="AJ264" s="43"/>
    </row>
    <row r="265" spans="27:36" ht="13.5" x14ac:dyDescent="0.25">
      <c r="AA265" s="26"/>
      <c r="AB265" s="26">
        <v>36581</v>
      </c>
      <c r="AC265" s="43"/>
      <c r="AD265" s="25"/>
      <c r="AE265" s="43"/>
      <c r="AF265" s="43">
        <v>26.03125</v>
      </c>
      <c r="AG265" s="25">
        <f t="shared" si="22"/>
        <v>26.02373316844486</v>
      </c>
      <c r="AH265" s="43">
        <v>23.157256375000003</v>
      </c>
      <c r="AI265" s="43"/>
      <c r="AJ265" s="43"/>
    </row>
    <row r="266" spans="27:36" ht="13.5" x14ac:dyDescent="0.25">
      <c r="AA266" s="26"/>
      <c r="AB266" s="26">
        <v>36588</v>
      </c>
      <c r="AC266" s="43"/>
      <c r="AD266" s="25"/>
      <c r="AE266" s="43"/>
      <c r="AF266" s="43">
        <v>31.890625</v>
      </c>
      <c r="AG266" s="25">
        <f t="shared" si="22"/>
        <v>26.02373316844486</v>
      </c>
      <c r="AH266" s="43">
        <v>25.445062</v>
      </c>
      <c r="AI266" s="43"/>
      <c r="AJ266" s="43"/>
    </row>
    <row r="267" spans="27:36" ht="13.5" x14ac:dyDescent="0.25">
      <c r="AA267" s="26"/>
      <c r="AB267" s="26">
        <v>36595</v>
      </c>
      <c r="AC267" s="43"/>
      <c r="AD267" s="25"/>
      <c r="AE267" s="43"/>
      <c r="AF267" s="43">
        <v>35.375</v>
      </c>
      <c r="AG267" s="25">
        <f t="shared" si="22"/>
        <v>26.02373316844486</v>
      </c>
      <c r="AH267" s="43">
        <v>27.246151749999999</v>
      </c>
      <c r="AI267" s="43"/>
      <c r="AJ267" s="43"/>
    </row>
    <row r="268" spans="27:36" ht="13.5" x14ac:dyDescent="0.25">
      <c r="AA268" s="26"/>
      <c r="AB268" s="26">
        <v>36602</v>
      </c>
      <c r="AC268" s="43"/>
      <c r="AD268" s="25"/>
      <c r="AE268" s="43"/>
      <c r="AF268" s="43">
        <v>33.0625</v>
      </c>
      <c r="AG268" s="25">
        <f t="shared" si="22"/>
        <v>26.02373316844486</v>
      </c>
      <c r="AH268" s="43">
        <v>25.121777250000004</v>
      </c>
      <c r="AI268" s="43"/>
      <c r="AJ268" s="43"/>
    </row>
    <row r="269" spans="27:36" ht="13.5" x14ac:dyDescent="0.25">
      <c r="AA269" s="26"/>
      <c r="AB269" s="26">
        <v>36609</v>
      </c>
      <c r="AC269" s="43"/>
      <c r="AD269" s="25"/>
      <c r="AE269" s="43"/>
      <c r="AF269" s="43">
        <v>32.25</v>
      </c>
      <c r="AG269" s="25">
        <f t="shared" si="22"/>
        <v>26.02373316844486</v>
      </c>
      <c r="AH269" s="43">
        <v>24.89065325</v>
      </c>
      <c r="AI269" s="43"/>
      <c r="AJ269" s="43"/>
    </row>
    <row r="270" spans="27:36" ht="13.5" x14ac:dyDescent="0.25">
      <c r="AA270" s="26"/>
      <c r="AB270" s="26">
        <v>36616</v>
      </c>
      <c r="AC270" s="43"/>
      <c r="AD270" s="25"/>
      <c r="AE270" s="43"/>
      <c r="AF270" s="43">
        <v>33.25</v>
      </c>
      <c r="AG270" s="25">
        <f t="shared" si="22"/>
        <v>26.02373316844486</v>
      </c>
      <c r="AH270" s="43">
        <v>23.796660874999997</v>
      </c>
      <c r="AI270" s="43"/>
      <c r="AJ270" s="43"/>
    </row>
    <row r="271" spans="27:36" ht="13.5" x14ac:dyDescent="0.25">
      <c r="AA271" s="26"/>
      <c r="AB271" s="26">
        <v>36623</v>
      </c>
      <c r="AC271" s="43"/>
      <c r="AD271" s="25"/>
      <c r="AE271" s="43"/>
      <c r="AF271" s="43">
        <v>30.5625</v>
      </c>
      <c r="AG271" s="25">
        <f t="shared" si="22"/>
        <v>26.02373316844486</v>
      </c>
      <c r="AH271" s="43">
        <v>23.451269999999997</v>
      </c>
      <c r="AI271" s="43"/>
      <c r="AJ271" s="43"/>
    </row>
    <row r="272" spans="27:36" ht="13.5" x14ac:dyDescent="0.25">
      <c r="AA272" s="26"/>
      <c r="AB272" s="26">
        <v>36630</v>
      </c>
      <c r="AC272" s="43"/>
      <c r="AD272" s="25"/>
      <c r="AE272" s="43"/>
      <c r="AF272" s="43">
        <v>25.25</v>
      </c>
      <c r="AG272" s="25">
        <f t="shared" si="22"/>
        <v>26.02373316844486</v>
      </c>
      <c r="AH272" s="43">
        <v>20.861962999999996</v>
      </c>
      <c r="AI272" s="43"/>
      <c r="AJ272" s="43"/>
    </row>
    <row r="273" spans="27:36" ht="13.5" x14ac:dyDescent="0.25">
      <c r="AA273" s="26"/>
      <c r="AB273" s="26">
        <v>36637</v>
      </c>
      <c r="AC273" s="43"/>
      <c r="AD273" s="25"/>
      <c r="AE273" s="43"/>
      <c r="AF273" s="43">
        <v>26.75</v>
      </c>
      <c r="AG273" s="25">
        <f t="shared" si="22"/>
        <v>26.02373316844486</v>
      </c>
      <c r="AH273" s="43">
        <v>21.197797999999999</v>
      </c>
      <c r="AI273" s="43"/>
      <c r="AJ273" s="43"/>
    </row>
    <row r="274" spans="27:36" ht="13.5" x14ac:dyDescent="0.25">
      <c r="AA274" s="26"/>
      <c r="AB274" s="26">
        <v>36644</v>
      </c>
      <c r="AC274" s="43"/>
      <c r="AD274" s="25"/>
      <c r="AE274" s="43"/>
      <c r="AF274" s="43">
        <v>27</v>
      </c>
      <c r="AG274" s="25">
        <f t="shared" si="22"/>
        <v>26.02373316844486</v>
      </c>
      <c r="AH274" s="43">
        <v>24.352731875000003</v>
      </c>
      <c r="AI274" s="43"/>
      <c r="AJ274" s="43"/>
    </row>
    <row r="275" spans="27:36" ht="13.5" x14ac:dyDescent="0.25">
      <c r="AA275" s="26"/>
      <c r="AB275" s="26">
        <v>36651</v>
      </c>
      <c r="AC275" s="43"/>
      <c r="AD275" s="25"/>
      <c r="AE275" s="43"/>
      <c r="AF275" s="43">
        <v>31.375</v>
      </c>
      <c r="AG275" s="25">
        <f t="shared" si="22"/>
        <v>26.02373316844486</v>
      </c>
      <c r="AH275" s="43">
        <v>25.138583749999999</v>
      </c>
      <c r="AI275" s="43"/>
      <c r="AJ275" s="43"/>
    </row>
    <row r="276" spans="27:36" ht="13.5" x14ac:dyDescent="0.25">
      <c r="AA276" s="26"/>
      <c r="AB276" s="26">
        <v>36658</v>
      </c>
      <c r="AC276" s="43"/>
      <c r="AD276" s="25"/>
      <c r="AE276" s="43"/>
      <c r="AF276" s="43">
        <v>29.6875</v>
      </c>
      <c r="AG276" s="25">
        <f t="shared" si="22"/>
        <v>26.02373316844486</v>
      </c>
      <c r="AH276" s="43">
        <v>24.595276750000007</v>
      </c>
      <c r="AI276" s="43"/>
      <c r="AJ276" s="43"/>
    </row>
    <row r="277" spans="27:36" ht="13.5" x14ac:dyDescent="0.25">
      <c r="AA277" s="26"/>
      <c r="AB277" s="26">
        <v>36665</v>
      </c>
      <c r="AC277" s="43"/>
      <c r="AD277" s="25"/>
      <c r="AE277" s="43"/>
      <c r="AF277" s="43">
        <v>28.25</v>
      </c>
      <c r="AG277" s="25">
        <f t="shared" si="22"/>
        <v>26.02373316844486</v>
      </c>
      <c r="AH277" s="43">
        <v>24.239483437500002</v>
      </c>
      <c r="AI277" s="43"/>
      <c r="AJ277" s="43"/>
    </row>
    <row r="278" spans="27:36" ht="13.5" x14ac:dyDescent="0.25">
      <c r="AA278" s="26"/>
      <c r="AB278" s="26">
        <v>36672</v>
      </c>
      <c r="AC278" s="43"/>
      <c r="AD278" s="25"/>
      <c r="AE278" s="43"/>
      <c r="AF278" s="43">
        <v>27.9375</v>
      </c>
      <c r="AG278" s="25">
        <f t="shared" si="22"/>
        <v>26.02373316844486</v>
      </c>
      <c r="AH278" s="43">
        <v>23.830571062499999</v>
      </c>
      <c r="AI278" s="43"/>
      <c r="AJ278" s="43"/>
    </row>
    <row r="279" spans="27:36" ht="13.5" x14ac:dyDescent="0.25">
      <c r="AA279" s="26"/>
      <c r="AB279" s="26">
        <v>36679</v>
      </c>
      <c r="AC279" s="43"/>
      <c r="AD279" s="25"/>
      <c r="AE279" s="43"/>
      <c r="AF279" s="43">
        <v>26.616379999999999</v>
      </c>
      <c r="AG279" s="25">
        <f t="shared" si="22"/>
        <v>26.02373316844486</v>
      </c>
      <c r="AH279" s="43">
        <v>22.578036571428573</v>
      </c>
      <c r="AI279" s="43"/>
      <c r="AJ279" s="43"/>
    </row>
    <row r="280" spans="27:36" ht="13.5" x14ac:dyDescent="0.25">
      <c r="AA280" s="26"/>
      <c r="AB280" s="26">
        <v>36686</v>
      </c>
      <c r="AC280" s="43"/>
      <c r="AD280" s="25"/>
      <c r="AE280" s="43"/>
      <c r="AF280" s="43">
        <v>26.778019</v>
      </c>
      <c r="AG280" s="25">
        <f t="shared" si="22"/>
        <v>26.02373316844486</v>
      </c>
      <c r="AH280" s="43">
        <v>22.775433571428572</v>
      </c>
      <c r="AI280" s="43"/>
      <c r="AJ280" s="43"/>
    </row>
    <row r="281" spans="27:36" ht="13.5" x14ac:dyDescent="0.25">
      <c r="AA281" s="26"/>
      <c r="AB281" s="26">
        <v>36693</v>
      </c>
      <c r="AC281" s="43"/>
      <c r="AD281" s="25"/>
      <c r="AE281" s="43"/>
      <c r="AF281" s="43">
        <v>25.969828</v>
      </c>
      <c r="AG281" s="25">
        <f t="shared" si="22"/>
        <v>26.02373316844486</v>
      </c>
      <c r="AH281" s="43">
        <v>22.714429571428571</v>
      </c>
      <c r="AI281" s="43"/>
      <c r="AJ281" s="43"/>
    </row>
    <row r="282" spans="27:36" ht="13.5" x14ac:dyDescent="0.25">
      <c r="AA282" s="26"/>
      <c r="AB282" s="26">
        <v>36700</v>
      </c>
      <c r="AC282" s="43"/>
      <c r="AD282" s="25"/>
      <c r="AE282" s="43"/>
      <c r="AF282" s="43">
        <v>24.892242</v>
      </c>
      <c r="AG282" s="25">
        <f t="shared" si="22"/>
        <v>26.02373316844486</v>
      </c>
      <c r="AH282" s="43">
        <v>22.431594142857143</v>
      </c>
      <c r="AI282" s="43"/>
      <c r="AJ282" s="43"/>
    </row>
    <row r="283" spans="27:36" ht="13.5" x14ac:dyDescent="0.25">
      <c r="AA283" s="26"/>
      <c r="AB283" s="26">
        <v>36707</v>
      </c>
      <c r="AC283" s="43"/>
      <c r="AD283" s="25"/>
      <c r="AE283" s="43"/>
      <c r="AF283" s="43">
        <v>23.491379999999999</v>
      </c>
      <c r="AG283" s="25">
        <f t="shared" si="22"/>
        <v>26.02373316844486</v>
      </c>
      <c r="AH283" s="43">
        <v>22.300744999999999</v>
      </c>
      <c r="AI283" s="43"/>
      <c r="AJ283" s="43"/>
    </row>
    <row r="284" spans="27:36" ht="13.5" x14ac:dyDescent="0.25">
      <c r="AA284" s="26"/>
      <c r="AB284" s="26">
        <v>36714</v>
      </c>
      <c r="AC284" s="43"/>
      <c r="AD284" s="25"/>
      <c r="AE284" s="43"/>
      <c r="AF284" s="43">
        <v>26.023707999999999</v>
      </c>
      <c r="AG284" s="25">
        <f t="shared" si="22"/>
        <v>26.02373316844486</v>
      </c>
      <c r="AH284" s="43">
        <v>22.585124285714283</v>
      </c>
      <c r="AI284" s="43"/>
      <c r="AJ284" s="43"/>
    </row>
    <row r="285" spans="27:36" ht="13.5" x14ac:dyDescent="0.25">
      <c r="AA285" s="26"/>
      <c r="AB285" s="26">
        <v>36721</v>
      </c>
      <c r="AC285" s="43"/>
      <c r="AD285" s="25"/>
      <c r="AE285" s="43"/>
      <c r="AF285" s="43">
        <v>25.107759999999999</v>
      </c>
      <c r="AG285" s="25">
        <f t="shared" si="22"/>
        <v>26.02373316844486</v>
      </c>
      <c r="AH285" s="43">
        <v>22.660610285714288</v>
      </c>
      <c r="AI285" s="43"/>
      <c r="AJ285" s="43"/>
    </row>
    <row r="286" spans="27:36" ht="13.5" x14ac:dyDescent="0.25">
      <c r="AA286" s="26"/>
      <c r="AB286" s="26">
        <v>36728</v>
      </c>
      <c r="AC286" s="43"/>
      <c r="AD286" s="25"/>
      <c r="AE286" s="43"/>
      <c r="AF286" s="43">
        <v>22.737069999999999</v>
      </c>
      <c r="AG286" s="25">
        <f t="shared" si="22"/>
        <v>26.02373316844486</v>
      </c>
      <c r="AH286" s="43">
        <v>22.312938857142857</v>
      </c>
      <c r="AI286" s="43"/>
      <c r="AJ286" s="43"/>
    </row>
    <row r="287" spans="27:36" ht="13.5" x14ac:dyDescent="0.25">
      <c r="AA287" s="26"/>
      <c r="AB287" s="26">
        <v>36735</v>
      </c>
      <c r="AC287" s="43"/>
      <c r="AD287" s="25"/>
      <c r="AE287" s="43"/>
      <c r="AF287" s="43">
        <v>17.403016999999998</v>
      </c>
      <c r="AG287" s="25">
        <f t="shared" si="22"/>
        <v>26.02373316844486</v>
      </c>
      <c r="AH287" s="43">
        <v>20.912037285714284</v>
      </c>
      <c r="AI287" s="43"/>
      <c r="AJ287" s="43"/>
    </row>
    <row r="288" spans="27:36" ht="13.5" x14ac:dyDescent="0.25">
      <c r="AA288" s="26"/>
      <c r="AB288" s="26">
        <v>36742</v>
      </c>
      <c r="AC288" s="43"/>
      <c r="AD288" s="25"/>
      <c r="AE288" s="43"/>
      <c r="AF288" s="43">
        <v>19.881466</v>
      </c>
      <c r="AG288" s="25">
        <f t="shared" si="22"/>
        <v>26.02373316844486</v>
      </c>
      <c r="AH288" s="43">
        <v>27.027783875000001</v>
      </c>
      <c r="AI288" s="43"/>
      <c r="AJ288" s="43"/>
    </row>
    <row r="289" spans="27:36" ht="13.5" x14ac:dyDescent="0.25">
      <c r="AA289" s="26"/>
      <c r="AB289" s="26">
        <v>36749</v>
      </c>
      <c r="AC289" s="43"/>
      <c r="AD289" s="25"/>
      <c r="AE289" s="43"/>
      <c r="AF289" s="43">
        <v>20.905172</v>
      </c>
      <c r="AG289" s="25">
        <f t="shared" si="22"/>
        <v>26.02373316844486</v>
      </c>
      <c r="AH289" s="43">
        <v>27.037173624999998</v>
      </c>
      <c r="AI289" s="43"/>
      <c r="AJ289" s="43"/>
    </row>
    <row r="290" spans="27:36" ht="13.5" x14ac:dyDescent="0.25">
      <c r="AA290" s="26"/>
      <c r="AB290" s="26">
        <v>36756</v>
      </c>
      <c r="AC290" s="43"/>
      <c r="AD290" s="25"/>
      <c r="AE290" s="43"/>
      <c r="AF290" s="43">
        <v>21.551725000000001</v>
      </c>
      <c r="AG290" s="25">
        <f t="shared" si="22"/>
        <v>26.02373316844486</v>
      </c>
      <c r="AH290" s="43">
        <v>27.000036874999999</v>
      </c>
      <c r="AI290" s="43"/>
      <c r="AJ290" s="43"/>
    </row>
    <row r="291" spans="27:36" ht="13.5" x14ac:dyDescent="0.25">
      <c r="AA291" s="26"/>
      <c r="AB291" s="26">
        <v>36763</v>
      </c>
      <c r="AC291" s="43"/>
      <c r="AD291" s="25"/>
      <c r="AE291" s="43"/>
      <c r="AF291" s="43">
        <v>22.090516999999998</v>
      </c>
      <c r="AG291" s="25">
        <f t="shared" si="22"/>
        <v>26.02373316844486</v>
      </c>
      <c r="AH291" s="43">
        <v>26.785880875</v>
      </c>
      <c r="AI291" s="43"/>
      <c r="AJ291" s="43"/>
    </row>
    <row r="292" spans="27:36" ht="13.5" x14ac:dyDescent="0.25">
      <c r="AA292" s="26"/>
      <c r="AB292" s="26">
        <v>36770</v>
      </c>
      <c r="AC292" s="43"/>
      <c r="AD292" s="25"/>
      <c r="AE292" s="43"/>
      <c r="AF292" s="43">
        <v>23.114225000000001</v>
      </c>
      <c r="AG292" s="25">
        <f t="shared" si="22"/>
        <v>26.02373316844486</v>
      </c>
      <c r="AH292" s="43">
        <v>25.837860124999999</v>
      </c>
      <c r="AI292" s="43"/>
      <c r="AJ292" s="43"/>
    </row>
    <row r="293" spans="27:36" ht="13.5" x14ac:dyDescent="0.25">
      <c r="AA293" s="26"/>
      <c r="AB293" s="26">
        <v>36777</v>
      </c>
      <c r="AC293" s="43"/>
      <c r="AD293" s="25"/>
      <c r="AE293" s="43"/>
      <c r="AF293" s="43">
        <v>23.275863999999999</v>
      </c>
      <c r="AG293" s="25">
        <f t="shared" si="22"/>
        <v>26.02373316844486</v>
      </c>
      <c r="AH293" s="43">
        <v>25.918521999999999</v>
      </c>
      <c r="AI293" s="43"/>
      <c r="AJ293" s="43"/>
    </row>
    <row r="294" spans="27:36" ht="13.5" x14ac:dyDescent="0.25">
      <c r="AA294" s="26"/>
      <c r="AB294" s="26">
        <v>36784</v>
      </c>
      <c r="AC294" s="43"/>
      <c r="AD294" s="25"/>
      <c r="AE294" s="43"/>
      <c r="AF294" s="43">
        <v>25.75431</v>
      </c>
      <c r="AG294" s="25">
        <f t="shared" ref="AG294:AG357" si="23">$Z$69</f>
        <v>26.02373316844486</v>
      </c>
      <c r="AH294" s="43">
        <v>25.260379250000003</v>
      </c>
      <c r="AI294" s="43"/>
      <c r="AJ294" s="43"/>
    </row>
    <row r="295" spans="27:36" ht="13.5" x14ac:dyDescent="0.25">
      <c r="AA295" s="26"/>
      <c r="AB295" s="26">
        <v>36791</v>
      </c>
      <c r="AC295" s="43"/>
      <c r="AD295" s="25"/>
      <c r="AE295" s="43"/>
      <c r="AF295" s="43">
        <v>26.131466</v>
      </c>
      <c r="AG295" s="25">
        <f t="shared" si="23"/>
        <v>26.02373316844486</v>
      </c>
      <c r="AH295" s="43">
        <v>20.966898</v>
      </c>
      <c r="AI295" s="43"/>
      <c r="AJ295" s="43"/>
    </row>
    <row r="296" spans="27:36" ht="13.5" x14ac:dyDescent="0.25">
      <c r="AA296" s="26"/>
      <c r="AB296" s="26">
        <v>36798</v>
      </c>
      <c r="AC296" s="43"/>
      <c r="AD296" s="25"/>
      <c r="AE296" s="43"/>
      <c r="AF296" s="43">
        <v>27.370691000000001</v>
      </c>
      <c r="AG296" s="25">
        <f t="shared" si="23"/>
        <v>26.02373316844486</v>
      </c>
      <c r="AH296" s="43">
        <v>21.117937874999999</v>
      </c>
      <c r="AI296" s="43"/>
      <c r="AJ296" s="43"/>
    </row>
    <row r="297" spans="27:36" ht="13.5" x14ac:dyDescent="0.25">
      <c r="AA297" s="26"/>
      <c r="AB297" s="26">
        <v>36805</v>
      </c>
      <c r="AC297" s="43"/>
      <c r="AD297" s="25"/>
      <c r="AE297" s="43"/>
      <c r="AF297" s="43">
        <v>28.717672</v>
      </c>
      <c r="AG297" s="25">
        <f t="shared" si="23"/>
        <v>26.02373316844486</v>
      </c>
      <c r="AH297" s="43">
        <v>20.896409749999997</v>
      </c>
      <c r="AI297" s="43"/>
      <c r="AJ297" s="43"/>
    </row>
    <row r="298" spans="27:36" ht="13.5" x14ac:dyDescent="0.25">
      <c r="AA298" s="26"/>
      <c r="AB298" s="26">
        <v>36812</v>
      </c>
      <c r="AC298" s="43"/>
      <c r="AD298" s="25"/>
      <c r="AE298" s="43"/>
      <c r="AF298" s="43">
        <v>28.448277000000001</v>
      </c>
      <c r="AG298" s="25">
        <f t="shared" si="23"/>
        <v>26.02373316844486</v>
      </c>
      <c r="AH298" s="43">
        <v>20.270619249999999</v>
      </c>
      <c r="AI298" s="43"/>
      <c r="AJ298" s="43"/>
    </row>
    <row r="299" spans="27:36" ht="13.5" x14ac:dyDescent="0.25">
      <c r="AA299" s="26"/>
      <c r="AB299" s="26">
        <v>36819</v>
      </c>
      <c r="AC299" s="43"/>
      <c r="AD299" s="25"/>
      <c r="AE299" s="43"/>
      <c r="AF299" s="43">
        <v>29.202587000000001</v>
      </c>
      <c r="AG299" s="25">
        <f t="shared" si="23"/>
        <v>26.02373316844486</v>
      </c>
      <c r="AH299" s="43">
        <v>20.882118875</v>
      </c>
      <c r="AI299" s="43"/>
      <c r="AJ299" s="43"/>
    </row>
    <row r="300" spans="27:36" ht="13.5" x14ac:dyDescent="0.25">
      <c r="AA300" s="26"/>
      <c r="AB300" s="26">
        <v>36826</v>
      </c>
      <c r="AC300" s="43"/>
      <c r="AD300" s="25"/>
      <c r="AE300" s="43"/>
      <c r="AF300" s="43">
        <v>34.698276999999997</v>
      </c>
      <c r="AG300" s="25">
        <f t="shared" si="23"/>
        <v>26.02373316844486</v>
      </c>
      <c r="AH300" s="43">
        <v>20.876949124999996</v>
      </c>
      <c r="AI300" s="43"/>
      <c r="AJ300" s="43"/>
    </row>
    <row r="301" spans="27:36" ht="13.5" x14ac:dyDescent="0.25">
      <c r="AA301" s="26"/>
      <c r="AB301" s="26">
        <v>36833</v>
      </c>
      <c r="AC301" s="43"/>
      <c r="AD301" s="25"/>
      <c r="AE301" s="43"/>
      <c r="AF301" s="43">
        <v>34.829059999999998</v>
      </c>
      <c r="AG301" s="25">
        <f t="shared" si="23"/>
        <v>26.02373316844486</v>
      </c>
      <c r="AH301" s="43">
        <v>21.795311250000001</v>
      </c>
      <c r="AI301" s="43"/>
      <c r="AJ301" s="43"/>
    </row>
    <row r="302" spans="27:36" ht="13.5" x14ac:dyDescent="0.25">
      <c r="AA302" s="26"/>
      <c r="AB302" s="26">
        <v>36840</v>
      </c>
      <c r="AC302" s="43"/>
      <c r="AD302" s="25"/>
      <c r="AE302" s="43"/>
      <c r="AF302" s="43">
        <v>37.232906</v>
      </c>
      <c r="AG302" s="25">
        <f t="shared" si="23"/>
        <v>26.02373316844486</v>
      </c>
      <c r="AH302" s="43">
        <v>22.07899875</v>
      </c>
      <c r="AI302" s="43"/>
      <c r="AJ302" s="43"/>
    </row>
    <row r="303" spans="27:36" ht="13.5" x14ac:dyDescent="0.25">
      <c r="AA303" s="26"/>
      <c r="AB303" s="26">
        <v>36847</v>
      </c>
      <c r="AC303" s="43"/>
      <c r="AD303" s="25"/>
      <c r="AE303" s="43"/>
      <c r="AF303" s="43">
        <v>34.02778</v>
      </c>
      <c r="AG303" s="25">
        <f t="shared" si="23"/>
        <v>26.02373316844486</v>
      </c>
      <c r="AH303" s="43">
        <v>22.027726374999997</v>
      </c>
      <c r="AI303" s="43"/>
      <c r="AJ303" s="43"/>
    </row>
    <row r="304" spans="27:36" ht="13.5" x14ac:dyDescent="0.25">
      <c r="AA304" s="26"/>
      <c r="AB304" s="26">
        <v>36854</v>
      </c>
      <c r="AC304" s="43"/>
      <c r="AD304" s="25"/>
      <c r="AE304" s="43"/>
      <c r="AF304" s="43">
        <v>31.837607999999999</v>
      </c>
      <c r="AG304" s="25">
        <f t="shared" si="23"/>
        <v>26.02373316844486</v>
      </c>
      <c r="AH304" s="43">
        <v>21.487879375000002</v>
      </c>
      <c r="AI304" s="43"/>
      <c r="AJ304" s="43"/>
    </row>
    <row r="305" spans="27:36" ht="13.5" x14ac:dyDescent="0.25">
      <c r="AA305" s="26"/>
      <c r="AB305" s="26">
        <v>36861</v>
      </c>
      <c r="AC305" s="43"/>
      <c r="AD305" s="25"/>
      <c r="AE305" s="43"/>
      <c r="AF305" s="43">
        <v>27.840907999999999</v>
      </c>
      <c r="AG305" s="25">
        <f t="shared" si="23"/>
        <v>26.02373316844486</v>
      </c>
      <c r="AH305" s="43">
        <v>19.966483624999999</v>
      </c>
      <c r="AI305" s="43"/>
      <c r="AJ305" s="43"/>
    </row>
    <row r="306" spans="27:36" ht="13.5" x14ac:dyDescent="0.25">
      <c r="AA306" s="26"/>
      <c r="AB306" s="26">
        <v>36868</v>
      </c>
      <c r="AC306" s="43"/>
      <c r="AD306" s="25"/>
      <c r="AE306" s="43"/>
      <c r="AF306" s="43">
        <v>32.489669999999997</v>
      </c>
      <c r="AG306" s="25">
        <f t="shared" si="23"/>
        <v>26.02373316844486</v>
      </c>
      <c r="AH306" s="43">
        <v>21.272980874999998</v>
      </c>
      <c r="AI306" s="43"/>
      <c r="AJ306" s="43"/>
    </row>
    <row r="307" spans="27:36" ht="13.5" x14ac:dyDescent="0.25">
      <c r="AA307" s="26"/>
      <c r="AB307" s="26">
        <v>36875</v>
      </c>
      <c r="AC307" s="43"/>
      <c r="AD307" s="25"/>
      <c r="AE307" s="43"/>
      <c r="AF307" s="43">
        <v>30.074895999999999</v>
      </c>
      <c r="AG307" s="25">
        <f t="shared" si="23"/>
        <v>26.02373316844486</v>
      </c>
      <c r="AH307" s="43">
        <v>20.657367250000004</v>
      </c>
      <c r="AI307" s="43"/>
      <c r="AJ307" s="43"/>
    </row>
    <row r="308" spans="27:36" ht="13.5" x14ac:dyDescent="0.25">
      <c r="AA308" s="26"/>
      <c r="AB308" s="26">
        <v>36882</v>
      </c>
      <c r="AC308" s="43"/>
      <c r="AD308" s="25"/>
      <c r="AE308" s="43"/>
      <c r="AF308" s="43">
        <v>29.545453999999999</v>
      </c>
      <c r="AG308" s="25">
        <f t="shared" si="23"/>
        <v>26.02373316844486</v>
      </c>
      <c r="AH308" s="43">
        <v>20.974511875000001</v>
      </c>
      <c r="AI308" s="43"/>
      <c r="AJ308" s="43"/>
    </row>
    <row r="309" spans="27:36" ht="13.5" x14ac:dyDescent="0.25">
      <c r="AA309" s="26"/>
      <c r="AB309" s="26">
        <v>36889</v>
      </c>
      <c r="AC309" s="43"/>
      <c r="AD309" s="25"/>
      <c r="AE309" s="43"/>
      <c r="AF309" s="43">
        <v>32.179752000000001</v>
      </c>
      <c r="AG309" s="25">
        <f t="shared" si="23"/>
        <v>26.02373316844486</v>
      </c>
      <c r="AH309" s="43">
        <v>24.270961750000001</v>
      </c>
      <c r="AI309" s="43"/>
      <c r="AJ309" s="43"/>
    </row>
    <row r="310" spans="27:36" ht="13.5" x14ac:dyDescent="0.25">
      <c r="AA310" s="26"/>
      <c r="AB310" s="26">
        <v>36896</v>
      </c>
      <c r="AC310" s="43"/>
      <c r="AD310" s="25"/>
      <c r="AE310" s="43"/>
      <c r="AF310" s="43">
        <v>30.681818</v>
      </c>
      <c r="AG310" s="25">
        <f t="shared" si="23"/>
        <v>26.02373316844486</v>
      </c>
      <c r="AH310" s="43">
        <v>21.658417125</v>
      </c>
      <c r="AI310" s="43"/>
      <c r="AJ310" s="43"/>
    </row>
    <row r="311" spans="27:36" ht="13.5" x14ac:dyDescent="0.25">
      <c r="AA311" s="26"/>
      <c r="AB311" s="26">
        <v>36903</v>
      </c>
      <c r="AC311" s="43"/>
      <c r="AD311" s="25"/>
      <c r="AE311" s="43"/>
      <c r="AF311" s="43">
        <v>23.605371000000002</v>
      </c>
      <c r="AG311" s="25">
        <f t="shared" si="23"/>
        <v>26.02373316844486</v>
      </c>
      <c r="AH311" s="43">
        <v>21.5725415</v>
      </c>
      <c r="AI311" s="43"/>
      <c r="AJ311" s="43"/>
    </row>
    <row r="312" spans="27:36" ht="13.5" x14ac:dyDescent="0.25">
      <c r="AA312" s="26"/>
      <c r="AB312" s="26">
        <v>36910</v>
      </c>
      <c r="AC312" s="43"/>
      <c r="AD312" s="25"/>
      <c r="AE312" s="43"/>
      <c r="AF312" s="43">
        <v>26.084710000000001</v>
      </c>
      <c r="AG312" s="25">
        <f t="shared" si="23"/>
        <v>26.02373316844486</v>
      </c>
      <c r="AH312" s="43">
        <v>21.502760124999998</v>
      </c>
      <c r="AI312" s="43"/>
      <c r="AJ312" s="43"/>
    </row>
    <row r="313" spans="27:36" ht="13.5" x14ac:dyDescent="0.25">
      <c r="AA313" s="26"/>
      <c r="AB313" s="26">
        <v>36917</v>
      </c>
      <c r="AC313" s="43"/>
      <c r="AD313" s="25"/>
      <c r="AE313" s="43"/>
      <c r="AF313" s="43">
        <v>26.911155999999998</v>
      </c>
      <c r="AG313" s="25">
        <f t="shared" si="23"/>
        <v>26.02373316844486</v>
      </c>
      <c r="AH313" s="43">
        <v>22.796317375000001</v>
      </c>
      <c r="AI313" s="43"/>
      <c r="AJ313" s="43"/>
    </row>
    <row r="314" spans="27:36" ht="13.5" x14ac:dyDescent="0.25">
      <c r="AA314" s="26"/>
      <c r="AB314" s="26">
        <v>36924</v>
      </c>
      <c r="AC314" s="43"/>
      <c r="AD314" s="25"/>
      <c r="AE314" s="43"/>
      <c r="AF314" s="43">
        <v>27.324379</v>
      </c>
      <c r="AG314" s="25">
        <f t="shared" si="23"/>
        <v>26.02373316844486</v>
      </c>
      <c r="AH314" s="43">
        <v>22.215449624999998</v>
      </c>
      <c r="AI314" s="43"/>
      <c r="AJ314" s="43"/>
    </row>
    <row r="315" spans="27:36" ht="13.5" x14ac:dyDescent="0.25">
      <c r="AA315" s="26"/>
      <c r="AB315" s="26">
        <v>36931</v>
      </c>
      <c r="AC315" s="43"/>
      <c r="AD315" s="25"/>
      <c r="AE315" s="43"/>
      <c r="AF315" s="43">
        <v>25.723139</v>
      </c>
      <c r="AG315" s="25">
        <f t="shared" si="23"/>
        <v>26.02373316844486</v>
      </c>
      <c r="AH315" s="43">
        <v>21.965897625</v>
      </c>
      <c r="AI315" s="43"/>
      <c r="AJ315" s="43"/>
    </row>
    <row r="316" spans="27:36" ht="13.5" x14ac:dyDescent="0.25">
      <c r="AA316" s="26"/>
      <c r="AB316" s="26">
        <v>36938</v>
      </c>
      <c r="AC316" s="43"/>
      <c r="AD316" s="25"/>
      <c r="AE316" s="43"/>
      <c r="AF316" s="43">
        <v>25.36157</v>
      </c>
      <c r="AG316" s="25">
        <f t="shared" si="23"/>
        <v>26.02373316844486</v>
      </c>
      <c r="AH316" s="43">
        <v>22.169118375</v>
      </c>
      <c r="AI316" s="43"/>
      <c r="AJ316" s="43"/>
    </row>
    <row r="317" spans="27:36" ht="13.5" x14ac:dyDescent="0.25">
      <c r="AA317" s="26"/>
      <c r="AB317" s="26">
        <v>36945</v>
      </c>
      <c r="AC317" s="43"/>
      <c r="AD317" s="25"/>
      <c r="AE317" s="43"/>
      <c r="AF317" s="43">
        <v>23.979855000000001</v>
      </c>
      <c r="AG317" s="25">
        <f t="shared" si="23"/>
        <v>26.02373316844486</v>
      </c>
      <c r="AH317" s="43">
        <v>22.196446874999996</v>
      </c>
      <c r="AI317" s="43"/>
      <c r="AJ317" s="43"/>
    </row>
    <row r="318" spans="27:36" ht="13.5" x14ac:dyDescent="0.25">
      <c r="AA318" s="26"/>
      <c r="AB318" s="26">
        <v>36952</v>
      </c>
      <c r="AC318" s="43"/>
      <c r="AD318" s="25"/>
      <c r="AE318" s="43"/>
      <c r="AF318" s="43">
        <v>20.351237999999999</v>
      </c>
      <c r="AG318" s="25">
        <f t="shared" si="23"/>
        <v>26.02373316844486</v>
      </c>
      <c r="AH318" s="43">
        <v>19.252045874999997</v>
      </c>
      <c r="AI318" s="43"/>
      <c r="AJ318" s="43"/>
    </row>
    <row r="319" spans="27:36" ht="13.5" x14ac:dyDescent="0.25">
      <c r="AA319" s="26"/>
      <c r="AB319" s="26">
        <v>36959</v>
      </c>
      <c r="AC319" s="43"/>
      <c r="AD319" s="25"/>
      <c r="AE319" s="43"/>
      <c r="AF319" s="43">
        <v>19.6281</v>
      </c>
      <c r="AG319" s="25">
        <f t="shared" si="23"/>
        <v>26.02373316844486</v>
      </c>
      <c r="AH319" s="43">
        <v>19.177644687500003</v>
      </c>
      <c r="AI319" s="43"/>
      <c r="AJ319" s="43"/>
    </row>
    <row r="320" spans="27:36" ht="13.5" x14ac:dyDescent="0.25">
      <c r="AA320" s="26"/>
      <c r="AB320" s="26">
        <v>36966</v>
      </c>
      <c r="AC320" s="43"/>
      <c r="AD320" s="25"/>
      <c r="AE320" s="43"/>
      <c r="AF320" s="43">
        <v>18.026859999999999</v>
      </c>
      <c r="AG320" s="25">
        <f t="shared" si="23"/>
        <v>26.02373316844486</v>
      </c>
      <c r="AH320" s="43">
        <v>18.080359375</v>
      </c>
      <c r="AI320" s="43"/>
      <c r="AJ320" s="43"/>
    </row>
    <row r="321" spans="27:36" ht="13.5" x14ac:dyDescent="0.25">
      <c r="AA321" s="26"/>
      <c r="AB321" s="26">
        <v>36973</v>
      </c>
      <c r="AC321" s="43"/>
      <c r="AD321" s="25"/>
      <c r="AE321" s="43"/>
      <c r="AF321" s="43">
        <v>17.923552999999998</v>
      </c>
      <c r="AG321" s="25">
        <f t="shared" si="23"/>
        <v>26.02373316844486</v>
      </c>
      <c r="AH321" s="43">
        <v>17.790972125000003</v>
      </c>
      <c r="AI321" s="43"/>
      <c r="AJ321" s="43"/>
    </row>
    <row r="322" spans="27:36" ht="13.5" x14ac:dyDescent="0.25">
      <c r="AA322" s="26"/>
      <c r="AB322" s="26">
        <v>36980</v>
      </c>
      <c r="AC322" s="43"/>
      <c r="AD322" s="25"/>
      <c r="AE322" s="43"/>
      <c r="AF322" s="43">
        <v>17.252065999999999</v>
      </c>
      <c r="AG322" s="25">
        <f t="shared" si="23"/>
        <v>26.02373316844486</v>
      </c>
      <c r="AH322" s="43">
        <v>17.548957187500001</v>
      </c>
      <c r="AI322" s="43"/>
      <c r="AJ322" s="43"/>
    </row>
    <row r="323" spans="27:36" ht="13.5" x14ac:dyDescent="0.25">
      <c r="AA323" s="26"/>
      <c r="AB323" s="26">
        <v>36987</v>
      </c>
      <c r="AC323" s="43"/>
      <c r="AD323" s="25"/>
      <c r="AE323" s="43"/>
      <c r="AF323" s="43">
        <v>10.898759999999999</v>
      </c>
      <c r="AG323" s="25">
        <f t="shared" si="23"/>
        <v>26.02373316844486</v>
      </c>
      <c r="AH323" s="43">
        <v>16.759263125</v>
      </c>
      <c r="AI323" s="43"/>
      <c r="AJ323" s="43"/>
    </row>
    <row r="324" spans="27:36" ht="13.5" x14ac:dyDescent="0.25">
      <c r="AA324" s="26"/>
      <c r="AB324" s="26">
        <v>36994</v>
      </c>
      <c r="AC324" s="43"/>
      <c r="AD324" s="25"/>
      <c r="AE324" s="43"/>
      <c r="AF324" s="43">
        <v>11.214874999999999</v>
      </c>
      <c r="AG324" s="25">
        <f t="shared" si="23"/>
        <v>26.02373316844486</v>
      </c>
      <c r="AH324" s="43">
        <v>17.055198499999999</v>
      </c>
      <c r="AI324" s="43"/>
      <c r="AJ324" s="43"/>
    </row>
    <row r="325" spans="27:36" ht="13.5" x14ac:dyDescent="0.25">
      <c r="AA325" s="26"/>
      <c r="AB325" s="26">
        <v>37001</v>
      </c>
      <c r="AC325" s="43"/>
      <c r="AD325" s="25"/>
      <c r="AE325" s="43"/>
      <c r="AF325" s="43">
        <v>12.975206</v>
      </c>
      <c r="AG325" s="25">
        <f t="shared" si="23"/>
        <v>26.02373316844486</v>
      </c>
      <c r="AH325" s="43">
        <v>17.559313625000001</v>
      </c>
      <c r="AI325" s="43"/>
      <c r="AJ325" s="43"/>
    </row>
    <row r="326" spans="27:36" ht="13.5" x14ac:dyDescent="0.25">
      <c r="AA326" s="26"/>
      <c r="AB326" s="26">
        <v>37008</v>
      </c>
      <c r="AC326" s="43"/>
      <c r="AD326" s="25"/>
      <c r="AE326" s="43"/>
      <c r="AF326" s="43">
        <v>12.157024</v>
      </c>
      <c r="AG326" s="25">
        <f t="shared" si="23"/>
        <v>26.02373316844486</v>
      </c>
      <c r="AH326" s="43">
        <v>18.594077375000001</v>
      </c>
      <c r="AI326" s="43"/>
      <c r="AJ326" s="43"/>
    </row>
    <row r="327" spans="27:36" ht="13.5" x14ac:dyDescent="0.25">
      <c r="AA327" s="26"/>
      <c r="AB327" s="26">
        <v>37015</v>
      </c>
      <c r="AC327" s="43"/>
      <c r="AD327" s="25"/>
      <c r="AE327" s="43"/>
      <c r="AF327" s="43">
        <v>18.157302999999999</v>
      </c>
      <c r="AG327" s="25">
        <f t="shared" si="23"/>
        <v>26.02373316844486</v>
      </c>
      <c r="AH327" s="43">
        <v>19.567705312500003</v>
      </c>
      <c r="AI327" s="43"/>
      <c r="AJ327" s="43"/>
    </row>
    <row r="328" spans="27:36" ht="13.5" x14ac:dyDescent="0.25">
      <c r="AA328" s="26"/>
      <c r="AB328" s="26">
        <v>37022</v>
      </c>
      <c r="AC328" s="43"/>
      <c r="AD328" s="25"/>
      <c r="AE328" s="43"/>
      <c r="AF328" s="43">
        <v>16.202248000000001</v>
      </c>
      <c r="AG328" s="25">
        <f t="shared" si="23"/>
        <v>26.02373316844486</v>
      </c>
      <c r="AH328" s="43">
        <v>19.268232250000001</v>
      </c>
      <c r="AI328" s="43"/>
      <c r="AJ328" s="43"/>
    </row>
    <row r="329" spans="27:36" ht="13.5" x14ac:dyDescent="0.25">
      <c r="AA329" s="26"/>
      <c r="AB329" s="26">
        <v>37029</v>
      </c>
      <c r="AC329" s="43"/>
      <c r="AD329" s="25"/>
      <c r="AE329" s="43"/>
      <c r="AF329" s="43">
        <v>20.977528</v>
      </c>
      <c r="AG329" s="25">
        <f t="shared" si="23"/>
        <v>26.02373316844486</v>
      </c>
      <c r="AH329" s="43">
        <v>20.312208875000003</v>
      </c>
      <c r="AI329" s="43"/>
      <c r="AJ329" s="43"/>
    </row>
    <row r="330" spans="27:36" ht="13.5" x14ac:dyDescent="0.25">
      <c r="AA330" s="26"/>
      <c r="AB330" s="26">
        <v>37036</v>
      </c>
      <c r="AC330" s="43"/>
      <c r="AD330" s="25"/>
      <c r="AE330" s="43"/>
      <c r="AF330" s="43">
        <v>21.089887999999998</v>
      </c>
      <c r="AG330" s="25">
        <f t="shared" si="23"/>
        <v>26.02373316844486</v>
      </c>
      <c r="AH330" s="43">
        <v>20.504673499999999</v>
      </c>
      <c r="AI330" s="43"/>
      <c r="AJ330" s="43"/>
    </row>
    <row r="331" spans="27:36" ht="13.5" x14ac:dyDescent="0.25">
      <c r="AA331" s="26"/>
      <c r="AB331" s="26">
        <v>37043</v>
      </c>
      <c r="AC331" s="43"/>
      <c r="AD331" s="25"/>
      <c r="AE331" s="43"/>
      <c r="AF331" s="43">
        <v>25.432836999999999</v>
      </c>
      <c r="AG331" s="25">
        <f t="shared" si="23"/>
        <v>26.02373316844486</v>
      </c>
      <c r="AH331" s="43">
        <v>21.3140830625</v>
      </c>
      <c r="AI331" s="43"/>
      <c r="AJ331" s="43"/>
    </row>
    <row r="332" spans="27:36" ht="13.5" x14ac:dyDescent="0.25">
      <c r="AA332" s="26"/>
      <c r="AB332" s="26">
        <v>37050</v>
      </c>
      <c r="AC332" s="43"/>
      <c r="AD332" s="25"/>
      <c r="AE332" s="43"/>
      <c r="AF332" s="43">
        <v>25.70149</v>
      </c>
      <c r="AG332" s="25">
        <f t="shared" si="23"/>
        <v>26.02373316844486</v>
      </c>
      <c r="AH332" s="43">
        <v>21.956915625000001</v>
      </c>
      <c r="AI332" s="43"/>
      <c r="AJ332" s="43"/>
    </row>
    <row r="333" spans="27:36" ht="13.5" x14ac:dyDescent="0.25">
      <c r="AA333" s="26"/>
      <c r="AB333" s="26">
        <v>37057</v>
      </c>
      <c r="AC333" s="43"/>
      <c r="AD333" s="25"/>
      <c r="AE333" s="43"/>
      <c r="AF333" s="43">
        <v>24.343283</v>
      </c>
      <c r="AG333" s="25">
        <f t="shared" si="23"/>
        <v>26.02373316844486</v>
      </c>
      <c r="AH333" s="43">
        <v>21.670095249999999</v>
      </c>
      <c r="AI333" s="43"/>
      <c r="AJ333" s="43"/>
    </row>
    <row r="334" spans="27:36" ht="13.5" x14ac:dyDescent="0.25">
      <c r="AA334" s="26"/>
      <c r="AB334" s="26">
        <v>37064</v>
      </c>
      <c r="AC334" s="43"/>
      <c r="AD334" s="25"/>
      <c r="AE334" s="43"/>
      <c r="AF334" s="43">
        <v>18.223880000000001</v>
      </c>
      <c r="AG334" s="25">
        <f t="shared" si="23"/>
        <v>26.02373316844486</v>
      </c>
      <c r="AH334" s="43">
        <v>21.003839375000002</v>
      </c>
      <c r="AI334" s="43"/>
      <c r="AJ334" s="43"/>
    </row>
    <row r="335" spans="27:36" ht="13.5" x14ac:dyDescent="0.25">
      <c r="AA335" s="26"/>
      <c r="AB335" s="26">
        <v>37071</v>
      </c>
      <c r="AC335" s="43"/>
      <c r="AD335" s="25"/>
      <c r="AE335" s="43"/>
      <c r="AF335" s="43">
        <v>22.186440999999999</v>
      </c>
      <c r="AG335" s="25">
        <f t="shared" si="23"/>
        <v>26.02373316844486</v>
      </c>
      <c r="AH335" s="43">
        <v>22.919267874999996</v>
      </c>
      <c r="AI335" s="43"/>
      <c r="AJ335" s="43"/>
    </row>
    <row r="336" spans="27:36" ht="13.5" x14ac:dyDescent="0.25">
      <c r="AA336" s="26"/>
      <c r="AB336" s="26">
        <v>37078</v>
      </c>
      <c r="AC336" s="43"/>
      <c r="AD336" s="25"/>
      <c r="AE336" s="43"/>
      <c r="AF336" s="43">
        <v>19.44068</v>
      </c>
      <c r="AG336" s="25">
        <f t="shared" si="23"/>
        <v>26.02373316844486</v>
      </c>
      <c r="AH336" s="43">
        <v>22.193279625000002</v>
      </c>
      <c r="AI336" s="43"/>
      <c r="AJ336" s="43"/>
    </row>
    <row r="337" spans="27:36" ht="13.5" x14ac:dyDescent="0.25">
      <c r="AA337" s="26"/>
      <c r="AB337" s="26">
        <v>37085</v>
      </c>
      <c r="AC337" s="43"/>
      <c r="AD337" s="25"/>
      <c r="AE337" s="43"/>
      <c r="AF337" s="43">
        <v>17.813559999999999</v>
      </c>
      <c r="AG337" s="25">
        <f t="shared" si="23"/>
        <v>26.02373316844486</v>
      </c>
      <c r="AH337" s="43">
        <v>21.308584750000001</v>
      </c>
      <c r="AI337" s="43"/>
      <c r="AJ337" s="43"/>
    </row>
    <row r="338" spans="27:36" ht="13.5" x14ac:dyDescent="0.25">
      <c r="AA338" s="26"/>
      <c r="AB338" s="26">
        <v>37092</v>
      </c>
      <c r="AC338" s="43"/>
      <c r="AD338" s="25"/>
      <c r="AE338" s="43"/>
      <c r="AF338" s="43">
        <v>18.423729000000002</v>
      </c>
      <c r="AG338" s="25">
        <f t="shared" si="23"/>
        <v>26.02373316844486</v>
      </c>
      <c r="AH338" s="43">
        <v>21.494380875000001</v>
      </c>
      <c r="AI338" s="43"/>
      <c r="AJ338" s="43"/>
    </row>
    <row r="339" spans="27:36" ht="13.5" x14ac:dyDescent="0.25">
      <c r="AA339" s="26"/>
      <c r="AB339" s="26">
        <v>37099</v>
      </c>
      <c r="AC339" s="43"/>
      <c r="AD339" s="25"/>
      <c r="AE339" s="43"/>
      <c r="AF339" s="43">
        <v>18.83051</v>
      </c>
      <c r="AG339" s="25">
        <f t="shared" si="23"/>
        <v>26.02373316844486</v>
      </c>
      <c r="AH339" s="43">
        <v>20.999368687499999</v>
      </c>
      <c r="AI339" s="43"/>
      <c r="AJ339" s="43"/>
    </row>
    <row r="340" spans="27:36" ht="13.5" x14ac:dyDescent="0.25">
      <c r="AA340" s="26"/>
      <c r="AB340" s="26">
        <v>37106</v>
      </c>
      <c r="AC340" s="43"/>
      <c r="AD340" s="25"/>
      <c r="AE340" s="43"/>
      <c r="AF340" s="43">
        <v>18.559999999999999</v>
      </c>
      <c r="AG340" s="25">
        <f t="shared" si="23"/>
        <v>26.02373316844486</v>
      </c>
      <c r="AH340" s="43">
        <v>25.254764249999997</v>
      </c>
      <c r="AI340" s="43"/>
      <c r="AJ340" s="43"/>
    </row>
    <row r="341" spans="27:36" ht="13.5" x14ac:dyDescent="0.25">
      <c r="AA341" s="26"/>
      <c r="AB341" s="26">
        <v>37113</v>
      </c>
      <c r="AC341" s="43"/>
      <c r="AD341" s="25"/>
      <c r="AE341" s="43"/>
      <c r="AF341" s="43">
        <v>19.75</v>
      </c>
      <c r="AG341" s="25">
        <f t="shared" si="23"/>
        <v>26.02373316844486</v>
      </c>
      <c r="AH341" s="43">
        <v>25.927773250000001</v>
      </c>
      <c r="AI341" s="43"/>
      <c r="AJ341" s="43"/>
    </row>
    <row r="342" spans="27:36" ht="13.5" x14ac:dyDescent="0.25">
      <c r="AA342" s="26"/>
      <c r="AB342" s="26">
        <v>37120</v>
      </c>
      <c r="AC342" s="43"/>
      <c r="AD342" s="25"/>
      <c r="AE342" s="43"/>
      <c r="AF342" s="43">
        <v>20.84</v>
      </c>
      <c r="AG342" s="25">
        <f t="shared" si="23"/>
        <v>26.02373316844486</v>
      </c>
      <c r="AH342" s="43">
        <v>26.441942124999997</v>
      </c>
      <c r="AI342" s="43"/>
      <c r="AJ342" s="43"/>
    </row>
    <row r="343" spans="27:36" ht="13.5" x14ac:dyDescent="0.25">
      <c r="AA343" s="26"/>
      <c r="AB343" s="26">
        <v>37127</v>
      </c>
      <c r="AC343" s="43"/>
      <c r="AD343" s="25"/>
      <c r="AE343" s="43"/>
      <c r="AF343" s="43">
        <v>20</v>
      </c>
      <c r="AG343" s="25">
        <f t="shared" si="23"/>
        <v>26.02373316844486</v>
      </c>
      <c r="AH343" s="43">
        <v>27.066422249999995</v>
      </c>
      <c r="AI343" s="43"/>
      <c r="AJ343" s="43"/>
    </row>
    <row r="344" spans="27:36" ht="13.5" x14ac:dyDescent="0.25">
      <c r="AA344" s="26"/>
      <c r="AB344" s="26">
        <v>37134</v>
      </c>
      <c r="AC344" s="43"/>
      <c r="AD344" s="25"/>
      <c r="AE344" s="43"/>
      <c r="AF344" s="43">
        <v>22.65</v>
      </c>
      <c r="AG344" s="25">
        <f t="shared" si="23"/>
        <v>26.02373316844486</v>
      </c>
      <c r="AH344" s="43">
        <v>26.501970555555555</v>
      </c>
      <c r="AI344" s="43"/>
      <c r="AJ344" s="43"/>
    </row>
    <row r="345" spans="27:36" ht="13.5" x14ac:dyDescent="0.25">
      <c r="AA345" s="26"/>
      <c r="AB345" s="26">
        <v>37141</v>
      </c>
      <c r="AC345" s="43"/>
      <c r="AD345" s="25"/>
      <c r="AE345" s="43"/>
      <c r="AF345" s="43">
        <v>21.5</v>
      </c>
      <c r="AG345" s="25">
        <f t="shared" si="23"/>
        <v>26.02373316844486</v>
      </c>
      <c r="AH345" s="43">
        <v>25.667415111111112</v>
      </c>
      <c r="AI345" s="43"/>
      <c r="AJ345" s="43"/>
    </row>
    <row r="346" spans="27:36" ht="13.5" x14ac:dyDescent="0.25">
      <c r="AA346" s="26"/>
      <c r="AB346" s="26">
        <v>37148</v>
      </c>
      <c r="AC346" s="43"/>
      <c r="AD346" s="25"/>
      <c r="AE346" s="43"/>
      <c r="AF346" s="43">
        <v>24.5</v>
      </c>
      <c r="AG346" s="25">
        <f t="shared" si="23"/>
        <v>26.02373316844486</v>
      </c>
      <c r="AH346" s="43">
        <v>25.375120111111109</v>
      </c>
      <c r="AI346" s="43"/>
      <c r="AJ346" s="43"/>
    </row>
    <row r="347" spans="27:36" ht="13.5" x14ac:dyDescent="0.25">
      <c r="AA347" s="26"/>
      <c r="AB347" s="26">
        <v>37155</v>
      </c>
      <c r="AC347" s="43"/>
      <c r="AD347" s="25"/>
      <c r="AE347" s="43"/>
      <c r="AF347" s="43">
        <v>27.413793999999999</v>
      </c>
      <c r="AG347" s="25">
        <f t="shared" si="23"/>
        <v>26.02373316844486</v>
      </c>
      <c r="AH347" s="43">
        <v>20.29986633333333</v>
      </c>
      <c r="AI347" s="43"/>
      <c r="AJ347" s="43"/>
    </row>
    <row r="348" spans="27:36" ht="13.5" x14ac:dyDescent="0.25">
      <c r="AA348" s="26"/>
      <c r="AB348" s="26">
        <v>37162</v>
      </c>
      <c r="AC348" s="43"/>
      <c r="AD348" s="25"/>
      <c r="AE348" s="43"/>
      <c r="AF348" s="43">
        <v>32.413789999999999</v>
      </c>
      <c r="AG348" s="25">
        <f t="shared" si="23"/>
        <v>26.02373316844486</v>
      </c>
      <c r="AH348" s="43">
        <v>23.392760444444445</v>
      </c>
      <c r="AI348" s="43"/>
      <c r="AJ348" s="43"/>
    </row>
    <row r="349" spans="27:36" ht="13.5" x14ac:dyDescent="0.25">
      <c r="AA349" s="26"/>
      <c r="AB349" s="26">
        <v>37169</v>
      </c>
      <c r="AC349" s="43"/>
      <c r="AD349" s="25"/>
      <c r="AE349" s="43"/>
      <c r="AF349" s="43">
        <v>44.482757999999997</v>
      </c>
      <c r="AG349" s="25">
        <f t="shared" si="23"/>
        <v>26.02373316844486</v>
      </c>
      <c r="AH349" s="43">
        <v>23.948665111111112</v>
      </c>
      <c r="AI349" s="43"/>
      <c r="AJ349" s="43"/>
    </row>
    <row r="350" spans="27:36" ht="13.5" x14ac:dyDescent="0.25">
      <c r="AA350" s="26"/>
      <c r="AB350" s="26">
        <v>37176</v>
      </c>
      <c r="AC350" s="43"/>
      <c r="AD350" s="25"/>
      <c r="AE350" s="43"/>
      <c r="AF350" s="43">
        <v>46.31035</v>
      </c>
      <c r="AG350" s="25">
        <f t="shared" si="23"/>
        <v>26.02373316844486</v>
      </c>
      <c r="AH350" s="43">
        <v>25.269892222222225</v>
      </c>
      <c r="AI350" s="43"/>
      <c r="AJ350" s="43"/>
    </row>
    <row r="351" spans="27:36" ht="13.5" x14ac:dyDescent="0.25">
      <c r="AA351" s="26"/>
      <c r="AB351" s="26">
        <v>37183</v>
      </c>
      <c r="AC351" s="43"/>
      <c r="AD351" s="25"/>
      <c r="AE351" s="43"/>
      <c r="AF351" s="43">
        <v>43.034480000000002</v>
      </c>
      <c r="AG351" s="25">
        <f t="shared" si="23"/>
        <v>26.02373316844486</v>
      </c>
      <c r="AH351" s="43">
        <v>25.160796666666666</v>
      </c>
      <c r="AI351" s="43"/>
      <c r="AJ351" s="43"/>
    </row>
    <row r="352" spans="27:36" ht="13.5" x14ac:dyDescent="0.25">
      <c r="AA352" s="26"/>
      <c r="AB352" s="26">
        <v>37190</v>
      </c>
      <c r="AC352" s="43"/>
      <c r="AD352" s="25"/>
      <c r="AE352" s="43"/>
      <c r="AF352" s="43">
        <v>44.827587000000001</v>
      </c>
      <c r="AG352" s="25">
        <f t="shared" si="23"/>
        <v>26.02373316844486</v>
      </c>
      <c r="AH352" s="43">
        <v>25.525638444444446</v>
      </c>
      <c r="AI352" s="43"/>
      <c r="AJ352" s="43"/>
    </row>
    <row r="353" spans="27:36" ht="13.5" x14ac:dyDescent="0.25">
      <c r="AA353" s="26"/>
      <c r="AB353" s="26">
        <v>37197</v>
      </c>
      <c r="AC353" s="43"/>
      <c r="AD353" s="25"/>
      <c r="AE353" s="43"/>
      <c r="AF353" s="43">
        <v>39.482757999999997</v>
      </c>
      <c r="AG353" s="25">
        <f t="shared" si="23"/>
        <v>26.02373316844486</v>
      </c>
      <c r="AH353" s="43">
        <v>26.08224255555556</v>
      </c>
      <c r="AI353" s="43"/>
      <c r="AJ353" s="43"/>
    </row>
    <row r="354" spans="27:36" ht="13.5" x14ac:dyDescent="0.25">
      <c r="AA354" s="26"/>
      <c r="AB354" s="26">
        <v>37204</v>
      </c>
      <c r="AC354" s="43"/>
      <c r="AD354" s="25"/>
      <c r="AE354" s="43"/>
      <c r="AF354" s="43">
        <v>42.137929999999997</v>
      </c>
      <c r="AG354" s="25">
        <f t="shared" si="23"/>
        <v>26.02373316844486</v>
      </c>
      <c r="AH354" s="43">
        <v>27.048469999999998</v>
      </c>
      <c r="AI354" s="43"/>
      <c r="AJ354" s="43"/>
    </row>
    <row r="355" spans="27:36" ht="13.5" x14ac:dyDescent="0.25">
      <c r="AA355" s="26"/>
      <c r="AB355" s="26">
        <v>37211</v>
      </c>
      <c r="AC355" s="43"/>
      <c r="AD355" s="25"/>
      <c r="AE355" s="43"/>
      <c r="AF355" s="43">
        <v>43.241379999999999</v>
      </c>
      <c r="AG355" s="25">
        <f t="shared" si="23"/>
        <v>26.02373316844486</v>
      </c>
      <c r="AH355" s="43">
        <v>27.600111111111108</v>
      </c>
      <c r="AI355" s="43"/>
      <c r="AJ355" s="43"/>
    </row>
    <row r="356" spans="27:36" ht="13.5" x14ac:dyDescent="0.25">
      <c r="AA356" s="26"/>
      <c r="AB356" s="26">
        <v>37218</v>
      </c>
      <c r="AC356" s="43"/>
      <c r="AD356" s="25"/>
      <c r="AE356" s="43"/>
      <c r="AF356" s="43">
        <v>42.379309999999997</v>
      </c>
      <c r="AG356" s="25">
        <f t="shared" si="23"/>
        <v>26.02373316844486</v>
      </c>
      <c r="AH356" s="43">
        <v>27.495010888888888</v>
      </c>
      <c r="AI356" s="43"/>
      <c r="AJ356" s="43"/>
    </row>
    <row r="357" spans="27:36" ht="13.5" x14ac:dyDescent="0.25">
      <c r="AA357" s="26"/>
      <c r="AB357" s="26">
        <v>37225</v>
      </c>
      <c r="AC357" s="43"/>
      <c r="AD357" s="25"/>
      <c r="AE357" s="43"/>
      <c r="AF357" s="43">
        <v>44.551727</v>
      </c>
      <c r="AG357" s="25">
        <f t="shared" si="23"/>
        <v>26.02373316844486</v>
      </c>
      <c r="AH357" s="43">
        <v>27.770899111111117</v>
      </c>
      <c r="AI357" s="43"/>
      <c r="AJ357" s="43"/>
    </row>
    <row r="358" spans="27:36" ht="13.5" x14ac:dyDescent="0.25">
      <c r="AA358" s="26"/>
      <c r="AB358" s="26">
        <v>37232</v>
      </c>
      <c r="AC358" s="43"/>
      <c r="AD358" s="25"/>
      <c r="AE358" s="43"/>
      <c r="AF358" s="43">
        <v>47.655174000000002</v>
      </c>
      <c r="AG358" s="25">
        <f t="shared" ref="AG358:AG421" si="24">$Z$69</f>
        <v>26.02373316844486</v>
      </c>
      <c r="AH358" s="43">
        <v>29.208664222222222</v>
      </c>
      <c r="AI358" s="43"/>
      <c r="AJ358" s="43"/>
    </row>
    <row r="359" spans="27:36" ht="13.5" x14ac:dyDescent="0.25">
      <c r="AA359" s="26"/>
      <c r="AB359" s="26">
        <v>37239</v>
      </c>
      <c r="AC359" s="43"/>
      <c r="AD359" s="25"/>
      <c r="AE359" s="43"/>
      <c r="AF359" s="43">
        <v>49.7</v>
      </c>
      <c r="AG359" s="25">
        <f t="shared" si="24"/>
        <v>26.02373316844486</v>
      </c>
      <c r="AH359" s="43">
        <v>29.896439000000001</v>
      </c>
      <c r="AI359" s="43"/>
      <c r="AJ359" s="43"/>
    </row>
    <row r="360" spans="27:36" ht="13.5" x14ac:dyDescent="0.25">
      <c r="AA360" s="26"/>
      <c r="AB360" s="26">
        <v>37246</v>
      </c>
      <c r="AC360" s="43"/>
      <c r="AD360" s="25"/>
      <c r="AE360" s="43"/>
      <c r="AF360" s="43">
        <v>52.2</v>
      </c>
      <c r="AG360" s="25">
        <f t="shared" si="24"/>
        <v>26.02373316844486</v>
      </c>
      <c r="AH360" s="43">
        <v>31.138984444444443</v>
      </c>
      <c r="AI360" s="43"/>
      <c r="AJ360" s="43"/>
    </row>
    <row r="361" spans="27:36" ht="13.5" x14ac:dyDescent="0.25">
      <c r="AA361" s="26"/>
      <c r="AB361" s="26">
        <v>37253</v>
      </c>
      <c r="AC361" s="43"/>
      <c r="AD361" s="25"/>
      <c r="AE361" s="43"/>
      <c r="AF361" s="43">
        <v>55.744999999999997</v>
      </c>
      <c r="AG361" s="25">
        <f t="shared" si="24"/>
        <v>26.02373316844486</v>
      </c>
      <c r="AH361" s="43">
        <v>31.936744666666666</v>
      </c>
      <c r="AI361" s="43"/>
      <c r="AJ361" s="43"/>
    </row>
    <row r="362" spans="27:36" ht="13.5" x14ac:dyDescent="0.25">
      <c r="AA362" s="26"/>
      <c r="AB362" s="26">
        <v>37260</v>
      </c>
      <c r="AC362" s="43"/>
      <c r="AD362" s="25"/>
      <c r="AE362" s="43"/>
      <c r="AF362" s="43">
        <v>55</v>
      </c>
      <c r="AG362" s="25">
        <f t="shared" si="24"/>
        <v>26.02373316844486</v>
      </c>
      <c r="AH362" s="43">
        <v>31.95202033333333</v>
      </c>
      <c r="AI362" s="43"/>
      <c r="AJ362" s="43"/>
    </row>
    <row r="363" spans="27:36" ht="13.5" x14ac:dyDescent="0.25">
      <c r="AA363" s="26"/>
      <c r="AB363" s="26">
        <v>37267</v>
      </c>
      <c r="AC363" s="43"/>
      <c r="AD363" s="25"/>
      <c r="AE363" s="43"/>
      <c r="AF363" s="43">
        <v>57</v>
      </c>
      <c r="AG363" s="25">
        <f t="shared" si="24"/>
        <v>26.02373316844486</v>
      </c>
      <c r="AH363" s="43">
        <v>31.798423222222223</v>
      </c>
      <c r="AI363" s="43"/>
      <c r="AJ363" s="43"/>
    </row>
    <row r="364" spans="27:36" ht="13.5" x14ac:dyDescent="0.25">
      <c r="AA364" s="26"/>
      <c r="AB364" s="26">
        <v>37274</v>
      </c>
      <c r="AC364" s="43"/>
      <c r="AD364" s="25"/>
      <c r="AE364" s="43"/>
      <c r="AF364" s="43">
        <v>56</v>
      </c>
      <c r="AG364" s="25">
        <f t="shared" si="24"/>
        <v>26.02373316844486</v>
      </c>
      <c r="AH364" s="43">
        <v>31.889348222222218</v>
      </c>
      <c r="AI364" s="43"/>
      <c r="AJ364" s="43"/>
    </row>
    <row r="365" spans="27:36" ht="13.5" x14ac:dyDescent="0.25">
      <c r="AA365" s="26"/>
      <c r="AB365" s="26">
        <v>37281</v>
      </c>
      <c r="AC365" s="43"/>
      <c r="AD365" s="25"/>
      <c r="AE365" s="43"/>
      <c r="AF365" s="43">
        <v>52</v>
      </c>
      <c r="AG365" s="25">
        <f t="shared" si="24"/>
        <v>26.02373316844486</v>
      </c>
      <c r="AH365" s="43">
        <v>32.060899666666671</v>
      </c>
      <c r="AI365" s="43"/>
      <c r="AJ365" s="43"/>
    </row>
    <row r="366" spans="27:36" ht="13.5" x14ac:dyDescent="0.25">
      <c r="AA366" s="26"/>
      <c r="AB366" s="26">
        <v>37288</v>
      </c>
      <c r="AC366" s="43"/>
      <c r="AD366" s="25"/>
      <c r="AE366" s="43"/>
      <c r="AF366" s="43">
        <v>47.137929999999997</v>
      </c>
      <c r="AG366" s="25">
        <f t="shared" si="24"/>
        <v>26.02373316844486</v>
      </c>
      <c r="AH366" s="43">
        <v>29.106068555555559</v>
      </c>
      <c r="AI366" s="43"/>
      <c r="AJ366" s="43"/>
    </row>
    <row r="367" spans="27:36" ht="13.5" x14ac:dyDescent="0.25">
      <c r="AA367" s="26"/>
      <c r="AB367" s="26">
        <v>37295</v>
      </c>
      <c r="AC367" s="43"/>
      <c r="AD367" s="25"/>
      <c r="AE367" s="43"/>
      <c r="AF367" s="43">
        <v>45.862071999999998</v>
      </c>
      <c r="AG367" s="25">
        <f t="shared" si="24"/>
        <v>26.02373316844486</v>
      </c>
      <c r="AH367" s="43">
        <v>29.089522555555554</v>
      </c>
      <c r="AI367" s="43"/>
      <c r="AJ367" s="43"/>
    </row>
    <row r="368" spans="27:36" ht="13.5" x14ac:dyDescent="0.25">
      <c r="AA368" s="26"/>
      <c r="AB368" s="26">
        <v>37302</v>
      </c>
      <c r="AC368" s="43"/>
      <c r="AD368" s="25"/>
      <c r="AE368" s="43"/>
      <c r="AF368" s="43">
        <v>47.724139999999998</v>
      </c>
      <c r="AG368" s="25">
        <f t="shared" si="24"/>
        <v>26.02373316844486</v>
      </c>
      <c r="AH368" s="43">
        <v>29.960940555555553</v>
      </c>
      <c r="AI368" s="43"/>
      <c r="AJ368" s="43"/>
    </row>
    <row r="369" spans="27:36" ht="13.5" x14ac:dyDescent="0.25">
      <c r="AA369" s="26"/>
      <c r="AB369" s="26">
        <v>37309</v>
      </c>
      <c r="AC369" s="43"/>
      <c r="AD369" s="25"/>
      <c r="AE369" s="43"/>
      <c r="AF369" s="43">
        <v>48.758625000000002</v>
      </c>
      <c r="AG369" s="25">
        <f t="shared" si="24"/>
        <v>26.02373316844486</v>
      </c>
      <c r="AH369" s="43">
        <v>29.562857777777779</v>
      </c>
      <c r="AI369" s="43"/>
      <c r="AJ369" s="43"/>
    </row>
    <row r="370" spans="27:36" ht="13.5" x14ac:dyDescent="0.25">
      <c r="AA370" s="26"/>
      <c r="AB370" s="26">
        <v>37316</v>
      </c>
      <c r="AC370" s="43"/>
      <c r="AD370" s="25"/>
      <c r="AE370" s="43"/>
      <c r="AF370" s="43">
        <v>50.655174000000002</v>
      </c>
      <c r="AG370" s="25">
        <f t="shared" si="24"/>
        <v>26.02373316844486</v>
      </c>
      <c r="AH370" s="43">
        <v>27.532215777777779</v>
      </c>
      <c r="AI370" s="43"/>
      <c r="AJ370" s="43"/>
    </row>
    <row r="371" spans="27:36" ht="13.5" x14ac:dyDescent="0.25">
      <c r="AA371" s="26"/>
      <c r="AB371" s="26">
        <v>37323</v>
      </c>
      <c r="AC371" s="43"/>
      <c r="AD371" s="25"/>
      <c r="AE371" s="43"/>
      <c r="AF371" s="43">
        <v>55.31035</v>
      </c>
      <c r="AG371" s="25">
        <f t="shared" si="24"/>
        <v>26.02373316844486</v>
      </c>
      <c r="AH371" s="43">
        <v>29.165355777777776</v>
      </c>
      <c r="AI371" s="43"/>
      <c r="AJ371" s="43"/>
    </row>
    <row r="372" spans="27:36" ht="13.5" x14ac:dyDescent="0.25">
      <c r="AA372" s="26"/>
      <c r="AB372" s="26">
        <v>37330</v>
      </c>
      <c r="AC372" s="43"/>
      <c r="AD372" s="25"/>
      <c r="AE372" s="43"/>
      <c r="AF372" s="43">
        <v>55.172417000000003</v>
      </c>
      <c r="AG372" s="25">
        <f t="shared" si="24"/>
        <v>26.02373316844486</v>
      </c>
      <c r="AH372" s="43">
        <v>28.939442333333332</v>
      </c>
      <c r="AI372" s="43"/>
      <c r="AJ372" s="43"/>
    </row>
    <row r="373" spans="27:36" ht="13.5" x14ac:dyDescent="0.25">
      <c r="AA373" s="26"/>
      <c r="AB373" s="26">
        <v>37337</v>
      </c>
      <c r="AC373" s="43"/>
      <c r="AD373" s="25"/>
      <c r="AE373" s="43"/>
      <c r="AF373" s="43">
        <v>52.1</v>
      </c>
      <c r="AG373" s="25">
        <f t="shared" si="24"/>
        <v>26.02373316844486</v>
      </c>
      <c r="AH373" s="43">
        <v>29.844202555555555</v>
      </c>
      <c r="AI373" s="43"/>
      <c r="AJ373" s="43"/>
    </row>
    <row r="374" spans="27:36" ht="13.5" x14ac:dyDescent="0.25">
      <c r="AA374" s="26"/>
      <c r="AB374" s="26">
        <v>37344</v>
      </c>
      <c r="AC374" s="43"/>
      <c r="AD374" s="25"/>
      <c r="AE374" s="43"/>
      <c r="AF374" s="43">
        <v>46.87</v>
      </c>
      <c r="AG374" s="25">
        <f t="shared" si="24"/>
        <v>26.02373316844486</v>
      </c>
      <c r="AH374" s="43">
        <v>30.817757833333335</v>
      </c>
      <c r="AI374" s="43"/>
      <c r="AJ374" s="43"/>
    </row>
    <row r="375" spans="27:36" ht="13.5" x14ac:dyDescent="0.25">
      <c r="AA375" s="26"/>
      <c r="AB375" s="26">
        <v>37351</v>
      </c>
      <c r="AC375" s="43"/>
      <c r="AD375" s="25"/>
      <c r="AE375" s="43"/>
      <c r="AF375" s="43">
        <v>44.268000000000001</v>
      </c>
      <c r="AG375" s="25">
        <f t="shared" si="24"/>
        <v>26.02373316844486</v>
      </c>
      <c r="AH375" s="43">
        <v>29.719295333333335</v>
      </c>
      <c r="AI375" s="43"/>
      <c r="AJ375" s="43"/>
    </row>
    <row r="376" spans="27:36" ht="13.5" x14ac:dyDescent="0.25">
      <c r="AA376" s="26"/>
      <c r="AB376" s="26">
        <v>37358</v>
      </c>
      <c r="AC376" s="43"/>
      <c r="AD376" s="25"/>
      <c r="AE376" s="43"/>
      <c r="AF376" s="43">
        <v>45.12</v>
      </c>
      <c r="AG376" s="25">
        <f t="shared" si="24"/>
        <v>26.02373316844486</v>
      </c>
      <c r="AH376" s="43">
        <v>30.551766222222227</v>
      </c>
      <c r="AI376" s="43"/>
      <c r="AJ376" s="43"/>
    </row>
    <row r="377" spans="27:36" ht="13.5" x14ac:dyDescent="0.25">
      <c r="AA377" s="26"/>
      <c r="AB377" s="26">
        <v>37365</v>
      </c>
      <c r="AC377" s="43"/>
      <c r="AD377" s="25"/>
      <c r="AE377" s="43"/>
      <c r="AF377" s="43">
        <v>40.244999999999997</v>
      </c>
      <c r="AG377" s="25">
        <f t="shared" si="24"/>
        <v>26.02373316844486</v>
      </c>
      <c r="AH377" s="43">
        <v>30.514722333333332</v>
      </c>
      <c r="AI377" s="43"/>
      <c r="AJ377" s="43"/>
    </row>
    <row r="378" spans="27:36" ht="13.5" x14ac:dyDescent="0.25">
      <c r="AA378" s="26"/>
      <c r="AB378" s="26">
        <v>37372</v>
      </c>
      <c r="AC378" s="43"/>
      <c r="AD378" s="25"/>
      <c r="AE378" s="43"/>
      <c r="AF378" s="43">
        <v>35.465767800000002</v>
      </c>
      <c r="AG378" s="25">
        <f t="shared" si="24"/>
        <v>26.02373316844486</v>
      </c>
      <c r="AH378" s="43">
        <v>30.276545777777773</v>
      </c>
      <c r="AI378" s="43"/>
      <c r="AJ378" s="43"/>
    </row>
    <row r="379" spans="27:36" ht="13.5" x14ac:dyDescent="0.25">
      <c r="AA379" s="26"/>
      <c r="AB379" s="26">
        <v>37379</v>
      </c>
      <c r="AC379" s="43"/>
      <c r="AD379" s="25"/>
      <c r="AE379" s="43"/>
      <c r="AF379" s="43">
        <v>36.568435139999998</v>
      </c>
      <c r="AG379" s="25">
        <f t="shared" si="24"/>
        <v>26.02373316844486</v>
      </c>
      <c r="AH379" s="43">
        <v>29.491409888888889</v>
      </c>
      <c r="AI379" s="43"/>
      <c r="AJ379" s="43"/>
    </row>
    <row r="380" spans="27:36" ht="13.5" x14ac:dyDescent="0.25">
      <c r="AA380" s="26"/>
      <c r="AB380" s="26">
        <v>37386</v>
      </c>
      <c r="AC380" s="43"/>
      <c r="AD380" s="25"/>
      <c r="AE380" s="43"/>
      <c r="AF380" s="43">
        <v>32.465423100000002</v>
      </c>
      <c r="AG380" s="25">
        <f t="shared" si="24"/>
        <v>26.02373316844486</v>
      </c>
      <c r="AH380" s="43">
        <v>29.13073711111111</v>
      </c>
      <c r="AI380" s="43"/>
      <c r="AJ380" s="43"/>
    </row>
    <row r="381" spans="27:36" ht="13.5" x14ac:dyDescent="0.25">
      <c r="AA381" s="26"/>
      <c r="AB381" s="26">
        <v>37393</v>
      </c>
      <c r="AC381" s="43"/>
      <c r="AD381" s="25"/>
      <c r="AE381" s="43"/>
      <c r="AF381" s="43">
        <v>33.545639999999999</v>
      </c>
      <c r="AG381" s="25">
        <f t="shared" si="24"/>
        <v>26.02373316844486</v>
      </c>
      <c r="AH381" s="43">
        <v>30.936861777777771</v>
      </c>
      <c r="AI381" s="43"/>
      <c r="AJ381" s="43"/>
    </row>
    <row r="382" spans="27:36" ht="13.5" x14ac:dyDescent="0.25">
      <c r="AA382" s="26"/>
      <c r="AB382" s="26">
        <v>37400</v>
      </c>
      <c r="AC382" s="43"/>
      <c r="AD382" s="25"/>
      <c r="AE382" s="43"/>
      <c r="AF382" s="43">
        <v>29.654654000000001</v>
      </c>
      <c r="AG382" s="25">
        <f t="shared" si="24"/>
        <v>26.02373316844486</v>
      </c>
      <c r="AH382" s="43">
        <v>30.118200111111111</v>
      </c>
      <c r="AI382" s="43"/>
      <c r="AJ382" s="43"/>
    </row>
    <row r="383" spans="27:36" ht="13.5" x14ac:dyDescent="0.25">
      <c r="AA383" s="26"/>
      <c r="AB383" s="26">
        <v>37407</v>
      </c>
      <c r="AC383" s="43"/>
      <c r="AD383" s="25"/>
      <c r="AE383" s="43"/>
      <c r="AF383" s="43">
        <v>26.939394</v>
      </c>
      <c r="AG383" s="25">
        <f t="shared" si="24"/>
        <v>26.02373316844486</v>
      </c>
      <c r="AH383" s="43">
        <v>25.169930000000004</v>
      </c>
      <c r="AI383" s="43"/>
      <c r="AJ383" s="43"/>
    </row>
    <row r="384" spans="27:36" ht="13.5" x14ac:dyDescent="0.25">
      <c r="AA384" s="26"/>
      <c r="AB384" s="26">
        <v>37414</v>
      </c>
      <c r="AC384" s="43"/>
      <c r="AD384" s="25"/>
      <c r="AE384" s="43"/>
      <c r="AF384" s="43">
        <v>25.818182</v>
      </c>
      <c r="AG384" s="25">
        <f t="shared" si="24"/>
        <v>26.02373316844486</v>
      </c>
      <c r="AH384" s="43">
        <v>24.435042777777781</v>
      </c>
      <c r="AI384" s="43"/>
      <c r="AJ384" s="43"/>
    </row>
    <row r="385" spans="27:36" ht="13.5" x14ac:dyDescent="0.25">
      <c r="AA385" s="26"/>
      <c r="AB385" s="26">
        <v>37421</v>
      </c>
      <c r="AC385" s="43"/>
      <c r="AD385" s="25"/>
      <c r="AE385" s="43"/>
      <c r="AF385" s="43">
        <v>25.530301999999999</v>
      </c>
      <c r="AG385" s="25">
        <f t="shared" si="24"/>
        <v>26.02373316844486</v>
      </c>
      <c r="AH385" s="43">
        <v>24.526105555555553</v>
      </c>
      <c r="AI385" s="43"/>
      <c r="AJ385" s="43"/>
    </row>
    <row r="386" spans="27:36" ht="13.5" x14ac:dyDescent="0.25">
      <c r="AA386" s="26"/>
      <c r="AB386" s="26">
        <v>37428</v>
      </c>
      <c r="AC386" s="43"/>
      <c r="AD386" s="25"/>
      <c r="AE386" s="43"/>
      <c r="AF386" s="43">
        <v>25.878786000000002</v>
      </c>
      <c r="AG386" s="25">
        <f t="shared" si="24"/>
        <v>26.02373316844486</v>
      </c>
      <c r="AH386" s="43">
        <v>24.876507666666672</v>
      </c>
      <c r="AI386" s="43"/>
      <c r="AJ386" s="43"/>
    </row>
    <row r="387" spans="27:36" ht="13.5" x14ac:dyDescent="0.25">
      <c r="AA387" s="26"/>
      <c r="AB387" s="26">
        <v>37435</v>
      </c>
      <c r="AC387" s="43"/>
      <c r="AD387" s="25"/>
      <c r="AE387" s="43"/>
      <c r="AF387" s="43">
        <v>25.720586999999998</v>
      </c>
      <c r="AG387" s="25">
        <f t="shared" si="24"/>
        <v>26.02373316844486</v>
      </c>
      <c r="AH387" s="43">
        <v>25.14963622222222</v>
      </c>
      <c r="AI387" s="43"/>
      <c r="AJ387" s="43"/>
    </row>
    <row r="388" spans="27:36" ht="13.5" x14ac:dyDescent="0.25">
      <c r="AA388" s="26"/>
      <c r="AB388" s="26">
        <v>37442</v>
      </c>
      <c r="AC388" s="43"/>
      <c r="AD388" s="25"/>
      <c r="AE388" s="43"/>
      <c r="AF388" s="43">
        <v>25.10294</v>
      </c>
      <c r="AG388" s="25">
        <f t="shared" si="24"/>
        <v>26.02373316844486</v>
      </c>
      <c r="AH388" s="43">
        <v>24.424087222222223</v>
      </c>
      <c r="AI388" s="43"/>
      <c r="AJ388" s="43"/>
    </row>
    <row r="389" spans="27:36" ht="13.5" x14ac:dyDescent="0.25">
      <c r="AA389" s="26"/>
      <c r="AB389" s="26">
        <v>37449</v>
      </c>
      <c r="AC389" s="43"/>
      <c r="AD389" s="25"/>
      <c r="AE389" s="43"/>
      <c r="AF389" s="43">
        <v>23.104412</v>
      </c>
      <c r="AG389" s="25">
        <f t="shared" si="24"/>
        <v>26.02373316844486</v>
      </c>
      <c r="AH389" s="43">
        <v>22.874663111111111</v>
      </c>
      <c r="AI389" s="43"/>
      <c r="AJ389" s="43"/>
    </row>
    <row r="390" spans="27:36" ht="13.5" x14ac:dyDescent="0.25">
      <c r="AA390" s="26"/>
      <c r="AB390" s="26">
        <v>37456</v>
      </c>
      <c r="AC390" s="43"/>
      <c r="AD390" s="25"/>
      <c r="AE390" s="43"/>
      <c r="AF390" s="43">
        <v>19.838234</v>
      </c>
      <c r="AG390" s="25">
        <f t="shared" si="24"/>
        <v>26.02373316844486</v>
      </c>
      <c r="AH390" s="43">
        <v>20.920915944444445</v>
      </c>
      <c r="AI390" s="43"/>
      <c r="AJ390" s="43"/>
    </row>
    <row r="391" spans="27:36" ht="13.5" x14ac:dyDescent="0.25">
      <c r="AA391" s="26"/>
      <c r="AB391" s="26">
        <v>37463</v>
      </c>
      <c r="AC391" s="43"/>
      <c r="AD391" s="25"/>
      <c r="AE391" s="43"/>
      <c r="AF391" s="43">
        <v>21.882352999999998</v>
      </c>
      <c r="AG391" s="25">
        <f t="shared" si="24"/>
        <v>26.02373316844486</v>
      </c>
      <c r="AH391" s="43">
        <v>22.012454555555557</v>
      </c>
      <c r="AI391" s="43"/>
      <c r="AJ391" s="43"/>
    </row>
    <row r="392" spans="27:36" ht="13.5" x14ac:dyDescent="0.25">
      <c r="AA392" s="26"/>
      <c r="AB392" s="26">
        <v>37470</v>
      </c>
      <c r="AC392" s="43"/>
      <c r="AD392" s="25"/>
      <c r="AE392" s="43"/>
      <c r="AF392" s="43">
        <v>23.426472</v>
      </c>
      <c r="AG392" s="25">
        <f t="shared" si="24"/>
        <v>26.02373316844486</v>
      </c>
      <c r="AH392" s="43">
        <v>21.955660388888887</v>
      </c>
      <c r="AI392" s="43"/>
      <c r="AJ392" s="43"/>
    </row>
    <row r="393" spans="27:36" ht="13.5" x14ac:dyDescent="0.25">
      <c r="AA393" s="26"/>
      <c r="AB393" s="26">
        <v>37477</v>
      </c>
      <c r="AC393" s="43"/>
      <c r="AD393" s="25"/>
      <c r="AE393" s="43"/>
      <c r="AF393" s="43">
        <v>24</v>
      </c>
      <c r="AG393" s="25">
        <f t="shared" si="24"/>
        <v>26.02373316844486</v>
      </c>
      <c r="AH393" s="43">
        <v>22.780206111111113</v>
      </c>
      <c r="AI393" s="43"/>
      <c r="AJ393" s="43"/>
    </row>
    <row r="394" spans="27:36" ht="13.5" x14ac:dyDescent="0.25">
      <c r="AA394" s="26"/>
      <c r="AB394" s="26">
        <v>37484</v>
      </c>
      <c r="AC394" s="43"/>
      <c r="AD394" s="25"/>
      <c r="AE394" s="43"/>
      <c r="AF394" s="43">
        <v>25.441175000000001</v>
      </c>
      <c r="AG394" s="25">
        <f t="shared" si="24"/>
        <v>26.02373316844486</v>
      </c>
      <c r="AH394" s="43">
        <v>23.492488999999996</v>
      </c>
      <c r="AI394" s="43"/>
      <c r="AJ394" s="43"/>
    </row>
    <row r="395" spans="27:36" ht="13.5" x14ac:dyDescent="0.25">
      <c r="AA395" s="26"/>
      <c r="AB395" s="26">
        <v>37491</v>
      </c>
      <c r="AC395" s="43"/>
      <c r="AD395" s="25"/>
      <c r="AE395" s="43"/>
      <c r="AF395" s="43">
        <v>25.720586999999998</v>
      </c>
      <c r="AG395" s="25">
        <f t="shared" si="24"/>
        <v>26.02373316844486</v>
      </c>
      <c r="AH395" s="43">
        <v>23.871916999999996</v>
      </c>
      <c r="AI395" s="43"/>
      <c r="AJ395" s="43"/>
    </row>
    <row r="396" spans="27:36" ht="13.5" x14ac:dyDescent="0.25">
      <c r="AA396" s="26"/>
      <c r="AB396" s="26">
        <v>37498</v>
      </c>
      <c r="AC396" s="43"/>
      <c r="AD396" s="25"/>
      <c r="AE396" s="43"/>
      <c r="AF396" s="43">
        <v>25.579709999999999</v>
      </c>
      <c r="AG396" s="25">
        <f t="shared" si="24"/>
        <v>26.02373316844486</v>
      </c>
      <c r="AH396" s="43">
        <v>23.043067555555556</v>
      </c>
      <c r="AI396" s="43"/>
      <c r="AJ396" s="43"/>
    </row>
    <row r="397" spans="27:36" ht="13.5" x14ac:dyDescent="0.25">
      <c r="AA397" s="26"/>
      <c r="AB397" s="26">
        <v>37505</v>
      </c>
      <c r="AC397" s="43"/>
      <c r="AD397" s="25"/>
      <c r="AE397" s="43"/>
      <c r="AF397" s="43">
        <v>27.057971999999999</v>
      </c>
      <c r="AG397" s="25">
        <f t="shared" si="24"/>
        <v>26.02373316844486</v>
      </c>
      <c r="AH397" s="43">
        <v>22.719410333333332</v>
      </c>
      <c r="AI397" s="43"/>
      <c r="AJ397" s="43"/>
    </row>
    <row r="398" spans="27:36" ht="13.5" x14ac:dyDescent="0.25">
      <c r="AA398" s="26"/>
      <c r="AB398" s="26">
        <v>37512</v>
      </c>
      <c r="AC398" s="43"/>
      <c r="AD398" s="25"/>
      <c r="AE398" s="43"/>
      <c r="AF398" s="43">
        <v>26.695651999999999</v>
      </c>
      <c r="AG398" s="25">
        <f t="shared" si="24"/>
        <v>26.02373316844486</v>
      </c>
      <c r="AH398" s="43">
        <v>22.24296</v>
      </c>
      <c r="AI398" s="43"/>
      <c r="AJ398" s="43"/>
    </row>
    <row r="399" spans="27:36" ht="13.5" x14ac:dyDescent="0.25">
      <c r="AA399" s="26"/>
      <c r="AB399" s="26">
        <v>37519</v>
      </c>
      <c r="AC399" s="43"/>
      <c r="AD399" s="25"/>
      <c r="AE399" s="43"/>
      <c r="AF399" s="43">
        <v>24.028986</v>
      </c>
      <c r="AG399" s="25">
        <f t="shared" si="24"/>
        <v>26.02373316844486</v>
      </c>
      <c r="AH399" s="43">
        <v>21.201442</v>
      </c>
      <c r="AI399" s="43"/>
      <c r="AJ399" s="43"/>
    </row>
    <row r="400" spans="27:36" ht="13.5" x14ac:dyDescent="0.25">
      <c r="AA400" s="26"/>
      <c r="AB400" s="26">
        <v>37526</v>
      </c>
      <c r="AC400" s="43"/>
      <c r="AD400" s="25"/>
      <c r="AE400" s="43"/>
      <c r="AF400" s="43">
        <v>20.652173999999999</v>
      </c>
      <c r="AG400" s="25">
        <f t="shared" si="24"/>
        <v>26.02373316844486</v>
      </c>
      <c r="AH400" s="43">
        <v>19.818833555555557</v>
      </c>
      <c r="AI400" s="43"/>
      <c r="AJ400" s="43"/>
    </row>
    <row r="401" spans="27:36" ht="13.5" x14ac:dyDescent="0.25">
      <c r="AA401" s="26"/>
      <c r="AB401" s="26">
        <v>37533</v>
      </c>
      <c r="AC401" s="43"/>
      <c r="AD401" s="25"/>
      <c r="AE401" s="43"/>
      <c r="AF401" s="43">
        <v>20.202898000000001</v>
      </c>
      <c r="AG401" s="25">
        <f t="shared" si="24"/>
        <v>26.02373316844486</v>
      </c>
      <c r="AH401" s="43">
        <v>18.984314888888889</v>
      </c>
      <c r="AI401" s="43"/>
      <c r="AJ401" s="43"/>
    </row>
    <row r="402" spans="27:36" ht="13.5" x14ac:dyDescent="0.25">
      <c r="AA402" s="26"/>
      <c r="AB402" s="26">
        <v>37540</v>
      </c>
      <c r="AC402" s="43"/>
      <c r="AD402" s="25"/>
      <c r="AE402" s="43"/>
      <c r="AF402" s="43">
        <v>22.202898000000001</v>
      </c>
      <c r="AG402" s="25">
        <f t="shared" si="24"/>
        <v>26.02373316844486</v>
      </c>
      <c r="AH402" s="43">
        <v>20.122332444444442</v>
      </c>
      <c r="AI402" s="43"/>
      <c r="AJ402" s="43"/>
    </row>
    <row r="403" spans="27:36" ht="13.5" x14ac:dyDescent="0.25">
      <c r="AA403" s="26"/>
      <c r="AB403" s="26">
        <v>37547</v>
      </c>
      <c r="AC403" s="43"/>
      <c r="AD403" s="25"/>
      <c r="AE403" s="43"/>
      <c r="AF403" s="43">
        <v>20.028986</v>
      </c>
      <c r="AG403" s="25">
        <f t="shared" si="24"/>
        <v>26.02373316844486</v>
      </c>
      <c r="AH403" s="43">
        <v>20.968102777777776</v>
      </c>
      <c r="AI403" s="43"/>
      <c r="AJ403" s="43"/>
    </row>
    <row r="404" spans="27:36" ht="13.5" x14ac:dyDescent="0.25">
      <c r="AA404" s="26"/>
      <c r="AB404" s="26">
        <v>37554</v>
      </c>
      <c r="AC404" s="43"/>
      <c r="AD404" s="25"/>
      <c r="AE404" s="43"/>
      <c r="AF404" s="43">
        <v>20.449273999999999</v>
      </c>
      <c r="AG404" s="25">
        <f t="shared" si="24"/>
        <v>26.02373316844486</v>
      </c>
      <c r="AH404" s="43">
        <v>20.889073</v>
      </c>
      <c r="AI404" s="43"/>
      <c r="AJ404" s="43"/>
    </row>
    <row r="405" spans="27:36" ht="13.5" x14ac:dyDescent="0.25">
      <c r="AA405" s="26"/>
      <c r="AB405" s="26">
        <v>37561</v>
      </c>
      <c r="AC405" s="43"/>
      <c r="AD405" s="25"/>
      <c r="AE405" s="43"/>
      <c r="AF405" s="43">
        <v>19.594204000000001</v>
      </c>
      <c r="AG405" s="25">
        <f t="shared" si="24"/>
        <v>26.02373316844486</v>
      </c>
      <c r="AH405" s="43">
        <v>20.686197222222219</v>
      </c>
      <c r="AI405" s="43"/>
      <c r="AJ405" s="43"/>
    </row>
    <row r="406" spans="27:36" ht="13.5" x14ac:dyDescent="0.25">
      <c r="AA406" s="26"/>
      <c r="AB406" s="26">
        <v>37568</v>
      </c>
      <c r="AC406" s="43"/>
      <c r="AD406" s="25"/>
      <c r="AE406" s="43"/>
      <c r="AF406" s="43">
        <v>20.275362000000001</v>
      </c>
      <c r="AG406" s="25">
        <f t="shared" si="24"/>
        <v>26.02373316844486</v>
      </c>
      <c r="AH406" s="43">
        <v>21.044208111111111</v>
      </c>
      <c r="AI406" s="43"/>
      <c r="AJ406" s="43"/>
    </row>
    <row r="407" spans="27:36" ht="13.5" x14ac:dyDescent="0.25">
      <c r="AA407" s="26"/>
      <c r="AB407" s="26">
        <v>37575</v>
      </c>
      <c r="AC407" s="43"/>
      <c r="AD407" s="25"/>
      <c r="AE407" s="43"/>
      <c r="AF407" s="43">
        <v>19.840579999999999</v>
      </c>
      <c r="AG407" s="25">
        <f t="shared" si="24"/>
        <v>26.02373316844486</v>
      </c>
      <c r="AH407" s="43">
        <v>21.449386777777775</v>
      </c>
      <c r="AI407" s="43"/>
      <c r="AJ407" s="43"/>
    </row>
    <row r="408" spans="27:36" ht="13.5" x14ac:dyDescent="0.25">
      <c r="AA408" s="26"/>
      <c r="AB408" s="26">
        <v>37582</v>
      </c>
      <c r="AC408" s="43"/>
      <c r="AD408" s="25"/>
      <c r="AE408" s="43"/>
      <c r="AF408" s="43">
        <v>21.782608</v>
      </c>
      <c r="AG408" s="25">
        <f t="shared" si="24"/>
        <v>26.02373316844486</v>
      </c>
      <c r="AH408" s="43">
        <v>22.561194000000004</v>
      </c>
      <c r="AI408" s="43"/>
      <c r="AJ408" s="43"/>
    </row>
    <row r="409" spans="27:36" ht="13.5" x14ac:dyDescent="0.25">
      <c r="AA409" s="26"/>
      <c r="AB409" s="26">
        <v>37589</v>
      </c>
      <c r="AC409" s="43"/>
      <c r="AD409" s="25"/>
      <c r="AE409" s="43"/>
      <c r="AF409" s="43">
        <v>22.573530000000002</v>
      </c>
      <c r="AG409" s="25">
        <f t="shared" si="24"/>
        <v>26.02373316844486</v>
      </c>
      <c r="AH409" s="43">
        <v>21.455443444444441</v>
      </c>
      <c r="AI409" s="43"/>
      <c r="AJ409" s="43"/>
    </row>
    <row r="410" spans="27:36" ht="13.5" x14ac:dyDescent="0.25">
      <c r="AA410" s="26"/>
      <c r="AB410" s="26">
        <v>37596</v>
      </c>
      <c r="AC410" s="43"/>
      <c r="AD410" s="25"/>
      <c r="AE410" s="43"/>
      <c r="AF410" s="43">
        <v>22.220586999999998</v>
      </c>
      <c r="AG410" s="25">
        <f t="shared" si="24"/>
        <v>26.02373316844486</v>
      </c>
      <c r="AH410" s="43">
        <v>21.068114111111111</v>
      </c>
      <c r="AI410" s="43"/>
      <c r="AJ410" s="43"/>
    </row>
    <row r="411" spans="27:36" ht="13.5" x14ac:dyDescent="0.25">
      <c r="AA411" s="26"/>
      <c r="AB411" s="26">
        <v>37603</v>
      </c>
      <c r="AC411" s="43"/>
      <c r="AD411" s="25"/>
      <c r="AE411" s="43"/>
      <c r="AF411" s="43">
        <v>21.397058000000001</v>
      </c>
      <c r="AG411" s="25">
        <f t="shared" si="24"/>
        <v>26.02373316844486</v>
      </c>
      <c r="AH411" s="43">
        <v>20.647166222222225</v>
      </c>
      <c r="AI411" s="43"/>
      <c r="AJ411" s="43"/>
    </row>
    <row r="412" spans="27:36" ht="13.5" x14ac:dyDescent="0.25">
      <c r="AA412" s="26"/>
      <c r="AB412" s="26">
        <v>37610</v>
      </c>
      <c r="AC412" s="43"/>
      <c r="AD412" s="25"/>
      <c r="AE412" s="43"/>
      <c r="AF412" s="43">
        <v>21.513235000000002</v>
      </c>
      <c r="AG412" s="25">
        <f t="shared" si="24"/>
        <v>26.02373316844486</v>
      </c>
      <c r="AH412" s="43">
        <v>20.795903777777777</v>
      </c>
      <c r="AI412" s="43"/>
      <c r="AJ412" s="43"/>
    </row>
    <row r="413" spans="27:36" ht="13.5" x14ac:dyDescent="0.25">
      <c r="AA413" s="26"/>
      <c r="AB413" s="26">
        <v>37617</v>
      </c>
      <c r="AC413" s="43"/>
      <c r="AD413" s="25"/>
      <c r="AE413" s="43"/>
      <c r="AF413" s="43">
        <v>22.661764000000002</v>
      </c>
      <c r="AG413" s="25">
        <f t="shared" si="24"/>
        <v>26.02373316844486</v>
      </c>
      <c r="AH413" s="43">
        <v>20.831694000000002</v>
      </c>
      <c r="AI413" s="43"/>
      <c r="AJ413" s="43"/>
    </row>
    <row r="414" spans="27:36" ht="13.5" x14ac:dyDescent="0.25">
      <c r="AA414" s="26"/>
      <c r="AB414" s="26">
        <v>37624</v>
      </c>
      <c r="AC414" s="43"/>
      <c r="AD414" s="25"/>
      <c r="AE414" s="43"/>
      <c r="AF414" s="43">
        <v>23.308824999999999</v>
      </c>
      <c r="AG414" s="25">
        <f t="shared" si="24"/>
        <v>26.02373316844486</v>
      </c>
      <c r="AH414" s="43">
        <v>21.315963444444446</v>
      </c>
      <c r="AI414" s="43"/>
      <c r="AJ414" s="43"/>
    </row>
    <row r="415" spans="27:36" ht="13.5" x14ac:dyDescent="0.25">
      <c r="AA415" s="26"/>
      <c r="AB415" s="26">
        <v>37631</v>
      </c>
      <c r="AC415" s="43"/>
      <c r="AD415" s="25"/>
      <c r="AE415" s="43"/>
      <c r="AF415" s="43">
        <v>22.867647000000002</v>
      </c>
      <c r="AG415" s="25">
        <f t="shared" si="24"/>
        <v>26.02373316844486</v>
      </c>
      <c r="AH415" s="43">
        <v>21.443126555555555</v>
      </c>
      <c r="AI415" s="43"/>
      <c r="AJ415" s="43"/>
    </row>
    <row r="416" spans="27:36" ht="13.5" x14ac:dyDescent="0.25">
      <c r="AA416" s="26"/>
      <c r="AB416" s="26">
        <v>37638</v>
      </c>
      <c r="AC416" s="43"/>
      <c r="AD416" s="25"/>
      <c r="AE416" s="43"/>
      <c r="AF416" s="43">
        <v>22.308823</v>
      </c>
      <c r="AG416" s="25">
        <f t="shared" si="24"/>
        <v>26.02373316844486</v>
      </c>
      <c r="AH416" s="43">
        <v>21.183512333333333</v>
      </c>
      <c r="AI416" s="43"/>
      <c r="AJ416" s="43"/>
    </row>
    <row r="417" spans="27:36" ht="13.5" x14ac:dyDescent="0.25">
      <c r="AA417" s="26"/>
      <c r="AB417" s="26">
        <v>37645</v>
      </c>
      <c r="AC417" s="43"/>
      <c r="AD417" s="25"/>
      <c r="AE417" s="43"/>
      <c r="AF417" s="43">
        <v>21.823530000000002</v>
      </c>
      <c r="AG417" s="25">
        <f t="shared" si="24"/>
        <v>26.02373316844486</v>
      </c>
      <c r="AH417" s="43">
        <v>20.396635777777774</v>
      </c>
      <c r="AI417" s="43"/>
      <c r="AJ417" s="43"/>
    </row>
    <row r="418" spans="27:36" ht="13.5" x14ac:dyDescent="0.25">
      <c r="AA418" s="26"/>
      <c r="AB418" s="26">
        <v>37652</v>
      </c>
      <c r="AC418" s="43"/>
      <c r="AD418" s="25"/>
      <c r="AE418" s="43"/>
      <c r="AF418" s="43">
        <v>21.838235999999998</v>
      </c>
      <c r="AG418" s="25">
        <f t="shared" si="24"/>
        <v>26.02373316844486</v>
      </c>
      <c r="AH418" s="43">
        <v>20.384500444444441</v>
      </c>
      <c r="AI418" s="43"/>
      <c r="AJ418" s="43"/>
    </row>
    <row r="419" spans="27:36" ht="13.5" x14ac:dyDescent="0.25">
      <c r="AA419" s="26"/>
      <c r="AB419" s="26">
        <v>37659</v>
      </c>
      <c r="AC419" s="43"/>
      <c r="AD419" s="25"/>
      <c r="AE419" s="43"/>
      <c r="AF419" s="43">
        <v>20.808823</v>
      </c>
      <c r="AG419" s="25">
        <f t="shared" si="24"/>
        <v>26.02373316844486</v>
      </c>
      <c r="AH419" s="43">
        <v>19.487165333333337</v>
      </c>
      <c r="AI419" s="43"/>
      <c r="AJ419" s="43"/>
    </row>
    <row r="420" spans="27:36" ht="13.5" x14ac:dyDescent="0.25">
      <c r="AA420" s="26"/>
      <c r="AB420" s="26">
        <v>37666</v>
      </c>
      <c r="AC420" s="43"/>
      <c r="AD420" s="25"/>
      <c r="AE420" s="43"/>
      <c r="AF420" s="43">
        <v>21.647058000000001</v>
      </c>
      <c r="AG420" s="25">
        <f t="shared" si="24"/>
        <v>26.02373316844486</v>
      </c>
      <c r="AH420" s="43">
        <v>18.966804055555556</v>
      </c>
      <c r="AI420" s="43"/>
      <c r="AJ420" s="43"/>
    </row>
    <row r="421" spans="27:36" ht="13.5" x14ac:dyDescent="0.25">
      <c r="AA421" s="26"/>
      <c r="AB421" s="26">
        <v>37673</v>
      </c>
      <c r="AC421" s="43"/>
      <c r="AD421" s="25"/>
      <c r="AE421" s="43"/>
      <c r="AF421" s="43">
        <v>22.259412999999999</v>
      </c>
      <c r="AG421" s="25">
        <f t="shared" si="24"/>
        <v>26.02373316844486</v>
      </c>
      <c r="AH421" s="43">
        <v>19.204129666666667</v>
      </c>
      <c r="AI421" s="43"/>
      <c r="AJ421" s="43"/>
    </row>
    <row r="422" spans="27:36" ht="13.5" x14ac:dyDescent="0.25">
      <c r="AA422" s="26"/>
      <c r="AB422" s="26">
        <v>37680</v>
      </c>
      <c r="AC422" s="43"/>
      <c r="AD422" s="25"/>
      <c r="AE422" s="43"/>
      <c r="AF422" s="43">
        <v>22.115942</v>
      </c>
      <c r="AG422" s="25">
        <f t="shared" ref="AG422:AG485" si="25">$Z$69</f>
        <v>26.02373316844486</v>
      </c>
      <c r="AH422" s="43">
        <v>18.253185000000002</v>
      </c>
      <c r="AI422" s="43"/>
      <c r="AJ422" s="43"/>
    </row>
    <row r="423" spans="27:36" ht="13.5" x14ac:dyDescent="0.25">
      <c r="AA423" s="26"/>
      <c r="AB423" s="26">
        <v>37687</v>
      </c>
      <c r="AC423" s="43"/>
      <c r="AD423" s="25"/>
      <c r="AE423" s="43"/>
      <c r="AF423" s="43">
        <v>21.710144</v>
      </c>
      <c r="AG423" s="25">
        <f t="shared" si="25"/>
        <v>26.02373316844486</v>
      </c>
      <c r="AH423" s="43">
        <v>17.802889374999999</v>
      </c>
      <c r="AI423" s="43"/>
      <c r="AJ423" s="43"/>
    </row>
    <row r="424" spans="27:36" ht="13.5" x14ac:dyDescent="0.25">
      <c r="AA424" s="26"/>
      <c r="AB424" s="26">
        <v>37694</v>
      </c>
      <c r="AC424" s="43"/>
      <c r="AD424" s="25"/>
      <c r="AE424" s="43"/>
      <c r="AF424" s="43">
        <v>21.89855</v>
      </c>
      <c r="AG424" s="25">
        <f t="shared" si="25"/>
        <v>26.02373316844486</v>
      </c>
      <c r="AH424" s="43">
        <v>17.646224875000001</v>
      </c>
      <c r="AI424" s="43"/>
      <c r="AJ424" s="43"/>
    </row>
    <row r="425" spans="27:36" ht="13.5" x14ac:dyDescent="0.25">
      <c r="AA425" s="26"/>
      <c r="AB425" s="26">
        <v>37701</v>
      </c>
      <c r="AC425" s="43"/>
      <c r="AD425" s="25"/>
      <c r="AE425" s="43"/>
      <c r="AF425" s="43">
        <v>23.913043999999999</v>
      </c>
      <c r="AG425" s="25">
        <f t="shared" si="25"/>
        <v>26.02373316844486</v>
      </c>
      <c r="AH425" s="43">
        <v>19.169592000000002</v>
      </c>
      <c r="AI425" s="43"/>
      <c r="AJ425" s="43"/>
    </row>
    <row r="426" spans="27:36" ht="13.5" x14ac:dyDescent="0.25">
      <c r="AA426" s="26"/>
      <c r="AB426" s="26">
        <v>37708</v>
      </c>
      <c r="AC426" s="43"/>
      <c r="AD426" s="25"/>
      <c r="AE426" s="43"/>
      <c r="AF426" s="43">
        <v>23.913043999999999</v>
      </c>
      <c r="AG426" s="25">
        <f t="shared" si="25"/>
        <v>26.02373316844486</v>
      </c>
      <c r="AH426" s="43">
        <v>19.170722874999999</v>
      </c>
      <c r="AI426" s="43"/>
      <c r="AJ426" s="43"/>
    </row>
    <row r="427" spans="27:36" ht="13.5" x14ac:dyDescent="0.25">
      <c r="AA427" s="26"/>
      <c r="AB427" s="26">
        <v>37715</v>
      </c>
      <c r="AC427" s="43"/>
      <c r="AD427" s="25"/>
      <c r="AE427" s="43"/>
      <c r="AF427" s="43">
        <v>24.028986</v>
      </c>
      <c r="AG427" s="25">
        <f t="shared" si="25"/>
        <v>26.02373316844486</v>
      </c>
      <c r="AH427" s="43">
        <v>19.144852777777778</v>
      </c>
      <c r="AI427" s="43"/>
      <c r="AJ427" s="43"/>
    </row>
    <row r="428" spans="27:36" ht="13.5" x14ac:dyDescent="0.25">
      <c r="AA428" s="26"/>
      <c r="AB428" s="26">
        <v>37722</v>
      </c>
      <c r="AC428" s="43"/>
      <c r="AD428" s="25"/>
      <c r="AE428" s="43"/>
      <c r="AF428" s="43">
        <v>19.10145</v>
      </c>
      <c r="AG428" s="25">
        <f t="shared" si="25"/>
        <v>26.02373316844486</v>
      </c>
      <c r="AH428" s="43">
        <v>18.012798666666669</v>
      </c>
      <c r="AI428" s="43"/>
      <c r="AJ428" s="43"/>
    </row>
    <row r="429" spans="27:36" ht="13.5" x14ac:dyDescent="0.25">
      <c r="AA429" s="26"/>
      <c r="AB429" s="26">
        <v>37729</v>
      </c>
      <c r="AC429" s="43"/>
      <c r="AD429" s="25"/>
      <c r="AE429" s="43"/>
      <c r="AF429" s="43">
        <v>19.333334000000001</v>
      </c>
      <c r="AG429" s="25">
        <f t="shared" si="25"/>
        <v>26.02373316844486</v>
      </c>
      <c r="AH429" s="43">
        <v>19.197728111111115</v>
      </c>
      <c r="AI429" s="43"/>
      <c r="AJ429" s="43"/>
    </row>
    <row r="430" spans="27:36" ht="13.5" x14ac:dyDescent="0.25">
      <c r="AA430" s="26"/>
      <c r="AB430" s="26">
        <v>37736</v>
      </c>
      <c r="AC430" s="43"/>
      <c r="AD430" s="25"/>
      <c r="AE430" s="43"/>
      <c r="AF430" s="43">
        <v>19.971014</v>
      </c>
      <c r="AG430" s="25">
        <f t="shared" si="25"/>
        <v>26.02373316844486</v>
      </c>
      <c r="AH430" s="43">
        <v>19.388814222222223</v>
      </c>
      <c r="AI430" s="43"/>
      <c r="AJ430" s="43"/>
    </row>
    <row r="431" spans="27:36" ht="13.5" x14ac:dyDescent="0.25">
      <c r="AA431" s="26"/>
      <c r="AB431" s="26">
        <v>37743</v>
      </c>
      <c r="AC431" s="43"/>
      <c r="AD431" s="25"/>
      <c r="AE431" s="43"/>
      <c r="AF431" s="43">
        <v>28.44</v>
      </c>
      <c r="AG431" s="25">
        <f t="shared" si="25"/>
        <v>26.02373316844486</v>
      </c>
      <c r="AH431" s="43">
        <v>20.388210111111114</v>
      </c>
      <c r="AI431" s="43"/>
      <c r="AJ431" s="43"/>
    </row>
    <row r="432" spans="27:36" ht="13.5" x14ac:dyDescent="0.25">
      <c r="AA432" s="26"/>
      <c r="AB432" s="26">
        <v>37750</v>
      </c>
      <c r="AC432" s="43"/>
      <c r="AD432" s="25"/>
      <c r="AE432" s="43"/>
      <c r="AF432" s="43">
        <v>28.94</v>
      </c>
      <c r="AG432" s="25">
        <f t="shared" si="25"/>
        <v>26.02373316844486</v>
      </c>
      <c r="AH432" s="43">
        <v>20.511498555555555</v>
      </c>
      <c r="AI432" s="43"/>
      <c r="AJ432" s="43"/>
    </row>
    <row r="433" spans="27:36" ht="13.5" x14ac:dyDescent="0.25">
      <c r="AA433" s="26"/>
      <c r="AB433" s="26">
        <v>37757</v>
      </c>
      <c r="AC433" s="43"/>
      <c r="AD433" s="25"/>
      <c r="AE433" s="43"/>
      <c r="AF433" s="43">
        <v>30.44</v>
      </c>
      <c r="AG433" s="25">
        <f t="shared" si="25"/>
        <v>26.02373316844486</v>
      </c>
      <c r="AH433" s="43">
        <v>20.676337444444446</v>
      </c>
      <c r="AI433" s="43"/>
      <c r="AJ433" s="43"/>
    </row>
    <row r="434" spans="27:36" ht="13.5" x14ac:dyDescent="0.25">
      <c r="AA434" s="26"/>
      <c r="AB434" s="26">
        <v>37764</v>
      </c>
      <c r="AC434" s="43"/>
      <c r="AD434" s="25"/>
      <c r="AE434" s="43"/>
      <c r="AF434" s="43">
        <v>28.86</v>
      </c>
      <c r="AG434" s="25">
        <f t="shared" si="25"/>
        <v>26.02373316844486</v>
      </c>
      <c r="AH434" s="43">
        <v>20.447261500000003</v>
      </c>
      <c r="AI434" s="43"/>
      <c r="AJ434" s="43"/>
    </row>
    <row r="435" spans="27:36" ht="13.5" x14ac:dyDescent="0.25">
      <c r="AA435" s="26"/>
      <c r="AB435" s="26">
        <v>37771</v>
      </c>
      <c r="AC435" s="43"/>
      <c r="AD435" s="25"/>
      <c r="AE435" s="43"/>
      <c r="AF435" s="43">
        <v>22.712119999999999</v>
      </c>
      <c r="AG435" s="25">
        <f t="shared" si="25"/>
        <v>26.02373316844486</v>
      </c>
      <c r="AH435" s="43">
        <v>20.641041333333334</v>
      </c>
      <c r="AI435" s="43"/>
      <c r="AJ435" s="43"/>
    </row>
    <row r="436" spans="27:36" ht="13.5" x14ac:dyDescent="0.25">
      <c r="AA436" s="26"/>
      <c r="AB436" s="26">
        <v>37778</v>
      </c>
      <c r="AC436" s="43"/>
      <c r="AD436" s="25"/>
      <c r="AE436" s="43"/>
      <c r="AF436" s="43">
        <v>23.5</v>
      </c>
      <c r="AG436" s="25">
        <f t="shared" si="25"/>
        <v>26.02373316844486</v>
      </c>
      <c r="AH436" s="43">
        <v>20.873545888888891</v>
      </c>
      <c r="AI436" s="43"/>
      <c r="AJ436" s="43"/>
    </row>
    <row r="437" spans="27:36" ht="13.5" x14ac:dyDescent="0.25">
      <c r="AA437" s="26"/>
      <c r="AB437" s="26">
        <v>37785</v>
      </c>
      <c r="AC437" s="43"/>
      <c r="AD437" s="25"/>
      <c r="AE437" s="43"/>
      <c r="AF437" s="43">
        <v>23.590907999999999</v>
      </c>
      <c r="AG437" s="25">
        <f t="shared" si="25"/>
        <v>26.02373316844486</v>
      </c>
      <c r="AH437" s="43">
        <v>20.949032333333335</v>
      </c>
      <c r="AI437" s="43"/>
      <c r="AJ437" s="43"/>
    </row>
    <row r="438" spans="27:36" ht="13.5" x14ac:dyDescent="0.25">
      <c r="AA438" s="26"/>
      <c r="AB438" s="26">
        <v>37792</v>
      </c>
      <c r="AC438" s="43"/>
      <c r="AD438" s="25"/>
      <c r="AE438" s="43"/>
      <c r="AF438" s="43">
        <v>23.287877999999999</v>
      </c>
      <c r="AG438" s="25">
        <f t="shared" si="25"/>
        <v>26.02373316844486</v>
      </c>
      <c r="AH438" s="43">
        <v>20.819191222222223</v>
      </c>
      <c r="AI438" s="43"/>
      <c r="AJ438" s="43"/>
    </row>
    <row r="439" spans="27:36" ht="13.5" x14ac:dyDescent="0.25">
      <c r="AA439" s="26"/>
      <c r="AB439" s="26">
        <v>37799</v>
      </c>
      <c r="AC439" s="43"/>
      <c r="AD439" s="25"/>
      <c r="AE439" s="43"/>
      <c r="AF439" s="43">
        <v>22.863636</v>
      </c>
      <c r="AG439" s="25">
        <f t="shared" si="25"/>
        <v>26.02373316844486</v>
      </c>
      <c r="AH439" s="43">
        <v>20.535672333333334</v>
      </c>
      <c r="AI439" s="43"/>
      <c r="AJ439" s="43"/>
    </row>
    <row r="440" spans="27:36" ht="13.5" x14ac:dyDescent="0.25">
      <c r="AA440" s="26"/>
      <c r="AB440" s="26">
        <v>37806</v>
      </c>
      <c r="AC440" s="43"/>
      <c r="AD440" s="25"/>
      <c r="AE440" s="43"/>
      <c r="AF440" s="43">
        <v>25.875</v>
      </c>
      <c r="AG440" s="25">
        <f t="shared" si="25"/>
        <v>26.02373316844486</v>
      </c>
      <c r="AH440" s="43">
        <v>21.523124222222222</v>
      </c>
      <c r="AI440" s="43"/>
      <c r="AJ440" s="43"/>
    </row>
    <row r="441" spans="27:36" ht="13.5" x14ac:dyDescent="0.25">
      <c r="AA441" s="26"/>
      <c r="AB441" s="26">
        <v>37813</v>
      </c>
      <c r="AC441" s="43"/>
      <c r="AD441" s="25"/>
      <c r="AE441" s="43"/>
      <c r="AF441" s="43">
        <v>26.828125</v>
      </c>
      <c r="AG441" s="25">
        <f t="shared" si="25"/>
        <v>26.02373316844486</v>
      </c>
      <c r="AH441" s="43">
        <v>22.331149888888891</v>
      </c>
      <c r="AI441" s="43"/>
      <c r="AJ441" s="43"/>
    </row>
    <row r="442" spans="27:36" ht="13.5" x14ac:dyDescent="0.25">
      <c r="AA442" s="26"/>
      <c r="AB442" s="26">
        <v>37820</v>
      </c>
      <c r="AC442" s="43"/>
      <c r="AD442" s="25"/>
      <c r="AE442" s="43"/>
      <c r="AF442" s="43">
        <v>26.453126999999999</v>
      </c>
      <c r="AG442" s="25">
        <f t="shared" si="25"/>
        <v>26.02373316844486</v>
      </c>
      <c r="AH442" s="43">
        <v>21.935348999999999</v>
      </c>
      <c r="AI442" s="43"/>
      <c r="AJ442" s="43"/>
    </row>
    <row r="443" spans="27:36" ht="13.5" x14ac:dyDescent="0.25">
      <c r="AA443" s="26"/>
      <c r="AB443" s="26">
        <v>37827</v>
      </c>
      <c r="AC443" s="43"/>
      <c r="AD443" s="25"/>
      <c r="AE443" s="43"/>
      <c r="AF443" s="43">
        <v>24.500001999999999</v>
      </c>
      <c r="AG443" s="25">
        <f t="shared" si="25"/>
        <v>26.02373316844486</v>
      </c>
      <c r="AH443" s="43">
        <v>22.281578333333336</v>
      </c>
      <c r="AI443" s="43"/>
      <c r="AJ443" s="43"/>
    </row>
    <row r="444" spans="27:36" ht="13.5" x14ac:dyDescent="0.25">
      <c r="AA444" s="26"/>
      <c r="AB444" s="26">
        <v>37834</v>
      </c>
      <c r="AC444" s="43"/>
      <c r="AD444" s="25"/>
      <c r="AE444" s="43"/>
      <c r="AF444" s="43">
        <v>24.921875</v>
      </c>
      <c r="AG444" s="25">
        <f t="shared" si="25"/>
        <v>26.02373316844486</v>
      </c>
      <c r="AH444" s="43">
        <v>22.038606666666666</v>
      </c>
      <c r="AI444" s="43"/>
      <c r="AJ444" s="43"/>
    </row>
    <row r="445" spans="27:36" ht="13.5" x14ac:dyDescent="0.25">
      <c r="AA445" s="26"/>
      <c r="AB445" s="26">
        <v>37841</v>
      </c>
      <c r="AC445" s="43"/>
      <c r="AD445" s="25"/>
      <c r="AE445" s="43"/>
      <c r="AF445" s="43">
        <v>23.875</v>
      </c>
      <c r="AG445" s="25">
        <f t="shared" si="25"/>
        <v>26.02373316844486</v>
      </c>
      <c r="AH445" s="43">
        <v>21.671965666666669</v>
      </c>
      <c r="AI445" s="43"/>
      <c r="AJ445" s="43"/>
    </row>
    <row r="446" spans="27:36" ht="13.5" x14ac:dyDescent="0.25">
      <c r="AA446" s="26"/>
      <c r="AB446" s="26">
        <v>37848</v>
      </c>
      <c r="AC446" s="43"/>
      <c r="AD446" s="25"/>
      <c r="AE446" s="43"/>
      <c r="AF446" s="43">
        <v>24.484375</v>
      </c>
      <c r="AG446" s="25">
        <f t="shared" si="25"/>
        <v>26.02373316844486</v>
      </c>
      <c r="AH446" s="43">
        <v>22.292671611111114</v>
      </c>
      <c r="AI446" s="43"/>
      <c r="AJ446" s="43"/>
    </row>
    <row r="447" spans="27:36" ht="13.5" x14ac:dyDescent="0.25">
      <c r="AA447" s="26"/>
      <c r="AB447" s="26">
        <v>37855</v>
      </c>
      <c r="AC447" s="43"/>
      <c r="AD447" s="25"/>
      <c r="AE447" s="43"/>
      <c r="AF447" s="43">
        <v>24.921875</v>
      </c>
      <c r="AG447" s="25">
        <f t="shared" si="25"/>
        <v>26.02373316844486</v>
      </c>
      <c r="AH447" s="43">
        <v>22.755834222222219</v>
      </c>
      <c r="AI447" s="43"/>
      <c r="AJ447" s="43"/>
    </row>
    <row r="448" spans="27:36" ht="13.5" x14ac:dyDescent="0.25">
      <c r="AA448" s="26"/>
      <c r="AB448" s="26">
        <v>37862</v>
      </c>
      <c r="AC448" s="43"/>
      <c r="AD448" s="25"/>
      <c r="AE448" s="43"/>
      <c r="AF448" s="43">
        <v>26.064516000000001</v>
      </c>
      <c r="AG448" s="25">
        <f t="shared" si="25"/>
        <v>26.02373316844486</v>
      </c>
      <c r="AH448" s="43">
        <v>22.975358</v>
      </c>
      <c r="AI448" s="43"/>
      <c r="AJ448" s="43"/>
    </row>
    <row r="449" spans="27:36" ht="13.5" x14ac:dyDescent="0.25">
      <c r="AA449" s="26"/>
      <c r="AB449" s="26">
        <v>37869</v>
      </c>
      <c r="AC449" s="43"/>
      <c r="AD449" s="25"/>
      <c r="AE449" s="43"/>
      <c r="AF449" s="43">
        <v>27.774193</v>
      </c>
      <c r="AG449" s="25">
        <f t="shared" si="25"/>
        <v>26.02373316844486</v>
      </c>
      <c r="AH449" s="43">
        <v>22.991180555555559</v>
      </c>
      <c r="AI449" s="43"/>
      <c r="AJ449" s="43"/>
    </row>
    <row r="450" spans="27:36" ht="13.5" x14ac:dyDescent="0.25">
      <c r="AA450" s="26"/>
      <c r="AB450" s="26">
        <v>37876</v>
      </c>
      <c r="AC450" s="43"/>
      <c r="AD450" s="25"/>
      <c r="AE450" s="43"/>
      <c r="AF450" s="43">
        <v>25.403224999999999</v>
      </c>
      <c r="AG450" s="25">
        <f t="shared" si="25"/>
        <v>26.02373316844486</v>
      </c>
      <c r="AH450" s="43">
        <v>22.118681000000002</v>
      </c>
      <c r="AI450" s="43"/>
      <c r="AJ450" s="43"/>
    </row>
    <row r="451" spans="27:36" ht="13.5" x14ac:dyDescent="0.25">
      <c r="AA451" s="26"/>
      <c r="AB451" s="26">
        <v>37883</v>
      </c>
      <c r="AC451" s="43"/>
      <c r="AD451" s="25"/>
      <c r="AE451" s="43"/>
      <c r="AF451" s="43">
        <v>26.064516000000001</v>
      </c>
      <c r="AG451" s="25">
        <f t="shared" si="25"/>
        <v>26.02373316844486</v>
      </c>
      <c r="AH451" s="43">
        <v>22.255335166666665</v>
      </c>
      <c r="AI451" s="43"/>
      <c r="AJ451" s="43"/>
    </row>
    <row r="452" spans="27:36" ht="13.5" x14ac:dyDescent="0.25">
      <c r="AA452" s="26"/>
      <c r="AB452" s="26">
        <v>37890</v>
      </c>
      <c r="AC452" s="43"/>
      <c r="AD452" s="25"/>
      <c r="AE452" s="43"/>
      <c r="AF452" s="43">
        <v>25.790320999999999</v>
      </c>
      <c r="AG452" s="25">
        <f t="shared" si="25"/>
        <v>26.02373316844486</v>
      </c>
      <c r="AH452" s="43">
        <v>21.387923333333333</v>
      </c>
      <c r="AI452" s="43"/>
      <c r="AJ452" s="43"/>
    </row>
    <row r="453" spans="27:36" ht="13.5" x14ac:dyDescent="0.25">
      <c r="AA453" s="26"/>
      <c r="AB453" s="26">
        <v>37897</v>
      </c>
      <c r="AC453" s="43"/>
      <c r="AD453" s="25"/>
      <c r="AE453" s="43"/>
      <c r="AF453" s="43">
        <v>26.564513999999999</v>
      </c>
      <c r="AG453" s="25">
        <f t="shared" si="25"/>
        <v>26.02373316844486</v>
      </c>
      <c r="AH453" s="43">
        <v>21.261912799999998</v>
      </c>
      <c r="AI453" s="43"/>
      <c r="AJ453" s="43"/>
    </row>
    <row r="454" spans="27:36" ht="13.5" x14ac:dyDescent="0.25">
      <c r="AA454" s="26"/>
      <c r="AB454" s="26">
        <v>37904</v>
      </c>
      <c r="AC454" s="43"/>
      <c r="AD454" s="25"/>
      <c r="AE454" s="43"/>
      <c r="AF454" s="43">
        <v>26.322579999999999</v>
      </c>
      <c r="AG454" s="25">
        <f t="shared" si="25"/>
        <v>26.02373316844486</v>
      </c>
      <c r="AH454" s="43">
        <v>21.329777049999997</v>
      </c>
      <c r="AI454" s="43"/>
      <c r="AJ454" s="43"/>
    </row>
    <row r="455" spans="27:36" ht="13.5" x14ac:dyDescent="0.25">
      <c r="AA455" s="26"/>
      <c r="AB455" s="26">
        <v>37911</v>
      </c>
      <c r="AC455" s="43"/>
      <c r="AD455" s="25"/>
      <c r="AE455" s="43"/>
      <c r="AF455" s="43">
        <v>26.935486000000001</v>
      </c>
      <c r="AG455" s="25">
        <f t="shared" si="25"/>
        <v>26.02373316844486</v>
      </c>
      <c r="AH455" s="43">
        <v>21.3736423</v>
      </c>
      <c r="AI455" s="43"/>
      <c r="AJ455" s="43"/>
    </row>
    <row r="456" spans="27:36" ht="13.5" x14ac:dyDescent="0.25">
      <c r="AA456" s="26"/>
      <c r="AB456" s="26">
        <v>37918</v>
      </c>
      <c r="AC456" s="43"/>
      <c r="AD456" s="25"/>
      <c r="AE456" s="43"/>
      <c r="AF456" s="43">
        <v>25.516128999999999</v>
      </c>
      <c r="AG456" s="25">
        <f t="shared" si="25"/>
        <v>26.02373316844486</v>
      </c>
      <c r="AH456" s="43">
        <v>20.508648150000003</v>
      </c>
      <c r="AI456" s="43"/>
      <c r="AJ456" s="43"/>
    </row>
    <row r="457" spans="27:36" ht="13.5" x14ac:dyDescent="0.25">
      <c r="AA457" s="26"/>
      <c r="AB457" s="26">
        <v>37925</v>
      </c>
      <c r="AC457" s="43"/>
      <c r="AD457" s="25"/>
      <c r="AE457" s="43"/>
      <c r="AF457" s="43">
        <v>25.238094</v>
      </c>
      <c r="AG457" s="25">
        <f t="shared" si="25"/>
        <v>26.02373316844486</v>
      </c>
      <c r="AH457" s="43">
        <v>21.083175799999999</v>
      </c>
      <c r="AI457" s="43"/>
      <c r="AJ457" s="43"/>
    </row>
    <row r="458" spans="27:36" ht="13.5" x14ac:dyDescent="0.25">
      <c r="AA458" s="26"/>
      <c r="AB458" s="26">
        <v>37932</v>
      </c>
      <c r="AC458" s="43"/>
      <c r="AD458" s="25"/>
      <c r="AE458" s="43"/>
      <c r="AF458" s="43">
        <v>25.714286999999999</v>
      </c>
      <c r="AG458" s="25">
        <f t="shared" si="25"/>
        <v>26.02373316844486</v>
      </c>
      <c r="AH458" s="43">
        <v>20.955096000000001</v>
      </c>
      <c r="AI458" s="43"/>
      <c r="AJ458" s="43"/>
    </row>
    <row r="459" spans="27:36" ht="13.5" x14ac:dyDescent="0.25">
      <c r="AA459" s="26"/>
      <c r="AB459" s="26">
        <v>37939</v>
      </c>
      <c r="AC459" s="43"/>
      <c r="AD459" s="25"/>
      <c r="AE459" s="43"/>
      <c r="AF459" s="43">
        <v>25.253966999999999</v>
      </c>
      <c r="AG459" s="25">
        <f t="shared" si="25"/>
        <v>26.02373316844486</v>
      </c>
      <c r="AH459" s="43">
        <v>20.969108500000001</v>
      </c>
      <c r="AI459" s="43"/>
      <c r="AJ459" s="43"/>
    </row>
    <row r="460" spans="27:36" ht="13.5" x14ac:dyDescent="0.25">
      <c r="AA460" s="26"/>
      <c r="AB460" s="26">
        <v>37946</v>
      </c>
      <c r="AC460" s="43"/>
      <c r="AD460" s="25"/>
      <c r="AE460" s="43"/>
      <c r="AF460" s="43">
        <v>25.396826000000001</v>
      </c>
      <c r="AG460" s="25">
        <f t="shared" si="25"/>
        <v>26.02373316844486</v>
      </c>
      <c r="AH460" s="43">
        <v>20.8022749</v>
      </c>
      <c r="AI460" s="43"/>
      <c r="AJ460" s="43"/>
    </row>
    <row r="461" spans="27:36" ht="13.5" x14ac:dyDescent="0.25">
      <c r="AA461" s="26"/>
      <c r="AB461" s="26">
        <v>37953</v>
      </c>
      <c r="AC461" s="43"/>
      <c r="AD461" s="25"/>
      <c r="AE461" s="43"/>
      <c r="AF461" s="43">
        <v>29.157896000000001</v>
      </c>
      <c r="AG461" s="25">
        <f t="shared" si="25"/>
        <v>26.02373316844486</v>
      </c>
      <c r="AH461" s="43">
        <v>21.432456800000001</v>
      </c>
      <c r="AI461" s="43"/>
      <c r="AJ461" s="43"/>
    </row>
    <row r="462" spans="27:36" ht="13.5" x14ac:dyDescent="0.25">
      <c r="AA462" s="26"/>
      <c r="AB462" s="26">
        <v>37960</v>
      </c>
      <c r="AC462" s="43"/>
      <c r="AD462" s="25"/>
      <c r="AE462" s="43"/>
      <c r="AF462" s="43">
        <v>29.175438</v>
      </c>
      <c r="AG462" s="25">
        <f t="shared" si="25"/>
        <v>26.02373316844486</v>
      </c>
      <c r="AH462" s="43">
        <v>21.3474936</v>
      </c>
      <c r="AI462" s="43"/>
      <c r="AJ462" s="43"/>
    </row>
    <row r="463" spans="27:36" ht="13.5" x14ac:dyDescent="0.25">
      <c r="AA463" s="26"/>
      <c r="AB463" s="26">
        <v>37967</v>
      </c>
      <c r="AC463" s="43"/>
      <c r="AD463" s="25"/>
      <c r="AE463" s="43"/>
      <c r="AF463" s="43">
        <v>31.385963</v>
      </c>
      <c r="AG463" s="25">
        <f t="shared" si="25"/>
        <v>26.02373316844486</v>
      </c>
      <c r="AH463" s="43">
        <v>21.348096300000002</v>
      </c>
      <c r="AI463" s="43"/>
      <c r="AJ463" s="43"/>
    </row>
    <row r="464" spans="27:36" ht="13.5" x14ac:dyDescent="0.25">
      <c r="AA464" s="26"/>
      <c r="AB464" s="26">
        <v>37974</v>
      </c>
      <c r="AC464" s="43"/>
      <c r="AD464" s="25"/>
      <c r="AE464" s="43"/>
      <c r="AF464" s="43">
        <v>31.947367</v>
      </c>
      <c r="AG464" s="25">
        <f t="shared" si="25"/>
        <v>26.02373316844486</v>
      </c>
      <c r="AH464" s="43">
        <v>21.1771642</v>
      </c>
      <c r="AI464" s="43"/>
      <c r="AJ464" s="43"/>
    </row>
    <row r="465" spans="27:36" ht="13.5" x14ac:dyDescent="0.25">
      <c r="AA465" s="26"/>
      <c r="AB465" s="26">
        <v>37981</v>
      </c>
      <c r="AC465" s="43"/>
      <c r="AD465" s="25"/>
      <c r="AE465" s="43"/>
      <c r="AF465" s="43">
        <v>32.421050000000001</v>
      </c>
      <c r="AG465" s="25">
        <f t="shared" si="25"/>
        <v>26.02373316844486</v>
      </c>
      <c r="AH465" s="43">
        <v>21.2121858</v>
      </c>
      <c r="AI465" s="43"/>
      <c r="AJ465" s="43"/>
    </row>
    <row r="466" spans="27:36" ht="13.5" x14ac:dyDescent="0.25">
      <c r="AA466" s="26"/>
      <c r="AB466" s="26">
        <v>37988</v>
      </c>
      <c r="AC466" s="43"/>
      <c r="AD466" s="25"/>
      <c r="AE466" s="43"/>
      <c r="AF466" s="43">
        <v>34.199997000000003</v>
      </c>
      <c r="AG466" s="25">
        <f t="shared" si="25"/>
        <v>26.02373316844486</v>
      </c>
      <c r="AH466" s="43">
        <v>21.521311700000002</v>
      </c>
      <c r="AI466" s="43"/>
      <c r="AJ466" s="43"/>
    </row>
    <row r="467" spans="27:36" ht="13.5" x14ac:dyDescent="0.25">
      <c r="AA467" s="26"/>
      <c r="AB467" s="26">
        <v>37995</v>
      </c>
      <c r="AC467" s="43"/>
      <c r="AD467" s="25"/>
      <c r="AE467" s="43"/>
      <c r="AF467" s="43">
        <v>33.890906999999999</v>
      </c>
      <c r="AG467" s="25">
        <f t="shared" si="25"/>
        <v>26.02373316844486</v>
      </c>
      <c r="AH467" s="43">
        <v>21.627379099999999</v>
      </c>
      <c r="AI467" s="43"/>
      <c r="AJ467" s="43"/>
    </row>
    <row r="468" spans="27:36" ht="13.5" x14ac:dyDescent="0.25">
      <c r="AA468" s="26"/>
      <c r="AB468" s="26">
        <v>38002</v>
      </c>
      <c r="AC468" s="43"/>
      <c r="AD468" s="25"/>
      <c r="AE468" s="43"/>
      <c r="AF468" s="43">
        <v>34.181815999999998</v>
      </c>
      <c r="AG468" s="25">
        <f t="shared" si="25"/>
        <v>26.02373316844486</v>
      </c>
      <c r="AH468" s="43">
        <v>21.721966799999997</v>
      </c>
      <c r="AI468" s="43"/>
      <c r="AJ468" s="43"/>
    </row>
    <row r="469" spans="27:36" ht="13.5" x14ac:dyDescent="0.25">
      <c r="AA469" s="26"/>
      <c r="AB469" s="26">
        <v>38009</v>
      </c>
      <c r="AC469" s="43"/>
      <c r="AD469" s="25"/>
      <c r="AE469" s="43"/>
      <c r="AF469" s="43">
        <v>34.363636</v>
      </c>
      <c r="AG469" s="25">
        <f t="shared" si="25"/>
        <v>26.02373316844486</v>
      </c>
      <c r="AH469" s="43">
        <v>22.4395083</v>
      </c>
      <c r="AI469" s="43"/>
      <c r="AJ469" s="43"/>
    </row>
    <row r="470" spans="27:36" ht="13.5" x14ac:dyDescent="0.25">
      <c r="AA470" s="26"/>
      <c r="AB470" s="26">
        <v>38016</v>
      </c>
      <c r="AC470" s="43"/>
      <c r="AD470" s="25"/>
      <c r="AE470" s="43"/>
      <c r="AF470" s="43">
        <v>34.727271999999999</v>
      </c>
      <c r="AG470" s="25">
        <f t="shared" si="25"/>
        <v>26.02373316844486</v>
      </c>
      <c r="AH470" s="43">
        <v>22.511405100000001</v>
      </c>
      <c r="AI470" s="43"/>
      <c r="AJ470" s="43"/>
    </row>
    <row r="471" spans="27:36" ht="13.5" x14ac:dyDescent="0.25">
      <c r="AA471" s="26"/>
      <c r="AB471" s="26">
        <v>38023</v>
      </c>
      <c r="AC471" s="43"/>
      <c r="AD471" s="25"/>
      <c r="AE471" s="43"/>
      <c r="AF471" s="43">
        <v>34.581817999999998</v>
      </c>
      <c r="AG471" s="25">
        <f t="shared" si="25"/>
        <v>26.02373316844486</v>
      </c>
      <c r="AH471" s="43">
        <v>22.692089399999997</v>
      </c>
      <c r="AI471" s="43"/>
      <c r="AJ471" s="43"/>
    </row>
    <row r="472" spans="27:36" ht="13.5" x14ac:dyDescent="0.25">
      <c r="AA472" s="26"/>
      <c r="AB472" s="26">
        <v>38030</v>
      </c>
      <c r="AC472" s="43"/>
      <c r="AD472" s="25"/>
      <c r="AE472" s="43"/>
      <c r="AF472" s="43">
        <v>36.090907999999999</v>
      </c>
      <c r="AG472" s="25">
        <f t="shared" si="25"/>
        <v>26.02373316844486</v>
      </c>
      <c r="AH472" s="43">
        <v>23.0351219</v>
      </c>
      <c r="AI472" s="43"/>
      <c r="AJ472" s="43"/>
    </row>
    <row r="473" spans="27:36" ht="13.5" x14ac:dyDescent="0.25">
      <c r="AA473" s="26"/>
      <c r="AB473" s="26">
        <v>38037</v>
      </c>
      <c r="AC473" s="43"/>
      <c r="AD473" s="25"/>
      <c r="AE473" s="43"/>
      <c r="AF473" s="43">
        <v>35.836359999999999</v>
      </c>
      <c r="AG473" s="25">
        <f t="shared" si="25"/>
        <v>26.02373316844486</v>
      </c>
      <c r="AH473" s="43">
        <v>22.830855999999997</v>
      </c>
      <c r="AI473" s="43"/>
      <c r="AJ473" s="43"/>
    </row>
    <row r="474" spans="27:36" ht="13.5" x14ac:dyDescent="0.25">
      <c r="AA474" s="26"/>
      <c r="AB474" s="26">
        <v>38044</v>
      </c>
      <c r="AC474" s="43"/>
      <c r="AD474" s="25"/>
      <c r="AE474" s="43"/>
      <c r="AF474" s="43">
        <v>35.41818</v>
      </c>
      <c r="AG474" s="25">
        <f t="shared" si="25"/>
        <v>26.02373316844486</v>
      </c>
      <c r="AH474" s="43">
        <v>21.137335599999997</v>
      </c>
      <c r="AI474" s="43"/>
      <c r="AJ474" s="43"/>
    </row>
    <row r="475" spans="27:36" ht="13.5" x14ac:dyDescent="0.25">
      <c r="AA475" s="26"/>
      <c r="AB475" s="26">
        <v>38051</v>
      </c>
      <c r="AC475" s="43"/>
      <c r="AD475" s="25"/>
      <c r="AE475" s="43"/>
      <c r="AF475" s="43">
        <v>38.745452999999998</v>
      </c>
      <c r="AG475" s="25">
        <f t="shared" si="25"/>
        <v>26.02373316844486</v>
      </c>
      <c r="AH475" s="43">
        <v>21.797838899999999</v>
      </c>
      <c r="AI475" s="43"/>
      <c r="AJ475" s="43"/>
    </row>
    <row r="476" spans="27:36" ht="13.5" x14ac:dyDescent="0.25">
      <c r="AA476" s="26"/>
      <c r="AB476" s="26">
        <v>38058</v>
      </c>
      <c r="AC476" s="43"/>
      <c r="AD476" s="25"/>
      <c r="AE476" s="43"/>
      <c r="AF476" s="43">
        <v>37.345455000000001</v>
      </c>
      <c r="AG476" s="25">
        <f t="shared" si="25"/>
        <v>26.02373316844486</v>
      </c>
      <c r="AH476" s="43">
        <v>21.480614749999997</v>
      </c>
      <c r="AI476" s="43"/>
      <c r="AJ476" s="43"/>
    </row>
    <row r="477" spans="27:36" ht="13.5" x14ac:dyDescent="0.25">
      <c r="AA477" s="26"/>
      <c r="AB477" s="26">
        <v>38065</v>
      </c>
      <c r="AC477" s="43"/>
      <c r="AD477" s="25"/>
      <c r="AE477" s="43"/>
      <c r="AF477" s="43">
        <v>37.836359999999999</v>
      </c>
      <c r="AG477" s="25">
        <f t="shared" si="25"/>
        <v>26.02373316844486</v>
      </c>
      <c r="AH477" s="43">
        <v>21.376267500000001</v>
      </c>
      <c r="AI477" s="43"/>
      <c r="AJ477" s="43"/>
    </row>
    <row r="478" spans="27:36" ht="13.5" x14ac:dyDescent="0.25">
      <c r="AA478" s="26"/>
      <c r="AB478" s="26">
        <v>38072</v>
      </c>
      <c r="AC478" s="43"/>
      <c r="AD478" s="25"/>
      <c r="AE478" s="43"/>
      <c r="AF478" s="43">
        <v>36.018180000000001</v>
      </c>
      <c r="AG478" s="25">
        <f t="shared" si="25"/>
        <v>26.02373316844486</v>
      </c>
      <c r="AH478" s="43">
        <v>21.120198700000003</v>
      </c>
      <c r="AI478" s="43"/>
      <c r="AJ478" s="43"/>
    </row>
    <row r="479" spans="27:36" ht="13.5" x14ac:dyDescent="0.25">
      <c r="AA479" s="26"/>
      <c r="AB479" s="26">
        <v>38079</v>
      </c>
      <c r="AC479" s="43"/>
      <c r="AD479" s="25"/>
      <c r="AE479" s="43"/>
      <c r="AF479" s="43">
        <v>42.581817999999998</v>
      </c>
      <c r="AG479" s="25">
        <f t="shared" si="25"/>
        <v>26.02373316844486</v>
      </c>
      <c r="AH479" s="43">
        <v>22.394293099999995</v>
      </c>
      <c r="AI479" s="43"/>
      <c r="AJ479" s="43"/>
    </row>
    <row r="480" spans="27:36" ht="13.5" x14ac:dyDescent="0.25">
      <c r="AA480" s="26"/>
      <c r="AB480" s="26">
        <v>38086</v>
      </c>
      <c r="AC480" s="43"/>
      <c r="AD480" s="25"/>
      <c r="AE480" s="43"/>
      <c r="AF480" s="43">
        <v>43.181815999999998</v>
      </c>
      <c r="AG480" s="25">
        <f t="shared" si="25"/>
        <v>26.02373316844486</v>
      </c>
      <c r="AH480" s="43">
        <v>22.573619599999997</v>
      </c>
      <c r="AI480" s="43"/>
      <c r="AJ480" s="43"/>
    </row>
    <row r="481" spans="27:36" ht="13.5" x14ac:dyDescent="0.25">
      <c r="AA481" s="26"/>
      <c r="AB481" s="26">
        <v>38093</v>
      </c>
      <c r="AC481" s="43"/>
      <c r="AD481" s="25"/>
      <c r="AE481" s="43"/>
      <c r="AF481" s="43">
        <v>43.090907999999999</v>
      </c>
      <c r="AG481" s="25">
        <f t="shared" si="25"/>
        <v>26.02373316844486</v>
      </c>
      <c r="AH481" s="43">
        <v>22.2630187</v>
      </c>
      <c r="AI481" s="43"/>
      <c r="AJ481" s="43"/>
    </row>
    <row r="482" spans="27:36" ht="13.5" x14ac:dyDescent="0.25">
      <c r="AA482" s="26"/>
      <c r="AB482" s="26">
        <v>38100</v>
      </c>
      <c r="AC482" s="43"/>
      <c r="AD482" s="25"/>
      <c r="AE482" s="43"/>
      <c r="AF482" s="43">
        <v>43.945453999999998</v>
      </c>
      <c r="AG482" s="25">
        <f t="shared" si="25"/>
        <v>26.02373316844486</v>
      </c>
      <c r="AH482" s="43">
        <v>23.082027899999996</v>
      </c>
      <c r="AI482" s="43"/>
      <c r="AJ482" s="43"/>
    </row>
    <row r="483" spans="27:36" ht="13.5" x14ac:dyDescent="0.25">
      <c r="AA483" s="26"/>
      <c r="AB483" s="26">
        <v>38107</v>
      </c>
      <c r="AC483" s="43"/>
      <c r="AD483" s="25"/>
      <c r="AE483" s="43"/>
      <c r="AF483" s="43">
        <v>41.071429999999999</v>
      </c>
      <c r="AG483" s="25">
        <f t="shared" si="25"/>
        <v>26.02373316844486</v>
      </c>
      <c r="AH483" s="43">
        <v>21.903105500000002</v>
      </c>
      <c r="AI483" s="43"/>
      <c r="AJ483" s="43"/>
    </row>
    <row r="484" spans="27:36" ht="13.5" x14ac:dyDescent="0.25">
      <c r="AA484" s="26"/>
      <c r="AB484" s="26">
        <v>38114</v>
      </c>
      <c r="AC484" s="43"/>
      <c r="AD484" s="25"/>
      <c r="AE484" s="43"/>
      <c r="AF484" s="43">
        <v>40.178570000000001</v>
      </c>
      <c r="AG484" s="25">
        <f t="shared" si="25"/>
        <v>26.02373316844486</v>
      </c>
      <c r="AH484" s="43">
        <v>21.715472900000002</v>
      </c>
      <c r="AI484" s="43"/>
      <c r="AJ484" s="43"/>
    </row>
    <row r="485" spans="27:36" ht="13.5" x14ac:dyDescent="0.25">
      <c r="AA485" s="26"/>
      <c r="AB485" s="26">
        <v>38121</v>
      </c>
      <c r="AC485" s="43"/>
      <c r="AD485" s="25"/>
      <c r="AE485" s="43"/>
      <c r="AF485" s="43">
        <v>40.107140000000001</v>
      </c>
      <c r="AG485" s="25">
        <f t="shared" si="25"/>
        <v>26.02373316844486</v>
      </c>
      <c r="AH485" s="43">
        <v>21.698671399999998</v>
      </c>
      <c r="AI485" s="43"/>
      <c r="AJ485" s="43"/>
    </row>
    <row r="486" spans="27:36" ht="13.5" x14ac:dyDescent="0.25">
      <c r="AA486" s="26"/>
      <c r="AB486" s="26">
        <v>38128</v>
      </c>
      <c r="AC486" s="43"/>
      <c r="AD486" s="25"/>
      <c r="AE486" s="43"/>
      <c r="AF486" s="43">
        <v>41.375</v>
      </c>
      <c r="AG486" s="25">
        <f t="shared" ref="AG486:AG549" si="26">$Z$69</f>
        <v>26.02373316844486</v>
      </c>
      <c r="AH486" s="43">
        <v>21.779643599999996</v>
      </c>
      <c r="AI486" s="43"/>
      <c r="AJ486" s="43"/>
    </row>
    <row r="487" spans="27:36" ht="13.5" x14ac:dyDescent="0.25">
      <c r="AA487" s="26"/>
      <c r="AB487" s="26">
        <v>38135</v>
      </c>
      <c r="AC487" s="43"/>
      <c r="AD487" s="25"/>
      <c r="AE487" s="43"/>
      <c r="AF487" s="43">
        <v>30.506329000000001</v>
      </c>
      <c r="AG487" s="25">
        <f t="shared" si="26"/>
        <v>26.02373316844486</v>
      </c>
      <c r="AH487" s="43">
        <v>20.749674199999998</v>
      </c>
      <c r="AI487" s="43"/>
      <c r="AJ487" s="43"/>
    </row>
    <row r="488" spans="27:36" ht="13.5" x14ac:dyDescent="0.25">
      <c r="AA488" s="26"/>
      <c r="AB488" s="26">
        <v>38142</v>
      </c>
      <c r="AC488" s="43"/>
      <c r="AD488" s="25"/>
      <c r="AE488" s="43"/>
      <c r="AF488" s="43">
        <v>29.860759999999999</v>
      </c>
      <c r="AG488" s="25">
        <f t="shared" si="26"/>
        <v>26.02373316844486</v>
      </c>
      <c r="AH488" s="43">
        <v>20.806958999999999</v>
      </c>
      <c r="AI488" s="43"/>
      <c r="AJ488" s="43"/>
    </row>
    <row r="489" spans="27:36" ht="13.5" x14ac:dyDescent="0.25">
      <c r="AA489" s="26"/>
      <c r="AB489" s="26">
        <v>38149</v>
      </c>
      <c r="AC489" s="43"/>
      <c r="AD489" s="25"/>
      <c r="AE489" s="43"/>
      <c r="AF489" s="43">
        <v>31.278479000000001</v>
      </c>
      <c r="AG489" s="25">
        <f t="shared" si="26"/>
        <v>26.02373316844486</v>
      </c>
      <c r="AH489" s="43">
        <v>21.0749189</v>
      </c>
      <c r="AI489" s="43"/>
      <c r="AJ489" s="43"/>
    </row>
    <row r="490" spans="27:36" ht="13.5" x14ac:dyDescent="0.25">
      <c r="AA490" s="26"/>
      <c r="AB490" s="26">
        <v>38156</v>
      </c>
      <c r="AC490" s="43"/>
      <c r="AD490" s="25"/>
      <c r="AE490" s="43"/>
      <c r="AF490" s="43">
        <v>31.594933999999999</v>
      </c>
      <c r="AG490" s="25">
        <f t="shared" si="26"/>
        <v>26.02373316844486</v>
      </c>
      <c r="AH490" s="43">
        <v>21.187908100000001</v>
      </c>
      <c r="AI490" s="43"/>
      <c r="AJ490" s="43"/>
    </row>
    <row r="491" spans="27:36" ht="13.5" x14ac:dyDescent="0.25">
      <c r="AA491" s="26"/>
      <c r="AB491" s="26">
        <v>38163</v>
      </c>
      <c r="AC491" s="43"/>
      <c r="AD491" s="25"/>
      <c r="AE491" s="43"/>
      <c r="AF491" s="43">
        <v>31.025316</v>
      </c>
      <c r="AG491" s="25">
        <f t="shared" si="26"/>
        <v>26.02373316844486</v>
      </c>
      <c r="AH491" s="43">
        <v>21.418780200000004</v>
      </c>
      <c r="AI491" s="43"/>
      <c r="AJ491" s="43"/>
    </row>
    <row r="492" spans="27:36" ht="13.5" x14ac:dyDescent="0.25">
      <c r="AA492" s="26"/>
      <c r="AB492" s="26">
        <v>38170</v>
      </c>
      <c r="AC492" s="43"/>
      <c r="AD492" s="25"/>
      <c r="AE492" s="43"/>
      <c r="AF492" s="43">
        <v>30.443037</v>
      </c>
      <c r="AG492" s="25">
        <f t="shared" si="26"/>
        <v>26.02373316844486</v>
      </c>
      <c r="AH492" s="43">
        <v>21.117542900000004</v>
      </c>
      <c r="AI492" s="43"/>
      <c r="AJ492" s="43"/>
    </row>
    <row r="493" spans="27:36" ht="13.5" x14ac:dyDescent="0.25">
      <c r="AA493" s="26"/>
      <c r="AB493" s="26">
        <v>38177</v>
      </c>
      <c r="AC493" s="43"/>
      <c r="AD493" s="25"/>
      <c r="AE493" s="43"/>
      <c r="AF493" s="43">
        <v>29.063289999999999</v>
      </c>
      <c r="AG493" s="25">
        <f t="shared" si="26"/>
        <v>26.02373316844486</v>
      </c>
      <c r="AH493" s="43">
        <v>20.505016599999998</v>
      </c>
      <c r="AI493" s="43"/>
      <c r="AJ493" s="43"/>
    </row>
    <row r="494" spans="27:36" ht="13.5" x14ac:dyDescent="0.25">
      <c r="AA494" s="26"/>
      <c r="AB494" s="26">
        <v>38184</v>
      </c>
      <c r="AC494" s="43"/>
      <c r="AD494" s="25"/>
      <c r="AE494" s="43"/>
      <c r="AF494" s="43">
        <v>28.265820999999999</v>
      </c>
      <c r="AG494" s="25">
        <f t="shared" si="26"/>
        <v>26.02373316844486</v>
      </c>
      <c r="AH494" s="43">
        <v>19.8251019</v>
      </c>
      <c r="AI494" s="43"/>
      <c r="AJ494" s="43"/>
    </row>
    <row r="495" spans="27:36" ht="13.5" x14ac:dyDescent="0.25">
      <c r="AA495" s="26"/>
      <c r="AB495" s="26">
        <v>38191</v>
      </c>
      <c r="AC495" s="43"/>
      <c r="AD495" s="25"/>
      <c r="AE495" s="43"/>
      <c r="AF495" s="43">
        <v>27.797466</v>
      </c>
      <c r="AG495" s="25">
        <f t="shared" si="26"/>
        <v>26.02373316844486</v>
      </c>
      <c r="AH495" s="43">
        <v>19.565535399999998</v>
      </c>
      <c r="AI495" s="43"/>
      <c r="AJ495" s="43"/>
    </row>
    <row r="496" spans="27:36" ht="13.5" x14ac:dyDescent="0.25">
      <c r="AA496" s="26"/>
      <c r="AB496" s="26">
        <v>38198</v>
      </c>
      <c r="AC496" s="43"/>
      <c r="AD496" s="25"/>
      <c r="AE496" s="43"/>
      <c r="AF496" s="43">
        <v>27.848099999999999</v>
      </c>
      <c r="AG496" s="25">
        <f t="shared" si="26"/>
        <v>26.02373316844486</v>
      </c>
      <c r="AH496" s="43">
        <v>20.185002000000001</v>
      </c>
      <c r="AI496" s="43"/>
      <c r="AJ496" s="43"/>
    </row>
    <row r="497" spans="27:36" ht="13.5" x14ac:dyDescent="0.25">
      <c r="AA497" s="26"/>
      <c r="AB497" s="26">
        <v>38205</v>
      </c>
      <c r="AC497" s="43"/>
      <c r="AD497" s="25"/>
      <c r="AE497" s="43"/>
      <c r="AF497" s="43">
        <v>27.683544000000001</v>
      </c>
      <c r="AG497" s="25">
        <f t="shared" si="26"/>
        <v>26.02373316844486</v>
      </c>
      <c r="AH497" s="43">
        <v>19.310458700000002</v>
      </c>
      <c r="AI497" s="43"/>
      <c r="AJ497" s="43"/>
    </row>
    <row r="498" spans="27:36" ht="13.5" x14ac:dyDescent="0.25">
      <c r="AA498" s="26"/>
      <c r="AB498" s="26">
        <v>38212</v>
      </c>
      <c r="AC498" s="43"/>
      <c r="AD498" s="25"/>
      <c r="AE498" s="43"/>
      <c r="AF498" s="43">
        <v>27.075949000000001</v>
      </c>
      <c r="AG498" s="25">
        <f t="shared" si="26"/>
        <v>26.02373316844486</v>
      </c>
      <c r="AH498" s="43">
        <v>19.2231378</v>
      </c>
      <c r="AI498" s="43"/>
      <c r="AJ498" s="43"/>
    </row>
    <row r="499" spans="27:36" ht="13.5" x14ac:dyDescent="0.25">
      <c r="AA499" s="26"/>
      <c r="AB499" s="26">
        <v>38219</v>
      </c>
      <c r="AC499" s="43"/>
      <c r="AD499" s="25"/>
      <c r="AE499" s="43"/>
      <c r="AF499" s="43">
        <v>28.088608000000001</v>
      </c>
      <c r="AG499" s="25">
        <f t="shared" si="26"/>
        <v>26.02373316844486</v>
      </c>
      <c r="AH499" s="43">
        <v>20.022440100000001</v>
      </c>
      <c r="AI499" s="43"/>
      <c r="AJ499" s="43"/>
    </row>
    <row r="500" spans="27:36" ht="13.5" x14ac:dyDescent="0.25">
      <c r="AA500" s="26"/>
      <c r="AB500" s="26">
        <v>38226</v>
      </c>
      <c r="AC500" s="43"/>
      <c r="AD500" s="25"/>
      <c r="AE500" s="43"/>
      <c r="AF500" s="43">
        <v>28.151897000000002</v>
      </c>
      <c r="AG500" s="25">
        <f t="shared" si="26"/>
        <v>26.02373316844486</v>
      </c>
      <c r="AH500" s="43">
        <v>19.973860949999995</v>
      </c>
      <c r="AI500" s="43"/>
      <c r="AJ500" s="43"/>
    </row>
    <row r="501" spans="27:36" ht="13.5" x14ac:dyDescent="0.25">
      <c r="AA501" s="26"/>
      <c r="AB501" s="26">
        <v>38233</v>
      </c>
      <c r="AC501" s="43"/>
      <c r="AD501" s="25"/>
      <c r="AE501" s="43"/>
      <c r="AF501" s="43">
        <v>28</v>
      </c>
      <c r="AG501" s="25">
        <f t="shared" si="26"/>
        <v>26.02373316844486</v>
      </c>
      <c r="AH501" s="43">
        <v>20.641415099999996</v>
      </c>
      <c r="AI501" s="43"/>
      <c r="AJ501" s="43"/>
    </row>
    <row r="502" spans="27:36" ht="13.5" x14ac:dyDescent="0.25">
      <c r="AA502" s="26"/>
      <c r="AB502" s="26">
        <v>38240</v>
      </c>
      <c r="AC502" s="43"/>
      <c r="AD502" s="25"/>
      <c r="AE502" s="43"/>
      <c r="AF502" s="43">
        <v>27.860759999999999</v>
      </c>
      <c r="AG502" s="25">
        <f t="shared" si="26"/>
        <v>26.02373316844486</v>
      </c>
      <c r="AH502" s="43">
        <v>20.8187</v>
      </c>
      <c r="AI502" s="43"/>
      <c r="AJ502" s="43"/>
    </row>
    <row r="503" spans="27:36" ht="13.5" x14ac:dyDescent="0.25">
      <c r="AA503" s="26"/>
      <c r="AB503" s="26">
        <v>38247</v>
      </c>
      <c r="AC503" s="43"/>
      <c r="AD503" s="25"/>
      <c r="AE503" s="43"/>
      <c r="AF503" s="43">
        <v>28.455694000000001</v>
      </c>
      <c r="AG503" s="25">
        <f t="shared" si="26"/>
        <v>26.02373316844486</v>
      </c>
      <c r="AH503" s="43">
        <v>20.926542300000001</v>
      </c>
      <c r="AI503" s="43"/>
      <c r="AJ503" s="43"/>
    </row>
    <row r="504" spans="27:36" ht="13.5" x14ac:dyDescent="0.25">
      <c r="AA504" s="26"/>
      <c r="AB504" s="26">
        <v>38254</v>
      </c>
      <c r="AC504" s="43"/>
      <c r="AD504" s="25"/>
      <c r="AE504" s="43"/>
      <c r="AF504" s="43">
        <v>28.974682000000001</v>
      </c>
      <c r="AG504" s="25">
        <f t="shared" si="26"/>
        <v>26.02373316844486</v>
      </c>
      <c r="AH504" s="43">
        <v>21.040500400000003</v>
      </c>
      <c r="AI504" s="43"/>
      <c r="AJ504" s="43"/>
    </row>
    <row r="505" spans="27:36" ht="13.5" x14ac:dyDescent="0.25">
      <c r="AA505" s="26"/>
      <c r="AB505" s="26">
        <v>38261</v>
      </c>
      <c r="AC505" s="43"/>
      <c r="AD505" s="25"/>
      <c r="AE505" s="43"/>
      <c r="AF505" s="43">
        <v>30.316455999999999</v>
      </c>
      <c r="AG505" s="25">
        <f t="shared" si="26"/>
        <v>26.02373316844486</v>
      </c>
      <c r="AH505" s="43">
        <v>21.726941699999998</v>
      </c>
      <c r="AI505" s="43"/>
      <c r="AJ505" s="43"/>
    </row>
    <row r="506" spans="27:36" ht="13.5" x14ac:dyDescent="0.25">
      <c r="AA506" s="26"/>
      <c r="AB506" s="26">
        <v>38268</v>
      </c>
      <c r="AC506" s="43"/>
      <c r="AD506" s="25"/>
      <c r="AE506" s="43"/>
      <c r="AF506" s="43">
        <v>30.569617999999998</v>
      </c>
      <c r="AG506" s="25">
        <f t="shared" si="26"/>
        <v>26.02373316844486</v>
      </c>
      <c r="AH506" s="43">
        <v>21.512836199999999</v>
      </c>
      <c r="AI506" s="43"/>
      <c r="AJ506" s="43"/>
    </row>
    <row r="507" spans="27:36" ht="13.5" x14ac:dyDescent="0.25">
      <c r="AA507" s="26"/>
      <c r="AB507" s="26">
        <v>38275</v>
      </c>
      <c r="AC507" s="43"/>
      <c r="AD507" s="25"/>
      <c r="AE507" s="43"/>
      <c r="AF507" s="43">
        <v>28.999998000000001</v>
      </c>
      <c r="AG507" s="25">
        <f t="shared" si="26"/>
        <v>26.02373316844486</v>
      </c>
      <c r="AH507" s="43">
        <v>21.6312073</v>
      </c>
      <c r="AI507" s="43"/>
      <c r="AJ507" s="43"/>
    </row>
    <row r="508" spans="27:36" ht="13.5" x14ac:dyDescent="0.25">
      <c r="AA508" s="26"/>
      <c r="AB508" s="26">
        <v>38282</v>
      </c>
      <c r="AC508" s="43"/>
      <c r="AD508" s="25"/>
      <c r="AE508" s="43"/>
      <c r="AF508" s="43">
        <v>30</v>
      </c>
      <c r="AG508" s="25">
        <f t="shared" si="26"/>
        <v>26.02373316844486</v>
      </c>
      <c r="AH508" s="43">
        <v>21.438081199999999</v>
      </c>
      <c r="AI508" s="43"/>
      <c r="AJ508" s="43"/>
    </row>
    <row r="509" spans="27:36" ht="13.5" x14ac:dyDescent="0.25">
      <c r="AA509" s="26"/>
      <c r="AB509" s="26">
        <v>38289</v>
      </c>
      <c r="AC509" s="43"/>
      <c r="AD509" s="25"/>
      <c r="AE509" s="43"/>
      <c r="AF509" s="43">
        <v>31.645568999999998</v>
      </c>
      <c r="AG509" s="25">
        <f t="shared" si="26"/>
        <v>26.02373316844486</v>
      </c>
      <c r="AH509" s="43">
        <v>22.2139913</v>
      </c>
      <c r="AI509" s="43"/>
      <c r="AJ509" s="43"/>
    </row>
    <row r="510" spans="27:36" ht="13.5" x14ac:dyDescent="0.25">
      <c r="AA510" s="26"/>
      <c r="AB510" s="26">
        <v>38296</v>
      </c>
      <c r="AC510" s="43"/>
      <c r="AD510" s="25"/>
      <c r="AE510" s="43"/>
      <c r="AF510" s="43">
        <v>33.329113</v>
      </c>
      <c r="AG510" s="25">
        <f t="shared" si="26"/>
        <v>26.02373316844486</v>
      </c>
      <c r="AH510" s="43">
        <v>22.878619999999998</v>
      </c>
      <c r="AI510" s="43"/>
      <c r="AJ510" s="43"/>
    </row>
    <row r="511" spans="27:36" ht="13.5" x14ac:dyDescent="0.25">
      <c r="AA511" s="26"/>
      <c r="AB511" s="26">
        <v>38303</v>
      </c>
      <c r="AC511" s="43"/>
      <c r="AD511" s="25"/>
      <c r="AE511" s="43"/>
      <c r="AF511" s="43">
        <v>33.367089999999997</v>
      </c>
      <c r="AG511" s="25">
        <f t="shared" si="26"/>
        <v>26.02373316844486</v>
      </c>
      <c r="AH511" s="43">
        <v>23.0484455</v>
      </c>
      <c r="AI511" s="43"/>
      <c r="AJ511" s="43"/>
    </row>
    <row r="512" spans="27:36" ht="13.5" x14ac:dyDescent="0.25">
      <c r="AA512" s="26"/>
      <c r="AB512" s="26">
        <v>38310</v>
      </c>
      <c r="AC512" s="43"/>
      <c r="AD512" s="25"/>
      <c r="AE512" s="43"/>
      <c r="AF512" s="43">
        <v>32.873417000000003</v>
      </c>
      <c r="AG512" s="25">
        <f t="shared" si="26"/>
        <v>26.02373316844486</v>
      </c>
      <c r="AH512" s="43">
        <v>22.8383857</v>
      </c>
      <c r="AI512" s="43"/>
      <c r="AJ512" s="43"/>
    </row>
    <row r="513" spans="27:36" ht="13.5" x14ac:dyDescent="0.25">
      <c r="AA513" s="26"/>
      <c r="AB513" s="26">
        <v>38317</v>
      </c>
      <c r="AC513" s="43"/>
      <c r="AD513" s="25"/>
      <c r="AE513" s="43"/>
      <c r="AF513" s="43">
        <v>32.822783999999999</v>
      </c>
      <c r="AG513" s="25">
        <f t="shared" si="26"/>
        <v>26.02373316844486</v>
      </c>
      <c r="AH513" s="43">
        <v>23.3250268</v>
      </c>
      <c r="AI513" s="43"/>
      <c r="AJ513" s="43"/>
    </row>
    <row r="514" spans="27:36" ht="13.5" x14ac:dyDescent="0.25">
      <c r="AA514" s="26"/>
      <c r="AB514" s="26">
        <v>38324</v>
      </c>
      <c r="AC514" s="43"/>
      <c r="AD514" s="25"/>
      <c r="AE514" s="43"/>
      <c r="AF514" s="43">
        <v>32.543210000000002</v>
      </c>
      <c r="AG514" s="25">
        <f t="shared" si="26"/>
        <v>26.02373316844486</v>
      </c>
      <c r="AH514" s="43">
        <v>22.998859299999999</v>
      </c>
      <c r="AI514" s="43"/>
      <c r="AJ514" s="43"/>
    </row>
    <row r="515" spans="27:36" ht="13.5" x14ac:dyDescent="0.25">
      <c r="AA515" s="26"/>
      <c r="AB515" s="26">
        <v>38331</v>
      </c>
      <c r="AC515" s="43"/>
      <c r="AD515" s="25"/>
      <c r="AE515" s="43"/>
      <c r="AF515" s="43">
        <v>32.901234000000002</v>
      </c>
      <c r="AG515" s="25">
        <f t="shared" si="26"/>
        <v>26.02373316844486</v>
      </c>
      <c r="AH515" s="43">
        <v>23.027533699999999</v>
      </c>
      <c r="AI515" s="43"/>
      <c r="AJ515" s="43"/>
    </row>
    <row r="516" spans="27:36" ht="13.5" x14ac:dyDescent="0.25">
      <c r="AA516" s="26"/>
      <c r="AB516" s="26">
        <v>38338</v>
      </c>
      <c r="AC516" s="43"/>
      <c r="AD516" s="25"/>
      <c r="AE516" s="43"/>
      <c r="AF516" s="43">
        <v>32.716050000000003</v>
      </c>
      <c r="AG516" s="25">
        <f t="shared" si="26"/>
        <v>26.02373316844486</v>
      </c>
      <c r="AH516" s="43">
        <v>23.176471599999999</v>
      </c>
      <c r="AI516" s="43"/>
      <c r="AJ516" s="43"/>
    </row>
    <row r="517" spans="27:36" ht="13.5" x14ac:dyDescent="0.25">
      <c r="AA517" s="26"/>
      <c r="AB517" s="26">
        <v>38345</v>
      </c>
      <c r="AC517" s="43"/>
      <c r="AD517" s="25"/>
      <c r="AE517" s="43"/>
      <c r="AF517" s="43">
        <v>32.543210000000002</v>
      </c>
      <c r="AG517" s="25">
        <f t="shared" si="26"/>
        <v>26.02373316844486</v>
      </c>
      <c r="AH517" s="43">
        <v>23.435050699999998</v>
      </c>
      <c r="AI517" s="43"/>
      <c r="AJ517" s="43"/>
    </row>
    <row r="518" spans="27:36" ht="13.5" x14ac:dyDescent="0.25">
      <c r="AA518" s="26"/>
      <c r="AB518" s="26">
        <v>38352</v>
      </c>
      <c r="AC518" s="43"/>
      <c r="AD518" s="25"/>
      <c r="AE518" s="43"/>
      <c r="AF518" s="43">
        <v>32.469135000000001</v>
      </c>
      <c r="AG518" s="25">
        <f t="shared" si="26"/>
        <v>26.02373316844486</v>
      </c>
      <c r="AH518" s="43">
        <v>23.496127399999999</v>
      </c>
      <c r="AI518" s="43"/>
      <c r="AJ518" s="43"/>
    </row>
    <row r="519" spans="27:36" ht="13.5" x14ac:dyDescent="0.25">
      <c r="AA519" s="26"/>
      <c r="AB519" s="26">
        <v>38359</v>
      </c>
      <c r="AC519" s="43"/>
      <c r="AD519" s="25"/>
      <c r="AE519" s="43"/>
      <c r="AF519" s="43">
        <v>28.555554999999998</v>
      </c>
      <c r="AG519" s="25">
        <f t="shared" si="26"/>
        <v>26.02373316844486</v>
      </c>
      <c r="AH519" s="43">
        <v>22.1363144</v>
      </c>
      <c r="AI519" s="43"/>
      <c r="AJ519" s="43"/>
    </row>
    <row r="520" spans="27:36" ht="13.5" x14ac:dyDescent="0.25">
      <c r="AA520" s="26"/>
      <c r="AB520" s="26">
        <v>38366</v>
      </c>
      <c r="AC520" s="43"/>
      <c r="AD520" s="25"/>
      <c r="AE520" s="43"/>
      <c r="AF520" s="43">
        <v>28.493828000000001</v>
      </c>
      <c r="AG520" s="25">
        <f t="shared" si="26"/>
        <v>26.02373316844486</v>
      </c>
      <c r="AH520" s="43">
        <v>22.190498300000002</v>
      </c>
      <c r="AI520" s="43"/>
      <c r="AJ520" s="43"/>
    </row>
    <row r="521" spans="27:36" ht="13.5" x14ac:dyDescent="0.25">
      <c r="AA521" s="26"/>
      <c r="AB521" s="26">
        <v>38373</v>
      </c>
      <c r="AC521" s="43"/>
      <c r="AD521" s="25"/>
      <c r="AE521" s="43"/>
      <c r="AF521" s="43">
        <v>27.308643</v>
      </c>
      <c r="AG521" s="25">
        <f t="shared" si="26"/>
        <v>26.02373316844486</v>
      </c>
      <c r="AH521" s="43">
        <v>22.007145999999999</v>
      </c>
      <c r="AI521" s="43"/>
      <c r="AJ521" s="43"/>
    </row>
    <row r="522" spans="27:36" ht="13.5" x14ac:dyDescent="0.25">
      <c r="AA522" s="26"/>
      <c r="AB522" s="26">
        <v>38380</v>
      </c>
      <c r="AC522" s="43"/>
      <c r="AD522" s="25"/>
      <c r="AE522" s="43"/>
      <c r="AF522" s="43">
        <v>28</v>
      </c>
      <c r="AG522" s="25">
        <f t="shared" si="26"/>
        <v>26.02373316844486</v>
      </c>
      <c r="AH522" s="43">
        <v>21.756423399999996</v>
      </c>
      <c r="AI522" s="43"/>
      <c r="AJ522" s="43"/>
    </row>
    <row r="523" spans="27:36" ht="13.5" x14ac:dyDescent="0.25">
      <c r="AA523" s="26"/>
      <c r="AB523" s="26">
        <v>38387</v>
      </c>
      <c r="AC523" s="43"/>
      <c r="AD523" s="25"/>
      <c r="AE523" s="43"/>
      <c r="AF523" s="43">
        <v>29.734176999999999</v>
      </c>
      <c r="AG523" s="25">
        <f t="shared" si="26"/>
        <v>26.02373316844486</v>
      </c>
      <c r="AH523" s="43">
        <v>21.837721699999999</v>
      </c>
      <c r="AI523" s="43"/>
      <c r="AJ523" s="43"/>
    </row>
    <row r="524" spans="27:36" ht="13.5" x14ac:dyDescent="0.25">
      <c r="AA524" s="26"/>
      <c r="AB524" s="26">
        <v>38394</v>
      </c>
      <c r="AC524" s="43"/>
      <c r="AD524" s="25"/>
      <c r="AE524" s="43"/>
      <c r="AF524" s="43">
        <v>28.481012</v>
      </c>
      <c r="AG524" s="25">
        <f t="shared" si="26"/>
        <v>26.02373316844486</v>
      </c>
      <c r="AH524" s="43">
        <v>21.555467199999999</v>
      </c>
      <c r="AI524" s="43"/>
      <c r="AJ524" s="43"/>
    </row>
    <row r="525" spans="27:36" ht="13.5" x14ac:dyDescent="0.25">
      <c r="AA525" s="26"/>
      <c r="AB525" s="26">
        <v>38401</v>
      </c>
      <c r="AC525" s="43"/>
      <c r="AD525" s="25"/>
      <c r="AE525" s="43"/>
      <c r="AF525" s="43">
        <v>28.354430000000001</v>
      </c>
      <c r="AG525" s="25">
        <f t="shared" si="26"/>
        <v>26.02373316844486</v>
      </c>
      <c r="AH525" s="43">
        <v>20.943165100000005</v>
      </c>
      <c r="AI525" s="43"/>
      <c r="AJ525" s="43"/>
    </row>
    <row r="526" spans="27:36" ht="13.5" x14ac:dyDescent="0.25">
      <c r="AA526" s="26"/>
      <c r="AB526" s="26">
        <v>38408</v>
      </c>
      <c r="AC526" s="43"/>
      <c r="AD526" s="25"/>
      <c r="AE526" s="43"/>
      <c r="AF526" s="43">
        <v>28.455694000000001</v>
      </c>
      <c r="AG526" s="25">
        <f t="shared" si="26"/>
        <v>26.02373316844486</v>
      </c>
      <c r="AH526" s="43">
        <v>20.9513626</v>
      </c>
      <c r="AI526" s="43"/>
      <c r="AJ526" s="43"/>
    </row>
    <row r="527" spans="27:36" ht="13.5" x14ac:dyDescent="0.25">
      <c r="AA527" s="26"/>
      <c r="AB527" s="26">
        <v>38415</v>
      </c>
      <c r="AC527" s="43"/>
      <c r="AD527" s="25"/>
      <c r="AE527" s="43"/>
      <c r="AF527" s="43">
        <v>28.164556999999999</v>
      </c>
      <c r="AG527" s="25">
        <f t="shared" si="26"/>
        <v>26.02373316844486</v>
      </c>
      <c r="AH527" s="43">
        <v>19.373106399999998</v>
      </c>
      <c r="AI527" s="43"/>
      <c r="AJ527" s="43"/>
    </row>
    <row r="528" spans="27:36" ht="13.5" x14ac:dyDescent="0.25">
      <c r="AA528" s="26"/>
      <c r="AB528" s="26">
        <v>38422</v>
      </c>
      <c r="AC528" s="43"/>
      <c r="AD528" s="25"/>
      <c r="AE528" s="43"/>
      <c r="AF528" s="43">
        <v>27.898734999999999</v>
      </c>
      <c r="AG528" s="25">
        <f t="shared" si="26"/>
        <v>26.02373316844486</v>
      </c>
      <c r="AH528" s="43">
        <v>19.344797500000002</v>
      </c>
      <c r="AI528" s="43"/>
      <c r="AJ528" s="43"/>
    </row>
    <row r="529" spans="27:36" ht="13.5" x14ac:dyDescent="0.25">
      <c r="AA529" s="26"/>
      <c r="AB529" s="26">
        <v>38429</v>
      </c>
      <c r="AC529" s="43"/>
      <c r="AD529" s="25"/>
      <c r="AE529" s="43"/>
      <c r="AF529" s="43">
        <v>26.886074000000001</v>
      </c>
      <c r="AG529" s="25">
        <f t="shared" si="26"/>
        <v>26.02373316844486</v>
      </c>
      <c r="AH529" s="43">
        <v>19.115712000000002</v>
      </c>
      <c r="AI529" s="43"/>
      <c r="AJ529" s="43"/>
    </row>
    <row r="530" spans="27:36" ht="13.5" x14ac:dyDescent="0.25">
      <c r="AA530" s="26"/>
      <c r="AB530" s="26">
        <v>38436</v>
      </c>
      <c r="AC530" s="43"/>
      <c r="AD530" s="25"/>
      <c r="AE530" s="43"/>
      <c r="AF530" s="43">
        <v>27.050632</v>
      </c>
      <c r="AG530" s="25">
        <f t="shared" si="26"/>
        <v>26.02373316844486</v>
      </c>
      <c r="AH530" s="43">
        <v>19.292692899999999</v>
      </c>
      <c r="AI530" s="43"/>
      <c r="AJ530" s="43"/>
    </row>
    <row r="531" spans="27:36" ht="13.5" x14ac:dyDescent="0.25">
      <c r="AA531" s="26"/>
      <c r="AB531" s="26">
        <v>38443</v>
      </c>
      <c r="AC531" s="43"/>
      <c r="AD531" s="25"/>
      <c r="AE531" s="43"/>
      <c r="AF531" s="43">
        <v>26.113921999999999</v>
      </c>
      <c r="AG531" s="25">
        <f t="shared" si="26"/>
        <v>26.02373316844486</v>
      </c>
      <c r="AH531" s="43">
        <v>19.230394699999998</v>
      </c>
      <c r="AI531" s="43"/>
      <c r="AJ531" s="43"/>
    </row>
    <row r="532" spans="27:36" ht="13.5" x14ac:dyDescent="0.25">
      <c r="AA532" s="26"/>
      <c r="AB532" s="26">
        <v>38450</v>
      </c>
      <c r="AC532" s="43"/>
      <c r="AD532" s="25"/>
      <c r="AE532" s="43"/>
      <c r="AF532" s="43">
        <v>24.98734</v>
      </c>
      <c r="AG532" s="25">
        <f t="shared" si="26"/>
        <v>26.02373316844486</v>
      </c>
      <c r="AH532" s="43">
        <v>19.062051799999999</v>
      </c>
      <c r="AI532" s="43"/>
      <c r="AJ532" s="43"/>
    </row>
    <row r="533" spans="27:36" ht="13.5" x14ac:dyDescent="0.25">
      <c r="AA533" s="26"/>
      <c r="AB533" s="26">
        <v>38457</v>
      </c>
      <c r="AC533" s="43"/>
      <c r="AD533" s="25"/>
      <c r="AE533" s="43"/>
      <c r="AF533" s="43">
        <v>24.430378000000001</v>
      </c>
      <c r="AG533" s="25">
        <f t="shared" si="26"/>
        <v>26.02373316844486</v>
      </c>
      <c r="AH533" s="43">
        <v>18.536625599999997</v>
      </c>
      <c r="AI533" s="43"/>
      <c r="AJ533" s="43"/>
    </row>
    <row r="534" spans="27:36" ht="13.5" x14ac:dyDescent="0.25">
      <c r="AA534" s="26"/>
      <c r="AB534" s="26">
        <v>38464</v>
      </c>
      <c r="AC534" s="43"/>
      <c r="AD534" s="25"/>
      <c r="AE534" s="43"/>
      <c r="AF534" s="43">
        <v>24.455694000000001</v>
      </c>
      <c r="AG534" s="25">
        <f t="shared" si="26"/>
        <v>26.02373316844486</v>
      </c>
      <c r="AH534" s="43">
        <v>19.220587599999998</v>
      </c>
      <c r="AI534" s="43"/>
      <c r="AJ534" s="43"/>
    </row>
    <row r="535" spans="27:36" ht="13.5" x14ac:dyDescent="0.25">
      <c r="AA535" s="26"/>
      <c r="AB535" s="26">
        <v>38471</v>
      </c>
      <c r="AC535" s="43"/>
      <c r="AD535" s="25"/>
      <c r="AE535" s="43"/>
      <c r="AF535" s="43">
        <v>24.358974</v>
      </c>
      <c r="AG535" s="25">
        <f t="shared" si="26"/>
        <v>26.02373316844486</v>
      </c>
      <c r="AH535" s="43">
        <v>20.317949222222225</v>
      </c>
      <c r="AI535" s="43"/>
      <c r="AJ535" s="43"/>
    </row>
    <row r="536" spans="27:36" ht="13.5" x14ac:dyDescent="0.25">
      <c r="AA536" s="26"/>
      <c r="AB536" s="26">
        <v>38478</v>
      </c>
      <c r="AC536" s="43"/>
      <c r="AD536" s="25"/>
      <c r="AE536" s="43"/>
      <c r="AF536" s="43">
        <v>24.987179999999999</v>
      </c>
      <c r="AG536" s="25">
        <f t="shared" si="26"/>
        <v>26.02373316844486</v>
      </c>
      <c r="AH536" s="43">
        <v>20.489630999999999</v>
      </c>
      <c r="AI536" s="43"/>
      <c r="AJ536" s="43"/>
    </row>
    <row r="537" spans="27:36" ht="13.5" x14ac:dyDescent="0.25">
      <c r="AA537" s="26"/>
      <c r="AB537" s="26">
        <v>38485</v>
      </c>
      <c r="AC537" s="43"/>
      <c r="AD537" s="25"/>
      <c r="AE537" s="43"/>
      <c r="AF537" s="43">
        <v>21.871796</v>
      </c>
      <c r="AG537" s="25">
        <f t="shared" si="26"/>
        <v>26.02373316844486</v>
      </c>
      <c r="AH537" s="43">
        <v>19.833143777777778</v>
      </c>
      <c r="AI537" s="43"/>
      <c r="AJ537" s="43"/>
    </row>
    <row r="538" spans="27:36" ht="13.5" x14ac:dyDescent="0.25">
      <c r="AA538" s="26"/>
      <c r="AB538" s="26">
        <v>38492</v>
      </c>
      <c r="AC538" s="43"/>
      <c r="AD538" s="25"/>
      <c r="AE538" s="43"/>
      <c r="AF538" s="43">
        <v>23.243590000000001</v>
      </c>
      <c r="AG538" s="25">
        <f t="shared" si="26"/>
        <v>26.02373316844486</v>
      </c>
      <c r="AH538" s="43">
        <v>20.432018888888891</v>
      </c>
      <c r="AI538" s="43"/>
      <c r="AJ538" s="43"/>
    </row>
    <row r="539" spans="27:36" ht="13.5" x14ac:dyDescent="0.25">
      <c r="AA539" s="26"/>
      <c r="AB539" s="26">
        <v>38499</v>
      </c>
      <c r="AC539" s="43"/>
      <c r="AD539" s="25"/>
      <c r="AE539" s="43"/>
      <c r="AF539" s="43">
        <v>24.102564000000001</v>
      </c>
      <c r="AG539" s="25">
        <f t="shared" si="26"/>
        <v>26.02373316844486</v>
      </c>
      <c r="AH539" s="43">
        <v>20.652013333333333</v>
      </c>
      <c r="AI539" s="43"/>
      <c r="AJ539" s="43"/>
    </row>
    <row r="540" spans="27:36" ht="13.5" x14ac:dyDescent="0.25">
      <c r="AA540" s="26"/>
      <c r="AB540" s="26">
        <v>38506</v>
      </c>
      <c r="AC540" s="43"/>
      <c r="AD540" s="25"/>
      <c r="AE540" s="43"/>
      <c r="AF540" s="43">
        <v>22.518518</v>
      </c>
      <c r="AG540" s="25">
        <f t="shared" si="26"/>
        <v>26.02373316844486</v>
      </c>
      <c r="AH540" s="43">
        <v>20.169308777777776</v>
      </c>
      <c r="AI540" s="43"/>
      <c r="AJ540" s="43"/>
    </row>
    <row r="541" spans="27:36" ht="13.5" x14ac:dyDescent="0.25">
      <c r="AA541" s="26"/>
      <c r="AB541" s="26">
        <v>38513</v>
      </c>
      <c r="AC541" s="43"/>
      <c r="AD541" s="25"/>
      <c r="AE541" s="43"/>
      <c r="AF541" s="43">
        <v>26.629629999999999</v>
      </c>
      <c r="AG541" s="25">
        <f t="shared" si="26"/>
        <v>26.02373316844486</v>
      </c>
      <c r="AH541" s="43">
        <v>20.066867222222225</v>
      </c>
      <c r="AI541" s="43"/>
      <c r="AJ541" s="43"/>
    </row>
    <row r="542" spans="27:36" ht="13.5" x14ac:dyDescent="0.25">
      <c r="AA542" s="26"/>
      <c r="AB542" s="26">
        <v>38520</v>
      </c>
      <c r="AC542" s="43"/>
      <c r="AD542" s="25"/>
      <c r="AE542" s="43"/>
      <c r="AF542" s="43">
        <v>25.876541</v>
      </c>
      <c r="AG542" s="25">
        <f t="shared" si="26"/>
        <v>26.02373316844486</v>
      </c>
      <c r="AH542" s="43">
        <v>20.83245477777778</v>
      </c>
      <c r="AI542" s="43"/>
      <c r="AJ542" s="43"/>
    </row>
    <row r="543" spans="27:36" ht="13.5" x14ac:dyDescent="0.25">
      <c r="AA543" s="26"/>
      <c r="AB543" s="26">
        <v>38527</v>
      </c>
      <c r="AC543" s="43"/>
      <c r="AD543" s="25"/>
      <c r="AE543" s="43"/>
      <c r="AF543" s="43">
        <v>25.246914</v>
      </c>
      <c r="AG543" s="25">
        <f t="shared" si="26"/>
        <v>26.02373316844486</v>
      </c>
      <c r="AH543" s="43">
        <v>20.339384333333339</v>
      </c>
      <c r="AI543" s="43"/>
      <c r="AJ543" s="43"/>
    </row>
    <row r="544" spans="27:36" ht="13.5" x14ac:dyDescent="0.25">
      <c r="AA544" s="26"/>
      <c r="AB544" s="26">
        <v>38534</v>
      </c>
      <c r="AC544" s="43"/>
      <c r="AD544" s="25"/>
      <c r="AE544" s="43"/>
      <c r="AF544" s="43">
        <v>25.780487000000001</v>
      </c>
      <c r="AG544" s="25">
        <f t="shared" si="26"/>
        <v>26.02373316844486</v>
      </c>
      <c r="AH544" s="43">
        <v>21.156954333333331</v>
      </c>
      <c r="AI544" s="43"/>
      <c r="AJ544" s="43"/>
    </row>
    <row r="545" spans="27:36" ht="13.5" x14ac:dyDescent="0.25">
      <c r="AA545" s="26"/>
      <c r="AB545" s="26">
        <v>38541</v>
      </c>
      <c r="AC545" s="43"/>
      <c r="AD545" s="25"/>
      <c r="AE545" s="43"/>
      <c r="AF545" s="43">
        <v>26.329270000000001</v>
      </c>
      <c r="AG545" s="25">
        <f t="shared" si="26"/>
        <v>26.02373316844486</v>
      </c>
      <c r="AH545" s="43">
        <v>21.297374444444447</v>
      </c>
      <c r="AI545" s="43"/>
      <c r="AJ545" s="43"/>
    </row>
    <row r="546" spans="27:36" ht="13.5" x14ac:dyDescent="0.25">
      <c r="AA546" s="26"/>
      <c r="AB546" s="26">
        <v>38548</v>
      </c>
      <c r="AC546" s="43"/>
      <c r="AD546" s="25"/>
      <c r="AE546" s="43"/>
      <c r="AF546" s="43">
        <v>25.7561</v>
      </c>
      <c r="AG546" s="25">
        <f t="shared" si="26"/>
        <v>26.02373316844486</v>
      </c>
      <c r="AH546" s="43">
        <v>21.313376777777776</v>
      </c>
      <c r="AI546" s="43"/>
      <c r="AJ546" s="43"/>
    </row>
    <row r="547" spans="27:36" ht="13.5" x14ac:dyDescent="0.25">
      <c r="AA547" s="26"/>
      <c r="AB547" s="26">
        <v>38555</v>
      </c>
      <c r="AC547" s="43"/>
      <c r="AD547" s="25"/>
      <c r="AE547" s="43"/>
      <c r="AF547" s="43">
        <v>25.158535000000001</v>
      </c>
      <c r="AG547" s="25">
        <f t="shared" si="26"/>
        <v>26.02373316844486</v>
      </c>
      <c r="AH547" s="43">
        <v>21.474688555555556</v>
      </c>
      <c r="AI547" s="43"/>
      <c r="AJ547" s="43"/>
    </row>
    <row r="548" spans="27:36" ht="13.5" x14ac:dyDescent="0.25">
      <c r="AA548" s="26"/>
      <c r="AB548" s="26">
        <v>38562</v>
      </c>
      <c r="AC548" s="43"/>
      <c r="AD548" s="25"/>
      <c r="AE548" s="43"/>
      <c r="AF548" s="43">
        <v>27.999998000000001</v>
      </c>
      <c r="AG548" s="25">
        <f t="shared" si="26"/>
        <v>26.02373316844486</v>
      </c>
      <c r="AH548" s="43">
        <v>21.723803</v>
      </c>
      <c r="AI548" s="43"/>
      <c r="AJ548" s="43"/>
    </row>
    <row r="549" spans="27:36" ht="13.5" x14ac:dyDescent="0.25">
      <c r="AA549" s="26"/>
      <c r="AB549" s="26">
        <v>38569</v>
      </c>
      <c r="AC549" s="43"/>
      <c r="AD549" s="25"/>
      <c r="AE549" s="43"/>
      <c r="AF549" s="43">
        <v>27.291664000000001</v>
      </c>
      <c r="AG549" s="25">
        <f t="shared" si="26"/>
        <v>26.02373316844486</v>
      </c>
      <c r="AH549" s="43">
        <v>21.506365222222225</v>
      </c>
      <c r="AI549" s="43"/>
      <c r="AJ549" s="43"/>
    </row>
    <row r="550" spans="27:36" ht="13.5" x14ac:dyDescent="0.25">
      <c r="AA550" s="26"/>
      <c r="AB550" s="26">
        <v>38576</v>
      </c>
      <c r="AC550" s="43"/>
      <c r="AD550" s="25"/>
      <c r="AE550" s="43"/>
      <c r="AF550" s="43">
        <v>27.499998000000001</v>
      </c>
      <c r="AG550" s="25">
        <f t="shared" ref="AG550:AG613" si="27">$Z$69</f>
        <v>26.02373316844486</v>
      </c>
      <c r="AH550" s="43">
        <v>21.630853111111112</v>
      </c>
      <c r="AI550" s="43"/>
      <c r="AJ550" s="43"/>
    </row>
    <row r="551" spans="27:36" ht="13.5" x14ac:dyDescent="0.25">
      <c r="AA551" s="26"/>
      <c r="AB551" s="26">
        <v>38583</v>
      </c>
      <c r="AC551" s="43"/>
      <c r="AD551" s="25"/>
      <c r="AE551" s="43"/>
      <c r="AF551" s="43">
        <v>26.944443</v>
      </c>
      <c r="AG551" s="25">
        <f t="shared" si="27"/>
        <v>26.02373316844486</v>
      </c>
      <c r="AH551" s="43">
        <v>21.296126000000001</v>
      </c>
      <c r="AI551" s="43"/>
      <c r="AJ551" s="43"/>
    </row>
    <row r="552" spans="27:36" ht="13.5" x14ac:dyDescent="0.25">
      <c r="AA552" s="26"/>
      <c r="AB552" s="26">
        <v>38590</v>
      </c>
      <c r="AC552" s="43"/>
      <c r="AD552" s="25"/>
      <c r="AE552" s="43"/>
      <c r="AF552" s="43">
        <v>27.624998000000001</v>
      </c>
      <c r="AG552" s="25">
        <f t="shared" si="27"/>
        <v>26.02373316844486</v>
      </c>
      <c r="AH552" s="43">
        <v>21.230929888888891</v>
      </c>
      <c r="AI552" s="43"/>
      <c r="AJ552" s="43"/>
    </row>
    <row r="553" spans="27:36" ht="13.5" x14ac:dyDescent="0.25">
      <c r="AA553" s="26"/>
      <c r="AB553" s="26">
        <v>38597</v>
      </c>
      <c r="AC553" s="43"/>
      <c r="AD553" s="25"/>
      <c r="AE553" s="43"/>
      <c r="AF553" s="43">
        <v>28.144928</v>
      </c>
      <c r="AG553" s="25">
        <f t="shared" si="27"/>
        <v>26.02373316844486</v>
      </c>
      <c r="AH553" s="43">
        <v>20.941681111111109</v>
      </c>
      <c r="AI553" s="43"/>
      <c r="AJ553" s="43"/>
    </row>
    <row r="554" spans="27:36" ht="13.5" x14ac:dyDescent="0.25">
      <c r="AA554" s="26"/>
      <c r="AB554" s="26">
        <v>38604</v>
      </c>
      <c r="AC554" s="43"/>
      <c r="AD554" s="25"/>
      <c r="AE554" s="43"/>
      <c r="AF554" s="43">
        <v>28.695651999999999</v>
      </c>
      <c r="AG554" s="25">
        <f t="shared" si="27"/>
        <v>26.02373316844486</v>
      </c>
      <c r="AH554" s="43">
        <v>21.407751111111111</v>
      </c>
      <c r="AI554" s="43"/>
      <c r="AJ554" s="43"/>
    </row>
    <row r="555" spans="27:36" ht="13.5" x14ac:dyDescent="0.25">
      <c r="AA555" s="26"/>
      <c r="AB555" s="26">
        <v>38611</v>
      </c>
      <c r="AC555" s="43"/>
      <c r="AD555" s="25"/>
      <c r="AE555" s="43"/>
      <c r="AF555" s="43">
        <v>28.637682000000002</v>
      </c>
      <c r="AG555" s="25">
        <f t="shared" si="27"/>
        <v>26.02373316844486</v>
      </c>
      <c r="AH555" s="43">
        <v>21.357657444444445</v>
      </c>
      <c r="AI555" s="43"/>
      <c r="AJ555" s="43"/>
    </row>
    <row r="556" spans="27:36" ht="13.5" x14ac:dyDescent="0.25">
      <c r="AA556" s="26"/>
      <c r="AB556" s="26">
        <v>38618</v>
      </c>
      <c r="AC556" s="43"/>
      <c r="AD556" s="25"/>
      <c r="AE556" s="43"/>
      <c r="AF556" s="43">
        <v>27.536231999999998</v>
      </c>
      <c r="AG556" s="25">
        <f t="shared" si="27"/>
        <v>26.02373316844486</v>
      </c>
      <c r="AH556" s="43">
        <v>21.017364555555552</v>
      </c>
      <c r="AI556" s="43"/>
      <c r="AJ556" s="43"/>
    </row>
    <row r="557" spans="27:36" ht="13.5" x14ac:dyDescent="0.25">
      <c r="AA557" s="26"/>
      <c r="AB557" s="26">
        <v>38625</v>
      </c>
      <c r="AC557" s="43"/>
      <c r="AD557" s="25"/>
      <c r="AE557" s="43"/>
      <c r="AF557" s="43">
        <v>27.130434000000001</v>
      </c>
      <c r="AG557" s="25">
        <f t="shared" si="27"/>
        <v>26.02373316844486</v>
      </c>
      <c r="AH557" s="43">
        <v>21.402947888888889</v>
      </c>
      <c r="AI557" s="43"/>
      <c r="AJ557" s="43"/>
    </row>
    <row r="558" spans="27:36" ht="13.5" x14ac:dyDescent="0.25">
      <c r="AA558" s="26"/>
      <c r="AB558" s="26">
        <v>38632</v>
      </c>
      <c r="AC558" s="43"/>
      <c r="AD558" s="25"/>
      <c r="AE558" s="43"/>
      <c r="AF558" s="43">
        <v>27.855072</v>
      </c>
      <c r="AG558" s="25">
        <f t="shared" si="27"/>
        <v>26.02373316844486</v>
      </c>
      <c r="AH558" s="43">
        <v>21.158949888888888</v>
      </c>
      <c r="AI558" s="43"/>
      <c r="AJ558" s="43"/>
    </row>
    <row r="559" spans="27:36" ht="13.5" x14ac:dyDescent="0.25">
      <c r="AA559" s="26"/>
      <c r="AB559" s="26">
        <v>38639</v>
      </c>
      <c r="AC559" s="43"/>
      <c r="AD559" s="25"/>
      <c r="AE559" s="43"/>
      <c r="AF559" s="43">
        <v>27.144926000000002</v>
      </c>
      <c r="AG559" s="25">
        <f t="shared" si="27"/>
        <v>26.02373316844486</v>
      </c>
      <c r="AH559" s="43">
        <v>20.988290777777777</v>
      </c>
      <c r="AI559" s="43"/>
      <c r="AJ559" s="43"/>
    </row>
    <row r="560" spans="27:36" ht="13.5" x14ac:dyDescent="0.25">
      <c r="AA560" s="26"/>
      <c r="AB560" s="26">
        <v>38646</v>
      </c>
      <c r="AC560" s="43"/>
      <c r="AD560" s="25"/>
      <c r="AE560" s="43"/>
      <c r="AF560" s="43">
        <v>29.043479999999999</v>
      </c>
      <c r="AG560" s="25">
        <f t="shared" si="27"/>
        <v>26.02373316844486</v>
      </c>
      <c r="AH560" s="43">
        <v>20.950588666666665</v>
      </c>
      <c r="AI560" s="43"/>
      <c r="AJ560" s="43"/>
    </row>
    <row r="561" spans="27:36" ht="13.5" x14ac:dyDescent="0.25">
      <c r="AA561" s="26"/>
      <c r="AB561" s="26">
        <v>38653</v>
      </c>
      <c r="AC561" s="43"/>
      <c r="AD561" s="25"/>
      <c r="AE561" s="43"/>
      <c r="AF561" s="43">
        <v>30.855073999999998</v>
      </c>
      <c r="AG561" s="25">
        <f t="shared" si="27"/>
        <v>26.02373316844486</v>
      </c>
      <c r="AH561" s="43">
        <v>20.722234222222223</v>
      </c>
      <c r="AI561" s="43"/>
      <c r="AJ561" s="43"/>
    </row>
    <row r="562" spans="27:36" ht="13.5" x14ac:dyDescent="0.25">
      <c r="AA562" s="26"/>
      <c r="AB562" s="26">
        <v>38660</v>
      </c>
      <c r="AC562" s="43"/>
      <c r="AD562" s="25"/>
      <c r="AE562" s="43"/>
      <c r="AF562" s="43">
        <v>30.042857999999999</v>
      </c>
      <c r="AG562" s="25">
        <f t="shared" si="27"/>
        <v>26.02373316844486</v>
      </c>
      <c r="AH562" s="43">
        <v>20.883728333333334</v>
      </c>
      <c r="AI562" s="43"/>
      <c r="AJ562" s="43"/>
    </row>
    <row r="563" spans="27:36" ht="13.5" x14ac:dyDescent="0.25">
      <c r="AA563" s="26"/>
      <c r="AB563" s="26">
        <v>38667</v>
      </c>
      <c r="AC563" s="43"/>
      <c r="AD563" s="25"/>
      <c r="AE563" s="43"/>
      <c r="AF563" s="43">
        <v>30.442858000000001</v>
      </c>
      <c r="AG563" s="25">
        <f t="shared" si="27"/>
        <v>26.02373316844486</v>
      </c>
      <c r="AH563" s="43">
        <v>21.394949666666665</v>
      </c>
      <c r="AI563" s="43"/>
      <c r="AJ563" s="43"/>
    </row>
    <row r="564" spans="27:36" ht="13.5" x14ac:dyDescent="0.25">
      <c r="AA564" s="26"/>
      <c r="AB564" s="26">
        <v>38674</v>
      </c>
      <c r="AC564" s="43">
        <v>6.3276809626293282</v>
      </c>
      <c r="AD564" s="25">
        <f>$Z$100</f>
        <v>6.1710590659690858</v>
      </c>
      <c r="AE564" s="43">
        <v>8.8948289803067926</v>
      </c>
      <c r="AF564" s="43">
        <v>32.1</v>
      </c>
      <c r="AG564" s="25">
        <f t="shared" si="27"/>
        <v>26.02373316844486</v>
      </c>
      <c r="AH564" s="43">
        <v>22.257280636842108</v>
      </c>
      <c r="AI564" s="43"/>
      <c r="AJ564" s="43"/>
    </row>
    <row r="565" spans="27:36" ht="13.5" x14ac:dyDescent="0.25">
      <c r="AA565" s="26"/>
      <c r="AB565" s="26">
        <v>38681</v>
      </c>
      <c r="AC565" s="43">
        <v>6.2029484586723838</v>
      </c>
      <c r="AD565" s="25">
        <f t="shared" ref="AD565:AD628" si="28">$Z$100</f>
        <v>6.1710590659690858</v>
      </c>
      <c r="AE565" s="43">
        <v>8.9827725771998654</v>
      </c>
      <c r="AF565" s="43">
        <v>31.300001000000002</v>
      </c>
      <c r="AG565" s="25">
        <f t="shared" si="27"/>
        <v>26.02373316844486</v>
      </c>
      <c r="AH565" s="43">
        <v>22.55472142631579</v>
      </c>
      <c r="AI565" s="43"/>
      <c r="AJ565" s="43"/>
    </row>
    <row r="566" spans="27:36" ht="13.5" x14ac:dyDescent="0.25">
      <c r="AA566" s="26"/>
      <c r="AB566" s="26">
        <v>38688</v>
      </c>
      <c r="AC566" s="43">
        <v>6.3722282854710945</v>
      </c>
      <c r="AD566" s="25">
        <f t="shared" si="28"/>
        <v>6.1710590659690858</v>
      </c>
      <c r="AE566" s="43">
        <v>8.964965249092046</v>
      </c>
      <c r="AF566" s="43">
        <v>30.635135999999999</v>
      </c>
      <c r="AG566" s="25">
        <f t="shared" si="27"/>
        <v>26.02373316844486</v>
      </c>
      <c r="AH566" s="43">
        <v>21.911918968421052</v>
      </c>
      <c r="AI566" s="43"/>
      <c r="AJ566" s="43"/>
    </row>
    <row r="567" spans="27:36" ht="13.5" x14ac:dyDescent="0.25">
      <c r="AA567" s="26"/>
      <c r="AB567" s="26">
        <v>38695</v>
      </c>
      <c r="AC567" s="43">
        <v>6.4746871280071554</v>
      </c>
      <c r="AD567" s="25">
        <f t="shared" si="28"/>
        <v>6.1710590659690858</v>
      </c>
      <c r="AE567" s="43">
        <v>8.9062006006038104</v>
      </c>
      <c r="AF567" s="43">
        <v>31.256755999999999</v>
      </c>
      <c r="AG567" s="25">
        <f t="shared" si="27"/>
        <v>26.02373316844486</v>
      </c>
      <c r="AH567" s="43">
        <v>21.718529068421052</v>
      </c>
      <c r="AI567" s="43"/>
      <c r="AJ567" s="43"/>
    </row>
    <row r="568" spans="27:36" ht="13.5" x14ac:dyDescent="0.25">
      <c r="AA568" s="26"/>
      <c r="AB568" s="26">
        <v>38702</v>
      </c>
      <c r="AC568" s="43">
        <v>6.5348260138435403</v>
      </c>
      <c r="AD568" s="25">
        <f t="shared" si="28"/>
        <v>6.1710590659690858</v>
      </c>
      <c r="AE568" s="43">
        <v>8.8877079025136183</v>
      </c>
      <c r="AF568" s="43">
        <v>31.62162</v>
      </c>
      <c r="AG568" s="25">
        <f t="shared" si="27"/>
        <v>26.02373316844486</v>
      </c>
      <c r="AH568" s="43">
        <v>21.601742205263157</v>
      </c>
      <c r="AI568" s="43"/>
      <c r="AJ568" s="43"/>
    </row>
    <row r="569" spans="27:36" ht="13.5" x14ac:dyDescent="0.25">
      <c r="AA569" s="26"/>
      <c r="AB569" s="26">
        <v>38709</v>
      </c>
      <c r="AC569" s="43">
        <v>6.5615550757584424</v>
      </c>
      <c r="AD569" s="25">
        <f t="shared" si="28"/>
        <v>6.1710590659690858</v>
      </c>
      <c r="AE569" s="43">
        <v>8.9858487459306993</v>
      </c>
      <c r="AF569" s="43">
        <v>31.783785000000002</v>
      </c>
      <c r="AG569" s="25">
        <f t="shared" si="27"/>
        <v>26.02373316844486</v>
      </c>
      <c r="AH569" s="43">
        <v>22.259834589473684</v>
      </c>
      <c r="AI569" s="43"/>
      <c r="AJ569" s="43"/>
    </row>
    <row r="570" spans="27:36" ht="13.5" x14ac:dyDescent="0.25">
      <c r="AA570" s="26"/>
      <c r="AB570" s="26">
        <v>38716</v>
      </c>
      <c r="AC570" s="43">
        <v>6.4457318136332367</v>
      </c>
      <c r="AD570" s="25">
        <f t="shared" si="28"/>
        <v>6.1710590659690858</v>
      </c>
      <c r="AE570" s="43">
        <v>8.9658012225408115</v>
      </c>
      <c r="AF570" s="43">
        <v>31.081081000000001</v>
      </c>
      <c r="AG570" s="25">
        <f t="shared" si="27"/>
        <v>26.02373316844486</v>
      </c>
      <c r="AH570" s="43">
        <v>22.026157542105263</v>
      </c>
      <c r="AI570" s="43"/>
      <c r="AJ570" s="43"/>
    </row>
    <row r="571" spans="27:36" ht="13.5" x14ac:dyDescent="0.25">
      <c r="AA571" s="26"/>
      <c r="AB571" s="26">
        <v>38723</v>
      </c>
      <c r="AC571" s="43">
        <v>7.4543388910267385</v>
      </c>
      <c r="AD571" s="25">
        <f t="shared" si="28"/>
        <v>6.1710590659690858</v>
      </c>
      <c r="AE571" s="43">
        <v>9.9062104414008871</v>
      </c>
      <c r="AF571" s="43">
        <v>32.581074324324327</v>
      </c>
      <c r="AG571" s="25">
        <f t="shared" si="27"/>
        <v>26.02373316844486</v>
      </c>
      <c r="AH571" s="43">
        <v>22.430017900497724</v>
      </c>
      <c r="AI571" s="43"/>
      <c r="AJ571" s="43"/>
    </row>
    <row r="572" spans="27:36" ht="13.5" x14ac:dyDescent="0.25">
      <c r="AA572" s="26"/>
      <c r="AB572" s="26">
        <v>38730</v>
      </c>
      <c r="AC572" s="43">
        <v>7.2511797869384145</v>
      </c>
      <c r="AD572" s="25">
        <f t="shared" si="28"/>
        <v>6.1710590659690858</v>
      </c>
      <c r="AE572" s="43">
        <v>9.9592267798473202</v>
      </c>
      <c r="AF572" s="43">
        <v>31.499991891891892</v>
      </c>
      <c r="AG572" s="25">
        <f t="shared" si="27"/>
        <v>26.02373316844486</v>
      </c>
      <c r="AH572" s="43">
        <v>22.514078097414135</v>
      </c>
      <c r="AI572" s="43"/>
      <c r="AJ572" s="43"/>
    </row>
    <row r="573" spans="27:36" ht="13.5" x14ac:dyDescent="0.25">
      <c r="AA573" s="26"/>
      <c r="AB573" s="26">
        <v>38737</v>
      </c>
      <c r="AC573" s="43">
        <v>7.1978508427252894</v>
      </c>
      <c r="AD573" s="25">
        <f t="shared" si="28"/>
        <v>6.1710590659690858</v>
      </c>
      <c r="AE573" s="43">
        <v>10.103016179518235</v>
      </c>
      <c r="AF573" s="43">
        <v>31.21620945945946</v>
      </c>
      <c r="AG573" s="25">
        <f t="shared" si="27"/>
        <v>26.02373316844486</v>
      </c>
      <c r="AH573" s="43">
        <v>22.742464392934313</v>
      </c>
      <c r="AI573" s="43"/>
      <c r="AJ573" s="43"/>
    </row>
    <row r="574" spans="27:36" ht="13.5" x14ac:dyDescent="0.25">
      <c r="AA574" s="26"/>
      <c r="AB574" s="26">
        <v>38744</v>
      </c>
      <c r="AC574" s="43">
        <v>7.4644965795851626</v>
      </c>
      <c r="AD574" s="25">
        <f t="shared" si="28"/>
        <v>6.1710590659690858</v>
      </c>
      <c r="AE574" s="43">
        <v>10.078163482606589</v>
      </c>
      <c r="AF574" s="43">
        <v>32.635127027027025</v>
      </c>
      <c r="AG574" s="25">
        <f t="shared" si="27"/>
        <v>26.02373316844486</v>
      </c>
      <c r="AH574" s="43">
        <v>22.789659310672739</v>
      </c>
      <c r="AI574" s="43"/>
      <c r="AJ574" s="43"/>
    </row>
    <row r="575" spans="27:36" ht="13.5" x14ac:dyDescent="0.25">
      <c r="AA575" s="26"/>
      <c r="AB575" s="26">
        <v>38751</v>
      </c>
      <c r="AC575" s="43">
        <v>7.3756148365975802</v>
      </c>
      <c r="AD575" s="25">
        <f t="shared" si="28"/>
        <v>6.1710590659690858</v>
      </c>
      <c r="AE575" s="43">
        <v>10.198675713393033</v>
      </c>
      <c r="AF575" s="43">
        <v>32.162155405405407</v>
      </c>
      <c r="AG575" s="25">
        <f t="shared" si="27"/>
        <v>26.02373316844486</v>
      </c>
      <c r="AH575" s="43">
        <v>23.023524644231436</v>
      </c>
      <c r="AI575" s="43"/>
      <c r="AJ575" s="43"/>
    </row>
    <row r="576" spans="27:36" ht="13.5" x14ac:dyDescent="0.25">
      <c r="AA576" s="26"/>
      <c r="AB576" s="26">
        <v>38758</v>
      </c>
      <c r="AC576" s="43">
        <v>7.5127468064933565</v>
      </c>
      <c r="AD576" s="25">
        <f t="shared" si="28"/>
        <v>6.1710590659690858</v>
      </c>
      <c r="AE576" s="43">
        <v>10.214149907142829</v>
      </c>
      <c r="AF576" s="43">
        <v>32.891883783783783</v>
      </c>
      <c r="AG576" s="25">
        <f t="shared" si="27"/>
        <v>26.02373316844486</v>
      </c>
      <c r="AH576" s="43">
        <v>23.109384333161838</v>
      </c>
      <c r="AI576" s="43"/>
      <c r="AJ576" s="43"/>
    </row>
    <row r="577" spans="27:36" ht="13.5" x14ac:dyDescent="0.25">
      <c r="AA577" s="26"/>
      <c r="AB577" s="26">
        <v>38765</v>
      </c>
      <c r="AC577" s="43">
        <v>7.3065513707201299</v>
      </c>
      <c r="AD577" s="25">
        <f t="shared" si="28"/>
        <v>6.1710590659690858</v>
      </c>
      <c r="AE577" s="43">
        <v>9.7035425326101183</v>
      </c>
      <c r="AF577" s="43">
        <v>30.740735802469136</v>
      </c>
      <c r="AG577" s="25">
        <f t="shared" si="27"/>
        <v>26.02373316844486</v>
      </c>
      <c r="AH577" s="43">
        <v>22.140500626982629</v>
      </c>
      <c r="AI577" s="43"/>
      <c r="AJ577" s="43"/>
    </row>
    <row r="578" spans="27:36" ht="13.5" x14ac:dyDescent="0.25">
      <c r="AA578" s="26"/>
      <c r="AB578" s="26">
        <v>38772</v>
      </c>
      <c r="AC578" s="43">
        <v>7.3429096836975658</v>
      </c>
      <c r="AD578" s="25">
        <f t="shared" si="28"/>
        <v>6.1710590659690858</v>
      </c>
      <c r="AE578" s="43">
        <v>9.729842178068127</v>
      </c>
      <c r="AF578" s="43">
        <v>30.925919753086415</v>
      </c>
      <c r="AG578" s="25">
        <f t="shared" si="27"/>
        <v>26.02373316844486</v>
      </c>
      <c r="AH578" s="43">
        <v>22.249736112709183</v>
      </c>
      <c r="AI578" s="43"/>
      <c r="AJ578" s="43"/>
    </row>
    <row r="579" spans="27:36" ht="13.5" x14ac:dyDescent="0.25">
      <c r="AA579" s="26"/>
      <c r="AB579" s="26">
        <v>38779</v>
      </c>
      <c r="AC579" s="43">
        <v>7.6168115279728106</v>
      </c>
      <c r="AD579" s="25">
        <f t="shared" si="28"/>
        <v>6.1710590659690858</v>
      </c>
      <c r="AE579" s="43">
        <v>9.7564426702429188</v>
      </c>
      <c r="AF579" s="43">
        <v>32.320985185185187</v>
      </c>
      <c r="AG579" s="25">
        <f t="shared" si="27"/>
        <v>26.02373316844486</v>
      </c>
      <c r="AH579" s="43">
        <v>22.411875887712256</v>
      </c>
      <c r="AI579" s="43"/>
      <c r="AJ579" s="43"/>
    </row>
    <row r="580" spans="27:36" ht="13.5" x14ac:dyDescent="0.25">
      <c r="AA580" s="26"/>
      <c r="AB580" s="26">
        <v>38786</v>
      </c>
      <c r="AC580" s="43">
        <v>7.6143871395008853</v>
      </c>
      <c r="AD580" s="25">
        <f t="shared" si="28"/>
        <v>6.1710590659690858</v>
      </c>
      <c r="AE580" s="43">
        <v>9.9280308199695213</v>
      </c>
      <c r="AF580" s="43">
        <v>32.308637037037037</v>
      </c>
      <c r="AG580" s="25">
        <f t="shared" si="27"/>
        <v>26.02373316844486</v>
      </c>
      <c r="AH580" s="43">
        <v>22.876445174623807</v>
      </c>
      <c r="AI580" s="43"/>
      <c r="AJ580" s="43"/>
    </row>
    <row r="581" spans="27:36" ht="13.5" x14ac:dyDescent="0.25">
      <c r="AA581" s="26"/>
      <c r="AB581" s="26">
        <v>38793</v>
      </c>
      <c r="AC581" s="43">
        <v>7.6701374091789249</v>
      </c>
      <c r="AD581" s="25">
        <f t="shared" si="28"/>
        <v>6.1710590659690858</v>
      </c>
      <c r="AE581" s="43">
        <v>9.6417810905449137</v>
      </c>
      <c r="AF581" s="43">
        <v>32.592590123456787</v>
      </c>
      <c r="AG581" s="25">
        <f t="shared" si="27"/>
        <v>26.02373316844486</v>
      </c>
      <c r="AH581" s="43">
        <v>20.812516279962601</v>
      </c>
      <c r="AI581" s="43"/>
      <c r="AJ581" s="43"/>
    </row>
    <row r="582" spans="27:36" ht="13.5" x14ac:dyDescent="0.25">
      <c r="AA582" s="26"/>
      <c r="AB582" s="26">
        <v>38800</v>
      </c>
      <c r="AC582" s="43">
        <v>7.6046917671265053</v>
      </c>
      <c r="AD582" s="25">
        <f t="shared" si="28"/>
        <v>6.1710590659690858</v>
      </c>
      <c r="AE582" s="43">
        <v>9.6344770159919246</v>
      </c>
      <c r="AF582" s="43">
        <v>32.259255555555555</v>
      </c>
      <c r="AG582" s="25">
        <f t="shared" si="27"/>
        <v>26.02373316844486</v>
      </c>
      <c r="AH582" s="43">
        <v>20.78181594438183</v>
      </c>
      <c r="AI582" s="43"/>
      <c r="AJ582" s="43"/>
    </row>
    <row r="583" spans="27:36" ht="13.5" x14ac:dyDescent="0.25">
      <c r="AA583" s="26"/>
      <c r="AB583" s="26">
        <v>38807</v>
      </c>
      <c r="AC583" s="43">
        <v>7.5343988024724506</v>
      </c>
      <c r="AD583" s="25">
        <f t="shared" si="28"/>
        <v>6.1710590659690858</v>
      </c>
      <c r="AE583" s="43">
        <v>9.6420971516752303</v>
      </c>
      <c r="AF583" s="43">
        <v>31.901232098765433</v>
      </c>
      <c r="AG583" s="25">
        <f t="shared" si="27"/>
        <v>26.02373316844486</v>
      </c>
      <c r="AH583" s="43">
        <v>20.772607660333886</v>
      </c>
      <c r="AI583" s="43"/>
      <c r="AJ583" s="43"/>
    </row>
    <row r="584" spans="27:36" ht="13.5" x14ac:dyDescent="0.25">
      <c r="AA584" s="26"/>
      <c r="AB584" s="26">
        <v>38814</v>
      </c>
      <c r="AC584" s="43">
        <v>7.5263688676028782</v>
      </c>
      <c r="AD584" s="25">
        <f t="shared" si="28"/>
        <v>6.1710590659690858</v>
      </c>
      <c r="AE584" s="43">
        <v>9.2664687510007973</v>
      </c>
      <c r="AF584" s="43">
        <v>31.851848148148147</v>
      </c>
      <c r="AG584" s="25">
        <f t="shared" si="27"/>
        <v>26.02373316844486</v>
      </c>
      <c r="AH584" s="43">
        <v>20.350474199511709</v>
      </c>
      <c r="AI584" s="43"/>
      <c r="AJ584" s="43"/>
    </row>
    <row r="585" spans="27:36" ht="13.5" x14ac:dyDescent="0.25">
      <c r="AA585" s="26"/>
      <c r="AB585" s="26">
        <v>38821</v>
      </c>
      <c r="AC585" s="43">
        <v>7.6110355181681193</v>
      </c>
      <c r="AD585" s="25">
        <f t="shared" si="28"/>
        <v>6.1710590659690858</v>
      </c>
      <c r="AE585" s="43">
        <v>9.3781684934357425</v>
      </c>
      <c r="AF585" s="43">
        <v>32.283945679012348</v>
      </c>
      <c r="AG585" s="25">
        <f t="shared" si="27"/>
        <v>26.02373316844486</v>
      </c>
      <c r="AH585" s="43">
        <v>20.610671353649927</v>
      </c>
      <c r="AI585" s="43"/>
      <c r="AJ585" s="43"/>
    </row>
    <row r="586" spans="27:36" ht="13.5" x14ac:dyDescent="0.25">
      <c r="AA586" s="26"/>
      <c r="AB586" s="26">
        <v>38828</v>
      </c>
      <c r="AC586" s="43">
        <v>7.6860259524510015</v>
      </c>
      <c r="AD586" s="25">
        <f t="shared" si="28"/>
        <v>6.1710590659690858</v>
      </c>
      <c r="AE586" s="43">
        <v>9.5656889200061208</v>
      </c>
      <c r="AF586" s="43">
        <v>32.756527420202126</v>
      </c>
      <c r="AG586" s="25">
        <f t="shared" si="27"/>
        <v>26.02373316844486</v>
      </c>
      <c r="AH586" s="43">
        <v>21.045501948477526</v>
      </c>
      <c r="AI586" s="43"/>
      <c r="AJ586" s="43"/>
    </row>
    <row r="587" spans="27:36" ht="13.5" x14ac:dyDescent="0.25">
      <c r="AA587" s="26"/>
      <c r="AB587" s="26">
        <v>38835</v>
      </c>
      <c r="AC587" s="43">
        <v>7.5553972745445499</v>
      </c>
      <c r="AD587" s="25">
        <f t="shared" si="28"/>
        <v>6.1710590659690858</v>
      </c>
      <c r="AE587" s="43">
        <v>9.42121585878456</v>
      </c>
      <c r="AF587" s="43">
        <v>32.088027972247517</v>
      </c>
      <c r="AG587" s="25">
        <f t="shared" si="27"/>
        <v>26.02373316844486</v>
      </c>
      <c r="AH587" s="43">
        <v>20.721533790003058</v>
      </c>
      <c r="AI587" s="43"/>
      <c r="AJ587" s="43"/>
    </row>
    <row r="588" spans="27:36" ht="13.5" x14ac:dyDescent="0.25">
      <c r="AA588" s="26"/>
      <c r="AB588" s="26">
        <v>38842</v>
      </c>
      <c r="AC588" s="43">
        <v>7.4634734617675376</v>
      </c>
      <c r="AD588" s="25">
        <f t="shared" si="28"/>
        <v>6.1710590659690858</v>
      </c>
      <c r="AE588" s="43">
        <v>9.4218528574134357</v>
      </c>
      <c r="AF588" s="43">
        <v>31.617602801602192</v>
      </c>
      <c r="AG588" s="25">
        <f t="shared" si="27"/>
        <v>26.02373316844486</v>
      </c>
      <c r="AH588" s="43">
        <v>20.67518338711195</v>
      </c>
      <c r="AI588" s="43"/>
      <c r="AJ588" s="43"/>
    </row>
    <row r="589" spans="27:36" ht="13.5" x14ac:dyDescent="0.25">
      <c r="AA589" s="26"/>
      <c r="AB589" s="26">
        <v>38849</v>
      </c>
      <c r="AC589" s="43">
        <v>7.1683486232501528</v>
      </c>
      <c r="AD589" s="25">
        <f t="shared" si="28"/>
        <v>6.1710590659690858</v>
      </c>
      <c r="AE589" s="43">
        <v>9.2596296802369462</v>
      </c>
      <c r="AF589" s="43">
        <v>30.107285199154649</v>
      </c>
      <c r="AG589" s="25">
        <f t="shared" si="27"/>
        <v>26.02373316844486</v>
      </c>
      <c r="AH589" s="43">
        <v>20.263470608248252</v>
      </c>
      <c r="AI589" s="43"/>
      <c r="AJ589" s="43"/>
    </row>
    <row r="590" spans="27:36" ht="13.5" x14ac:dyDescent="0.25">
      <c r="AA590" s="26"/>
      <c r="AB590" s="26">
        <v>38856</v>
      </c>
      <c r="AC590" s="43">
        <v>6.3145907784215414</v>
      </c>
      <c r="AD590" s="25">
        <f t="shared" si="28"/>
        <v>6.1710590659690858</v>
      </c>
      <c r="AE590" s="43">
        <v>9.3012059815308348</v>
      </c>
      <c r="AF590" s="43">
        <v>27.265419999999999</v>
      </c>
      <c r="AG590" s="25">
        <f t="shared" si="27"/>
        <v>26.02373316844486</v>
      </c>
      <c r="AH590" s="43">
        <v>19.979317933806247</v>
      </c>
      <c r="AI590" s="43"/>
      <c r="AJ590" s="43"/>
    </row>
    <row r="591" spans="27:36" ht="13.5" x14ac:dyDescent="0.25">
      <c r="AA591" s="26"/>
      <c r="AB591" s="26">
        <v>38863</v>
      </c>
      <c r="AC591" s="43">
        <v>6.3807284140666729</v>
      </c>
      <c r="AD591" s="25">
        <f t="shared" si="28"/>
        <v>6.1710590659690858</v>
      </c>
      <c r="AE591" s="43">
        <v>9.3147150907353744</v>
      </c>
      <c r="AF591" s="43">
        <v>25.984515609999999</v>
      </c>
      <c r="AG591" s="25">
        <f t="shared" si="27"/>
        <v>26.02373316844486</v>
      </c>
      <c r="AH591" s="43">
        <v>19.86205750181454</v>
      </c>
      <c r="AI591" s="43"/>
      <c r="AJ591" s="43"/>
    </row>
    <row r="592" spans="27:36" ht="13.5" x14ac:dyDescent="0.25">
      <c r="AA592" s="26"/>
      <c r="AB592" s="26">
        <v>38870</v>
      </c>
      <c r="AC592" s="43">
        <v>6.4931629899040999</v>
      </c>
      <c r="AD592" s="25">
        <f t="shared" si="28"/>
        <v>6.1710590659690858</v>
      </c>
      <c r="AE592" s="43">
        <v>9.3872510453752902</v>
      </c>
      <c r="AF592" s="43">
        <v>24.598765143510001</v>
      </c>
      <c r="AG592" s="25">
        <f t="shared" si="27"/>
        <v>26.02373316844486</v>
      </c>
      <c r="AH592" s="43">
        <v>19.777798214062035</v>
      </c>
      <c r="AI592" s="43"/>
      <c r="AJ592" s="43"/>
    </row>
    <row r="593" spans="27:36" ht="13.5" x14ac:dyDescent="0.25">
      <c r="AA593" s="26"/>
      <c r="AB593" s="26">
        <v>38877</v>
      </c>
      <c r="AC593" s="43">
        <v>6.2550667079273561</v>
      </c>
      <c r="AD593" s="25">
        <f t="shared" si="28"/>
        <v>6.1710590659690858</v>
      </c>
      <c r="AE593" s="43">
        <v>9.2467366296234879</v>
      </c>
      <c r="AF593" s="43">
        <v>22.5494564</v>
      </c>
      <c r="AG593" s="25">
        <f t="shared" si="27"/>
        <v>26.02373316844486</v>
      </c>
      <c r="AH593" s="43">
        <v>19.101535600912715</v>
      </c>
      <c r="AI593" s="43"/>
      <c r="AJ593" s="43"/>
    </row>
    <row r="594" spans="27:36" ht="13.5" x14ac:dyDescent="0.25">
      <c r="AA594" s="26"/>
      <c r="AB594" s="26">
        <v>38884</v>
      </c>
      <c r="AC594" s="43">
        <v>6.1059049408796078</v>
      </c>
      <c r="AD594" s="25">
        <f t="shared" si="28"/>
        <v>6.1710590659690858</v>
      </c>
      <c r="AE594" s="43">
        <v>9.1554899128707437</v>
      </c>
      <c r="AF594" s="43">
        <v>21.39611386352664</v>
      </c>
      <c r="AG594" s="25">
        <f t="shared" si="27"/>
        <v>26.02373316844486</v>
      </c>
      <c r="AH594" s="43">
        <v>18.618579658083757</v>
      </c>
      <c r="AI594" s="43"/>
      <c r="AJ594" s="43"/>
    </row>
    <row r="595" spans="27:36" ht="13.5" x14ac:dyDescent="0.25">
      <c r="AA595" s="26"/>
      <c r="AB595" s="26">
        <v>38891</v>
      </c>
      <c r="AC595" s="43">
        <v>6.267477072318024</v>
      </c>
      <c r="AD595" s="25">
        <f t="shared" si="28"/>
        <v>6.1710590659690858</v>
      </c>
      <c r="AE595" s="43">
        <v>9.0481002319614703</v>
      </c>
      <c r="AF595" s="43">
        <v>20.654216739999999</v>
      </c>
      <c r="AG595" s="25">
        <f t="shared" si="27"/>
        <v>26.02373316844486</v>
      </c>
      <c r="AH595" s="43">
        <v>18.059178250720613</v>
      </c>
      <c r="AI595" s="43"/>
      <c r="AJ595" s="43"/>
    </row>
    <row r="596" spans="27:36" ht="13.5" x14ac:dyDescent="0.25">
      <c r="AA596" s="26"/>
      <c r="AB596" s="26">
        <v>38898</v>
      </c>
      <c r="AC596" s="43">
        <v>6.5303019890871354</v>
      </c>
      <c r="AD596" s="25">
        <f t="shared" si="28"/>
        <v>6.1710590659690858</v>
      </c>
      <c r="AE596" s="43">
        <v>8.8844421681266663</v>
      </c>
      <c r="AF596" s="43">
        <v>19.598462099999999</v>
      </c>
      <c r="AG596" s="25">
        <f t="shared" si="27"/>
        <v>26.02373316844486</v>
      </c>
      <c r="AH596" s="43">
        <v>17.356180967888939</v>
      </c>
      <c r="AI596" s="43"/>
      <c r="AJ596" s="43"/>
    </row>
    <row r="597" spans="27:36" ht="13.5" x14ac:dyDescent="0.25">
      <c r="AA597" s="26"/>
      <c r="AB597" s="26">
        <v>38905</v>
      </c>
      <c r="AC597" s="43">
        <v>6.0821591950691358</v>
      </c>
      <c r="AD597" s="25">
        <f t="shared" si="28"/>
        <v>6.1710590659690858</v>
      </c>
      <c r="AE597" s="43">
        <v>8.0742349687234416</v>
      </c>
      <c r="AF597" s="43">
        <v>18.687316166505322</v>
      </c>
      <c r="AG597" s="25">
        <f t="shared" si="27"/>
        <v>26.02373316844486</v>
      </c>
      <c r="AH597" s="43">
        <v>16.237564937035529</v>
      </c>
      <c r="AI597" s="43"/>
      <c r="AJ597" s="43"/>
    </row>
    <row r="598" spans="27:36" ht="13.5" x14ac:dyDescent="0.25">
      <c r="AA598" s="26"/>
      <c r="AB598" s="26">
        <v>38912</v>
      </c>
      <c r="AC598" s="43">
        <v>6.06040130037485</v>
      </c>
      <c r="AD598" s="25">
        <f t="shared" si="28"/>
        <v>6.1710590659690858</v>
      </c>
      <c r="AE598" s="43">
        <v>7.9112178769181272</v>
      </c>
      <c r="AF598" s="43">
        <v>18.594383736689252</v>
      </c>
      <c r="AG598" s="25">
        <f t="shared" si="27"/>
        <v>26.02373316844486</v>
      </c>
      <c r="AH598" s="43">
        <v>15.644704642337206</v>
      </c>
      <c r="AI598" s="43"/>
      <c r="AJ598" s="43"/>
    </row>
    <row r="599" spans="27:36" ht="13.5" x14ac:dyDescent="0.25">
      <c r="AA599" s="26"/>
      <c r="AB599" s="26">
        <v>38919</v>
      </c>
      <c r="AC599" s="43">
        <v>6.0404563973642293</v>
      </c>
      <c r="AD599" s="25">
        <f t="shared" si="28"/>
        <v>6.1710590659690858</v>
      </c>
      <c r="AE599" s="43">
        <v>7.2859741794994717</v>
      </c>
      <c r="AF599" s="43">
        <v>18.29664918660287</v>
      </c>
      <c r="AG599" s="25">
        <f t="shared" si="27"/>
        <v>26.02373316844486</v>
      </c>
      <c r="AH599" s="43">
        <v>14.669069507167885</v>
      </c>
      <c r="AI599" s="43"/>
      <c r="AJ599" s="43"/>
    </row>
    <row r="600" spans="27:36" ht="13.5" x14ac:dyDescent="0.25">
      <c r="AA600" s="26"/>
      <c r="AB600" s="26">
        <v>38926</v>
      </c>
      <c r="AC600" s="43">
        <v>6.1710050347510457</v>
      </c>
      <c r="AD600" s="25">
        <f t="shared" si="28"/>
        <v>6.1710590659690858</v>
      </c>
      <c r="AE600" s="43">
        <v>7.2718024806988382</v>
      </c>
      <c r="AF600" s="43">
        <v>18.847846124401915</v>
      </c>
      <c r="AG600" s="25">
        <f t="shared" si="27"/>
        <v>26.02373316844486</v>
      </c>
      <c r="AH600" s="43">
        <v>14.391573711396163</v>
      </c>
      <c r="AI600" s="43"/>
      <c r="AJ600" s="43"/>
    </row>
    <row r="601" spans="27:36" ht="13.5" x14ac:dyDescent="0.25">
      <c r="AA601" s="26"/>
      <c r="AB601" s="26">
        <v>38933</v>
      </c>
      <c r="AC601" s="43">
        <v>6.1474336044211935</v>
      </c>
      <c r="AD601" s="25">
        <f t="shared" si="28"/>
        <v>6.1710590659690858</v>
      </c>
      <c r="AE601" s="43">
        <v>7.2509141564142654</v>
      </c>
      <c r="AF601" s="43">
        <v>18.748323827751197</v>
      </c>
      <c r="AG601" s="25">
        <f t="shared" si="27"/>
        <v>26.02373316844486</v>
      </c>
      <c r="AH601" s="43">
        <v>14.377392192803615</v>
      </c>
      <c r="AI601" s="43"/>
      <c r="AJ601" s="43"/>
    </row>
    <row r="602" spans="27:36" ht="13.5" x14ac:dyDescent="0.25">
      <c r="AA602" s="26"/>
      <c r="AB602" s="26">
        <v>38940</v>
      </c>
      <c r="AC602" s="43">
        <v>6.1002911063960896</v>
      </c>
      <c r="AD602" s="25">
        <f t="shared" si="28"/>
        <v>6.1710590659690858</v>
      </c>
      <c r="AE602" s="43">
        <v>7.045199967900051</v>
      </c>
      <c r="AF602" s="43">
        <v>18.54928076555024</v>
      </c>
      <c r="AG602" s="25">
        <f t="shared" si="27"/>
        <v>26.02373316844486</v>
      </c>
      <c r="AH602" s="43">
        <v>13.955356299057177</v>
      </c>
      <c r="AI602" s="43"/>
      <c r="AJ602" s="43"/>
    </row>
    <row r="603" spans="27:36" ht="13.5" x14ac:dyDescent="0.25">
      <c r="AA603" s="26"/>
      <c r="AB603" s="26">
        <v>38947</v>
      </c>
      <c r="AC603" s="43">
        <v>5.8019243956603068</v>
      </c>
      <c r="AD603" s="25">
        <f t="shared" si="28"/>
        <v>6.1710590659690858</v>
      </c>
      <c r="AE603" s="43">
        <v>7.2817204961216362</v>
      </c>
      <c r="AF603" s="43">
        <v>18.11320603773585</v>
      </c>
      <c r="AG603" s="25">
        <f t="shared" si="27"/>
        <v>26.02373316844486</v>
      </c>
      <c r="AH603" s="43">
        <v>14.503490433215799</v>
      </c>
      <c r="AI603" s="43"/>
      <c r="AJ603" s="43"/>
    </row>
    <row r="604" spans="27:36" ht="13.5" x14ac:dyDescent="0.25">
      <c r="AA604" s="26"/>
      <c r="AB604" s="26">
        <v>38954</v>
      </c>
      <c r="AC604" s="43">
        <v>5.9338877881121848</v>
      </c>
      <c r="AD604" s="25">
        <f t="shared" si="28"/>
        <v>6.1710590659690858</v>
      </c>
      <c r="AE604" s="43">
        <v>7.2112490144796171</v>
      </c>
      <c r="AF604" s="43">
        <v>18.686790943396225</v>
      </c>
      <c r="AG604" s="25">
        <f t="shared" si="27"/>
        <v>26.02373316844486</v>
      </c>
      <c r="AH604" s="43">
        <v>14.337607235852428</v>
      </c>
      <c r="AI604" s="43"/>
      <c r="AJ604" s="43"/>
    </row>
    <row r="605" spans="27:36" ht="13.5" x14ac:dyDescent="0.25">
      <c r="AA605" s="26"/>
      <c r="AB605" s="26">
        <v>38961</v>
      </c>
      <c r="AC605" s="43">
        <v>5.8835328148211028</v>
      </c>
      <c r="AD605" s="25">
        <f t="shared" si="28"/>
        <v>6.1710590659690858</v>
      </c>
      <c r="AE605" s="43">
        <v>7.3222087209084119</v>
      </c>
      <c r="AF605" s="43">
        <v>18.467920754716982</v>
      </c>
      <c r="AG605" s="25">
        <f t="shared" si="27"/>
        <v>26.02373316844486</v>
      </c>
      <c r="AH605" s="43">
        <v>14.534801551830437</v>
      </c>
      <c r="AI605" s="43"/>
      <c r="AJ605" s="43"/>
    </row>
    <row r="606" spans="27:36" ht="13.5" x14ac:dyDescent="0.25">
      <c r="AA606" s="26"/>
      <c r="AB606" s="26">
        <v>38968</v>
      </c>
      <c r="AC606" s="43">
        <v>5.9147874761431174</v>
      </c>
      <c r="AD606" s="25">
        <f t="shared" si="28"/>
        <v>6.1710590659690858</v>
      </c>
      <c r="AE606" s="43">
        <v>7.4054229768150721</v>
      </c>
      <c r="AF606" s="43">
        <v>18.603770566037738</v>
      </c>
      <c r="AG606" s="25">
        <f t="shared" si="27"/>
        <v>26.02373316844486</v>
      </c>
      <c r="AH606" s="43">
        <v>14.71610233118227</v>
      </c>
      <c r="AI606" s="43"/>
      <c r="AJ606" s="43"/>
    </row>
    <row r="607" spans="27:36" ht="13.5" x14ac:dyDescent="0.25">
      <c r="AA607" s="26"/>
      <c r="AB607" s="26">
        <v>38975</v>
      </c>
      <c r="AC607" s="43">
        <v>5.9929693859183333</v>
      </c>
      <c r="AD607" s="25">
        <f t="shared" si="28"/>
        <v>6.1710590659690858</v>
      </c>
      <c r="AE607" s="43">
        <v>7.5815373301952231</v>
      </c>
      <c r="AF607" s="43">
        <v>19.201838066001535</v>
      </c>
      <c r="AG607" s="25">
        <f t="shared" si="27"/>
        <v>26.02373316844486</v>
      </c>
      <c r="AH607" s="43">
        <v>15.038665163965916</v>
      </c>
      <c r="AI607" s="43"/>
      <c r="AJ607" s="43"/>
    </row>
    <row r="608" spans="27:36" ht="13.5" x14ac:dyDescent="0.25">
      <c r="AA608" s="26"/>
      <c r="AB608" s="26">
        <v>38982</v>
      </c>
      <c r="AC608" s="43">
        <v>6.0155948610150523</v>
      </c>
      <c r="AD608" s="25">
        <f t="shared" si="28"/>
        <v>6.1710590659690858</v>
      </c>
      <c r="AE608" s="43">
        <v>7.5876371968817553</v>
      </c>
      <c r="AF608" s="43">
        <v>19.301608595548736</v>
      </c>
      <c r="AG608" s="25">
        <f t="shared" si="27"/>
        <v>26.02373316844486</v>
      </c>
      <c r="AH608" s="43">
        <v>15.039562841198963</v>
      </c>
      <c r="AI608" s="43"/>
      <c r="AJ608" s="43"/>
    </row>
    <row r="609" spans="27:36" ht="13.5" x14ac:dyDescent="0.25">
      <c r="AA609" s="26"/>
      <c r="AB609" s="26">
        <v>38989</v>
      </c>
      <c r="AC609" s="43">
        <v>5.9303148801118839</v>
      </c>
      <c r="AD609" s="25">
        <f t="shared" si="28"/>
        <v>6.1710590659690858</v>
      </c>
      <c r="AE609" s="43">
        <v>7.6045643089982802</v>
      </c>
      <c r="AF609" s="43">
        <v>18.925553338449731</v>
      </c>
      <c r="AG609" s="25">
        <f t="shared" si="27"/>
        <v>26.02373316844486</v>
      </c>
      <c r="AH609" s="43">
        <v>15.057769450468641</v>
      </c>
      <c r="AI609" s="43"/>
      <c r="AJ609" s="43"/>
    </row>
    <row r="610" spans="27:36" ht="13.5" x14ac:dyDescent="0.25">
      <c r="AA610" s="26"/>
      <c r="AB610" s="26">
        <v>38996</v>
      </c>
      <c r="AC610" s="43">
        <v>6.0115859793017838</v>
      </c>
      <c r="AD610" s="25">
        <f t="shared" si="28"/>
        <v>6.1710590659690858</v>
      </c>
      <c r="AE610" s="43">
        <v>7.8582260869693297</v>
      </c>
      <c r="AF610" s="43">
        <v>19.194164236377592</v>
      </c>
      <c r="AG610" s="25">
        <f t="shared" si="27"/>
        <v>26.02373316844486</v>
      </c>
      <c r="AH610" s="43">
        <v>15.23265659062489</v>
      </c>
      <c r="AI610" s="43"/>
      <c r="AJ610" s="43"/>
    </row>
    <row r="611" spans="27:36" ht="13.5" x14ac:dyDescent="0.25">
      <c r="AA611" s="26"/>
      <c r="AB611" s="26">
        <v>39003</v>
      </c>
      <c r="AC611" s="43">
        <v>6.004564074961622</v>
      </c>
      <c r="AD611" s="25">
        <f t="shared" si="28"/>
        <v>6.1710590659690858</v>
      </c>
      <c r="AE611" s="43">
        <v>7.8865569730853284</v>
      </c>
      <c r="AF611" s="43">
        <v>19.163466615502685</v>
      </c>
      <c r="AG611" s="25">
        <f t="shared" si="27"/>
        <v>26.02373316844486</v>
      </c>
      <c r="AH611" s="43">
        <v>15.292654788673341</v>
      </c>
      <c r="AI611" s="43"/>
      <c r="AJ611" s="43"/>
    </row>
    <row r="612" spans="27:36" ht="13.5" x14ac:dyDescent="0.25">
      <c r="AA612" s="26"/>
      <c r="AB612" s="26">
        <v>39010</v>
      </c>
      <c r="AC612" s="43">
        <v>6.0341190073972397</v>
      </c>
      <c r="AD612" s="25">
        <f t="shared" si="28"/>
        <v>6.1710590659690858</v>
      </c>
      <c r="AE612" s="43">
        <v>8.1070569523723535</v>
      </c>
      <c r="AF612" s="43">
        <v>19.785202068416869</v>
      </c>
      <c r="AG612" s="25">
        <f t="shared" si="27"/>
        <v>26.02373316844486</v>
      </c>
      <c r="AH612" s="43">
        <v>15.653171687796348</v>
      </c>
      <c r="AI612" s="43"/>
      <c r="AJ612" s="43"/>
    </row>
    <row r="613" spans="27:36" ht="13.5" x14ac:dyDescent="0.25">
      <c r="AA613" s="26"/>
      <c r="AB613" s="26">
        <v>39017</v>
      </c>
      <c r="AC613" s="43">
        <v>6.0270414961644194</v>
      </c>
      <c r="AD613" s="25">
        <f t="shared" si="28"/>
        <v>6.1710590659690858</v>
      </c>
      <c r="AE613" s="43">
        <v>8.0996208629198971</v>
      </c>
      <c r="AF613" s="43">
        <v>19.753379474940335</v>
      </c>
      <c r="AG613" s="25">
        <f t="shared" si="27"/>
        <v>26.02373316844486</v>
      </c>
      <c r="AH613" s="43">
        <v>15.652695031765285</v>
      </c>
      <c r="AI613" s="43"/>
      <c r="AJ613" s="43"/>
    </row>
    <row r="614" spans="27:36" ht="13.5" x14ac:dyDescent="0.25">
      <c r="AA614" s="26"/>
      <c r="AB614" s="26">
        <v>39024</v>
      </c>
      <c r="AC614" s="43">
        <v>6.0199645157316723</v>
      </c>
      <c r="AD614" s="25">
        <f t="shared" si="28"/>
        <v>6.1710590659690858</v>
      </c>
      <c r="AE614" s="43">
        <v>8.1027103844863078</v>
      </c>
      <c r="AF614" s="43">
        <v>19.721559268098648</v>
      </c>
      <c r="AG614" s="25">
        <f t="shared" ref="AG614:AG677" si="29">$Z$69</f>
        <v>26.02373316844486</v>
      </c>
      <c r="AH614" s="43">
        <v>15.706558070005229</v>
      </c>
      <c r="AI614" s="43"/>
      <c r="AJ614" s="43"/>
    </row>
    <row r="615" spans="27:36" ht="13.5" x14ac:dyDescent="0.25">
      <c r="AA615" s="26"/>
      <c r="AB615" s="26">
        <v>39031</v>
      </c>
      <c r="AC615" s="43">
        <v>6.0871991915765635</v>
      </c>
      <c r="AD615" s="25">
        <f t="shared" si="28"/>
        <v>6.1710590659690858</v>
      </c>
      <c r="AE615" s="43">
        <v>8.2953614049971254</v>
      </c>
      <c r="AF615" s="43">
        <v>20.023866348448692</v>
      </c>
      <c r="AG615" s="25">
        <f t="shared" si="29"/>
        <v>26.02373316844486</v>
      </c>
      <c r="AH615" s="43">
        <v>16.123445806123065</v>
      </c>
      <c r="AI615" s="43"/>
      <c r="AJ615" s="43"/>
    </row>
    <row r="616" spans="27:36" ht="13.5" x14ac:dyDescent="0.25">
      <c r="AA616" s="26"/>
      <c r="AB616" s="26">
        <v>39038</v>
      </c>
      <c r="AC616" s="43">
        <v>6.217140392166999</v>
      </c>
      <c r="AD616" s="25">
        <f t="shared" si="28"/>
        <v>6.1710590659690858</v>
      </c>
      <c r="AE616" s="43">
        <v>9.1132119532955791</v>
      </c>
      <c r="AF616" s="43">
        <v>20.162672505682892</v>
      </c>
      <c r="AG616" s="25">
        <f t="shared" si="29"/>
        <v>26.02373316844486</v>
      </c>
      <c r="AH616" s="43">
        <v>17.297505963525236</v>
      </c>
      <c r="AI616" s="43"/>
      <c r="AJ616" s="43"/>
    </row>
    <row r="617" spans="27:36" ht="13.5" x14ac:dyDescent="0.25">
      <c r="AA617" s="26"/>
      <c r="AB617" s="26">
        <v>39045</v>
      </c>
      <c r="AC617" s="43">
        <v>6.6114025147100701</v>
      </c>
      <c r="AD617" s="25">
        <f t="shared" si="28"/>
        <v>6.1710590659690858</v>
      </c>
      <c r="AE617" s="43">
        <v>8.814904841130069</v>
      </c>
      <c r="AF617" s="43">
        <v>19.803195380977773</v>
      </c>
      <c r="AG617" s="25">
        <f t="shared" si="29"/>
        <v>26.02373316844486</v>
      </c>
      <c r="AH617" s="43">
        <v>17.285149366767822</v>
      </c>
      <c r="AI617" s="43"/>
      <c r="AJ617" s="43"/>
    </row>
    <row r="618" spans="27:36" ht="13.5" x14ac:dyDescent="0.25">
      <c r="AA618" s="26"/>
      <c r="AB618" s="26">
        <v>39052</v>
      </c>
      <c r="AC618" s="43">
        <v>6.0208813071433225</v>
      </c>
      <c r="AD618" s="25">
        <f t="shared" si="28"/>
        <v>6.1710590659690858</v>
      </c>
      <c r="AE618" s="43">
        <v>8.8283867061447463</v>
      </c>
      <c r="AF618" s="43">
        <v>19.82716052262478</v>
      </c>
      <c r="AG618" s="25">
        <f t="shared" si="29"/>
        <v>26.02373316844486</v>
      </c>
      <c r="AH618" s="43">
        <v>17.593539871596573</v>
      </c>
      <c r="AI618" s="43"/>
      <c r="AJ618" s="43"/>
    </row>
    <row r="619" spans="27:36" ht="13.5" x14ac:dyDescent="0.25">
      <c r="AA619" s="26"/>
      <c r="AB619" s="26">
        <v>39059</v>
      </c>
      <c r="AC619" s="43">
        <v>6.114094341094539</v>
      </c>
      <c r="AD619" s="25">
        <f t="shared" si="28"/>
        <v>6.1710590659690858</v>
      </c>
      <c r="AE619" s="43">
        <v>8.9966195634469521</v>
      </c>
      <c r="AF619" s="43">
        <v>20.242556311172923</v>
      </c>
      <c r="AG619" s="25">
        <f t="shared" si="29"/>
        <v>26.02373316844486</v>
      </c>
      <c r="AH619" s="43">
        <v>17.855033024111776</v>
      </c>
      <c r="AI619" s="43"/>
      <c r="AJ619" s="43"/>
    </row>
    <row r="620" spans="27:36" ht="13.5" x14ac:dyDescent="0.25">
      <c r="AA620" s="26"/>
      <c r="AB620" s="26">
        <v>39066</v>
      </c>
      <c r="AC620" s="43">
        <v>6.15</v>
      </c>
      <c r="AD620" s="25">
        <f t="shared" si="28"/>
        <v>6.1710590659690858</v>
      </c>
      <c r="AE620" s="43">
        <v>9.15</v>
      </c>
      <c r="AF620" s="43">
        <v>20.57987855</v>
      </c>
      <c r="AG620" s="25">
        <f t="shared" si="29"/>
        <v>26.02373316844486</v>
      </c>
      <c r="AH620" s="43">
        <v>18.254897</v>
      </c>
      <c r="AI620" s="43"/>
      <c r="AJ620" s="43"/>
    </row>
    <row r="621" spans="27:36" ht="13.5" x14ac:dyDescent="0.25">
      <c r="AA621" s="26"/>
      <c r="AB621" s="26">
        <v>39073</v>
      </c>
      <c r="AC621" s="43">
        <v>6</v>
      </c>
      <c r="AD621" s="25">
        <f t="shared" si="28"/>
        <v>6.1710590659690858</v>
      </c>
      <c r="AE621" s="43">
        <v>9.1</v>
      </c>
      <c r="AF621" s="43">
        <v>20.2</v>
      </c>
      <c r="AG621" s="25">
        <f t="shared" si="29"/>
        <v>26.02373316844486</v>
      </c>
      <c r="AH621" s="43">
        <v>18.55614654</v>
      </c>
      <c r="AI621" s="43"/>
      <c r="AJ621" s="43"/>
    </row>
    <row r="622" spans="27:36" ht="13.5" x14ac:dyDescent="0.25">
      <c r="AA622" s="26"/>
      <c r="AB622" s="26">
        <v>39081</v>
      </c>
      <c r="AC622" s="43">
        <v>6.1696636497962265</v>
      </c>
      <c r="AD622" s="25">
        <f t="shared" si="28"/>
        <v>6.1710590659690858</v>
      </c>
      <c r="AE622" s="43">
        <v>9.4197798647329343</v>
      </c>
      <c r="AF622" s="43">
        <v>20.490196108192006</v>
      </c>
      <c r="AG622" s="25">
        <f t="shared" si="29"/>
        <v>26.02373316844486</v>
      </c>
      <c r="AH622" s="43">
        <v>18.709929384877253</v>
      </c>
      <c r="AI622" s="43"/>
      <c r="AJ622" s="43"/>
    </row>
    <row r="623" spans="27:36" ht="13.5" x14ac:dyDescent="0.25">
      <c r="AA623" s="26"/>
      <c r="AB623" s="26">
        <v>39087</v>
      </c>
      <c r="AC623" s="43">
        <v>6.0698932862930679</v>
      </c>
      <c r="AD623" s="25">
        <f t="shared" si="28"/>
        <v>6.1710590659690858</v>
      </c>
      <c r="AE623" s="43">
        <v>9.2797972063617653</v>
      </c>
      <c r="AF623" s="43">
        <v>20.263788968824944</v>
      </c>
      <c r="AG623" s="25">
        <f t="shared" si="29"/>
        <v>26.02373316844486</v>
      </c>
      <c r="AH623" s="43">
        <v>19.318056934186167</v>
      </c>
      <c r="AI623" s="43"/>
      <c r="AJ623" s="43"/>
    </row>
    <row r="624" spans="27:36" ht="13.5" x14ac:dyDescent="0.25">
      <c r="AA624" s="26"/>
      <c r="AB624" s="26">
        <v>39094</v>
      </c>
      <c r="AC624" s="43">
        <v>6.1090329952124769</v>
      </c>
      <c r="AD624" s="25">
        <f t="shared" si="28"/>
        <v>6.1710590659690858</v>
      </c>
      <c r="AE624" s="43">
        <v>9.4662236106433362</v>
      </c>
      <c r="AF624" s="43">
        <v>20.439648281374904</v>
      </c>
      <c r="AG624" s="25">
        <f t="shared" si="29"/>
        <v>26.02373316844486</v>
      </c>
      <c r="AH624" s="43">
        <v>19.787667727157526</v>
      </c>
      <c r="AI624" s="43"/>
      <c r="AJ624" s="43"/>
    </row>
    <row r="625" spans="27:36" ht="13.5" x14ac:dyDescent="0.25">
      <c r="AA625" s="26"/>
      <c r="AB625" s="26">
        <v>39101</v>
      </c>
      <c r="AC625" s="43">
        <v>5.9933929461324063</v>
      </c>
      <c r="AD625" s="25">
        <f t="shared" si="28"/>
        <v>6.1710590659690858</v>
      </c>
      <c r="AE625" s="43">
        <v>9.4601576126041635</v>
      </c>
      <c r="AF625" s="43">
        <v>19.92006394884093</v>
      </c>
      <c r="AG625" s="25">
        <f t="shared" si="29"/>
        <v>26.02373316844486</v>
      </c>
      <c r="AH625" s="43">
        <v>19.734012587700999</v>
      </c>
      <c r="AI625" s="43"/>
      <c r="AJ625" s="43"/>
    </row>
    <row r="626" spans="27:36" ht="13.5" x14ac:dyDescent="0.25">
      <c r="AA626" s="26"/>
      <c r="AB626" s="26">
        <v>39108</v>
      </c>
      <c r="AC626" s="43">
        <v>5.555739837306291</v>
      </c>
      <c r="AD626" s="25">
        <f t="shared" si="28"/>
        <v>6.1710590659690858</v>
      </c>
      <c r="AE626" s="43">
        <v>9.4129169839951636</v>
      </c>
      <c r="AF626" s="43">
        <v>17.953637090327739</v>
      </c>
      <c r="AG626" s="25">
        <f t="shared" si="29"/>
        <v>26.02373316844486</v>
      </c>
      <c r="AH626" s="43">
        <v>19.614785127515972</v>
      </c>
      <c r="AI626" s="43"/>
      <c r="AJ626" s="43"/>
    </row>
    <row r="627" spans="27:36" ht="13.5" x14ac:dyDescent="0.25">
      <c r="AA627" s="26"/>
      <c r="AB627" s="26">
        <v>39115</v>
      </c>
      <c r="AC627" s="43">
        <v>5.644693721214038</v>
      </c>
      <c r="AD627" s="25">
        <f t="shared" si="28"/>
        <v>6.1710590659690858</v>
      </c>
      <c r="AE627" s="43">
        <v>9.3204200084411344</v>
      </c>
      <c r="AF627" s="43">
        <v>18.353317346123102</v>
      </c>
      <c r="AG627" s="25">
        <f t="shared" si="29"/>
        <v>26.02373316844486</v>
      </c>
      <c r="AH627" s="43">
        <v>19.473243376664936</v>
      </c>
      <c r="AI627" s="43"/>
      <c r="AJ627" s="43"/>
    </row>
    <row r="628" spans="27:36" ht="13.5" x14ac:dyDescent="0.25">
      <c r="AA628" s="26"/>
      <c r="AB628" s="26">
        <v>39122</v>
      </c>
      <c r="AC628" s="43">
        <v>5.7775827636411572</v>
      </c>
      <c r="AD628" s="25">
        <f t="shared" si="28"/>
        <v>6.1710590659690858</v>
      </c>
      <c r="AE628" s="43">
        <v>9.4516945000000003</v>
      </c>
      <c r="AF628" s="43">
        <v>20.097609481682831</v>
      </c>
      <c r="AG628" s="25">
        <f t="shared" si="29"/>
        <v>26.02373316844486</v>
      </c>
      <c r="AH628" s="43">
        <v>19.699488379735854</v>
      </c>
      <c r="AI628" s="43"/>
      <c r="AJ628" s="43"/>
    </row>
    <row r="629" spans="27:36" ht="13.5" x14ac:dyDescent="0.25">
      <c r="AA629" s="26"/>
      <c r="AB629" s="26">
        <v>39129</v>
      </c>
      <c r="AC629" s="43">
        <v>5.7287634614117184</v>
      </c>
      <c r="AD629" s="25">
        <f t="shared" ref="AD629:AD692" si="30">$Z$100</f>
        <v>6.1710590659690858</v>
      </c>
      <c r="AE629" s="43">
        <v>9.7894894000000008</v>
      </c>
      <c r="AF629" s="43">
        <v>19.864541753527721</v>
      </c>
      <c r="AG629" s="25">
        <f t="shared" si="29"/>
        <v>26.02373316844486</v>
      </c>
      <c r="AH629" s="43">
        <v>19.888121725680499</v>
      </c>
      <c r="AI629" s="43"/>
      <c r="AJ629" s="43"/>
    </row>
    <row r="630" spans="27:36" ht="13.5" x14ac:dyDescent="0.25">
      <c r="AA630" s="26"/>
      <c r="AB630" s="26">
        <v>39136</v>
      </c>
      <c r="AC630" s="43">
        <v>5.7343964578228075</v>
      </c>
      <c r="AD630" s="25">
        <f t="shared" si="30"/>
        <v>6.1710590659690858</v>
      </c>
      <c r="AE630" s="43">
        <v>10</v>
      </c>
      <c r="AF630" s="43">
        <v>19.891434183699467</v>
      </c>
      <c r="AG630" s="25">
        <f t="shared" si="29"/>
        <v>26.02373316844486</v>
      </c>
      <c r="AH630" s="43">
        <v>19.927936060587712</v>
      </c>
      <c r="AI630" s="43"/>
      <c r="AJ630" s="43"/>
    </row>
    <row r="631" spans="27:36" ht="13.5" x14ac:dyDescent="0.25">
      <c r="AA631" s="26"/>
      <c r="AB631" s="26">
        <v>39143</v>
      </c>
      <c r="AC631" s="43">
        <v>5.5729172273715868</v>
      </c>
      <c r="AD631" s="25">
        <f t="shared" si="30"/>
        <v>6.1710590659690858</v>
      </c>
      <c r="AE631" s="43">
        <v>9.8461621907129349</v>
      </c>
      <c r="AF631" s="43">
        <v>19.12051785210949</v>
      </c>
      <c r="AG631" s="25">
        <f t="shared" si="29"/>
        <v>26.02373316844486</v>
      </c>
      <c r="AH631" s="43">
        <v>17.876882748533941</v>
      </c>
      <c r="AI631" s="43"/>
      <c r="AJ631" s="43"/>
    </row>
    <row r="632" spans="27:36" ht="13.5" x14ac:dyDescent="0.25">
      <c r="AA632" s="26"/>
      <c r="AB632" s="26">
        <v>39150</v>
      </c>
      <c r="AC632" s="43">
        <v>5.6517791771268344</v>
      </c>
      <c r="AD632" s="25">
        <f t="shared" si="30"/>
        <v>6.1710590659690858</v>
      </c>
      <c r="AE632" s="43">
        <v>9.5489449999999998</v>
      </c>
      <c r="AF632" s="43">
        <v>19.497011874513898</v>
      </c>
      <c r="AG632" s="25">
        <f t="shared" si="29"/>
        <v>26.02373316844486</v>
      </c>
      <c r="AH632" s="43">
        <v>17.495688305055925</v>
      </c>
      <c r="AI632" s="43"/>
      <c r="AJ632" s="43"/>
    </row>
    <row r="633" spans="27:36" ht="13.5" x14ac:dyDescent="0.25">
      <c r="AA633" s="26"/>
      <c r="AB633" s="26">
        <v>39157</v>
      </c>
      <c r="AC633" s="43">
        <v>5.8742123507962676</v>
      </c>
      <c r="AD633" s="25">
        <f t="shared" si="30"/>
        <v>6.1710590659690858</v>
      </c>
      <c r="AE633" s="43">
        <v>9.3091335619352371</v>
      </c>
      <c r="AF633" s="43">
        <v>22.536756178615533</v>
      </c>
      <c r="AG633" s="25">
        <f t="shared" si="29"/>
        <v>26.02373316844486</v>
      </c>
      <c r="AH633" s="43">
        <v>18.564362129999999</v>
      </c>
      <c r="AI633" s="43"/>
      <c r="AJ633" s="43"/>
    </row>
    <row r="634" spans="27:36" ht="13.5" x14ac:dyDescent="0.25">
      <c r="AA634" s="26"/>
      <c r="AB634" s="26">
        <v>39164</v>
      </c>
      <c r="AC634" s="43">
        <v>5.9648575950461504</v>
      </c>
      <c r="AD634" s="25">
        <f t="shared" si="30"/>
        <v>6.1710590659690858</v>
      </c>
      <c r="AE634" s="43">
        <v>9.548571768268058</v>
      </c>
      <c r="AF634" s="43">
        <v>23.019836693161814</v>
      </c>
      <c r="AG634" s="25">
        <f t="shared" si="29"/>
        <v>26.02373316844486</v>
      </c>
      <c r="AH634" s="43">
        <v>18.59845314</v>
      </c>
      <c r="AI634" s="43"/>
      <c r="AJ634" s="43"/>
    </row>
    <row r="635" spans="27:36" ht="13.5" x14ac:dyDescent="0.25">
      <c r="AA635" s="26"/>
      <c r="AB635" s="26">
        <v>39171</v>
      </c>
      <c r="AC635" s="43">
        <v>5.860418509279981</v>
      </c>
      <c r="AD635" s="25">
        <f t="shared" si="30"/>
        <v>6.1710590659690858</v>
      </c>
      <c r="AE635" s="43">
        <v>9.3820739221845741</v>
      </c>
      <c r="AF635" s="43">
        <v>22.463243926401969</v>
      </c>
      <c r="AG635" s="25">
        <f t="shared" si="29"/>
        <v>26.02373316844486</v>
      </c>
      <c r="AH635" s="43">
        <v>19.121654251399999</v>
      </c>
      <c r="AI635" s="43"/>
      <c r="AJ635" s="43"/>
    </row>
    <row r="636" spans="27:36" ht="13.5" x14ac:dyDescent="0.25">
      <c r="AA636" s="26"/>
      <c r="AB636" s="26">
        <v>39178</v>
      </c>
      <c r="AC636" s="43">
        <v>5.8348013750354477</v>
      </c>
      <c r="AD636" s="25">
        <f t="shared" si="30"/>
        <v>6.1710590659690858</v>
      </c>
      <c r="AE636" s="43">
        <v>9.5790291300720671</v>
      </c>
      <c r="AF636" s="43">
        <v>22.326721172291066</v>
      </c>
      <c r="AG636" s="25">
        <f t="shared" si="29"/>
        <v>26.02373316844486</v>
      </c>
      <c r="AH636" s="43">
        <v>19.462169423100001</v>
      </c>
      <c r="AI636" s="43"/>
      <c r="AJ636" s="43"/>
    </row>
    <row r="637" spans="27:36" ht="13.5" x14ac:dyDescent="0.25">
      <c r="AA637" s="26"/>
      <c r="AB637" s="26">
        <v>39185</v>
      </c>
      <c r="AC637" s="43">
        <v>5.8505657653397751</v>
      </c>
      <c r="AD637" s="25">
        <f t="shared" si="30"/>
        <v>6.1710590659690858</v>
      </c>
      <c r="AE637" s="43">
        <v>9.5892792257426258</v>
      </c>
      <c r="AF637" s="43">
        <v>22.410735174820854</v>
      </c>
      <c r="AG637" s="25">
        <f t="shared" si="29"/>
        <v>26.02373316844486</v>
      </c>
      <c r="AH637" s="43">
        <v>19.006512310000002</v>
      </c>
      <c r="AI637" s="43"/>
      <c r="AJ637" s="43"/>
    </row>
    <row r="638" spans="27:36" ht="13.5" x14ac:dyDescent="0.25">
      <c r="AA638" s="26"/>
      <c r="AB638" s="26">
        <v>39192</v>
      </c>
      <c r="AC638" s="43">
        <v>5.8781534483723492</v>
      </c>
      <c r="AD638" s="25">
        <f t="shared" si="30"/>
        <v>6.1710590659690858</v>
      </c>
      <c r="AE638" s="43">
        <v>9.575008551661929</v>
      </c>
      <c r="AF638" s="43">
        <v>22.55775967924798</v>
      </c>
      <c r="AG638" s="25">
        <f t="shared" si="29"/>
        <v>26.02373316844486</v>
      </c>
      <c r="AH638" s="43">
        <v>18.765165100000001</v>
      </c>
      <c r="AI638" s="43"/>
      <c r="AJ638" s="43"/>
    </row>
    <row r="639" spans="27:36" ht="13.5" x14ac:dyDescent="0.25">
      <c r="AA639" s="26"/>
      <c r="AB639" s="26">
        <v>39199</v>
      </c>
      <c r="AC639" s="43">
        <v>6.0653555832362374</v>
      </c>
      <c r="AD639" s="25">
        <f t="shared" si="30"/>
        <v>6.1710590659690858</v>
      </c>
      <c r="AE639" s="43">
        <v>9.4210503482086452</v>
      </c>
      <c r="AF639" s="43">
        <v>23.555425959289209</v>
      </c>
      <c r="AG639" s="25">
        <f t="shared" si="29"/>
        <v>26.02373316844486</v>
      </c>
      <c r="AH639" s="43">
        <v>19.598765100000001</v>
      </c>
      <c r="AI639" s="43"/>
      <c r="AJ639" s="43"/>
    </row>
    <row r="640" spans="27:36" ht="13.5" x14ac:dyDescent="0.25">
      <c r="AA640" s="26"/>
      <c r="AB640" s="26">
        <v>39206</v>
      </c>
      <c r="AC640" s="43">
        <v>6.2762043035566188</v>
      </c>
      <c r="AD640" s="25">
        <f t="shared" si="30"/>
        <v>6.1710590659690858</v>
      </c>
      <c r="AE640" s="43">
        <v>9.1136803158499458</v>
      </c>
      <c r="AF640" s="43">
        <v>24.679113243125119</v>
      </c>
      <c r="AG640" s="25">
        <f t="shared" si="29"/>
        <v>26.02373316844486</v>
      </c>
      <c r="AH640" s="43">
        <v>20.216545610000001</v>
      </c>
      <c r="AI640" s="43"/>
      <c r="AJ640" s="43"/>
    </row>
    <row r="641" spans="27:36" ht="13.5" x14ac:dyDescent="0.25">
      <c r="AA641" s="26"/>
      <c r="AB641" s="26">
        <v>39213</v>
      </c>
      <c r="AC641" s="43">
        <v>6.4712886335726711</v>
      </c>
      <c r="AD641" s="25">
        <f t="shared" si="30"/>
        <v>6.1710590659690858</v>
      </c>
      <c r="AE641" s="43">
        <v>7.825238325476608</v>
      </c>
      <c r="AF641" s="43">
        <v>25.677588466579291</v>
      </c>
      <c r="AG641" s="25">
        <f t="shared" si="29"/>
        <v>26.02373316844486</v>
      </c>
      <c r="AH641" s="43">
        <v>20.699841321000001</v>
      </c>
      <c r="AI641" s="43"/>
      <c r="AJ641" s="43"/>
    </row>
    <row r="642" spans="27:36" ht="13.5" x14ac:dyDescent="0.25">
      <c r="AA642" s="26"/>
      <c r="AB642" s="26">
        <v>39220</v>
      </c>
      <c r="AC642" s="43">
        <v>7.1432457702946319</v>
      </c>
      <c r="AD642" s="25">
        <f t="shared" si="30"/>
        <v>6.1710590659690858</v>
      </c>
      <c r="AE642" s="43">
        <v>8.6883588488608527</v>
      </c>
      <c r="AF642" s="43">
        <v>29.252948885976409</v>
      </c>
      <c r="AG642" s="25">
        <f t="shared" si="29"/>
        <v>26.02373316844486</v>
      </c>
      <c r="AH642" s="43">
        <v>20.145646509999999</v>
      </c>
      <c r="AI642" s="43"/>
      <c r="AJ642" s="43"/>
    </row>
    <row r="643" spans="27:36" ht="13.5" x14ac:dyDescent="0.25">
      <c r="AA643" s="26"/>
      <c r="AB643" s="26">
        <v>39227</v>
      </c>
      <c r="AC643" s="43">
        <v>6.7313759846301631</v>
      </c>
      <c r="AD643" s="25">
        <f t="shared" si="30"/>
        <v>6.1710590659690858</v>
      </c>
      <c r="AE643" s="43">
        <v>8.3772020196617358</v>
      </c>
      <c r="AF643" s="43">
        <v>26.29036642141212</v>
      </c>
      <c r="AG643" s="25">
        <f t="shared" si="29"/>
        <v>26.02373316844486</v>
      </c>
      <c r="AH643" s="43">
        <v>20.99841</v>
      </c>
      <c r="AI643" s="43"/>
      <c r="AJ643" s="43"/>
    </row>
    <row r="644" spans="27:36" ht="13.5" x14ac:dyDescent="0.25">
      <c r="AA644" s="26"/>
      <c r="AB644" s="26">
        <v>39234</v>
      </c>
      <c r="AC644" s="43">
        <v>6.8968559317963498</v>
      </c>
      <c r="AD644" s="25">
        <f t="shared" si="30"/>
        <v>6.1710590659690858</v>
      </c>
      <c r="AE644" s="43">
        <v>8.6630495751097669</v>
      </c>
      <c r="AF644" s="43">
        <v>26.622795187578824</v>
      </c>
      <c r="AG644" s="25">
        <f t="shared" si="29"/>
        <v>26.02373316844486</v>
      </c>
      <c r="AH644" s="43">
        <v>22.216548899999999</v>
      </c>
      <c r="AI644" s="43"/>
      <c r="AJ644" s="43"/>
    </row>
    <row r="645" spans="27:36" ht="13.5" x14ac:dyDescent="0.25">
      <c r="AA645" s="26"/>
      <c r="AB645" s="26">
        <v>39241</v>
      </c>
      <c r="AC645" s="43">
        <v>6.7894997358309315</v>
      </c>
      <c r="AD645" s="25">
        <f t="shared" si="30"/>
        <v>6.1710590659690858</v>
      </c>
      <c r="AE645" s="43">
        <v>8.7777489558178239</v>
      </c>
      <c r="AF645" s="43">
        <v>26.090909161712101</v>
      </c>
      <c r="AG645" s="25">
        <f t="shared" si="29"/>
        <v>26.02373316844486</v>
      </c>
      <c r="AH645" s="43">
        <v>22.489876541000001</v>
      </c>
      <c r="AI645" s="43"/>
      <c r="AJ645" s="43"/>
    </row>
    <row r="646" spans="27:36" ht="13.5" x14ac:dyDescent="0.25">
      <c r="AA646" s="26"/>
      <c r="AB646" s="26">
        <v>39248</v>
      </c>
      <c r="AC646" s="43">
        <v>6.799121415716856</v>
      </c>
      <c r="AD646" s="25">
        <f t="shared" si="30"/>
        <v>6.1710590659690858</v>
      </c>
      <c r="AE646" s="43">
        <v>9.8741643082147839</v>
      </c>
      <c r="AF646" s="43">
        <v>26.166892879693062</v>
      </c>
      <c r="AG646" s="25">
        <f t="shared" si="29"/>
        <v>26.02373316844486</v>
      </c>
      <c r="AH646" s="43">
        <v>22</v>
      </c>
      <c r="AI646" s="43"/>
      <c r="AJ646" s="43"/>
    </row>
    <row r="647" spans="27:36" ht="13.5" x14ac:dyDescent="0.25">
      <c r="AA647" s="26"/>
      <c r="AB647" s="26">
        <v>39255</v>
      </c>
      <c r="AC647" s="43">
        <v>6.5949579073674105</v>
      </c>
      <c r="AD647" s="25">
        <f t="shared" si="30"/>
        <v>6.1710590659690858</v>
      </c>
      <c r="AE647" s="43">
        <v>9.7621006227726728</v>
      </c>
      <c r="AF647" s="43">
        <v>25.299362976753621</v>
      </c>
      <c r="AG647" s="25">
        <f t="shared" si="29"/>
        <v>26.02373316844486</v>
      </c>
      <c r="AH647" s="43">
        <v>21.48946514</v>
      </c>
      <c r="AI647" s="43"/>
      <c r="AJ647" s="43"/>
    </row>
    <row r="648" spans="27:36" ht="13.5" x14ac:dyDescent="0.25">
      <c r="AA648" s="26"/>
      <c r="AB648" s="26">
        <v>39262</v>
      </c>
      <c r="AC648" s="43">
        <v>5.0815621659358152</v>
      </c>
      <c r="AD648" s="25">
        <f t="shared" si="30"/>
        <v>6.1710590659690858</v>
      </c>
      <c r="AE648" s="43">
        <v>9.3755545646103933</v>
      </c>
      <c r="AF648" s="43">
        <v>21.974522223011078</v>
      </c>
      <c r="AG648" s="25">
        <f t="shared" si="29"/>
        <v>26.02373316844486</v>
      </c>
      <c r="AH648" s="43">
        <v>21.939206250817261</v>
      </c>
      <c r="AI648" s="43"/>
      <c r="AJ648" s="43"/>
    </row>
    <row r="649" spans="27:36" ht="13.5" x14ac:dyDescent="0.25">
      <c r="AA649" s="26"/>
      <c r="AB649" s="26">
        <v>39269</v>
      </c>
      <c r="AC649" s="43">
        <v>5.0815621659358152</v>
      </c>
      <c r="AD649" s="25">
        <f t="shared" si="30"/>
        <v>6.1710590659690858</v>
      </c>
      <c r="AE649" s="43">
        <v>9.269071822155345</v>
      </c>
      <c r="AF649" s="43">
        <v>21.974522223011078</v>
      </c>
      <c r="AG649" s="25">
        <f t="shared" si="29"/>
        <v>26.02373316844486</v>
      </c>
      <c r="AH649" s="43">
        <v>21.891917228482043</v>
      </c>
      <c r="AI649" s="43"/>
      <c r="AJ649" s="43"/>
    </row>
    <row r="650" spans="27:36" ht="13.5" x14ac:dyDescent="0.25">
      <c r="AA650" s="26"/>
      <c r="AB650" s="26">
        <v>39276</v>
      </c>
      <c r="AC650" s="43">
        <v>5.107685276087004</v>
      </c>
      <c r="AD650" s="25">
        <f t="shared" si="30"/>
        <v>6.1710590659690858</v>
      </c>
      <c r="AE650" s="43">
        <v>9.8887067775550559</v>
      </c>
      <c r="AF650" s="43">
        <v>22.099141441667097</v>
      </c>
      <c r="AG650" s="25">
        <f t="shared" si="29"/>
        <v>26.02373316844486</v>
      </c>
      <c r="AH650" s="43">
        <v>22.093956454306277</v>
      </c>
      <c r="AI650" s="43"/>
      <c r="AJ650" s="43"/>
    </row>
    <row r="651" spans="27:36" ht="13.5" x14ac:dyDescent="0.25">
      <c r="AA651" s="26"/>
      <c r="AB651" s="26">
        <v>39283</v>
      </c>
      <c r="AC651" s="43">
        <v>5.0397651896939157</v>
      </c>
      <c r="AD651" s="25">
        <f t="shared" si="30"/>
        <v>6.1710590659690858</v>
      </c>
      <c r="AE651" s="43">
        <v>8.5275411375643468</v>
      </c>
      <c r="AF651" s="43">
        <v>21.775131473161451</v>
      </c>
      <c r="AG651" s="25">
        <f t="shared" si="29"/>
        <v>26.02373316844486</v>
      </c>
      <c r="AH651" s="43">
        <v>22.955905554516836</v>
      </c>
      <c r="AI651" s="43"/>
      <c r="AJ651" s="43"/>
    </row>
    <row r="652" spans="27:36" ht="13.5" x14ac:dyDescent="0.25">
      <c r="AA652" s="26"/>
      <c r="AB652" s="26">
        <v>39290</v>
      </c>
      <c r="AC652" s="43">
        <v>4.9074080982612296</v>
      </c>
      <c r="AD652" s="25">
        <f t="shared" si="30"/>
        <v>6.1710590659690858</v>
      </c>
      <c r="AE652" s="43">
        <v>8.1625767249698491</v>
      </c>
      <c r="AF652" s="43">
        <v>21.143727431970962</v>
      </c>
      <c r="AG652" s="25">
        <f t="shared" si="29"/>
        <v>26.02373316844486</v>
      </c>
      <c r="AH652" s="43">
        <v>20.96932585461002</v>
      </c>
      <c r="AI652" s="43"/>
      <c r="AJ652" s="43"/>
    </row>
    <row r="653" spans="27:36" ht="13.5" x14ac:dyDescent="0.25">
      <c r="AA653" s="26"/>
      <c r="AB653" s="26">
        <v>39297</v>
      </c>
      <c r="AC653" s="43">
        <v>4.9001034971747712</v>
      </c>
      <c r="AD653" s="25">
        <f t="shared" si="30"/>
        <v>6.1710590659690858</v>
      </c>
      <c r="AE653" s="43">
        <v>8.299745598555198</v>
      </c>
      <c r="AF653" s="43">
        <v>21.126405909014604</v>
      </c>
      <c r="AG653" s="25">
        <f t="shared" si="29"/>
        <v>26.02373316844486</v>
      </c>
      <c r="AH653" s="43">
        <v>21.166517322204431</v>
      </c>
      <c r="AI653" s="43"/>
      <c r="AJ653" s="43"/>
    </row>
    <row r="654" spans="27:36" ht="13.5" x14ac:dyDescent="0.25">
      <c r="AA654" s="26"/>
      <c r="AB654" s="26">
        <v>39304</v>
      </c>
      <c r="AC654" s="43">
        <v>4.6268243995025857</v>
      </c>
      <c r="AD654" s="25">
        <f t="shared" si="30"/>
        <v>6.1710590659690858</v>
      </c>
      <c r="AE654" s="43">
        <v>8.3698959423235415</v>
      </c>
      <c r="AF654" s="43">
        <v>19.80862850428068</v>
      </c>
      <c r="AG654" s="25">
        <f t="shared" si="29"/>
        <v>26.02373316844486</v>
      </c>
      <c r="AH654" s="43">
        <v>19.13902861198223</v>
      </c>
      <c r="AI654" s="43"/>
      <c r="AJ654" s="43"/>
    </row>
    <row r="655" spans="27:36" ht="13.5" x14ac:dyDescent="0.25">
      <c r="AA655" s="26"/>
      <c r="AB655" s="26">
        <v>39311</v>
      </c>
      <c r="AC655" s="43">
        <v>4.6795994502257994</v>
      </c>
      <c r="AD655" s="25">
        <f t="shared" si="30"/>
        <v>6.1710590659690858</v>
      </c>
      <c r="AE655" s="43">
        <v>8.2646795191229909</v>
      </c>
      <c r="AF655" s="43">
        <v>20.060433103911365</v>
      </c>
      <c r="AG655" s="25">
        <f t="shared" si="29"/>
        <v>26.02373316844486</v>
      </c>
      <c r="AH655" s="43">
        <v>18.614902393286858</v>
      </c>
      <c r="AI655" s="43"/>
      <c r="AJ655" s="43"/>
    </row>
    <row r="656" spans="27:36" ht="13.5" x14ac:dyDescent="0.25">
      <c r="AA656" s="26"/>
      <c r="AB656" s="26">
        <v>39318</v>
      </c>
      <c r="AC656" s="43">
        <v>4.8150554137487189</v>
      </c>
      <c r="AD656" s="25">
        <f t="shared" si="30"/>
        <v>6.1710590659690858</v>
      </c>
      <c r="AE656" s="43">
        <v>8.2779373851485563</v>
      </c>
      <c r="AF656" s="43">
        <v>20.706731576296797</v>
      </c>
      <c r="AG656" s="25">
        <f t="shared" si="29"/>
        <v>26.02373316844486</v>
      </c>
      <c r="AH656" s="43">
        <v>19.220538491051816</v>
      </c>
      <c r="AI656" s="43"/>
      <c r="AJ656" s="43"/>
    </row>
    <row r="657" spans="27:36" ht="13.5" x14ac:dyDescent="0.25">
      <c r="AA657" s="26"/>
      <c r="AB657" s="26">
        <v>39325</v>
      </c>
      <c r="AC657" s="43">
        <v>4.7482070161659795</v>
      </c>
      <c r="AD657" s="25">
        <f t="shared" si="30"/>
        <v>6.1710590659690858</v>
      </c>
      <c r="AE657" s="43">
        <v>8.3701717172396126</v>
      </c>
      <c r="AF657" s="43">
        <v>20.374667905967094</v>
      </c>
      <c r="AG657" s="25">
        <f t="shared" si="29"/>
        <v>26.02373316844486</v>
      </c>
      <c r="AH657" s="43">
        <v>19.385113211224059</v>
      </c>
      <c r="AI657" s="43"/>
      <c r="AJ657" s="43"/>
    </row>
    <row r="658" spans="27:36" ht="13.5" x14ac:dyDescent="0.25">
      <c r="AA658" s="26"/>
      <c r="AB658" s="26">
        <v>39332</v>
      </c>
      <c r="AC658" s="43">
        <v>4.6848769552981215</v>
      </c>
      <c r="AD658" s="25">
        <f t="shared" si="30"/>
        <v>6.1710590659690858</v>
      </c>
      <c r="AE658" s="43">
        <v>8.2761797506570307</v>
      </c>
      <c r="AF658" s="43">
        <v>20.072696706043335</v>
      </c>
      <c r="AG658" s="25">
        <f t="shared" si="29"/>
        <v>26.02373316844486</v>
      </c>
      <c r="AH658" s="43">
        <v>19.132947271550862</v>
      </c>
      <c r="AI658" s="43"/>
      <c r="AJ658" s="43"/>
    </row>
    <row r="659" spans="27:36" ht="13.5" x14ac:dyDescent="0.25">
      <c r="AA659" s="26"/>
      <c r="AB659" s="26">
        <v>39339</v>
      </c>
      <c r="AC659" s="43">
        <v>4.5494209917752029</v>
      </c>
      <c r="AD659" s="25">
        <f t="shared" si="30"/>
        <v>6.1710590659690858</v>
      </c>
      <c r="AE659" s="43">
        <v>8.2897568598854043</v>
      </c>
      <c r="AF659" s="43">
        <v>19.744245524296677</v>
      </c>
      <c r="AG659" s="25">
        <f t="shared" si="29"/>
        <v>26.02373316844486</v>
      </c>
      <c r="AH659" s="43">
        <v>19.156541879382917</v>
      </c>
      <c r="AI659" s="43"/>
      <c r="AJ659" s="43"/>
    </row>
    <row r="660" spans="27:36" ht="13.5" x14ac:dyDescent="0.25">
      <c r="AA660" s="26"/>
      <c r="AB660" s="26">
        <v>39346</v>
      </c>
      <c r="AC660" s="43">
        <v>4.3770224927460353</v>
      </c>
      <c r="AD660" s="25">
        <f t="shared" si="30"/>
        <v>6.1710590659690858</v>
      </c>
      <c r="AE660" s="43">
        <v>8.3650595167740232</v>
      </c>
      <c r="AF660" s="43">
        <v>18.908780903665818</v>
      </c>
      <c r="AG660" s="25">
        <f t="shared" si="29"/>
        <v>26.02373316844486</v>
      </c>
      <c r="AH660" s="43">
        <v>19.251834768864711</v>
      </c>
      <c r="AI660" s="43"/>
      <c r="AJ660" s="43"/>
    </row>
    <row r="661" spans="27:36" ht="13.5" x14ac:dyDescent="0.25">
      <c r="AA661" s="26"/>
      <c r="AB661" s="26">
        <v>39353</v>
      </c>
      <c r="AC661" s="43">
        <v>3.8255372963096725</v>
      </c>
      <c r="AD661" s="25">
        <f t="shared" si="30"/>
        <v>6.1710590659690858</v>
      </c>
      <c r="AE661" s="43">
        <v>8.2224738044245829</v>
      </c>
      <c r="AF661" s="43">
        <v>16.871270247229329</v>
      </c>
      <c r="AG661" s="25">
        <f t="shared" si="29"/>
        <v>26.02373316844486</v>
      </c>
      <c r="AH661" s="43">
        <v>19.014619455866601</v>
      </c>
      <c r="AI661" s="43"/>
      <c r="AJ661" s="43"/>
    </row>
    <row r="662" spans="27:36" ht="13.5" x14ac:dyDescent="0.25">
      <c r="AA662" s="26"/>
      <c r="AB662" s="26">
        <v>39360</v>
      </c>
      <c r="AC662" s="43">
        <v>3.1025992691580444</v>
      </c>
      <c r="AD662" s="25">
        <f t="shared" si="30"/>
        <v>6.1710590659690858</v>
      </c>
      <c r="AE662" s="43">
        <v>8.4101579647131253</v>
      </c>
      <c r="AF662" s="43">
        <v>15.043478260869566</v>
      </c>
      <c r="AG662" s="25">
        <f t="shared" si="29"/>
        <v>26.02373316844486</v>
      </c>
      <c r="AH662" s="43">
        <v>18.3466282087347</v>
      </c>
      <c r="AI662" s="43"/>
      <c r="AJ662" s="43"/>
    </row>
    <row r="663" spans="27:36" ht="13.5" x14ac:dyDescent="0.25">
      <c r="AA663" s="26"/>
      <c r="AB663" s="26">
        <v>39367</v>
      </c>
      <c r="AC663" s="43">
        <v>3.0015249952197833</v>
      </c>
      <c r="AD663" s="25">
        <f t="shared" si="30"/>
        <v>6.1710590659690858</v>
      </c>
      <c r="AE663" s="43">
        <v>8.2657530338300198</v>
      </c>
      <c r="AF663" s="43">
        <v>13.14975845410628</v>
      </c>
      <c r="AG663" s="25">
        <f t="shared" si="29"/>
        <v>26.02373316844486</v>
      </c>
      <c r="AH663" s="43">
        <v>17.827230901217941</v>
      </c>
      <c r="AI663" s="43"/>
      <c r="AJ663" s="43"/>
    </row>
    <row r="664" spans="27:36" ht="13.5" x14ac:dyDescent="0.25">
      <c r="AA664" s="26"/>
      <c r="AB664" s="26">
        <v>39374</v>
      </c>
      <c r="AC664" s="43">
        <v>2.7668271048885673</v>
      </c>
      <c r="AD664" s="25">
        <f t="shared" si="30"/>
        <v>6.1710590659690858</v>
      </c>
      <c r="AE664" s="43">
        <v>8.1726345444685276</v>
      </c>
      <c r="AF664" s="43">
        <v>13.14975845410628</v>
      </c>
      <c r="AG664" s="25">
        <f t="shared" si="29"/>
        <v>26.02373316844486</v>
      </c>
      <c r="AH664" s="43">
        <v>17.827230901217941</v>
      </c>
      <c r="AI664" s="43"/>
      <c r="AJ664" s="43"/>
    </row>
    <row r="665" spans="27:36" ht="13.5" x14ac:dyDescent="0.25">
      <c r="AA665" s="26"/>
      <c r="AB665" s="26">
        <v>39381</v>
      </c>
      <c r="AC665" s="43">
        <v>3.0360595083813124</v>
      </c>
      <c r="AD665" s="25">
        <f t="shared" si="30"/>
        <v>6.1710590659690858</v>
      </c>
      <c r="AE665" s="43">
        <v>8.5894361033289339</v>
      </c>
      <c r="AF665" s="43">
        <v>17.298335467349553</v>
      </c>
      <c r="AG665" s="25">
        <f t="shared" si="29"/>
        <v>26.02373316844486</v>
      </c>
      <c r="AH665" s="43">
        <v>17.689266703276051</v>
      </c>
      <c r="AI665" s="43"/>
      <c r="AJ665" s="43"/>
    </row>
    <row r="666" spans="27:36" ht="13.5" x14ac:dyDescent="0.25">
      <c r="AA666" s="26"/>
      <c r="AB666" s="26">
        <v>39388</v>
      </c>
      <c r="AC666" s="43">
        <v>2.9315589878688733</v>
      </c>
      <c r="AD666" s="25">
        <f t="shared" si="30"/>
        <v>6.1710590659690858</v>
      </c>
      <c r="AE666" s="43">
        <v>7.9744513143144813</v>
      </c>
      <c r="AF666" s="43">
        <v>16.517285531370039</v>
      </c>
      <c r="AG666" s="25">
        <f t="shared" si="29"/>
        <v>26.02373316844486</v>
      </c>
      <c r="AH666" s="43">
        <v>17.317869999946211</v>
      </c>
      <c r="AI666" s="43"/>
      <c r="AJ666" s="43"/>
    </row>
    <row r="667" spans="27:36" ht="13.5" x14ac:dyDescent="0.25">
      <c r="AA667" s="26"/>
      <c r="AB667" s="26">
        <v>39395</v>
      </c>
      <c r="AC667" s="43">
        <v>3.585119039176965</v>
      </c>
      <c r="AD667" s="25">
        <f t="shared" si="30"/>
        <v>6.1710590659690858</v>
      </c>
      <c r="AE667" s="43">
        <v>7.796006146005916</v>
      </c>
      <c r="AF667" s="43">
        <v>15.749039692701665</v>
      </c>
      <c r="AG667" s="25">
        <f t="shared" si="29"/>
        <v>26.02373316844486</v>
      </c>
      <c r="AH667" s="43">
        <v>16.737795762332283</v>
      </c>
      <c r="AI667" s="43"/>
      <c r="AJ667" s="43"/>
    </row>
    <row r="668" spans="27:36" ht="13.5" x14ac:dyDescent="0.25">
      <c r="AA668" s="26"/>
      <c r="AB668" s="26">
        <v>39402</v>
      </c>
      <c r="AC668" s="43">
        <v>3.6195007633865055</v>
      </c>
      <c r="AD668" s="25">
        <f t="shared" si="30"/>
        <v>6.1710590659690858</v>
      </c>
      <c r="AE668" s="43">
        <v>7.7739997509080023</v>
      </c>
      <c r="AF668" s="43">
        <v>15.902688860435338</v>
      </c>
      <c r="AG668" s="25">
        <f t="shared" si="29"/>
        <v>26.02373316844486</v>
      </c>
      <c r="AH668" s="43">
        <v>16.261611174441221</v>
      </c>
      <c r="AI668" s="43"/>
      <c r="AJ668" s="43"/>
    </row>
    <row r="669" spans="27:36" ht="13.5" x14ac:dyDescent="0.25">
      <c r="AA669" s="26"/>
      <c r="AB669" s="26">
        <v>39409</v>
      </c>
      <c r="AC669" s="43">
        <v>3.6090620427743882</v>
      </c>
      <c r="AD669" s="25">
        <f t="shared" si="30"/>
        <v>6.1710590659690858</v>
      </c>
      <c r="AE669" s="43">
        <v>7.7535120860538518</v>
      </c>
      <c r="AF669" s="43">
        <v>15.83866837387964</v>
      </c>
      <c r="AG669" s="25">
        <f t="shared" si="29"/>
        <v>26.02373316844486</v>
      </c>
      <c r="AH669" s="43">
        <v>16.396126107982422</v>
      </c>
      <c r="AI669" s="43"/>
      <c r="AJ669" s="43"/>
    </row>
    <row r="670" spans="27:36" ht="13.5" x14ac:dyDescent="0.25">
      <c r="AA670" s="26"/>
      <c r="AB670" s="26">
        <v>39416</v>
      </c>
      <c r="AC670" s="43">
        <v>3.5986233221622723</v>
      </c>
      <c r="AD670" s="25">
        <f t="shared" si="30"/>
        <v>6.1710590659690858</v>
      </c>
      <c r="AE670" s="43">
        <v>7.7315283944387643</v>
      </c>
      <c r="AF670" s="43">
        <v>15.774647887323944</v>
      </c>
      <c r="AG670" s="25">
        <f t="shared" si="29"/>
        <v>26.02373316844486</v>
      </c>
      <c r="AH670" s="43">
        <v>15.520842761419006</v>
      </c>
      <c r="AI670" s="43"/>
      <c r="AJ670" s="43"/>
    </row>
    <row r="671" spans="27:36" ht="13.5" x14ac:dyDescent="0.25">
      <c r="AA671" s="26"/>
      <c r="AB671" s="26">
        <v>39423</v>
      </c>
      <c r="AC671" s="43">
        <v>3.5631316720810755</v>
      </c>
      <c r="AD671" s="25">
        <f t="shared" si="30"/>
        <v>6.1710590659690858</v>
      </c>
      <c r="AE671" s="43">
        <v>7.9721746515881202</v>
      </c>
      <c r="AF671" s="43">
        <v>14.073359127696367</v>
      </c>
      <c r="AG671" s="25">
        <f t="shared" si="29"/>
        <v>26.02373316844486</v>
      </c>
      <c r="AH671" s="43">
        <v>14.980485218080211</v>
      </c>
      <c r="AI671" s="43"/>
      <c r="AJ671" s="43"/>
    </row>
    <row r="672" spans="27:36" ht="13.5" x14ac:dyDescent="0.25">
      <c r="AA672" s="26"/>
      <c r="AB672" s="26">
        <v>39430</v>
      </c>
      <c r="AC672" s="43">
        <v>3.4419710202521165</v>
      </c>
      <c r="AD672" s="25">
        <f t="shared" si="30"/>
        <v>6.1710590659690858</v>
      </c>
      <c r="AE672" s="43">
        <v>7.9721746515881202</v>
      </c>
      <c r="AF672" s="43">
        <v>12.915057964923005</v>
      </c>
      <c r="AG672" s="25">
        <f t="shared" si="29"/>
        <v>26.02373316844486</v>
      </c>
      <c r="AH672" s="43">
        <v>14.980485218080211</v>
      </c>
      <c r="AI672" s="43"/>
      <c r="AJ672" s="43"/>
    </row>
    <row r="673" spans="27:36" ht="13.5" x14ac:dyDescent="0.25">
      <c r="AA673" s="26"/>
      <c r="AB673" s="26">
        <v>39437</v>
      </c>
      <c r="AC673" s="43">
        <v>3.5442704822508597</v>
      </c>
      <c r="AD673" s="25">
        <f t="shared" si="30"/>
        <v>6.1710590659690858</v>
      </c>
      <c r="AE673" s="43">
        <v>7.9278188525685858</v>
      </c>
      <c r="AF673" s="43">
        <v>13.482625534681953</v>
      </c>
      <c r="AG673" s="25">
        <f t="shared" si="29"/>
        <v>26.02373316844486</v>
      </c>
      <c r="AH673" s="43">
        <v>14.905071541992532</v>
      </c>
      <c r="AI673" s="43"/>
      <c r="AJ673" s="43"/>
    </row>
    <row r="674" spans="27:36" ht="13.5" x14ac:dyDescent="0.25">
      <c r="AA674" s="26"/>
      <c r="AB674" s="26">
        <v>39447</v>
      </c>
      <c r="AC674" s="43">
        <v>3.5233930410266261</v>
      </c>
      <c r="AD674" s="25">
        <f t="shared" si="30"/>
        <v>6.1710590659690858</v>
      </c>
      <c r="AE674" s="43">
        <v>7.8527250532397295</v>
      </c>
      <c r="AF674" s="43">
        <v>13.366795418404614</v>
      </c>
      <c r="AG674" s="25">
        <f t="shared" si="29"/>
        <v>26.02373316844486</v>
      </c>
      <c r="AH674" s="43">
        <v>14.760011086695631</v>
      </c>
      <c r="AI674" s="43"/>
      <c r="AJ674" s="43"/>
    </row>
    <row r="675" spans="27:36" ht="13.5" x14ac:dyDescent="0.25">
      <c r="AA675" s="26"/>
      <c r="AB675" s="26">
        <v>39451</v>
      </c>
      <c r="AC675" s="43">
        <v>3.3375838141309493</v>
      </c>
      <c r="AD675" s="25">
        <f t="shared" si="30"/>
        <v>6.1710590659690858</v>
      </c>
      <c r="AE675" s="43">
        <v>7.5986441660369364</v>
      </c>
      <c r="AF675" s="43">
        <v>12.335907383536322</v>
      </c>
      <c r="AG675" s="25">
        <f t="shared" si="29"/>
        <v>26.02373316844486</v>
      </c>
      <c r="AH675" s="43">
        <v>14.17752439690644</v>
      </c>
      <c r="AI675" s="43"/>
      <c r="AJ675" s="43"/>
    </row>
    <row r="676" spans="27:36" ht="13.5" x14ac:dyDescent="0.25">
      <c r="AA676" s="26"/>
      <c r="AB676" s="26">
        <v>39458</v>
      </c>
      <c r="AC676" s="43">
        <v>3.2039681902958557</v>
      </c>
      <c r="AD676" s="25">
        <f t="shared" si="30"/>
        <v>6.1710590659690858</v>
      </c>
      <c r="AE676" s="43">
        <v>7.371659670908655</v>
      </c>
      <c r="AF676" s="43">
        <v>11.594594639361368</v>
      </c>
      <c r="AG676" s="25">
        <f t="shared" si="29"/>
        <v>26.02373316844486</v>
      </c>
      <c r="AH676" s="43">
        <v>13.679939214367643</v>
      </c>
      <c r="AI676" s="43"/>
      <c r="AJ676" s="43"/>
    </row>
    <row r="677" spans="27:36" ht="13.5" x14ac:dyDescent="0.25">
      <c r="AA677" s="26"/>
      <c r="AB677" s="26">
        <v>39465</v>
      </c>
      <c r="AC677" s="43">
        <v>3.0724403105831852</v>
      </c>
      <c r="AD677" s="25">
        <f t="shared" si="30"/>
        <v>6.1710590659690858</v>
      </c>
      <c r="AE677" s="43">
        <v>7.1632493121799659</v>
      </c>
      <c r="AF677" s="43">
        <v>10.864864906814152</v>
      </c>
      <c r="AG677" s="25">
        <f t="shared" si="29"/>
        <v>26.02373316844486</v>
      </c>
      <c r="AH677" s="43">
        <v>13.170462005718894</v>
      </c>
      <c r="AI677" s="43"/>
      <c r="AJ677" s="43"/>
    </row>
    <row r="678" spans="27:36" ht="13.5" x14ac:dyDescent="0.25">
      <c r="AA678" s="26"/>
      <c r="AB678" s="26">
        <v>39472</v>
      </c>
      <c r="AC678" s="43">
        <v>3.4787900685139967</v>
      </c>
      <c r="AD678" s="25">
        <f t="shared" si="30"/>
        <v>6.1710590659690858</v>
      </c>
      <c r="AE678" s="43">
        <v>7.6819021620813892</v>
      </c>
      <c r="AF678" s="43">
        <v>13.906666666666666</v>
      </c>
      <c r="AG678" s="25">
        <f t="shared" ref="AG678:AG741" si="31">$Z$69</f>
        <v>26.02373316844486</v>
      </c>
      <c r="AH678" s="43">
        <v>14.031086075474278</v>
      </c>
      <c r="AI678" s="43"/>
      <c r="AJ678" s="43"/>
    </row>
    <row r="679" spans="27:36" ht="13.5" x14ac:dyDescent="0.25">
      <c r="AA679" s="26"/>
      <c r="AB679" s="26">
        <v>39479</v>
      </c>
      <c r="AC679" s="43">
        <v>3.6605139970105443</v>
      </c>
      <c r="AD679" s="25">
        <f t="shared" si="30"/>
        <v>6.1710590659690858</v>
      </c>
      <c r="AE679" s="43">
        <v>8.1651700491540797</v>
      </c>
      <c r="AF679" s="43">
        <v>15.013333333333334</v>
      </c>
      <c r="AG679" s="25">
        <f t="shared" si="31"/>
        <v>26.02373316844486</v>
      </c>
      <c r="AH679" s="43">
        <v>14.442280017646915</v>
      </c>
      <c r="AI679" s="43"/>
      <c r="AJ679" s="43"/>
    </row>
    <row r="680" spans="27:36" ht="13.5" x14ac:dyDescent="0.25">
      <c r="AA680" s="26"/>
      <c r="AB680" s="26">
        <v>39486</v>
      </c>
      <c r="AC680" s="43">
        <v>3.5859376001839669</v>
      </c>
      <c r="AD680" s="25">
        <f t="shared" si="30"/>
        <v>6.1710590659690858</v>
      </c>
      <c r="AE680" s="43">
        <v>7.8355486885505057</v>
      </c>
      <c r="AF680" s="43">
        <v>15.293333333333335</v>
      </c>
      <c r="AG680" s="25">
        <f t="shared" si="31"/>
        <v>26.02373316844486</v>
      </c>
      <c r="AH680" s="43">
        <v>13.707685793608304</v>
      </c>
      <c r="AI680" s="43"/>
      <c r="AJ680" s="43"/>
    </row>
    <row r="681" spans="27:36" ht="13.5" x14ac:dyDescent="0.25">
      <c r="AA681" s="26"/>
      <c r="AB681" s="26">
        <v>39493</v>
      </c>
      <c r="AC681" s="43">
        <v>3.7301557087106785</v>
      </c>
      <c r="AD681" s="25">
        <f t="shared" si="30"/>
        <v>6.1710590659690858</v>
      </c>
      <c r="AE681" s="43">
        <v>8.2710050349633857</v>
      </c>
      <c r="AF681" s="43">
        <v>17.16</v>
      </c>
      <c r="AG681" s="25">
        <f t="shared" si="31"/>
        <v>26.02373316844486</v>
      </c>
      <c r="AH681" s="43">
        <v>14.491388157819532</v>
      </c>
      <c r="AI681" s="43"/>
      <c r="AJ681" s="43"/>
    </row>
    <row r="682" spans="27:36" ht="13.5" x14ac:dyDescent="0.25">
      <c r="AA682" s="26"/>
      <c r="AB682" s="26">
        <v>39500</v>
      </c>
      <c r="AC682" s="43">
        <v>3.843354169343876</v>
      </c>
      <c r="AD682" s="25">
        <f t="shared" si="30"/>
        <v>6.1710590659690858</v>
      </c>
      <c r="AE682" s="43">
        <v>8.5987658569823644</v>
      </c>
      <c r="AF682" s="43">
        <v>17.920000000000002</v>
      </c>
      <c r="AG682" s="25">
        <f t="shared" si="31"/>
        <v>26.02373316844486</v>
      </c>
      <c r="AH682" s="43">
        <v>15.42449052659218</v>
      </c>
      <c r="AI682" s="43"/>
      <c r="AJ682" s="43"/>
    </row>
    <row r="683" spans="27:36" ht="13.5" x14ac:dyDescent="0.25">
      <c r="AA683" s="26"/>
      <c r="AB683" s="26">
        <v>39507</v>
      </c>
      <c r="AC683" s="43">
        <v>3.6911973108425262</v>
      </c>
      <c r="AD683" s="25">
        <f t="shared" si="30"/>
        <v>6.1710590659690858</v>
      </c>
      <c r="AE683" s="43">
        <v>8.4272096340360338</v>
      </c>
      <c r="AF683" s="43">
        <v>16.946666666666669</v>
      </c>
      <c r="AG683" s="25">
        <f t="shared" si="31"/>
        <v>26.02373316844486</v>
      </c>
      <c r="AH683" s="43">
        <v>15.142346863473865</v>
      </c>
      <c r="AI683" s="43"/>
      <c r="AJ683" s="43"/>
    </row>
    <row r="684" spans="27:36" ht="13.5" x14ac:dyDescent="0.25">
      <c r="AA684" s="26"/>
      <c r="AB684" s="26">
        <v>39514</v>
      </c>
      <c r="AC684" s="43">
        <v>3.8</v>
      </c>
      <c r="AD684" s="25">
        <f t="shared" si="30"/>
        <v>6.1710590659690858</v>
      </c>
      <c r="AE684" s="43">
        <v>8.0964315279796413</v>
      </c>
      <c r="AF684" s="43">
        <v>15.946666666666667</v>
      </c>
      <c r="AG684" s="25">
        <f t="shared" si="31"/>
        <v>26.02373316844486</v>
      </c>
      <c r="AH684" s="43">
        <v>14.577774232288887</v>
      </c>
      <c r="AI684" s="43"/>
      <c r="AJ684" s="43"/>
    </row>
    <row r="685" spans="27:36" ht="13.5" x14ac:dyDescent="0.25">
      <c r="AA685" s="26"/>
      <c r="AB685" s="26">
        <v>39521</v>
      </c>
      <c r="AC685" s="43">
        <v>3.95</v>
      </c>
      <c r="AD685" s="25">
        <f t="shared" si="30"/>
        <v>6.1710590659690858</v>
      </c>
      <c r="AE685" s="43">
        <v>7.9188781118772136</v>
      </c>
      <c r="AF685" s="43">
        <v>15.133333333333333</v>
      </c>
      <c r="AG685" s="25">
        <f t="shared" si="31"/>
        <v>26.02373316844486</v>
      </c>
      <c r="AH685" s="43">
        <v>14.272377663347246</v>
      </c>
      <c r="AI685" s="43"/>
      <c r="AJ685" s="43"/>
    </row>
    <row r="686" spans="27:36" ht="13.5" x14ac:dyDescent="0.25">
      <c r="AA686" s="26"/>
      <c r="AB686" s="26">
        <v>39528</v>
      </c>
      <c r="AC686" s="43">
        <v>4.2221513530330794</v>
      </c>
      <c r="AD686" s="25">
        <f t="shared" si="30"/>
        <v>6.1710590659690858</v>
      </c>
      <c r="AE686" s="43">
        <v>7.2983422772570572</v>
      </c>
      <c r="AF686" s="43">
        <v>15.586666666666666</v>
      </c>
      <c r="AG686" s="25">
        <f t="shared" si="31"/>
        <v>26.02373316844486</v>
      </c>
      <c r="AH686" s="43">
        <v>14.212022340476803</v>
      </c>
      <c r="AI686" s="43"/>
      <c r="AJ686" s="43"/>
    </row>
    <row r="687" spans="27:36" ht="13.5" x14ac:dyDescent="0.25">
      <c r="AA687" s="26"/>
      <c r="AB687" s="26">
        <v>39538</v>
      </c>
      <c r="AC687" s="43">
        <v>4.2596694825265633</v>
      </c>
      <c r="AD687" s="25">
        <f t="shared" si="30"/>
        <v>6.1710590659690858</v>
      </c>
      <c r="AE687" s="43">
        <v>7.1063912115486509</v>
      </c>
      <c r="AF687" s="43">
        <v>15.826666666666666</v>
      </c>
      <c r="AG687" s="25">
        <f t="shared" si="31"/>
        <v>26.02373316844486</v>
      </c>
      <c r="AH687" s="43">
        <v>13.233324965810976</v>
      </c>
      <c r="AI687" s="43"/>
      <c r="AJ687" s="43"/>
    </row>
    <row r="688" spans="27:36" ht="13.5" x14ac:dyDescent="0.25">
      <c r="AA688" s="26"/>
      <c r="AB688" s="26">
        <v>39542</v>
      </c>
      <c r="AC688" s="43">
        <v>4.2409104177798218</v>
      </c>
      <c r="AD688" s="25">
        <f t="shared" si="30"/>
        <v>6.1710590659690858</v>
      </c>
      <c r="AE688" s="43">
        <v>6.8981530512755667</v>
      </c>
      <c r="AF688" s="43">
        <v>15.706666666666665</v>
      </c>
      <c r="AG688" s="25">
        <f t="shared" si="31"/>
        <v>26.02373316844486</v>
      </c>
      <c r="AH688" s="43">
        <v>16.305673975547403</v>
      </c>
      <c r="AI688" s="43"/>
      <c r="AJ688" s="43"/>
    </row>
    <row r="689" spans="27:36" ht="13.5" x14ac:dyDescent="0.25">
      <c r="AA689" s="26"/>
      <c r="AB689" s="26">
        <v>39549</v>
      </c>
      <c r="AC689" s="43">
        <v>3.9960004058084717</v>
      </c>
      <c r="AD689" s="25">
        <f t="shared" si="30"/>
        <v>6.1710590659690858</v>
      </c>
      <c r="AE689" s="43">
        <v>7.0047343270227911</v>
      </c>
      <c r="AF689" s="43">
        <v>14.14</v>
      </c>
      <c r="AG689" s="25">
        <f t="shared" si="31"/>
        <v>26.02373316844486</v>
      </c>
      <c r="AH689" s="43">
        <v>16.557860586571863</v>
      </c>
      <c r="AI689" s="43"/>
      <c r="AJ689" s="43"/>
    </row>
    <row r="690" spans="27:36" ht="13.5" x14ac:dyDescent="0.25">
      <c r="AA690" s="26"/>
      <c r="AB690" s="26">
        <v>39556</v>
      </c>
      <c r="AC690" s="43">
        <v>3.9960004058084717</v>
      </c>
      <c r="AD690" s="25">
        <f t="shared" si="30"/>
        <v>6.1710590659690858</v>
      </c>
      <c r="AE690" s="43">
        <v>7.0047343270227911</v>
      </c>
      <c r="AF690" s="43">
        <v>14.14</v>
      </c>
      <c r="AG690" s="25">
        <f t="shared" si="31"/>
        <v>26.02373316844486</v>
      </c>
      <c r="AH690" s="43">
        <v>16.557860586571863</v>
      </c>
      <c r="AI690" s="43"/>
      <c r="AJ690" s="43"/>
    </row>
    <row r="691" spans="27:36" ht="13.5" x14ac:dyDescent="0.25">
      <c r="AA691" s="26"/>
      <c r="AB691" s="26">
        <v>39563</v>
      </c>
      <c r="AC691" s="43">
        <v>4.253416460944317</v>
      </c>
      <c r="AD691" s="25">
        <f t="shared" si="30"/>
        <v>6.1710590659690858</v>
      </c>
      <c r="AE691" s="43">
        <v>7.2509919716727893</v>
      </c>
      <c r="AF691" s="43">
        <v>15.786666666666667</v>
      </c>
      <c r="AG691" s="25">
        <f t="shared" si="31"/>
        <v>26.02373316844486</v>
      </c>
      <c r="AH691" s="43">
        <v>17.299404437111004</v>
      </c>
      <c r="AI691" s="43"/>
      <c r="AJ691" s="43"/>
    </row>
    <row r="692" spans="27:36" ht="13.5" x14ac:dyDescent="0.25">
      <c r="AA692" s="26"/>
      <c r="AB692" s="26">
        <v>39570</v>
      </c>
      <c r="AC692" s="43">
        <v>4.4000000000000004</v>
      </c>
      <c r="AD692" s="25">
        <f t="shared" si="30"/>
        <v>6.1710590659690858</v>
      </c>
      <c r="AE692" s="43">
        <v>7.2953702649175725</v>
      </c>
      <c r="AF692" s="43">
        <v>16.32</v>
      </c>
      <c r="AG692" s="25">
        <f t="shared" si="31"/>
        <v>26.02373316844486</v>
      </c>
      <c r="AH692" s="43">
        <v>17.729340612391287</v>
      </c>
      <c r="AI692" s="43"/>
      <c r="AJ692" s="43"/>
    </row>
    <row r="693" spans="27:36" ht="13.5" x14ac:dyDescent="0.25">
      <c r="AA693" s="26"/>
      <c r="AB693" s="26">
        <v>39577</v>
      </c>
      <c r="AC693" s="43">
        <v>4.7</v>
      </c>
      <c r="AD693" s="25">
        <f t="shared" ref="AD693:AD756" si="32">$Z$100</f>
        <v>6.1710590659690858</v>
      </c>
      <c r="AE693" s="43">
        <v>7.7776326975545294</v>
      </c>
      <c r="AF693" s="43">
        <v>16.013157894736842</v>
      </c>
      <c r="AG693" s="25">
        <f t="shared" si="31"/>
        <v>26.02373316844486</v>
      </c>
      <c r="AH693" s="43">
        <v>17.883959528247594</v>
      </c>
      <c r="AI693" s="43"/>
      <c r="AJ693" s="43"/>
    </row>
    <row r="694" spans="27:36" ht="13.5" x14ac:dyDescent="0.25">
      <c r="AA694" s="26"/>
      <c r="AB694" s="26">
        <v>39584</v>
      </c>
      <c r="AC694" s="43">
        <v>5</v>
      </c>
      <c r="AD694" s="25">
        <f t="shared" si="32"/>
        <v>6.1710590659690858</v>
      </c>
      <c r="AE694" s="43">
        <v>8.2400768904982993</v>
      </c>
      <c r="AF694" s="43">
        <v>16.5</v>
      </c>
      <c r="AG694" s="25">
        <f t="shared" si="31"/>
        <v>26.02373316844486</v>
      </c>
      <c r="AH694" s="43">
        <v>18.112347073008621</v>
      </c>
      <c r="AI694" s="43"/>
      <c r="AJ694" s="43"/>
    </row>
    <row r="695" spans="27:36" ht="13.5" x14ac:dyDescent="0.25">
      <c r="AA695" s="26"/>
      <c r="AB695" s="26">
        <v>39591</v>
      </c>
      <c r="AC695" s="43">
        <v>5.1068211142178148</v>
      </c>
      <c r="AD695" s="25">
        <f t="shared" si="32"/>
        <v>6.1710590659690858</v>
      </c>
      <c r="AE695" s="43">
        <v>7.8529908688838201</v>
      </c>
      <c r="AF695" s="43">
        <v>15.846994535519125</v>
      </c>
      <c r="AG695" s="25">
        <f t="shared" si="31"/>
        <v>26.02373316844486</v>
      </c>
      <c r="AH695" s="43">
        <v>15.964881868057846</v>
      </c>
      <c r="AI695" s="43"/>
      <c r="AJ695" s="43"/>
    </row>
    <row r="696" spans="27:36" ht="13.5" x14ac:dyDescent="0.25">
      <c r="AA696" s="26"/>
      <c r="AB696" s="26">
        <v>39598</v>
      </c>
      <c r="AC696" s="43">
        <v>5.1899185354303103</v>
      </c>
      <c r="AD696" s="25">
        <f t="shared" si="32"/>
        <v>6.1710590659690858</v>
      </c>
      <c r="AE696" s="43">
        <v>7.7694845327436113</v>
      </c>
      <c r="AF696" s="43">
        <v>16.178032786885243</v>
      </c>
      <c r="AG696" s="25">
        <f t="shared" si="31"/>
        <v>26.02373316844486</v>
      </c>
      <c r="AH696" s="43">
        <v>15.686664996681806</v>
      </c>
      <c r="AI696" s="43"/>
      <c r="AJ696" s="43"/>
    </row>
    <row r="697" spans="27:36" ht="13.5" x14ac:dyDescent="0.25">
      <c r="AA697" s="26"/>
      <c r="AB697" s="26">
        <v>39605</v>
      </c>
      <c r="AC697" s="43">
        <v>5.1403280525757706</v>
      </c>
      <c r="AD697" s="25">
        <f t="shared" si="32"/>
        <v>6.1710590659690858</v>
      </c>
      <c r="AE697" s="43">
        <v>7.6350957655941105</v>
      </c>
      <c r="AF697" s="43">
        <v>15.934426229508196</v>
      </c>
      <c r="AG697" s="25">
        <f t="shared" si="31"/>
        <v>26.02373316844486</v>
      </c>
      <c r="AH697" s="43">
        <v>15.077298258955564</v>
      </c>
      <c r="AI697" s="43"/>
      <c r="AJ697" s="43"/>
    </row>
    <row r="698" spans="27:36" ht="13.5" x14ac:dyDescent="0.25">
      <c r="AA698" s="26"/>
      <c r="AB698" s="26">
        <v>39612</v>
      </c>
      <c r="AC698" s="43">
        <v>5.2137459948907026</v>
      </c>
      <c r="AD698" s="25">
        <f t="shared" si="32"/>
        <v>6.1710590659690858</v>
      </c>
      <c r="AE698" s="43">
        <v>7.6936115655481476</v>
      </c>
      <c r="AF698" s="43">
        <v>16.295081967213115</v>
      </c>
      <c r="AG698" s="25">
        <f t="shared" si="31"/>
        <v>26.02373316844486</v>
      </c>
      <c r="AH698" s="43">
        <v>15.222848417906743</v>
      </c>
      <c r="AI698" s="43"/>
      <c r="AJ698" s="43"/>
    </row>
    <row r="699" spans="27:36" ht="13.5" x14ac:dyDescent="0.25">
      <c r="AA699" s="26"/>
      <c r="AB699" s="26">
        <v>39619</v>
      </c>
      <c r="AC699" s="43">
        <v>4.556117518998394</v>
      </c>
      <c r="AD699" s="25">
        <f t="shared" si="32"/>
        <v>6.1710590659690858</v>
      </c>
      <c r="AE699" s="43">
        <v>7.3240296530642919</v>
      </c>
      <c r="AF699" s="43">
        <v>14.545082026824108</v>
      </c>
      <c r="AG699" s="25">
        <f t="shared" si="31"/>
        <v>26.02373316844486</v>
      </c>
      <c r="AH699" s="43">
        <v>14.124529157538513</v>
      </c>
      <c r="AI699" s="43"/>
      <c r="AJ699" s="43"/>
    </row>
    <row r="700" spans="27:36" ht="13.5" x14ac:dyDescent="0.25">
      <c r="AA700" s="26"/>
      <c r="AB700" s="26">
        <v>39626</v>
      </c>
      <c r="AC700" s="43">
        <v>4.556117518998394</v>
      </c>
      <c r="AD700" s="25">
        <f t="shared" si="32"/>
        <v>6.1710590659690858</v>
      </c>
      <c r="AE700" s="43">
        <v>7.3240296530642919</v>
      </c>
      <c r="AF700" s="43">
        <v>14.545082026824108</v>
      </c>
      <c r="AG700" s="25">
        <f t="shared" si="31"/>
        <v>26.02373316844486</v>
      </c>
      <c r="AH700" s="43">
        <v>14.124529157538513</v>
      </c>
      <c r="AI700" s="43"/>
      <c r="AJ700" s="43"/>
    </row>
    <row r="701" spans="27:36" ht="13.5" x14ac:dyDescent="0.25">
      <c r="AA701" s="26"/>
      <c r="AB701" s="26">
        <v>39633</v>
      </c>
      <c r="AC701" s="43">
        <v>4.4912054168371238</v>
      </c>
      <c r="AD701" s="25">
        <f t="shared" si="32"/>
        <v>6.1710590659690858</v>
      </c>
      <c r="AE701" s="43">
        <v>6.682577914064975</v>
      </c>
      <c r="AF701" s="43">
        <v>14.188524648313626</v>
      </c>
      <c r="AG701" s="25">
        <f t="shared" si="31"/>
        <v>26.02373316844486</v>
      </c>
      <c r="AH701" s="43">
        <v>12.599170948851626</v>
      </c>
      <c r="AI701" s="43"/>
      <c r="AJ701" s="43"/>
    </row>
    <row r="702" spans="27:36" ht="13.5" x14ac:dyDescent="0.25">
      <c r="AA702" s="26"/>
      <c r="AB702" s="26">
        <v>39640</v>
      </c>
      <c r="AC702" s="43">
        <v>4.5964077893053901</v>
      </c>
      <c r="AD702" s="25">
        <f t="shared" si="32"/>
        <v>6.1710590659690858</v>
      </c>
      <c r="AE702" s="43">
        <v>6.6281658000942976</v>
      </c>
      <c r="AF702" s="43">
        <v>14.766393503140957</v>
      </c>
      <c r="AG702" s="25">
        <f t="shared" si="31"/>
        <v>26.02373316844486</v>
      </c>
      <c r="AH702" s="43">
        <v>12.731254094056057</v>
      </c>
      <c r="AI702" s="43"/>
      <c r="AJ702" s="43"/>
    </row>
    <row r="703" spans="27:36" ht="13.5" x14ac:dyDescent="0.25">
      <c r="AA703" s="26"/>
      <c r="AB703" s="26">
        <v>39647</v>
      </c>
      <c r="AC703" s="43">
        <v>4.4576301915812939</v>
      </c>
      <c r="AD703" s="25">
        <f t="shared" si="32"/>
        <v>6.1710590659690858</v>
      </c>
      <c r="AE703" s="43">
        <v>6.8314422216321127</v>
      </c>
      <c r="AF703" s="43">
        <v>14.004098418049585</v>
      </c>
      <c r="AG703" s="25">
        <f t="shared" si="31"/>
        <v>26.02373316844486</v>
      </c>
      <c r="AH703" s="43">
        <v>12.979477174268894</v>
      </c>
      <c r="AI703" s="43"/>
      <c r="AJ703" s="43"/>
    </row>
    <row r="704" spans="27:36" ht="13.5" x14ac:dyDescent="0.25">
      <c r="AA704" s="26"/>
      <c r="AB704" s="26">
        <v>39654</v>
      </c>
      <c r="AC704" s="43">
        <v>4.6859417233209353</v>
      </c>
      <c r="AD704" s="25">
        <f t="shared" si="32"/>
        <v>6.1710590659690858</v>
      </c>
      <c r="AE704" s="43">
        <v>7.1159335263038566</v>
      </c>
      <c r="AF704" s="43">
        <v>15.258196783845069</v>
      </c>
      <c r="AG704" s="25">
        <f t="shared" si="31"/>
        <v>26.02373316844486</v>
      </c>
      <c r="AH704" s="43">
        <v>13.498243062057563</v>
      </c>
      <c r="AI704" s="43"/>
      <c r="AJ704" s="43"/>
    </row>
    <row r="705" spans="27:36" ht="13.5" x14ac:dyDescent="0.25">
      <c r="AA705" s="26"/>
      <c r="AB705" s="26">
        <v>39661</v>
      </c>
      <c r="AC705" s="43">
        <v>4.8632501364777818</v>
      </c>
      <c r="AD705" s="25">
        <f t="shared" si="32"/>
        <v>6.1710590659690858</v>
      </c>
      <c r="AE705" s="43">
        <v>7.0806439396055838</v>
      </c>
      <c r="AF705" s="43">
        <v>15.722891566265062</v>
      </c>
      <c r="AG705" s="25">
        <f t="shared" si="31"/>
        <v>26.02373316844486</v>
      </c>
      <c r="AH705" s="43">
        <v>13.803285746255066</v>
      </c>
      <c r="AI705" s="43"/>
      <c r="AJ705" s="43"/>
    </row>
    <row r="706" spans="27:36" ht="13.5" x14ac:dyDescent="0.25">
      <c r="AA706" s="26"/>
      <c r="AB706" s="26">
        <v>39668</v>
      </c>
      <c r="AC706" s="43">
        <v>5.1670667103395571</v>
      </c>
      <c r="AD706" s="25">
        <f t="shared" si="32"/>
        <v>6.1710590659690858</v>
      </c>
      <c r="AE706" s="43">
        <v>7.2203068725311335</v>
      </c>
      <c r="AF706" s="43">
        <v>17.289156626506024</v>
      </c>
      <c r="AG706" s="25">
        <f t="shared" si="31"/>
        <v>26.02373316844486</v>
      </c>
      <c r="AH706" s="43">
        <v>14.350304266628978</v>
      </c>
      <c r="AI706" s="43"/>
      <c r="AJ706" s="43"/>
    </row>
    <row r="707" spans="27:36" ht="13.5" x14ac:dyDescent="0.25">
      <c r="AA707" s="26"/>
      <c r="AB707" s="26">
        <v>39675</v>
      </c>
      <c r="AC707" s="43">
        <v>5.0471995632711</v>
      </c>
      <c r="AD707" s="25">
        <f t="shared" si="32"/>
        <v>6.1710590659690858</v>
      </c>
      <c r="AE707" s="43">
        <v>6.8167533657571866</v>
      </c>
      <c r="AF707" s="43">
        <v>16.650602409638555</v>
      </c>
      <c r="AG707" s="25">
        <f t="shared" si="31"/>
        <v>26.02373316844486</v>
      </c>
      <c r="AH707" s="43">
        <v>14.13133882250985</v>
      </c>
      <c r="AI707" s="43"/>
      <c r="AJ707" s="43"/>
    </row>
    <row r="708" spans="27:36" ht="13.5" x14ac:dyDescent="0.25">
      <c r="AA708" s="26"/>
      <c r="AB708" s="26">
        <v>39682</v>
      </c>
      <c r="AC708" s="43">
        <v>5.0607694289769629</v>
      </c>
      <c r="AD708" s="25">
        <f t="shared" si="32"/>
        <v>6.1710590659690858</v>
      </c>
      <c r="AE708" s="43">
        <v>6.5857546789594625</v>
      </c>
      <c r="AF708" s="43">
        <v>16.722891566265062</v>
      </c>
      <c r="AG708" s="25">
        <f t="shared" si="31"/>
        <v>26.02373316844486</v>
      </c>
      <c r="AH708" s="43">
        <v>13.776739825885196</v>
      </c>
      <c r="AI708" s="43"/>
      <c r="AJ708" s="43"/>
    </row>
    <row r="709" spans="27:36" ht="13.5" x14ac:dyDescent="0.25">
      <c r="AA709" s="26"/>
      <c r="AB709" s="26">
        <v>39689</v>
      </c>
      <c r="AC709" s="43">
        <v>5.1896831531826626</v>
      </c>
      <c r="AD709" s="25">
        <f t="shared" si="32"/>
        <v>6.1710590659690858</v>
      </c>
      <c r="AE709" s="43">
        <v>6.4742981889417202</v>
      </c>
      <c r="AF709" s="43">
        <v>17.409638554216869</v>
      </c>
      <c r="AG709" s="25">
        <f t="shared" si="31"/>
        <v>26.02373316844486</v>
      </c>
      <c r="AH709" s="43">
        <v>13.413853569308872</v>
      </c>
      <c r="AI709" s="43"/>
      <c r="AJ709" s="43"/>
    </row>
    <row r="710" spans="27:36" ht="13.5" x14ac:dyDescent="0.25">
      <c r="AA710" s="26"/>
      <c r="AB710" s="26">
        <v>39696</v>
      </c>
      <c r="AC710" s="43">
        <v>5.2213461731630098</v>
      </c>
      <c r="AD710" s="25">
        <f t="shared" si="32"/>
        <v>6.1710590659690858</v>
      </c>
      <c r="AE710" s="43">
        <v>6.5275981358568593</v>
      </c>
      <c r="AF710" s="43">
        <v>17.578313253012048</v>
      </c>
      <c r="AG710" s="25">
        <f t="shared" si="31"/>
        <v>26.02373316844486</v>
      </c>
      <c r="AH710" s="43">
        <v>13.421617214538943</v>
      </c>
      <c r="AI710" s="43"/>
      <c r="AJ710" s="43"/>
    </row>
    <row r="711" spans="27:36" ht="13.5" x14ac:dyDescent="0.25">
      <c r="AA711" s="26"/>
      <c r="AB711" s="26">
        <v>39703</v>
      </c>
      <c r="AC711" s="43">
        <v>5.3050270116824985</v>
      </c>
      <c r="AD711" s="25">
        <f t="shared" si="32"/>
        <v>6.1710590659690858</v>
      </c>
      <c r="AE711" s="43">
        <v>6.6242270706789439</v>
      </c>
      <c r="AF711" s="43">
        <v>18.024096385542169</v>
      </c>
      <c r="AG711" s="25">
        <f t="shared" si="31"/>
        <v>26.02373316844486</v>
      </c>
      <c r="AH711" s="43">
        <v>13.639823789867529</v>
      </c>
      <c r="AI711" s="43"/>
      <c r="AJ711" s="43"/>
    </row>
    <row r="712" spans="27:36" ht="13.5" x14ac:dyDescent="0.25">
      <c r="AA712" s="26"/>
      <c r="AB712" s="26">
        <v>39710</v>
      </c>
      <c r="AC712" s="43">
        <v>4.95899543618299</v>
      </c>
      <c r="AD712" s="25">
        <f t="shared" si="32"/>
        <v>6.1710590659690858</v>
      </c>
      <c r="AE712" s="43">
        <v>6.4996300529727069</v>
      </c>
      <c r="AF712" s="43">
        <v>16.180722891566266</v>
      </c>
      <c r="AG712" s="25">
        <f t="shared" si="31"/>
        <v>26.02373316844486</v>
      </c>
      <c r="AH712" s="43">
        <v>12.485042271631857</v>
      </c>
      <c r="AI712" s="43"/>
      <c r="AJ712" s="43"/>
    </row>
    <row r="713" spans="27:36" ht="13.5" x14ac:dyDescent="0.25">
      <c r="AA713" s="26"/>
      <c r="AB713" s="26">
        <v>39717</v>
      </c>
      <c r="AC713" s="43">
        <v>4.8300817119772903</v>
      </c>
      <c r="AD713" s="25">
        <f t="shared" si="32"/>
        <v>6.1710590659690858</v>
      </c>
      <c r="AE713" s="43">
        <v>6.3341361151583566</v>
      </c>
      <c r="AF713" s="43">
        <v>15.493975903614459</v>
      </c>
      <c r="AG713" s="25">
        <f t="shared" si="31"/>
        <v>26.02373316844486</v>
      </c>
      <c r="AH713" s="43">
        <v>12.159799894949993</v>
      </c>
      <c r="AI713" s="43"/>
      <c r="AJ713" s="43"/>
    </row>
    <row r="714" spans="27:36" ht="13.5" x14ac:dyDescent="0.25">
      <c r="AA714" s="26"/>
      <c r="AB714" s="26">
        <v>39724</v>
      </c>
      <c r="AC714" s="43">
        <v>4.4976200021836448</v>
      </c>
      <c r="AD714" s="25">
        <f t="shared" si="32"/>
        <v>6.1710590659690858</v>
      </c>
      <c r="AE714" s="43">
        <v>5.7755592433665885</v>
      </c>
      <c r="AF714" s="43">
        <v>13.722891566265062</v>
      </c>
      <c r="AG714" s="25">
        <f t="shared" si="31"/>
        <v>26.02373316844486</v>
      </c>
      <c r="AH714" s="43">
        <v>10.711141713476486</v>
      </c>
      <c r="AI714" s="43"/>
      <c r="AJ714" s="43"/>
    </row>
    <row r="715" spans="27:36" ht="13.5" x14ac:dyDescent="0.25">
      <c r="AA715" s="26"/>
      <c r="AB715" s="26">
        <v>39731</v>
      </c>
      <c r="AC715" s="43">
        <v>3.9616103068020534</v>
      </c>
      <c r="AD715" s="25">
        <f t="shared" si="32"/>
        <v>6.1710590659690858</v>
      </c>
      <c r="AE715" s="43">
        <v>5.0464515843253324</v>
      </c>
      <c r="AF715" s="43">
        <v>10.867469879518072</v>
      </c>
      <c r="AG715" s="25">
        <f t="shared" si="31"/>
        <v>26.02373316844486</v>
      </c>
      <c r="AH715" s="43">
        <v>8.8282415545765947</v>
      </c>
      <c r="AI715" s="43"/>
      <c r="AJ715" s="43"/>
    </row>
    <row r="716" spans="27:36" ht="13.5" x14ac:dyDescent="0.25">
      <c r="AA716" s="26"/>
      <c r="AB716" s="26">
        <v>39738</v>
      </c>
      <c r="AC716" s="43">
        <v>3.8824527568511851</v>
      </c>
      <c r="AD716" s="25">
        <f t="shared" si="32"/>
        <v>6.1710590659690858</v>
      </c>
      <c r="AE716" s="43">
        <v>4.9953962263224581</v>
      </c>
      <c r="AF716" s="43">
        <v>10.803738317757009</v>
      </c>
      <c r="AG716" s="25">
        <f t="shared" si="31"/>
        <v>26.02373316844486</v>
      </c>
      <c r="AH716" s="43">
        <v>8.8844576724274926</v>
      </c>
      <c r="AI716" s="43"/>
      <c r="AJ716" s="43"/>
    </row>
    <row r="717" spans="27:36" ht="13.5" x14ac:dyDescent="0.25">
      <c r="AA717" s="26"/>
      <c r="AB717" s="26">
        <v>39745</v>
      </c>
      <c r="AC717" s="43">
        <v>3.6155787313025445</v>
      </c>
      <c r="AD717" s="25">
        <f t="shared" si="32"/>
        <v>6.1710590659690858</v>
      </c>
      <c r="AE717" s="43">
        <v>4.8217453348909167</v>
      </c>
      <c r="AF717" s="43">
        <v>9.3333333333333339</v>
      </c>
      <c r="AG717" s="25">
        <f t="shared" si="31"/>
        <v>26.02373316844486</v>
      </c>
      <c r="AH717" s="43">
        <v>8.0808883591884388</v>
      </c>
      <c r="AI717" s="43"/>
      <c r="AJ717" s="43"/>
    </row>
    <row r="718" spans="27:36" ht="13.5" x14ac:dyDescent="0.25">
      <c r="AA718" s="26"/>
      <c r="AB718" s="26">
        <v>39752</v>
      </c>
      <c r="AC718" s="43">
        <v>3.7411244365009022</v>
      </c>
      <c r="AD718" s="25">
        <f t="shared" si="32"/>
        <v>6.1710590659690858</v>
      </c>
      <c r="AE718" s="43">
        <v>5.2141709218083081</v>
      </c>
      <c r="AF718" s="43">
        <v>9.7037037037037042</v>
      </c>
      <c r="AG718" s="25">
        <f t="shared" si="31"/>
        <v>26.02373316844486</v>
      </c>
      <c r="AH718" s="43">
        <v>9.044582814213193</v>
      </c>
      <c r="AI718" s="43"/>
      <c r="AJ718" s="43"/>
    </row>
    <row r="719" spans="27:36" ht="13.5" x14ac:dyDescent="0.25">
      <c r="AA719" s="26"/>
      <c r="AB719" s="26">
        <v>39759</v>
      </c>
      <c r="AC719" s="43">
        <v>3.6140759715538109</v>
      </c>
      <c r="AD719" s="25">
        <f t="shared" si="32"/>
        <v>6.1710590659690858</v>
      </c>
      <c r="AE719" s="43">
        <v>4.8600407441996465</v>
      </c>
      <c r="AF719" s="43">
        <v>8.845177664974619</v>
      </c>
      <c r="AG719" s="25">
        <f t="shared" si="31"/>
        <v>26.02373316844486</v>
      </c>
      <c r="AH719" s="43">
        <v>7.8427421495622784</v>
      </c>
      <c r="AI719" s="43"/>
      <c r="AJ719" s="43"/>
    </row>
    <row r="720" spans="27:36" ht="13.5" x14ac:dyDescent="0.25">
      <c r="AA720" s="26"/>
      <c r="AB720" s="26">
        <v>39766</v>
      </c>
      <c r="AC720" s="43">
        <v>3.5695547141950326</v>
      </c>
      <c r="AD720" s="25">
        <f t="shared" si="32"/>
        <v>6.1710590659690858</v>
      </c>
      <c r="AE720" s="43">
        <v>4.89887533928517</v>
      </c>
      <c r="AF720" s="43">
        <v>8.6040609137055846</v>
      </c>
      <c r="AG720" s="25">
        <f t="shared" si="31"/>
        <v>26.02373316844486</v>
      </c>
      <c r="AH720" s="43">
        <v>7.8415192127213036</v>
      </c>
      <c r="AI720" s="43"/>
      <c r="AJ720" s="43"/>
    </row>
    <row r="721" spans="27:36" ht="13.5" x14ac:dyDescent="0.25">
      <c r="AA721" s="26"/>
      <c r="AB721" s="26">
        <v>39773</v>
      </c>
      <c r="AC721" s="43">
        <v>3.6164191956253262</v>
      </c>
      <c r="AD721" s="25">
        <f t="shared" si="32"/>
        <v>6.1710590659690858</v>
      </c>
      <c r="AE721" s="43">
        <v>4.6851385022822161</v>
      </c>
      <c r="AF721" s="43">
        <v>8.8578680203045685</v>
      </c>
      <c r="AG721" s="25">
        <f t="shared" si="31"/>
        <v>26.02373316844486</v>
      </c>
      <c r="AH721" s="43">
        <v>7.3788278015730615</v>
      </c>
      <c r="AI721" s="43"/>
      <c r="AJ721" s="43"/>
    </row>
    <row r="722" spans="27:36" ht="13.5" x14ac:dyDescent="0.25">
      <c r="AA722" s="26"/>
      <c r="AB722" s="26">
        <v>39780</v>
      </c>
      <c r="AC722" s="43">
        <v>3.7406100714156016</v>
      </c>
      <c r="AD722" s="25">
        <f t="shared" si="32"/>
        <v>6.1710590659690858</v>
      </c>
      <c r="AE722" s="43">
        <v>5.2618057022182825</v>
      </c>
      <c r="AF722" s="43">
        <v>9.5304568527918772</v>
      </c>
      <c r="AG722" s="25">
        <f t="shared" si="31"/>
        <v>26.02373316844486</v>
      </c>
      <c r="AH722" s="43">
        <v>8.553625453594611</v>
      </c>
      <c r="AI722" s="43"/>
      <c r="AJ722" s="43"/>
    </row>
    <row r="723" spans="27:36" ht="13.5" x14ac:dyDescent="0.25">
      <c r="AA723" s="26"/>
      <c r="AB723" s="26">
        <v>39787</v>
      </c>
      <c r="AC723" s="43">
        <v>3.6445378844835012</v>
      </c>
      <c r="AD723" s="25">
        <f t="shared" si="32"/>
        <v>6.1710590659690858</v>
      </c>
      <c r="AE723" s="43">
        <v>5.1500991588939149</v>
      </c>
      <c r="AF723" s="43">
        <v>9.0101522842639579</v>
      </c>
      <c r="AG723" s="25">
        <f t="shared" si="31"/>
        <v>26.02373316844486</v>
      </c>
      <c r="AH723" s="43">
        <v>8.1610067248967759</v>
      </c>
      <c r="AI723" s="43"/>
      <c r="AJ723" s="43"/>
    </row>
    <row r="724" spans="27:36" ht="13.5" x14ac:dyDescent="0.25">
      <c r="AA724" s="26"/>
      <c r="AB724" s="26">
        <v>39794</v>
      </c>
      <c r="AC724" s="43">
        <v>3.7570126399162045</v>
      </c>
      <c r="AD724" s="25">
        <f t="shared" si="32"/>
        <v>6.1710590659690858</v>
      </c>
      <c r="AE724" s="43">
        <v>5.1633648934406082</v>
      </c>
      <c r="AF724" s="43">
        <v>9.3006134969325167</v>
      </c>
      <c r="AG724" s="25">
        <f t="shared" si="31"/>
        <v>26.02373316844486</v>
      </c>
      <c r="AH724" s="43">
        <v>8.2532149192253605</v>
      </c>
      <c r="AI724" s="43"/>
      <c r="AJ724" s="43"/>
    </row>
    <row r="725" spans="27:36" ht="13.5" x14ac:dyDescent="0.25">
      <c r="AA725" s="26"/>
      <c r="AB725" s="26">
        <v>39801</v>
      </c>
      <c r="AC725" s="43">
        <v>3.9936782711391832</v>
      </c>
      <c r="AD725" s="25">
        <f t="shared" si="32"/>
        <v>6.1710590659690858</v>
      </c>
      <c r="AE725" s="43">
        <v>5.3748253009159441</v>
      </c>
      <c r="AF725" s="43">
        <v>10.539877300613497</v>
      </c>
      <c r="AG725" s="25">
        <f t="shared" si="31"/>
        <v>26.02373316844486</v>
      </c>
      <c r="AH725" s="43">
        <v>8.6585876021554835</v>
      </c>
      <c r="AI725" s="43"/>
      <c r="AJ725" s="43"/>
    </row>
    <row r="726" spans="27:36" ht="13.5" x14ac:dyDescent="0.25">
      <c r="AA726" s="26"/>
      <c r="AB726" s="26">
        <v>39808</v>
      </c>
      <c r="AC726" s="43">
        <v>3.8624577231343635</v>
      </c>
      <c r="AD726" s="25">
        <f t="shared" si="32"/>
        <v>6.1710590659690858</v>
      </c>
      <c r="AE726" s="43">
        <v>5.5499203105609167</v>
      </c>
      <c r="AF726" s="43">
        <v>9.6746987951807224</v>
      </c>
      <c r="AG726" s="25">
        <f t="shared" si="31"/>
        <v>26.02373316844486</v>
      </c>
      <c r="AH726" s="43">
        <v>9.1255733121295766</v>
      </c>
      <c r="AI726" s="43"/>
      <c r="AJ726" s="43"/>
    </row>
    <row r="727" spans="27:36" ht="13.5" x14ac:dyDescent="0.25">
      <c r="AA727" s="26"/>
      <c r="AB727" s="26">
        <v>39815</v>
      </c>
      <c r="AC727" s="43">
        <v>3.8624577231343635</v>
      </c>
      <c r="AD727" s="25">
        <f t="shared" si="32"/>
        <v>6.1710590659690858</v>
      </c>
      <c r="AE727" s="43">
        <v>5.5499203105609167</v>
      </c>
      <c r="AF727" s="43">
        <v>9.6746987951807224</v>
      </c>
      <c r="AG727" s="25">
        <f t="shared" si="31"/>
        <v>26.02373316844486</v>
      </c>
      <c r="AH727" s="43">
        <v>9.1255733121295766</v>
      </c>
      <c r="AI727" s="43"/>
      <c r="AJ727" s="43"/>
    </row>
    <row r="728" spans="27:36" ht="13.5" x14ac:dyDescent="0.25">
      <c r="AA728" s="26"/>
      <c r="AB728" s="26">
        <v>39822</v>
      </c>
      <c r="AC728" s="43">
        <v>3.9936782711391832</v>
      </c>
      <c r="AD728" s="25">
        <f t="shared" si="32"/>
        <v>6.1710590659690858</v>
      </c>
      <c r="AE728" s="43">
        <v>5.4781611668199668</v>
      </c>
      <c r="AF728" s="43">
        <v>10.349397590361447</v>
      </c>
      <c r="AG728" s="25">
        <f t="shared" si="31"/>
        <v>26.02373316844486</v>
      </c>
      <c r="AH728" s="43">
        <v>9.1355510281317844</v>
      </c>
      <c r="AI728" s="43"/>
      <c r="AJ728" s="43"/>
    </row>
    <row r="729" spans="27:36" ht="13.5" x14ac:dyDescent="0.25">
      <c r="AA729" s="26"/>
      <c r="AB729" s="26">
        <v>39829</v>
      </c>
      <c r="AC729" s="43">
        <v>4.0194537359258442</v>
      </c>
      <c r="AD729" s="25">
        <f t="shared" si="32"/>
        <v>6.1710590659690858</v>
      </c>
      <c r="AE729" s="43">
        <v>5.3820334307957323</v>
      </c>
      <c r="AF729" s="43">
        <v>10.481927710843372</v>
      </c>
      <c r="AG729" s="25">
        <f t="shared" si="31"/>
        <v>26.02373316844486</v>
      </c>
      <c r="AH729" s="43">
        <v>8.8539876980871117</v>
      </c>
      <c r="AI729" s="43"/>
      <c r="AJ729" s="43"/>
    </row>
    <row r="730" spans="27:36" ht="13.5" x14ac:dyDescent="0.25">
      <c r="AA730" s="26"/>
      <c r="AB730" s="26">
        <v>39836</v>
      </c>
      <c r="AC730" s="43">
        <v>3.9772757026385808</v>
      </c>
      <c r="AD730" s="25">
        <f t="shared" si="32"/>
        <v>6.1710590659690858</v>
      </c>
      <c r="AE730" s="43">
        <v>5.2356123397476191</v>
      </c>
      <c r="AF730" s="43">
        <v>10.265060240963855</v>
      </c>
      <c r="AG730" s="25">
        <f t="shared" si="31"/>
        <v>26.02373316844486</v>
      </c>
      <c r="AH730" s="43">
        <v>8.6966346821355565</v>
      </c>
      <c r="AI730" s="43"/>
      <c r="AJ730" s="43"/>
    </row>
    <row r="731" spans="27:36" ht="13.5" x14ac:dyDescent="0.25">
      <c r="AA731" s="26"/>
      <c r="AB731" s="26">
        <v>39843</v>
      </c>
      <c r="AC731" s="43">
        <v>4.209254885718531</v>
      </c>
      <c r="AD731" s="25">
        <f t="shared" si="32"/>
        <v>6.1710590659690858</v>
      </c>
      <c r="AE731" s="43">
        <v>5.2568168649251135</v>
      </c>
      <c r="AF731" s="43">
        <v>11.457831325301205</v>
      </c>
      <c r="AG731" s="25">
        <f t="shared" si="31"/>
        <v>26.02373316844486</v>
      </c>
      <c r="AH731" s="43">
        <v>8.6698016453404456</v>
      </c>
      <c r="AI731" s="43"/>
      <c r="AJ731" s="43"/>
    </row>
    <row r="732" spans="27:36" ht="13.5" x14ac:dyDescent="0.25">
      <c r="AA732" s="26"/>
      <c r="AB732" s="26">
        <v>39850</v>
      </c>
      <c r="AC732" s="43">
        <v>4.0284932477218494</v>
      </c>
      <c r="AD732" s="25">
        <f t="shared" si="32"/>
        <v>6.1710590659690858</v>
      </c>
      <c r="AE732" s="43">
        <v>5.7674814738026772</v>
      </c>
      <c r="AF732" s="43">
        <v>11.134831460674157</v>
      </c>
      <c r="AG732" s="25">
        <f t="shared" si="31"/>
        <v>26.02373316844486</v>
      </c>
      <c r="AH732" s="43">
        <v>9.5440773843488351</v>
      </c>
      <c r="AI732" s="43"/>
      <c r="AJ732" s="43"/>
    </row>
    <row r="733" spans="27:36" ht="13.5" x14ac:dyDescent="0.25">
      <c r="AA733" s="26"/>
      <c r="AB733" s="26">
        <v>39857</v>
      </c>
      <c r="AC733" s="43">
        <v>4.2770814369598718</v>
      </c>
      <c r="AD733" s="25">
        <f t="shared" si="32"/>
        <v>6.1710590659690858</v>
      </c>
      <c r="AE733" s="43">
        <v>5.5843397953581722</v>
      </c>
      <c r="AF733" s="43">
        <v>10.561797752808989</v>
      </c>
      <c r="AG733" s="25">
        <f t="shared" si="31"/>
        <v>26.02373316844486</v>
      </c>
      <c r="AH733" s="43">
        <v>9.0230271708115311</v>
      </c>
      <c r="AI733" s="43"/>
      <c r="AJ733" s="43"/>
    </row>
    <row r="734" spans="27:36" ht="13.5" x14ac:dyDescent="0.25">
      <c r="AA734" s="26"/>
      <c r="AB734" s="26">
        <v>39864</v>
      </c>
      <c r="AC734" s="43">
        <v>4.0284932477218494</v>
      </c>
      <c r="AD734" s="25">
        <f t="shared" si="32"/>
        <v>6.1710590659690858</v>
      </c>
      <c r="AE734" s="43">
        <v>5.220870947720055</v>
      </c>
      <c r="AF734" s="43">
        <v>9.910224719101123</v>
      </c>
      <c r="AG734" s="25">
        <f t="shared" si="31"/>
        <v>26.02373316844486</v>
      </c>
      <c r="AH734" s="43">
        <v>12.355458684808957</v>
      </c>
      <c r="AI734" s="43"/>
      <c r="AJ734" s="43"/>
    </row>
    <row r="735" spans="27:36" ht="13.5" x14ac:dyDescent="0.25">
      <c r="AA735" s="26"/>
      <c r="AB735" s="26">
        <v>39871</v>
      </c>
      <c r="AC735" s="43">
        <v>3.9023752989822484</v>
      </c>
      <c r="AD735" s="25">
        <f t="shared" si="32"/>
        <v>6.1710590659690858</v>
      </c>
      <c r="AE735" s="43">
        <v>5.2003214611046644</v>
      </c>
      <c r="AF735" s="43">
        <v>9.3033707865168527</v>
      </c>
      <c r="AG735" s="25">
        <f t="shared" si="31"/>
        <v>26.02373316844486</v>
      </c>
      <c r="AH735" s="43">
        <v>13.034341874023923</v>
      </c>
      <c r="AI735" s="43"/>
      <c r="AJ735" s="43"/>
    </row>
    <row r="736" spans="27:36" ht="13.5" x14ac:dyDescent="0.25">
      <c r="AA736" s="26"/>
      <c r="AB736" s="26">
        <v>39878</v>
      </c>
      <c r="AC736" s="43">
        <v>3.6501861032059679</v>
      </c>
      <c r="AD736" s="25">
        <f t="shared" si="32"/>
        <v>6.1710590659690858</v>
      </c>
      <c r="AE736" s="43">
        <v>4.8709938203914414</v>
      </c>
      <c r="AF736" s="43">
        <v>8.0898876404494384</v>
      </c>
      <c r="AG736" s="25">
        <f t="shared" si="31"/>
        <v>26.02373316844486</v>
      </c>
      <c r="AH736" s="43">
        <v>12.313083531687635</v>
      </c>
      <c r="AI736" s="43"/>
      <c r="AJ736" s="43"/>
    </row>
    <row r="737" spans="27:36" ht="13.5" x14ac:dyDescent="0.25">
      <c r="AA737" s="26"/>
      <c r="AB737" s="26">
        <v>39885</v>
      </c>
      <c r="AC737" s="43">
        <v>3.6828772952510413</v>
      </c>
      <c r="AD737" s="25">
        <f t="shared" si="32"/>
        <v>6.1710590659690858</v>
      </c>
      <c r="AE737" s="43">
        <v>5.2319070497660878</v>
      </c>
      <c r="AF737" s="43">
        <v>8.2471910112359552</v>
      </c>
      <c r="AG737" s="25">
        <f t="shared" si="31"/>
        <v>26.02373316844486</v>
      </c>
      <c r="AH737" s="43">
        <v>13.894316991133461</v>
      </c>
      <c r="AI737" s="43"/>
      <c r="AJ737" s="43"/>
    </row>
    <row r="738" spans="27:36" ht="13.5" x14ac:dyDescent="0.25">
      <c r="AA738" s="26"/>
      <c r="AB738" s="26">
        <v>39892</v>
      </c>
      <c r="AC738" s="43">
        <v>3.6478510180598915</v>
      </c>
      <c r="AD738" s="25">
        <f t="shared" si="32"/>
        <v>6.1710590659690858</v>
      </c>
      <c r="AE738" s="43">
        <v>5.2797906308297859</v>
      </c>
      <c r="AF738" s="43">
        <v>8.0786516853932593</v>
      </c>
      <c r="AG738" s="25">
        <f t="shared" si="31"/>
        <v>26.02373316844486</v>
      </c>
      <c r="AH738" s="43">
        <v>13.401249175451923</v>
      </c>
      <c r="AI738" s="43"/>
      <c r="AJ738" s="43"/>
    </row>
    <row r="739" spans="27:36" ht="13.5" x14ac:dyDescent="0.25">
      <c r="AA739" s="26"/>
      <c r="AB739" s="26">
        <v>39899</v>
      </c>
      <c r="AC739" s="43">
        <v>3.7342491684647281</v>
      </c>
      <c r="AD739" s="25">
        <f t="shared" si="32"/>
        <v>6.1710590659690858</v>
      </c>
      <c r="AE739" s="43">
        <v>5.5824820337888141</v>
      </c>
      <c r="AF739" s="43">
        <v>8.4943820224719104</v>
      </c>
      <c r="AG739" s="25">
        <f t="shared" si="31"/>
        <v>26.02373316844486</v>
      </c>
      <c r="AH739" s="43">
        <v>14.895020350101035</v>
      </c>
      <c r="AI739" s="43"/>
      <c r="AJ739" s="43"/>
    </row>
    <row r="740" spans="27:36" ht="13.5" x14ac:dyDescent="0.25">
      <c r="AA740" s="26"/>
      <c r="AB740" s="26">
        <v>39906</v>
      </c>
      <c r="AC740" s="43">
        <v>3.9444068316116292</v>
      </c>
      <c r="AD740" s="25">
        <f t="shared" si="32"/>
        <v>6.1710590659690858</v>
      </c>
      <c r="AE740" s="43">
        <v>5.9561187703398577</v>
      </c>
      <c r="AF740" s="43">
        <v>9.5056179775280913</v>
      </c>
      <c r="AG740" s="25">
        <f t="shared" si="31"/>
        <v>26.02373316844486</v>
      </c>
      <c r="AH740" s="43">
        <v>15.589862586596912</v>
      </c>
      <c r="AI740" s="43"/>
      <c r="AJ740" s="43"/>
    </row>
    <row r="741" spans="27:36" ht="13.5" x14ac:dyDescent="0.25">
      <c r="AA741" s="26"/>
      <c r="AB741" s="26">
        <v>39913</v>
      </c>
      <c r="AC741" s="43">
        <v>4.1592346650506826</v>
      </c>
      <c r="AD741" s="25">
        <f t="shared" si="32"/>
        <v>6.1710590659690858</v>
      </c>
      <c r="AE741" s="43">
        <v>6.1323662393944476</v>
      </c>
      <c r="AF741" s="43">
        <v>10.539325842696631</v>
      </c>
      <c r="AG741" s="25">
        <f t="shared" si="31"/>
        <v>26.02373316844486</v>
      </c>
      <c r="AH741" s="43">
        <v>15.42982023579618</v>
      </c>
      <c r="AI741" s="43"/>
      <c r="AJ741" s="43"/>
    </row>
    <row r="742" spans="27:36" ht="13.5" x14ac:dyDescent="0.25">
      <c r="AA742" s="26"/>
      <c r="AB742" s="26">
        <v>39920</v>
      </c>
      <c r="AC742" s="43">
        <v>3.9934436196792387</v>
      </c>
      <c r="AD742" s="25">
        <f t="shared" si="32"/>
        <v>6.1710590659690858</v>
      </c>
      <c r="AE742" s="43">
        <v>5.9426712569607458</v>
      </c>
      <c r="AF742" s="43">
        <v>9.7415730337078656</v>
      </c>
      <c r="AG742" s="25">
        <f t="shared" ref="AG742:AG805" si="33">$Z$69</f>
        <v>26.02373316844486</v>
      </c>
      <c r="AH742" s="43">
        <v>14.458992352388439</v>
      </c>
      <c r="AI742" s="43"/>
      <c r="AJ742" s="43"/>
    </row>
    <row r="743" spans="27:36" ht="13.5" x14ac:dyDescent="0.25">
      <c r="AA743" s="26"/>
      <c r="AB743" s="26">
        <v>39927</v>
      </c>
      <c r="AC743" s="43">
        <v>4.1031926215448422</v>
      </c>
      <c r="AD743" s="25">
        <f t="shared" si="32"/>
        <v>6.1710590659690858</v>
      </c>
      <c r="AE743" s="43">
        <v>6.0400887639018412</v>
      </c>
      <c r="AF743" s="43">
        <v>10.269662921348315</v>
      </c>
      <c r="AG743" s="25">
        <f t="shared" si="33"/>
        <v>26.02373316844486</v>
      </c>
      <c r="AH743" s="43">
        <v>16.426381060915528</v>
      </c>
      <c r="AI743" s="43"/>
      <c r="AJ743" s="43"/>
    </row>
    <row r="744" spans="27:36" ht="13.5" x14ac:dyDescent="0.25">
      <c r="AA744" s="26"/>
      <c r="AB744" s="26">
        <v>39934</v>
      </c>
      <c r="AC744" s="43">
        <v>4.1989311125339857</v>
      </c>
      <c r="AD744" s="25">
        <f t="shared" si="32"/>
        <v>6.1710590659690858</v>
      </c>
      <c r="AE744" s="43">
        <v>6.3438501532418066</v>
      </c>
      <c r="AF744" s="43">
        <v>10.730337078651687</v>
      </c>
      <c r="AG744" s="25">
        <f t="shared" si="33"/>
        <v>26.02373316844486</v>
      </c>
      <c r="AH744" s="43">
        <v>17.575522981884141</v>
      </c>
      <c r="AI744" s="43"/>
      <c r="AJ744" s="43"/>
    </row>
    <row r="745" spans="27:36" ht="13.5" x14ac:dyDescent="0.25">
      <c r="AA745" s="26"/>
      <c r="AB745" s="26">
        <v>39941</v>
      </c>
      <c r="AC745" s="43">
        <v>4.240962645163366</v>
      </c>
      <c r="AD745" s="25">
        <f t="shared" si="32"/>
        <v>6.1710590659690858</v>
      </c>
      <c r="AE745" s="43">
        <v>6.7946290064279236</v>
      </c>
      <c r="AF745" s="43">
        <v>10.932584269662922</v>
      </c>
      <c r="AG745" s="25">
        <f t="shared" si="33"/>
        <v>26.02373316844486</v>
      </c>
      <c r="AH745" s="43">
        <v>19.533199999086186</v>
      </c>
      <c r="AI745" s="43"/>
      <c r="AJ745" s="43"/>
    </row>
    <row r="746" spans="27:36" ht="13.5" x14ac:dyDescent="0.25">
      <c r="AA746" s="26"/>
      <c r="AB746" s="26">
        <v>39948</v>
      </c>
      <c r="AC746" s="43">
        <v>4.237204237075888</v>
      </c>
      <c r="AD746" s="25">
        <f t="shared" si="32"/>
        <v>6.1710590659690858</v>
      </c>
      <c r="AE746" s="43">
        <v>6.4423209746730539</v>
      </c>
      <c r="AF746" s="43">
        <v>10.574468085106384</v>
      </c>
      <c r="AG746" s="25">
        <f t="shared" si="33"/>
        <v>26.02373316844486</v>
      </c>
      <c r="AH746" s="43">
        <v>18.735222634918212</v>
      </c>
      <c r="AI746" s="43"/>
      <c r="AJ746" s="43"/>
    </row>
    <row r="747" spans="27:36" ht="13.5" x14ac:dyDescent="0.25">
      <c r="AA747" s="26"/>
      <c r="AB747" s="26">
        <v>39955</v>
      </c>
      <c r="AC747" s="43">
        <v>4.3014505044813953</v>
      </c>
      <c r="AD747" s="25">
        <f t="shared" si="32"/>
        <v>6.1710590659690858</v>
      </c>
      <c r="AE747" s="43">
        <v>6.5257500623729054</v>
      </c>
      <c r="AF747" s="43">
        <v>10.74468085106383</v>
      </c>
      <c r="AG747" s="25">
        <f t="shared" si="33"/>
        <v>26.02373316844486</v>
      </c>
      <c r="AH747" s="43">
        <v>19.200874910746556</v>
      </c>
      <c r="AI747" s="43"/>
      <c r="AJ747" s="43"/>
    </row>
    <row r="748" spans="27:36" ht="13.5" x14ac:dyDescent="0.25">
      <c r="AA748" s="26"/>
      <c r="AB748" s="26">
        <v>39962</v>
      </c>
      <c r="AC748" s="43">
        <v>4.4434127703108439</v>
      </c>
      <c r="AD748" s="25">
        <f t="shared" si="32"/>
        <v>6.1710590659690858</v>
      </c>
      <c r="AE748" s="43">
        <v>6.6004525810406198</v>
      </c>
      <c r="AF748" s="43">
        <v>11.340425531914894</v>
      </c>
      <c r="AG748" s="25">
        <f t="shared" si="33"/>
        <v>26.02373316844486</v>
      </c>
      <c r="AH748" s="43">
        <v>19.79913368066007</v>
      </c>
      <c r="AI748" s="43"/>
      <c r="AJ748" s="43"/>
    </row>
    <row r="749" spans="27:36" ht="13.5" x14ac:dyDescent="0.25">
      <c r="AA749" s="26"/>
      <c r="AB749" s="26">
        <v>39969</v>
      </c>
      <c r="AC749" s="43">
        <v>4.725626201896346</v>
      </c>
      <c r="AD749" s="25">
        <f t="shared" si="32"/>
        <v>6.1710590659690858</v>
      </c>
      <c r="AE749" s="43">
        <v>6.7789990822817963</v>
      </c>
      <c r="AF749" s="43">
        <v>12.627659574468085</v>
      </c>
      <c r="AG749" s="25">
        <f t="shared" si="33"/>
        <v>26.02373316844486</v>
      </c>
      <c r="AH749" s="43">
        <v>20.524872043486699</v>
      </c>
      <c r="AI749" s="43"/>
      <c r="AJ749" s="43"/>
    </row>
    <row r="750" spans="27:36" ht="13.5" x14ac:dyDescent="0.25">
      <c r="AA750" s="26"/>
      <c r="AB750" s="26">
        <v>39976</v>
      </c>
      <c r="AC750" s="43">
        <v>4.755946653223714</v>
      </c>
      <c r="AD750" s="25">
        <f t="shared" si="32"/>
        <v>6.1710590659690858</v>
      </c>
      <c r="AE750" s="43">
        <v>6.7821695497928305</v>
      </c>
      <c r="AF750" s="43">
        <v>12.765957446808512</v>
      </c>
      <c r="AG750" s="25">
        <f t="shared" si="33"/>
        <v>26.02373316844486</v>
      </c>
      <c r="AH750" s="43">
        <v>19.710767205486135</v>
      </c>
      <c r="AI750" s="43"/>
      <c r="AJ750" s="43"/>
    </row>
    <row r="751" spans="27:36" ht="13.5" x14ac:dyDescent="0.25">
      <c r="AA751" s="26"/>
      <c r="AB751" s="26">
        <v>39983</v>
      </c>
      <c r="AC751" s="43">
        <v>4.7326232291257382</v>
      </c>
      <c r="AD751" s="25">
        <f t="shared" si="32"/>
        <v>6.1710590659690858</v>
      </c>
      <c r="AE751" s="43">
        <v>6.7297348138251705</v>
      </c>
      <c r="AF751" s="43">
        <v>12.659574468085108</v>
      </c>
      <c r="AG751" s="25">
        <f t="shared" si="33"/>
        <v>26.02373316844486</v>
      </c>
      <c r="AH751" s="43">
        <v>19.863063538718002</v>
      </c>
      <c r="AI751" s="43"/>
      <c r="AJ751" s="43"/>
    </row>
    <row r="752" spans="27:36" ht="13.5" x14ac:dyDescent="0.25">
      <c r="AA752" s="26"/>
      <c r="AB752" s="26">
        <v>39990</v>
      </c>
      <c r="AC752" s="43">
        <v>4.8084815935736609</v>
      </c>
      <c r="AD752" s="25">
        <f t="shared" si="32"/>
        <v>6.1710590659690858</v>
      </c>
      <c r="AE752" s="43">
        <v>6.7393102562675926</v>
      </c>
      <c r="AF752" s="43">
        <v>17.22580634047867</v>
      </c>
      <c r="AG752" s="25">
        <f t="shared" si="33"/>
        <v>26.02373316844486</v>
      </c>
      <c r="AH752" s="43">
        <v>19.198493018914828</v>
      </c>
      <c r="AI752" s="43"/>
      <c r="AJ752" s="43"/>
    </row>
    <row r="753" spans="27:36" ht="13.5" x14ac:dyDescent="0.25">
      <c r="AA753" s="26"/>
      <c r="AB753" s="26">
        <v>39997</v>
      </c>
      <c r="AC753" s="43">
        <v>4.7274984443281616</v>
      </c>
      <c r="AD753" s="25">
        <f t="shared" si="32"/>
        <v>6.1710590659690858</v>
      </c>
      <c r="AE753" s="43">
        <v>6.6340193101667442</v>
      </c>
      <c r="AF753" s="43">
        <v>16.625806344349638</v>
      </c>
      <c r="AG753" s="25">
        <f t="shared" si="33"/>
        <v>26.02373316844486</v>
      </c>
      <c r="AH753" s="43">
        <v>19.747168493330879</v>
      </c>
      <c r="AI753" s="43"/>
      <c r="AJ753" s="43"/>
    </row>
    <row r="754" spans="27:36" ht="13.5" x14ac:dyDescent="0.25">
      <c r="AA754" s="26"/>
      <c r="AB754" s="26">
        <v>40004</v>
      </c>
      <c r="AC754" s="43">
        <v>4.2322177388730085</v>
      </c>
      <c r="AD754" s="25">
        <f t="shared" si="32"/>
        <v>6.1710590659690858</v>
      </c>
      <c r="AE754" s="43">
        <v>5.9989556995387012</v>
      </c>
      <c r="AF754" s="43">
        <v>11.135135135135135</v>
      </c>
      <c r="AG754" s="25">
        <f t="shared" si="33"/>
        <v>26.02373316844486</v>
      </c>
      <c r="AH754" s="43">
        <v>15</v>
      </c>
      <c r="AI754" s="43"/>
      <c r="AJ754" s="43"/>
    </row>
    <row r="755" spans="27:36" ht="13.5" x14ac:dyDescent="0.25">
      <c r="AA755" s="26"/>
      <c r="AB755" s="26">
        <v>40011</v>
      </c>
      <c r="AC755" s="43">
        <v>4.3544995176404626</v>
      </c>
      <c r="AD755" s="25">
        <f t="shared" si="32"/>
        <v>6.1710590659690858</v>
      </c>
      <c r="AE755" s="43">
        <v>6.2160484491973031</v>
      </c>
      <c r="AF755" s="43">
        <v>11.783783783783784</v>
      </c>
      <c r="AG755" s="25">
        <f t="shared" si="33"/>
        <v>26.02373316844486</v>
      </c>
      <c r="AH755" s="43">
        <v>12.198853919637575</v>
      </c>
      <c r="AI755" s="43"/>
      <c r="AJ755" s="43"/>
    </row>
    <row r="756" spans="27:36" ht="13.5" x14ac:dyDescent="0.25">
      <c r="AA756" s="26"/>
      <c r="AB756" s="26">
        <v>40018</v>
      </c>
      <c r="AC756" s="43">
        <v>4.5226369634457129</v>
      </c>
      <c r="AD756" s="25">
        <f t="shared" si="32"/>
        <v>6.1710590659690858</v>
      </c>
      <c r="AE756" s="43">
        <v>6.5086468499829868</v>
      </c>
      <c r="AF756" s="43">
        <v>12.675675675675677</v>
      </c>
      <c r="AG756" s="25">
        <f t="shared" si="33"/>
        <v>26.02373316844486</v>
      </c>
      <c r="AH756" s="43">
        <v>13.211424872446647</v>
      </c>
      <c r="AI756" s="43"/>
      <c r="AJ756" s="43"/>
    </row>
    <row r="757" spans="27:36" ht="13.5" x14ac:dyDescent="0.25">
      <c r="AA757" s="26"/>
      <c r="AB757" s="26">
        <v>40025</v>
      </c>
      <c r="AC757" s="43">
        <v>5.0061146000168595</v>
      </c>
      <c r="AD757" s="25">
        <f t="shared" ref="AD757:AD820" si="34">$Z$100</f>
        <v>6.1710590659690858</v>
      </c>
      <c r="AE757" s="43">
        <v>7.0250279867506578</v>
      </c>
      <c r="AF757" s="43">
        <v>14.126213523659155</v>
      </c>
      <c r="AG757" s="25">
        <f t="shared" si="33"/>
        <v>26.02373316844486</v>
      </c>
      <c r="AH757" s="43">
        <v>14.542446993352337</v>
      </c>
      <c r="AI757" s="43"/>
      <c r="AJ757" s="43"/>
    </row>
    <row r="758" spans="27:36" ht="13.5" x14ac:dyDescent="0.25">
      <c r="AA758" s="26"/>
      <c r="AB758" s="26">
        <v>40032</v>
      </c>
      <c r="AC758" s="43">
        <v>5.0061146000168595</v>
      </c>
      <c r="AD758" s="25">
        <f t="shared" si="34"/>
        <v>6.1710590659690858</v>
      </c>
      <c r="AE758" s="43">
        <v>7.0250279867506578</v>
      </c>
      <c r="AF758" s="43">
        <v>14.126213523659155</v>
      </c>
      <c r="AG758" s="25">
        <f t="shared" si="33"/>
        <v>26.02373316844486</v>
      </c>
      <c r="AH758" s="43">
        <v>14.542446993352337</v>
      </c>
      <c r="AI758" s="43"/>
      <c r="AJ758" s="43"/>
    </row>
    <row r="759" spans="27:36" ht="13.5" x14ac:dyDescent="0.25">
      <c r="AA759" s="26"/>
      <c r="AB759" s="26">
        <v>40039</v>
      </c>
      <c r="AC759" s="43">
        <v>5.0310546446935849</v>
      </c>
      <c r="AD759" s="25">
        <f t="shared" si="34"/>
        <v>6.1710590659690858</v>
      </c>
      <c r="AE759" s="43">
        <v>6.8393076029782947</v>
      </c>
      <c r="AF759" s="43">
        <v>14.257281484187953</v>
      </c>
      <c r="AG759" s="25">
        <f t="shared" si="33"/>
        <v>26.02373316844486</v>
      </c>
      <c r="AH759" s="43">
        <v>13.904331462399872</v>
      </c>
      <c r="AI759" s="43"/>
      <c r="AJ759" s="43"/>
    </row>
    <row r="760" spans="27:36" ht="13.5" x14ac:dyDescent="0.25">
      <c r="AA760" s="26"/>
      <c r="AB760" s="26">
        <v>40046</v>
      </c>
      <c r="AC760" s="43">
        <v>5.0559946893703112</v>
      </c>
      <c r="AD760" s="25">
        <f t="shared" si="34"/>
        <v>6.1710590659690858</v>
      </c>
      <c r="AE760" s="43">
        <v>7.1303068000329359</v>
      </c>
      <c r="AF760" s="43">
        <v>14.38834944471675</v>
      </c>
      <c r="AG760" s="25">
        <f t="shared" si="33"/>
        <v>26.02373316844486</v>
      </c>
      <c r="AH760" s="43">
        <v>14.659022933194189</v>
      </c>
      <c r="AI760" s="43"/>
      <c r="AJ760" s="43"/>
    </row>
    <row r="761" spans="27:36" ht="13.5" x14ac:dyDescent="0.25">
      <c r="AA761" s="26"/>
      <c r="AB761" s="26">
        <v>40053</v>
      </c>
      <c r="AC761" s="43">
        <v>4.8869566087836134</v>
      </c>
      <c r="AD761" s="25">
        <f t="shared" si="34"/>
        <v>6.1710590659690858</v>
      </c>
      <c r="AE761" s="43">
        <v>7.0116046635837916</v>
      </c>
      <c r="AF761" s="43">
        <v>13.499999934466018</v>
      </c>
      <c r="AG761" s="25">
        <f t="shared" si="33"/>
        <v>26.02373316844486</v>
      </c>
      <c r="AH761" s="43">
        <v>14.439195603363263</v>
      </c>
      <c r="AI761" s="43"/>
      <c r="AJ761" s="43"/>
    </row>
    <row r="762" spans="27:36" ht="13.5" x14ac:dyDescent="0.25">
      <c r="AA762" s="26"/>
      <c r="AB762" s="26">
        <v>40060</v>
      </c>
      <c r="AC762" s="43">
        <v>4.7927386622270927</v>
      </c>
      <c r="AD762" s="25">
        <f t="shared" si="34"/>
        <v>6.1710590659690858</v>
      </c>
      <c r="AE762" s="43">
        <v>6.8496560372054853</v>
      </c>
      <c r="AF762" s="43">
        <v>13.004854305801677</v>
      </c>
      <c r="AG762" s="25">
        <f t="shared" si="33"/>
        <v>26.02373316844486</v>
      </c>
      <c r="AH762" s="43">
        <v>13.865928598150637</v>
      </c>
      <c r="AI762" s="43"/>
      <c r="AJ762" s="43"/>
    </row>
    <row r="763" spans="27:36" ht="13.5" x14ac:dyDescent="0.25">
      <c r="AA763" s="26"/>
      <c r="AB763" s="26">
        <v>40067</v>
      </c>
      <c r="AC763" s="43">
        <v>4.947921162437833</v>
      </c>
      <c r="AD763" s="25">
        <f t="shared" si="34"/>
        <v>6.1710590659690858</v>
      </c>
      <c r="AE763" s="43">
        <v>6.9788721522722987</v>
      </c>
      <c r="AF763" s="43">
        <v>13.820388282425299</v>
      </c>
      <c r="AG763" s="25">
        <f t="shared" si="33"/>
        <v>26.02373316844486</v>
      </c>
      <c r="AH763" s="43">
        <v>14.490332920050488</v>
      </c>
      <c r="AI763" s="43"/>
      <c r="AJ763" s="43"/>
    </row>
    <row r="764" spans="27:36" ht="13.5" x14ac:dyDescent="0.25">
      <c r="AA764" s="26"/>
      <c r="AB764" s="26">
        <v>40074</v>
      </c>
      <c r="AC764" s="43">
        <v>5.0255124125432022</v>
      </c>
      <c r="AD764" s="25">
        <f t="shared" si="34"/>
        <v>6.1710590659690858</v>
      </c>
      <c r="AE764" s="43">
        <v>7.1582187234591812</v>
      </c>
      <c r="AF764" s="43">
        <v>14.228155270737108</v>
      </c>
      <c r="AG764" s="25">
        <f t="shared" si="33"/>
        <v>26.02373316844486</v>
      </c>
      <c r="AH764" s="43">
        <v>15.257605346879581</v>
      </c>
      <c r="AI764" s="43"/>
      <c r="AJ764" s="43"/>
    </row>
    <row r="765" spans="27:36" ht="13.5" x14ac:dyDescent="0.25">
      <c r="AA765" s="26"/>
      <c r="AB765" s="26">
        <v>40081</v>
      </c>
      <c r="AC765" s="43">
        <v>4.9063544213099561</v>
      </c>
      <c r="AD765" s="25">
        <f t="shared" si="34"/>
        <v>6.1710590659690858</v>
      </c>
      <c r="AE765" s="43">
        <v>7.024654634929365</v>
      </c>
      <c r="AF765" s="43">
        <v>13.601941681543972</v>
      </c>
      <c r="AG765" s="25">
        <f t="shared" si="33"/>
        <v>26.02373316844486</v>
      </c>
      <c r="AH765" s="43">
        <v>14.712330769547568</v>
      </c>
      <c r="AI765" s="43"/>
      <c r="AJ765" s="43"/>
    </row>
    <row r="766" spans="27:36" ht="13.5" x14ac:dyDescent="0.25">
      <c r="AA766" s="26"/>
      <c r="AB766" s="26">
        <v>40088</v>
      </c>
      <c r="AC766" s="43">
        <v>4.8675587962572706</v>
      </c>
      <c r="AD766" s="25">
        <f t="shared" si="34"/>
        <v>6.1710590659690858</v>
      </c>
      <c r="AE766" s="43">
        <v>6.9631802513800682</v>
      </c>
      <c r="AF766" s="43">
        <v>13.398058187388065</v>
      </c>
      <c r="AG766" s="25">
        <f t="shared" si="33"/>
        <v>26.02373316844486</v>
      </c>
      <c r="AH766" s="43">
        <v>14.027846236964583</v>
      </c>
      <c r="AI766" s="43"/>
      <c r="AJ766" s="43"/>
    </row>
    <row r="767" spans="27:36" ht="13.5" x14ac:dyDescent="0.25">
      <c r="AA767" s="26"/>
      <c r="AB767" s="26">
        <v>40095</v>
      </c>
      <c r="AC767" s="43">
        <v>5.0892480822726123</v>
      </c>
      <c r="AD767" s="25">
        <f t="shared" si="34"/>
        <v>6.1710590659690858</v>
      </c>
      <c r="AE767" s="43">
        <v>7.1729064638140319</v>
      </c>
      <c r="AF767" s="43">
        <v>14.563106725421811</v>
      </c>
      <c r="AG767" s="25">
        <f t="shared" si="33"/>
        <v>26.02373316844486</v>
      </c>
      <c r="AH767" s="43">
        <v>14.944205059266633</v>
      </c>
      <c r="AI767" s="43"/>
      <c r="AJ767" s="43"/>
    </row>
    <row r="768" spans="27:36" ht="13.5" x14ac:dyDescent="0.25">
      <c r="AA768" s="26"/>
      <c r="AB768" s="26">
        <v>40102</v>
      </c>
      <c r="AC768" s="43">
        <v>5.0726213858214617</v>
      </c>
      <c r="AD768" s="25">
        <f t="shared" si="34"/>
        <v>6.1710590659690858</v>
      </c>
      <c r="AE768" s="43">
        <v>7.2869826908542228</v>
      </c>
      <c r="AF768" s="43">
        <v>14.47572808506928</v>
      </c>
      <c r="AG768" s="25">
        <f t="shared" si="33"/>
        <v>26.02373316844486</v>
      </c>
      <c r="AH768" s="43">
        <v>14.528280773935871</v>
      </c>
      <c r="AI768" s="43"/>
      <c r="AJ768" s="43"/>
    </row>
    <row r="769" spans="27:36" ht="13.5" x14ac:dyDescent="0.25">
      <c r="AA769" s="26"/>
      <c r="AB769" s="26">
        <v>40109</v>
      </c>
      <c r="AC769" s="43">
        <v>4.9867167874905176</v>
      </c>
      <c r="AD769" s="25">
        <f t="shared" si="34"/>
        <v>6.1710590659690858</v>
      </c>
      <c r="AE769" s="43">
        <v>7.2075004028998348</v>
      </c>
      <c r="AF769" s="43">
        <v>14.024271776581205</v>
      </c>
      <c r="AG769" s="25">
        <f t="shared" si="33"/>
        <v>26.02373316844486</v>
      </c>
      <c r="AH769" s="43">
        <v>14.290886169478384</v>
      </c>
      <c r="AI769" s="43"/>
      <c r="AJ769" s="43"/>
    </row>
    <row r="770" spans="27:36" ht="13.5" x14ac:dyDescent="0.25">
      <c r="AA770" s="26"/>
      <c r="AB770" s="26">
        <v>40116</v>
      </c>
      <c r="AC770" s="43">
        <v>5.4993732614009954</v>
      </c>
      <c r="AD770" s="25">
        <f t="shared" si="34"/>
        <v>6.1710590659690858</v>
      </c>
      <c r="AE770" s="43">
        <v>6.8808445554068225</v>
      </c>
      <c r="AF770" s="43">
        <v>16.718446520784241</v>
      </c>
      <c r="AG770" s="25">
        <f t="shared" si="33"/>
        <v>26.02373316844486</v>
      </c>
      <c r="AH770" s="43">
        <v>13.795461991944199</v>
      </c>
      <c r="AI770" s="43"/>
      <c r="AJ770" s="43"/>
    </row>
    <row r="771" spans="27:36" ht="13.5" x14ac:dyDescent="0.25">
      <c r="AA771" s="26"/>
      <c r="AB771" s="26">
        <v>40123</v>
      </c>
      <c r="AC771" s="43">
        <v>5.7375170833119933</v>
      </c>
      <c r="AD771" s="25">
        <f t="shared" si="34"/>
        <v>6.1710590659690858</v>
      </c>
      <c r="AE771" s="43">
        <v>7.0505148904356112</v>
      </c>
      <c r="AF771" s="43">
        <v>17.382352941176471</v>
      </c>
      <c r="AG771" s="25">
        <f t="shared" si="33"/>
        <v>26.02373316844486</v>
      </c>
      <c r="AH771" s="43">
        <v>13.145756839139969</v>
      </c>
      <c r="AI771" s="43"/>
      <c r="AJ771" s="43"/>
    </row>
    <row r="772" spans="27:36" ht="13.5" x14ac:dyDescent="0.25">
      <c r="AA772" s="26"/>
      <c r="AB772" s="26">
        <v>40130</v>
      </c>
      <c r="AC772" s="43">
        <v>5.8797580438418899</v>
      </c>
      <c r="AD772" s="25">
        <f t="shared" si="34"/>
        <v>6.1710590659690858</v>
      </c>
      <c r="AE772" s="43">
        <v>7.2103390917286054</v>
      </c>
      <c r="AF772" s="43">
        <v>18.117647058823529</v>
      </c>
      <c r="AG772" s="25">
        <f t="shared" si="33"/>
        <v>26.02373316844486</v>
      </c>
      <c r="AH772" s="43">
        <v>13.505181760900166</v>
      </c>
      <c r="AI772" s="43"/>
      <c r="AJ772" s="43"/>
    </row>
    <row r="773" spans="27:36" ht="13.5" x14ac:dyDescent="0.25">
      <c r="AA773" s="26"/>
      <c r="AB773" s="26">
        <v>40137</v>
      </c>
      <c r="AC773" s="43">
        <v>5.8569994901571061</v>
      </c>
      <c r="AD773" s="25">
        <f t="shared" si="34"/>
        <v>6.1710590659690858</v>
      </c>
      <c r="AE773" s="43">
        <v>7.1691502736485297</v>
      </c>
      <c r="AF773" s="43">
        <v>18</v>
      </c>
      <c r="AG773" s="25">
        <f t="shared" si="33"/>
        <v>26.02373316844486</v>
      </c>
      <c r="AH773" s="43">
        <v>13.316663588563538</v>
      </c>
      <c r="AI773" s="43"/>
      <c r="AJ773" s="43"/>
    </row>
    <row r="774" spans="27:36" ht="13.5" x14ac:dyDescent="0.25">
      <c r="AA774" s="26"/>
      <c r="AB774" s="26">
        <v>40144</v>
      </c>
      <c r="AC774" s="43">
        <v>5.6123450380456843</v>
      </c>
      <c r="AD774" s="25">
        <f t="shared" si="34"/>
        <v>6.1710590659690858</v>
      </c>
      <c r="AE774" s="43">
        <v>6.8508580891225295</v>
      </c>
      <c r="AF774" s="43">
        <v>16.735294117647058</v>
      </c>
      <c r="AG774" s="25">
        <f t="shared" si="33"/>
        <v>26.02373316844486</v>
      </c>
      <c r="AH774" s="43">
        <v>12.498044901445898</v>
      </c>
      <c r="AI774" s="43"/>
      <c r="AJ774" s="43"/>
    </row>
    <row r="775" spans="27:36" ht="13.5" x14ac:dyDescent="0.25">
      <c r="AA775" s="26"/>
      <c r="AB775" s="26">
        <v>40151</v>
      </c>
      <c r="AC775" s="43">
        <v>5.6578621454152511</v>
      </c>
      <c r="AD775" s="25">
        <f t="shared" si="34"/>
        <v>6.1710590659690858</v>
      </c>
      <c r="AE775" s="43">
        <v>6.8171377881921549</v>
      </c>
      <c r="AF775" s="43">
        <v>16.970588235294116</v>
      </c>
      <c r="AG775" s="25">
        <f t="shared" si="33"/>
        <v>26.02373316844486</v>
      </c>
      <c r="AH775" s="43">
        <v>12.738578717953597</v>
      </c>
      <c r="AI775" s="43"/>
      <c r="AJ775" s="43"/>
    </row>
    <row r="776" spans="27:36" ht="13.5" x14ac:dyDescent="0.25">
      <c r="AA776" s="26"/>
      <c r="AB776" s="26">
        <v>40158</v>
      </c>
      <c r="AC776" s="43">
        <v>5.7744997330497663</v>
      </c>
      <c r="AD776" s="25">
        <f t="shared" si="34"/>
        <v>6.1710590659690858</v>
      </c>
      <c r="AE776" s="43">
        <v>7.127086001320551</v>
      </c>
      <c r="AF776" s="43">
        <v>17.573529411764703</v>
      </c>
      <c r="AG776" s="25">
        <f t="shared" si="33"/>
        <v>26.02373316844486</v>
      </c>
      <c r="AH776" s="43">
        <v>13.50207278470403</v>
      </c>
      <c r="AI776" s="43"/>
      <c r="AJ776" s="43"/>
    </row>
    <row r="777" spans="27:36" ht="13.5" x14ac:dyDescent="0.25">
      <c r="AA777" s="26"/>
      <c r="AB777" s="26">
        <v>40165</v>
      </c>
      <c r="AC777" s="43">
        <v>6.06803912117637</v>
      </c>
      <c r="AD777" s="25">
        <f t="shared" si="34"/>
        <v>6.1710590659690858</v>
      </c>
      <c r="AE777" s="43">
        <v>7.1917181605504465</v>
      </c>
      <c r="AF777" s="43">
        <v>19.102941176470587</v>
      </c>
      <c r="AG777" s="25">
        <f t="shared" si="33"/>
        <v>26.02373316844486</v>
      </c>
      <c r="AH777" s="43">
        <v>13.780844638856518</v>
      </c>
      <c r="AI777" s="43"/>
      <c r="AJ777" s="43"/>
    </row>
    <row r="778" spans="27:36" ht="13.5" x14ac:dyDescent="0.25">
      <c r="AA778" s="26"/>
      <c r="AB778" s="26">
        <v>40172</v>
      </c>
      <c r="AC778" s="43">
        <v>6.2671002992719638</v>
      </c>
      <c r="AD778" s="25">
        <f t="shared" si="34"/>
        <v>6.1710590659690858</v>
      </c>
      <c r="AE778" s="43">
        <v>7.3201377917179702</v>
      </c>
      <c r="AF778" s="43">
        <v>20.132352941176467</v>
      </c>
      <c r="AG778" s="25">
        <f t="shared" si="33"/>
        <v>26.02373316844486</v>
      </c>
      <c r="AH778" s="43">
        <v>14.03941585347898</v>
      </c>
      <c r="AI778" s="43"/>
      <c r="AJ778" s="43"/>
    </row>
    <row r="779" spans="27:36" ht="13.5" x14ac:dyDescent="0.25">
      <c r="AA779" s="26"/>
      <c r="AB779" s="26">
        <v>40179</v>
      </c>
      <c r="AC779" s="43">
        <v>6.3069125348910831</v>
      </c>
      <c r="AD779" s="25">
        <f t="shared" si="34"/>
        <v>6.1710590659690858</v>
      </c>
      <c r="AE779" s="43">
        <v>7.3683148970301993</v>
      </c>
      <c r="AF779" s="43">
        <v>20.338235294117645</v>
      </c>
      <c r="AG779" s="25">
        <f t="shared" si="33"/>
        <v>26.02373316844486</v>
      </c>
      <c r="AH779" s="43">
        <v>14.240997759416526</v>
      </c>
      <c r="AI779" s="43"/>
      <c r="AJ779" s="43"/>
    </row>
    <row r="780" spans="27:36" ht="13.5" x14ac:dyDescent="0.25">
      <c r="AA780" s="26"/>
      <c r="AB780" s="26">
        <v>40186</v>
      </c>
      <c r="AC780" s="43">
        <v>5.5312936318379329</v>
      </c>
      <c r="AD780" s="25">
        <f t="shared" si="34"/>
        <v>6.1710590659690858</v>
      </c>
      <c r="AE780" s="43">
        <v>7.0258975111914612</v>
      </c>
      <c r="AF780" s="43">
        <v>20.382352941176467</v>
      </c>
      <c r="AG780" s="25">
        <f t="shared" si="33"/>
        <v>26.02373316844486</v>
      </c>
      <c r="AH780" s="43">
        <v>13.305620878494329</v>
      </c>
      <c r="AI780" s="43"/>
      <c r="AJ780" s="43"/>
    </row>
    <row r="781" spans="27:36" ht="13.5" x14ac:dyDescent="0.25">
      <c r="AA781" s="26"/>
      <c r="AB781" s="26">
        <v>40193</v>
      </c>
      <c r="AC781" s="43">
        <v>5.5028563206814196</v>
      </c>
      <c r="AD781" s="25">
        <f t="shared" si="34"/>
        <v>6.1710590659690858</v>
      </c>
      <c r="AE781" s="43">
        <v>6.9854710002912572</v>
      </c>
      <c r="AF781" s="43">
        <v>20.235294117647058</v>
      </c>
      <c r="AG781" s="25">
        <f t="shared" si="33"/>
        <v>26.02373316844486</v>
      </c>
      <c r="AH781" s="43">
        <v>13.247140290755157</v>
      </c>
      <c r="AI781" s="43"/>
      <c r="AJ781" s="43"/>
    </row>
    <row r="782" spans="27:36" ht="13.5" x14ac:dyDescent="0.25">
      <c r="AA782" s="26"/>
      <c r="AB782" s="26">
        <v>40200</v>
      </c>
      <c r="AC782" s="43">
        <v>5.5426685563005389</v>
      </c>
      <c r="AD782" s="25">
        <f t="shared" si="34"/>
        <v>6.1710590659690858</v>
      </c>
      <c r="AE782" s="43">
        <v>7.0765169217275794</v>
      </c>
      <c r="AF782" s="43">
        <v>20.441176470588236</v>
      </c>
      <c r="AG782" s="25">
        <f t="shared" si="33"/>
        <v>26.02373316844486</v>
      </c>
      <c r="AH782" s="43">
        <v>13.114533586516933</v>
      </c>
      <c r="AI782" s="43"/>
      <c r="AJ782" s="43"/>
    </row>
    <row r="783" spans="27:36" ht="13.5" x14ac:dyDescent="0.25">
      <c r="AA783" s="26"/>
      <c r="AB783" s="26">
        <v>40207</v>
      </c>
      <c r="AC783" s="43">
        <v>5.8163255733647956</v>
      </c>
      <c r="AD783" s="25">
        <f t="shared" si="34"/>
        <v>6.1710590659690858</v>
      </c>
      <c r="AE783" s="43">
        <v>7.0275588534234172</v>
      </c>
      <c r="AF783" s="43">
        <v>22.289855072463769</v>
      </c>
      <c r="AG783" s="25">
        <f t="shared" si="33"/>
        <v>26.02373316844486</v>
      </c>
      <c r="AH783" s="43">
        <v>13.140338127931464</v>
      </c>
      <c r="AI783" s="43"/>
      <c r="AJ783" s="43"/>
    </row>
    <row r="784" spans="27:36" ht="13.5" x14ac:dyDescent="0.25">
      <c r="AA784" s="26"/>
      <c r="AB784" s="26">
        <v>40214</v>
      </c>
      <c r="AC784" s="43">
        <v>6.1979680980326712</v>
      </c>
      <c r="AD784" s="25">
        <f t="shared" si="34"/>
        <v>6.1710590659690858</v>
      </c>
      <c r="AE784" s="43">
        <v>6.7266385012172361</v>
      </c>
      <c r="AF784" s="43">
        <v>21.265486819758792</v>
      </c>
      <c r="AG784" s="25">
        <f t="shared" si="33"/>
        <v>26.02373316844486</v>
      </c>
      <c r="AH784" s="43">
        <v>12.838108869346947</v>
      </c>
      <c r="AI784" s="43"/>
      <c r="AJ784" s="43"/>
    </row>
    <row r="785" spans="27:36" ht="13.5" x14ac:dyDescent="0.25">
      <c r="AA785" s="26"/>
      <c r="AB785" s="26">
        <v>40221</v>
      </c>
      <c r="AC785" s="43">
        <v>6.148587226439548</v>
      </c>
      <c r="AD785" s="25">
        <f t="shared" si="34"/>
        <v>6.1710590659690858</v>
      </c>
      <c r="AE785" s="43">
        <v>6.7521361315991681</v>
      </c>
      <c r="AF785" s="43">
        <v>21.013274429262275</v>
      </c>
      <c r="AG785" s="25">
        <f t="shared" si="33"/>
        <v>26.02373316844486</v>
      </c>
      <c r="AH785" s="43">
        <v>12.834358087607312</v>
      </c>
      <c r="AI785" s="43"/>
      <c r="AJ785" s="43"/>
    </row>
    <row r="786" spans="27:36" ht="13.5" x14ac:dyDescent="0.25">
      <c r="AA786" s="26"/>
      <c r="AB786" s="26">
        <v>40228</v>
      </c>
      <c r="AC786" s="43">
        <v>6.3755189602763966</v>
      </c>
      <c r="AD786" s="25">
        <f t="shared" si="34"/>
        <v>6.1710590659690858</v>
      </c>
      <c r="AE786" s="43">
        <v>6.9874743603915714</v>
      </c>
      <c r="AF786" s="43">
        <v>24</v>
      </c>
      <c r="AG786" s="25">
        <f t="shared" si="33"/>
        <v>26.02373316844486</v>
      </c>
      <c r="AH786" s="43">
        <v>13.537481298598784</v>
      </c>
      <c r="AI786" s="43"/>
      <c r="AJ786" s="43"/>
    </row>
    <row r="787" spans="27:36" ht="13.5" x14ac:dyDescent="0.25">
      <c r="AA787" s="26"/>
      <c r="AB787" s="26">
        <v>40235</v>
      </c>
      <c r="AC787" s="43">
        <v>6.5</v>
      </c>
      <c r="AD787" s="25">
        <f t="shared" si="34"/>
        <v>6.1710590659690858</v>
      </c>
      <c r="AE787" s="43">
        <v>7.1</v>
      </c>
      <c r="AF787" s="43">
        <v>25</v>
      </c>
      <c r="AG787" s="25">
        <f t="shared" si="33"/>
        <v>26.02373316844486</v>
      </c>
      <c r="AH787" s="43">
        <v>14</v>
      </c>
      <c r="AI787" s="43"/>
      <c r="AJ787" s="43"/>
    </row>
    <row r="788" spans="27:36" ht="13.5" x14ac:dyDescent="0.25">
      <c r="AA788" s="26"/>
      <c r="AB788" s="26">
        <v>40242</v>
      </c>
      <c r="AC788" s="43">
        <v>6.45</v>
      </c>
      <c r="AD788" s="25">
        <f t="shared" si="34"/>
        <v>6.1710590659690858</v>
      </c>
      <c r="AE788" s="43">
        <v>7.3</v>
      </c>
      <c r="AF788" s="43">
        <v>27</v>
      </c>
      <c r="AG788" s="25">
        <f t="shared" si="33"/>
        <v>26.02373316844486</v>
      </c>
      <c r="AH788" s="43">
        <v>13.9</v>
      </c>
      <c r="AI788" s="43"/>
      <c r="AJ788" s="43"/>
    </row>
    <row r="789" spans="27:36" ht="13.5" x14ac:dyDescent="0.25">
      <c r="AA789" s="26"/>
      <c r="AB789" s="26">
        <v>40249</v>
      </c>
      <c r="AC789" s="43">
        <v>6.3</v>
      </c>
      <c r="AD789" s="25">
        <f t="shared" si="34"/>
        <v>6.1710590659690858</v>
      </c>
      <c r="AE789" s="43">
        <v>7.2</v>
      </c>
      <c r="AF789" s="43">
        <v>31</v>
      </c>
      <c r="AG789" s="25">
        <f t="shared" si="33"/>
        <v>26.02373316844486</v>
      </c>
      <c r="AH789" s="43">
        <v>13.8</v>
      </c>
      <c r="AI789" s="43"/>
      <c r="AJ789" s="43"/>
    </row>
    <row r="790" spans="27:36" ht="13.5" x14ac:dyDescent="0.25">
      <c r="AA790" s="26"/>
      <c r="AB790" s="26">
        <v>40256</v>
      </c>
      <c r="AC790" s="43">
        <v>6.7</v>
      </c>
      <c r="AD790" s="25">
        <f t="shared" si="34"/>
        <v>6.1710590659690858</v>
      </c>
      <c r="AE790" s="43">
        <v>7.1</v>
      </c>
      <c r="AF790" s="43">
        <v>36</v>
      </c>
      <c r="AG790" s="25">
        <f t="shared" si="33"/>
        <v>26.02373316844486</v>
      </c>
      <c r="AH790" s="43">
        <v>14.4</v>
      </c>
      <c r="AI790" s="43"/>
      <c r="AJ790" s="43"/>
    </row>
    <row r="791" spans="27:36" ht="13.5" x14ac:dyDescent="0.25">
      <c r="AA791" s="26"/>
      <c r="AB791" s="26">
        <v>40263</v>
      </c>
      <c r="AC791" s="43">
        <v>6.9</v>
      </c>
      <c r="AD791" s="25">
        <f t="shared" si="34"/>
        <v>6.1710590659690858</v>
      </c>
      <c r="AE791" s="43">
        <v>7.3</v>
      </c>
      <c r="AF791" s="43">
        <v>33</v>
      </c>
      <c r="AG791" s="25">
        <f t="shared" si="33"/>
        <v>26.02373316844486</v>
      </c>
      <c r="AH791" s="43">
        <v>14.9</v>
      </c>
      <c r="AI791" s="43"/>
      <c r="AJ791" s="43"/>
    </row>
    <row r="792" spans="27:36" ht="13.5" x14ac:dyDescent="0.25">
      <c r="AA792" s="26"/>
      <c r="AB792" s="26">
        <v>40270</v>
      </c>
      <c r="AC792" s="43">
        <v>7.4</v>
      </c>
      <c r="AD792" s="25">
        <f t="shared" si="34"/>
        <v>6.1710590659690858</v>
      </c>
      <c r="AE792" s="43">
        <v>7.2</v>
      </c>
      <c r="AF792" s="43">
        <v>35</v>
      </c>
      <c r="AG792" s="25">
        <f t="shared" si="33"/>
        <v>26.02373316844486</v>
      </c>
      <c r="AH792" s="43">
        <v>15.5</v>
      </c>
      <c r="AI792" s="43"/>
      <c r="AJ792" s="43"/>
    </row>
    <row r="793" spans="27:36" ht="13.5" x14ac:dyDescent="0.25">
      <c r="AA793" s="26"/>
      <c r="AB793" s="26">
        <v>40277</v>
      </c>
      <c r="AC793" s="43">
        <v>7.2</v>
      </c>
      <c r="AD793" s="25">
        <f t="shared" si="34"/>
        <v>6.1710590659690858</v>
      </c>
      <c r="AE793" s="43">
        <v>7.4</v>
      </c>
      <c r="AF793" s="43">
        <v>36</v>
      </c>
      <c r="AG793" s="25">
        <f t="shared" si="33"/>
        <v>26.02373316844486</v>
      </c>
      <c r="AH793" s="43">
        <v>15.6</v>
      </c>
      <c r="AI793" s="43"/>
      <c r="AJ793" s="43"/>
    </row>
    <row r="794" spans="27:36" ht="13.5" x14ac:dyDescent="0.25">
      <c r="AA794" s="26"/>
      <c r="AB794" s="26">
        <v>40284</v>
      </c>
      <c r="AC794" s="43">
        <v>7.2524629199409381</v>
      </c>
      <c r="AD794" s="25">
        <f t="shared" si="34"/>
        <v>6.1710590659690858</v>
      </c>
      <c r="AE794" s="43">
        <v>7.3917555968602588</v>
      </c>
      <c r="AF794" s="43">
        <v>35.754711320754716</v>
      </c>
      <c r="AG794" s="25">
        <f t="shared" si="33"/>
        <v>26.02373316844486</v>
      </c>
      <c r="AH794" s="43">
        <v>15.939657406546047</v>
      </c>
      <c r="AI794" s="43"/>
      <c r="AJ794" s="43"/>
    </row>
    <row r="795" spans="27:36" ht="13.5" x14ac:dyDescent="0.25">
      <c r="AA795" s="26"/>
      <c r="AB795" s="26">
        <v>40291</v>
      </c>
      <c r="AC795" s="43">
        <v>7.4638406521289227</v>
      </c>
      <c r="AD795" s="25">
        <f t="shared" si="34"/>
        <v>6.1710590659690858</v>
      </c>
      <c r="AE795" s="43">
        <v>7.446051388056615</v>
      </c>
      <c r="AF795" s="43">
        <v>37.075470978359007</v>
      </c>
      <c r="AG795" s="25">
        <f t="shared" si="33"/>
        <v>26.02373316844486</v>
      </c>
      <c r="AH795" s="43">
        <v>16.381058443635922</v>
      </c>
      <c r="AI795" s="43"/>
      <c r="AJ795" s="43"/>
    </row>
    <row r="796" spans="27:36" ht="13.5" x14ac:dyDescent="0.25">
      <c r="AA796" s="26"/>
      <c r="AB796" s="26">
        <v>40298</v>
      </c>
      <c r="AC796" s="43">
        <v>7.2917195205069332</v>
      </c>
      <c r="AD796" s="25">
        <f t="shared" si="34"/>
        <v>6.1710590659690858</v>
      </c>
      <c r="AE796" s="43">
        <v>7.3688264134900674</v>
      </c>
      <c r="AF796" s="43">
        <v>35.999999856049158</v>
      </c>
      <c r="AG796" s="25">
        <f t="shared" si="33"/>
        <v>26.02373316844486</v>
      </c>
      <c r="AH796" s="43">
        <v>16.059258047143057</v>
      </c>
      <c r="AI796" s="43"/>
      <c r="AJ796" s="43"/>
    </row>
    <row r="797" spans="27:36" ht="13.5" x14ac:dyDescent="0.25">
      <c r="AA797" s="26"/>
      <c r="AB797" s="26">
        <v>40305</v>
      </c>
      <c r="AC797" s="43">
        <v>6.74515930452423</v>
      </c>
      <c r="AD797" s="25">
        <f t="shared" si="34"/>
        <v>6.1710590659690858</v>
      </c>
      <c r="AE797" s="43">
        <v>7.2323149588995221</v>
      </c>
      <c r="AF797" s="43">
        <v>32.584906524082399</v>
      </c>
      <c r="AG797" s="25">
        <f t="shared" si="33"/>
        <v>26.02373316844486</v>
      </c>
      <c r="AH797" s="43">
        <v>15.529699775808291</v>
      </c>
      <c r="AI797" s="43"/>
      <c r="AJ797" s="43"/>
    </row>
    <row r="798" spans="27:36" ht="13.5" x14ac:dyDescent="0.25">
      <c r="AA798" s="26"/>
      <c r="AB798" s="26">
        <v>40312</v>
      </c>
      <c r="AC798" s="43">
        <v>7.1678310313932654</v>
      </c>
      <c r="AD798" s="25">
        <f t="shared" si="34"/>
        <v>6.1710590659690858</v>
      </c>
      <c r="AE798" s="43">
        <v>7.3890157740644566</v>
      </c>
      <c r="AF798" s="43">
        <v>35.226415238290464</v>
      </c>
      <c r="AG798" s="25">
        <f t="shared" si="33"/>
        <v>26.02373316844486</v>
      </c>
      <c r="AH798" s="43">
        <v>16.078125666023972</v>
      </c>
      <c r="AI798" s="43"/>
      <c r="AJ798" s="43"/>
    </row>
    <row r="799" spans="27:36" ht="13.5" x14ac:dyDescent="0.25">
      <c r="AA799" s="26"/>
      <c r="AB799" s="26">
        <v>40319</v>
      </c>
      <c r="AC799" s="43">
        <v>6.4521770387055515</v>
      </c>
      <c r="AD799" s="25">
        <f t="shared" si="34"/>
        <v>6.1710590659690858</v>
      </c>
      <c r="AE799" s="43">
        <v>7.3634848505928776</v>
      </c>
      <c r="AF799" s="43">
        <v>30.754715541623671</v>
      </c>
      <c r="AG799" s="25">
        <f t="shared" si="33"/>
        <v>26.02373316844486</v>
      </c>
      <c r="AH799" s="43">
        <v>15.666946306159748</v>
      </c>
      <c r="AI799" s="43"/>
      <c r="AJ799" s="43"/>
    </row>
    <row r="800" spans="27:36" ht="13.5" x14ac:dyDescent="0.25">
      <c r="AA800" s="26"/>
      <c r="AB800" s="26">
        <v>40326</v>
      </c>
      <c r="AC800" s="43">
        <v>5.4860882730061657</v>
      </c>
      <c r="AD800" s="25">
        <f t="shared" si="34"/>
        <v>6.1710590659690858</v>
      </c>
      <c r="AE800" s="43">
        <v>7.3670209185555935</v>
      </c>
      <c r="AF800" s="43">
        <v>24.986406901754339</v>
      </c>
      <c r="AG800" s="25">
        <f t="shared" si="33"/>
        <v>26.02373316844486</v>
      </c>
      <c r="AH800" s="43">
        <v>15.283764438732049</v>
      </c>
      <c r="AI800" s="43"/>
      <c r="AJ800" s="43"/>
    </row>
    <row r="801" spans="27:36" ht="13.5" x14ac:dyDescent="0.25">
      <c r="AA801" s="26"/>
      <c r="AB801" s="26">
        <v>40333</v>
      </c>
      <c r="AC801" s="43">
        <v>5.0484944664592613</v>
      </c>
      <c r="AD801" s="25">
        <f t="shared" si="34"/>
        <v>6.1710590659690858</v>
      </c>
      <c r="AE801" s="43">
        <v>7.05141330769455</v>
      </c>
      <c r="AF801" s="43">
        <v>22.790588623601039</v>
      </c>
      <c r="AG801" s="25">
        <f t="shared" si="33"/>
        <v>26.02373316844486</v>
      </c>
      <c r="AH801" s="43">
        <v>14.556317666382467</v>
      </c>
      <c r="AI801" s="43"/>
      <c r="AJ801" s="43"/>
    </row>
    <row r="802" spans="27:36" ht="13.5" x14ac:dyDescent="0.25">
      <c r="AA802" s="26"/>
      <c r="AB802" s="26">
        <v>40340</v>
      </c>
      <c r="AC802" s="43">
        <v>4.9455312980833748</v>
      </c>
      <c r="AD802" s="25">
        <f t="shared" si="34"/>
        <v>6.1710590659690858</v>
      </c>
      <c r="AE802" s="43">
        <v>7.1618758765299564</v>
      </c>
      <c r="AF802" s="43">
        <v>22.273925901885587</v>
      </c>
      <c r="AG802" s="25">
        <f t="shared" si="33"/>
        <v>26.02373316844486</v>
      </c>
      <c r="AH802" s="43">
        <v>15.13375084254298</v>
      </c>
      <c r="AI802" s="43"/>
      <c r="AJ802" s="43"/>
    </row>
    <row r="803" spans="27:36" ht="13.5" x14ac:dyDescent="0.25">
      <c r="AA803" s="26"/>
      <c r="AB803" s="26">
        <v>40347</v>
      </c>
      <c r="AC803" s="43">
        <v>5.1228566183509807</v>
      </c>
      <c r="AD803" s="25">
        <f t="shared" si="34"/>
        <v>6.1710590659690858</v>
      </c>
      <c r="AE803" s="43">
        <v>7.3703415888991657</v>
      </c>
      <c r="AF803" s="43">
        <v>23.163733238272702</v>
      </c>
      <c r="AG803" s="25">
        <f t="shared" si="33"/>
        <v>26.02373316844486</v>
      </c>
      <c r="AH803" s="43">
        <v>15.665883632619154</v>
      </c>
      <c r="AI803" s="43"/>
      <c r="AJ803" s="43"/>
    </row>
    <row r="804" spans="27:36" ht="13.5" x14ac:dyDescent="0.25">
      <c r="AA804" s="26"/>
      <c r="AB804" s="26">
        <v>40354</v>
      </c>
      <c r="AC804" s="43">
        <v>4.708143515887607</v>
      </c>
      <c r="AD804" s="25">
        <f t="shared" si="34"/>
        <v>6.1710590659690858</v>
      </c>
      <c r="AE804" s="43">
        <v>6.7799417876831471</v>
      </c>
      <c r="AF804" s="43">
        <v>21.082728898278393</v>
      </c>
      <c r="AG804" s="25">
        <f t="shared" si="33"/>
        <v>26.02373316844486</v>
      </c>
      <c r="AH804" s="43">
        <v>14.097680893030098</v>
      </c>
      <c r="AI804" s="43"/>
      <c r="AJ804" s="43"/>
    </row>
    <row r="805" spans="27:36" ht="13.5" x14ac:dyDescent="0.25">
      <c r="AA805" s="26"/>
      <c r="AB805" s="26">
        <v>40361</v>
      </c>
      <c r="AC805" s="43">
        <v>4.6538019118790999</v>
      </c>
      <c r="AD805" s="25">
        <f t="shared" si="34"/>
        <v>6.1710590659690858</v>
      </c>
      <c r="AE805" s="43">
        <v>6.8714183263702289</v>
      </c>
      <c r="AF805" s="43">
        <v>20.810046137323319</v>
      </c>
      <c r="AG805" s="25">
        <f t="shared" si="33"/>
        <v>26.02373316844486</v>
      </c>
      <c r="AH805" s="43">
        <v>14.596477697989439</v>
      </c>
      <c r="AI805" s="43"/>
      <c r="AJ805" s="43"/>
    </row>
    <row r="806" spans="27:36" ht="13.5" x14ac:dyDescent="0.25">
      <c r="AA806" s="26"/>
      <c r="AB806" s="26">
        <v>40368</v>
      </c>
      <c r="AC806" s="43">
        <v>3.8369507208135798</v>
      </c>
      <c r="AD806" s="25">
        <f t="shared" si="34"/>
        <v>6.1710590659690858</v>
      </c>
      <c r="AE806" s="43">
        <v>6.251801917448045</v>
      </c>
      <c r="AF806" s="43">
        <v>16.249737210632137</v>
      </c>
      <c r="AG806" s="25">
        <f t="shared" ref="AG806:AG869" si="35">$Z$69</f>
        <v>26.02373316844486</v>
      </c>
      <c r="AH806" s="43">
        <v>12.142070322433371</v>
      </c>
      <c r="AI806" s="43"/>
      <c r="AJ806" s="43"/>
    </row>
    <row r="807" spans="27:36" ht="13.5" x14ac:dyDescent="0.25">
      <c r="AA807" s="26"/>
      <c r="AB807" s="26">
        <v>40375</v>
      </c>
      <c r="AC807" s="43">
        <v>3.7809798270680663</v>
      </c>
      <c r="AD807" s="25">
        <f t="shared" si="34"/>
        <v>6.1710590659690858</v>
      </c>
      <c r="AE807" s="43">
        <v>6.2670168997322326</v>
      </c>
      <c r="AF807" s="43">
        <v>16.014396146210689</v>
      </c>
      <c r="AG807" s="25">
        <f t="shared" si="35"/>
        <v>26.02373316844486</v>
      </c>
      <c r="AH807" s="43">
        <v>12.208803322453715</v>
      </c>
      <c r="AI807" s="43"/>
      <c r="AJ807" s="43"/>
    </row>
    <row r="808" spans="27:36" ht="13.5" x14ac:dyDescent="0.25">
      <c r="AA808" s="26"/>
      <c r="AB808" s="26">
        <v>40382</v>
      </c>
      <c r="AC808" s="43">
        <v>4.0448425029336645</v>
      </c>
      <c r="AD808" s="25">
        <f t="shared" si="34"/>
        <v>6.1710590659690858</v>
      </c>
      <c r="AE808" s="43">
        <v>6.0336195772896302</v>
      </c>
      <c r="AF808" s="43">
        <v>17.123860706159387</v>
      </c>
      <c r="AG808" s="25">
        <f t="shared" si="35"/>
        <v>26.02373316844486</v>
      </c>
      <c r="AH808" s="43">
        <v>12.041724118006968</v>
      </c>
      <c r="AI808" s="43"/>
      <c r="AJ808" s="43"/>
    </row>
    <row r="809" spans="27:36" ht="13.5" x14ac:dyDescent="0.25">
      <c r="AA809" s="26"/>
      <c r="AB809" s="26">
        <v>40389</v>
      </c>
      <c r="AC809" s="43">
        <v>4.3740742979558034</v>
      </c>
      <c r="AD809" s="25">
        <f t="shared" si="34"/>
        <v>6.1710590659690858</v>
      </c>
      <c r="AE809" s="43">
        <v>6.0609696564135591</v>
      </c>
      <c r="AF809" s="43">
        <v>17.05716595304386</v>
      </c>
      <c r="AG809" s="25">
        <f t="shared" si="35"/>
        <v>26.02373316844486</v>
      </c>
      <c r="AH809" s="43">
        <v>12.000829947557353</v>
      </c>
      <c r="AI809" s="43"/>
      <c r="AJ809" s="43"/>
    </row>
    <row r="810" spans="27:36" ht="13.5" x14ac:dyDescent="0.25">
      <c r="AA810" s="26"/>
      <c r="AB810" s="26">
        <v>40396</v>
      </c>
      <c r="AC810" s="43">
        <v>4.7070502839720358</v>
      </c>
      <c r="AD810" s="25">
        <f t="shared" si="34"/>
        <v>6.1710590659690858</v>
      </c>
      <c r="AE810" s="43">
        <v>6.0849223969324058</v>
      </c>
      <c r="AF810" s="43">
        <v>18.335896992423859</v>
      </c>
      <c r="AG810" s="25">
        <f t="shared" si="35"/>
        <v>26.02373316844486</v>
      </c>
      <c r="AH810" s="43">
        <v>12.33349217455398</v>
      </c>
      <c r="AI810" s="43"/>
      <c r="AJ810" s="43"/>
    </row>
    <row r="811" spans="27:36" ht="13.5" x14ac:dyDescent="0.25">
      <c r="AA811" s="26"/>
      <c r="AB811" s="26">
        <v>40403</v>
      </c>
      <c r="AC811" s="43">
        <v>4.2466745933691641</v>
      </c>
      <c r="AD811" s="25">
        <f t="shared" si="34"/>
        <v>6.1710590659690858</v>
      </c>
      <c r="AE811" s="43">
        <v>5.9530300662610607</v>
      </c>
      <c r="AF811" s="43">
        <v>16.567911581844751</v>
      </c>
      <c r="AG811" s="25">
        <f t="shared" si="35"/>
        <v>26.02373316844486</v>
      </c>
      <c r="AH811" s="43">
        <v>11.909152424556293</v>
      </c>
      <c r="AI811" s="43"/>
      <c r="AJ811" s="43"/>
    </row>
    <row r="812" spans="27:36" ht="13.5" x14ac:dyDescent="0.25">
      <c r="AA812" s="26"/>
      <c r="AB812" s="26">
        <v>40410</v>
      </c>
      <c r="AC812" s="43">
        <v>3.876057798094656</v>
      </c>
      <c r="AD812" s="25">
        <f t="shared" si="34"/>
        <v>6.1710590659690858</v>
      </c>
      <c r="AE812" s="43">
        <v>5.793517273532065</v>
      </c>
      <c r="AF812" s="43">
        <v>15.144628162811788</v>
      </c>
      <c r="AG812" s="25">
        <f t="shared" si="35"/>
        <v>26.02373316844486</v>
      </c>
      <c r="AH812" s="43">
        <v>11.488041233230909</v>
      </c>
      <c r="AI812" s="43"/>
      <c r="AJ812" s="43"/>
    </row>
    <row r="813" spans="27:36" ht="13.5" x14ac:dyDescent="0.25">
      <c r="AA813" s="26"/>
      <c r="AB813" s="26">
        <v>40417</v>
      </c>
      <c r="AC813" s="43">
        <v>3.6733767511225537</v>
      </c>
      <c r="AD813" s="25">
        <f t="shared" si="34"/>
        <v>6.1710590659690858</v>
      </c>
      <c r="AE813" s="43">
        <v>5.7682093604446401</v>
      </c>
      <c r="AF813" s="43">
        <v>14.366270092735746</v>
      </c>
      <c r="AG813" s="25">
        <f t="shared" si="35"/>
        <v>26.02373316844486</v>
      </c>
      <c r="AH813" s="43">
        <v>11.492326536656373</v>
      </c>
      <c r="AI813" s="43"/>
      <c r="AJ813" s="43"/>
    </row>
    <row r="814" spans="27:36" ht="13.5" x14ac:dyDescent="0.25">
      <c r="AA814" s="26"/>
      <c r="AB814" s="26">
        <v>40424</v>
      </c>
      <c r="AC814" s="43">
        <v>3.9252803735761637</v>
      </c>
      <c r="AD814" s="25">
        <f t="shared" si="34"/>
        <v>6.1710590659690858</v>
      </c>
      <c r="AE814" s="43">
        <v>5.919425645996256</v>
      </c>
      <c r="AF814" s="43">
        <v>15.333658116171126</v>
      </c>
      <c r="AG814" s="25">
        <f t="shared" si="35"/>
        <v>26.02373316844486</v>
      </c>
      <c r="AH814" s="43">
        <v>11.888860190778738</v>
      </c>
      <c r="AI814" s="43"/>
      <c r="AJ814" s="43"/>
    </row>
    <row r="815" spans="27:36" ht="13.5" x14ac:dyDescent="0.25">
      <c r="AA815" s="26"/>
      <c r="AB815" s="26">
        <v>40431</v>
      </c>
      <c r="AC815" s="43">
        <v>4.5651735787046732</v>
      </c>
      <c r="AD815" s="25">
        <f t="shared" si="34"/>
        <v>6.1710590659690858</v>
      </c>
      <c r="AE815" s="43">
        <v>6.0728017647140007</v>
      </c>
      <c r="AF815" s="43">
        <v>17.791046449413532</v>
      </c>
      <c r="AG815" s="25">
        <f t="shared" si="35"/>
        <v>26.02373316844486</v>
      </c>
      <c r="AH815" s="43">
        <v>12.305441051510716</v>
      </c>
      <c r="AI815" s="43"/>
      <c r="AJ815" s="43"/>
    </row>
    <row r="816" spans="27:36" ht="13.5" x14ac:dyDescent="0.25">
      <c r="AA816" s="26"/>
      <c r="AB816" s="26">
        <v>40438</v>
      </c>
      <c r="AC816" s="43">
        <v>4.3016881900278321</v>
      </c>
      <c r="AD816" s="25">
        <f t="shared" si="34"/>
        <v>6.1710590659690858</v>
      </c>
      <c r="AE816" s="43">
        <v>6.0517585020832882</v>
      </c>
      <c r="AF816" s="43">
        <v>16.779180852271775</v>
      </c>
      <c r="AG816" s="25">
        <f t="shared" si="35"/>
        <v>26.02373316844486</v>
      </c>
      <c r="AH816" s="43">
        <v>12.210722464794372</v>
      </c>
      <c r="AI816" s="43"/>
      <c r="AJ816" s="43"/>
    </row>
    <row r="817" spans="27:36" ht="13.5" x14ac:dyDescent="0.25">
      <c r="AA817" s="26"/>
      <c r="AB817" s="26">
        <v>40445</v>
      </c>
      <c r="AC817" s="43">
        <v>4.2958971688506722</v>
      </c>
      <c r="AD817" s="25">
        <f t="shared" si="34"/>
        <v>6.1710590659690858</v>
      </c>
      <c r="AE817" s="43">
        <v>6.2061244939544435</v>
      </c>
      <c r="AF817" s="43">
        <v>16.756941535204088</v>
      </c>
      <c r="AG817" s="25">
        <f t="shared" si="35"/>
        <v>26.02373316844486</v>
      </c>
      <c r="AH817" s="43">
        <v>12.527691155359724</v>
      </c>
      <c r="AI817" s="43"/>
      <c r="AJ817" s="43"/>
    </row>
    <row r="818" spans="27:36" ht="13.5" x14ac:dyDescent="0.25">
      <c r="AA818" s="26"/>
      <c r="AB818" s="26">
        <v>40452</v>
      </c>
      <c r="AC818" s="43">
        <v>4.5449055568467891</v>
      </c>
      <c r="AD818" s="25">
        <f t="shared" si="34"/>
        <v>6.1710590659690858</v>
      </c>
      <c r="AE818" s="43">
        <v>6.2766870950004217</v>
      </c>
      <c r="AF818" s="43">
        <v>17.713210960534628</v>
      </c>
      <c r="AG818" s="25">
        <f t="shared" si="35"/>
        <v>26.02373316844486</v>
      </c>
      <c r="AH818" s="43">
        <v>12.630552425254921</v>
      </c>
      <c r="AI818" s="43"/>
      <c r="AJ818" s="43"/>
    </row>
    <row r="819" spans="27:36" ht="13.5" x14ac:dyDescent="0.25">
      <c r="AA819" s="26"/>
      <c r="AB819" s="26">
        <v>40459</v>
      </c>
      <c r="AC819" s="43">
        <v>4.6925732832913116</v>
      </c>
      <c r="AD819" s="25">
        <f t="shared" si="34"/>
        <v>6.1710590659690858</v>
      </c>
      <c r="AE819" s="43">
        <v>6.377494739443855</v>
      </c>
      <c r="AF819" s="43">
        <v>18.280300820612645</v>
      </c>
      <c r="AG819" s="25">
        <f t="shared" si="35"/>
        <v>26.02373316844486</v>
      </c>
      <c r="AH819" s="43">
        <v>12.827646250809357</v>
      </c>
      <c r="AI819" s="43"/>
      <c r="AJ819" s="43"/>
    </row>
    <row r="820" spans="27:36" ht="13.5" x14ac:dyDescent="0.25">
      <c r="AA820" s="26"/>
      <c r="AB820" s="26">
        <v>40466</v>
      </c>
      <c r="AC820" s="43">
        <v>4.9676401620602979</v>
      </c>
      <c r="AD820" s="25">
        <f t="shared" si="34"/>
        <v>6.1710590659690858</v>
      </c>
      <c r="AE820" s="43">
        <v>6.536411726110452</v>
      </c>
      <c r="AF820" s="43">
        <v>19.336642931031768</v>
      </c>
      <c r="AG820" s="25">
        <f t="shared" si="35"/>
        <v>26.02373316844486</v>
      </c>
      <c r="AH820" s="43">
        <v>12.904289140533416</v>
      </c>
      <c r="AI820" s="43"/>
      <c r="AJ820" s="43"/>
    </row>
    <row r="821" spans="27:36" ht="13.5" x14ac:dyDescent="0.25">
      <c r="AA821" s="26"/>
      <c r="AB821" s="26">
        <v>40473</v>
      </c>
      <c r="AC821" s="43">
        <v>5.2021715493756924</v>
      </c>
      <c r="AD821" s="25">
        <f t="shared" ref="AD821:AD884" si="36">$Z$100</f>
        <v>6.1710590659690858</v>
      </c>
      <c r="AE821" s="43">
        <v>6.6089532929316155</v>
      </c>
      <c r="AF821" s="43">
        <v>20.237316184551094</v>
      </c>
      <c r="AG821" s="25">
        <f t="shared" si="35"/>
        <v>26.02373316844486</v>
      </c>
      <c r="AH821" s="43">
        <v>13.10284068893364</v>
      </c>
      <c r="AI821" s="43"/>
      <c r="AJ821" s="43"/>
    </row>
    <row r="822" spans="27:36" ht="13.5" x14ac:dyDescent="0.25">
      <c r="AA822" s="26"/>
      <c r="AB822" s="26">
        <v>40480</v>
      </c>
      <c r="AC822" s="43">
        <v>4.9095984713623357</v>
      </c>
      <c r="AD822" s="25">
        <f t="shared" si="36"/>
        <v>6.1710590659690858</v>
      </c>
      <c r="AE822" s="43">
        <v>6.4475827341462599</v>
      </c>
      <c r="AF822" s="43">
        <v>19.155375814755281</v>
      </c>
      <c r="AG822" s="25">
        <f t="shared" si="35"/>
        <v>26.02373316844486</v>
      </c>
      <c r="AH822" s="25">
        <v>12.858817419959266</v>
      </c>
      <c r="AI822" s="25"/>
      <c r="AJ822" s="25"/>
    </row>
    <row r="823" spans="27:36" ht="13.5" x14ac:dyDescent="0.25">
      <c r="AA823" s="26"/>
      <c r="AB823" s="26">
        <v>40487</v>
      </c>
      <c r="AC823" s="43">
        <v>5.0363727268792768</v>
      </c>
      <c r="AD823" s="25">
        <f t="shared" si="36"/>
        <v>6.1710590659690858</v>
      </c>
      <c r="AE823" s="43">
        <v>6.6368495164158068</v>
      </c>
      <c r="AF823" s="43">
        <v>19.657455145613007</v>
      </c>
      <c r="AG823" s="25">
        <f t="shared" si="35"/>
        <v>26.02373316844486</v>
      </c>
      <c r="AH823" s="25">
        <v>13.223166225089292</v>
      </c>
      <c r="AI823" s="25"/>
      <c r="AJ823" s="25"/>
    </row>
    <row r="824" spans="27:36" ht="13.5" x14ac:dyDescent="0.25">
      <c r="AA824" s="26"/>
      <c r="AB824" s="26">
        <v>40494</v>
      </c>
      <c r="AC824" s="43">
        <v>4.78282474150231</v>
      </c>
      <c r="AD824" s="25">
        <f t="shared" si="36"/>
        <v>6.1710590659690858</v>
      </c>
      <c r="AE824" s="43">
        <v>6.6120886769451923</v>
      </c>
      <c r="AF824" s="43">
        <v>18.653298565719862</v>
      </c>
      <c r="AG824" s="25">
        <f t="shared" si="35"/>
        <v>26.02373316844486</v>
      </c>
      <c r="AH824" s="25">
        <v>13.053598723256229</v>
      </c>
      <c r="AI824" s="25"/>
      <c r="AJ824" s="25"/>
    </row>
    <row r="825" spans="27:36" ht="13.5" x14ac:dyDescent="0.25">
      <c r="AA825" s="26"/>
      <c r="AB825" s="26">
        <v>40501</v>
      </c>
      <c r="AC825" s="43">
        <v>4.80211635033693</v>
      </c>
      <c r="AD825" s="25">
        <f t="shared" si="36"/>
        <v>6.1710590659690858</v>
      </c>
      <c r="AE825" s="43">
        <v>6.6754624991282903</v>
      </c>
      <c r="AF825" s="43">
        <v>18.729701444327659</v>
      </c>
      <c r="AG825" s="25">
        <f t="shared" si="35"/>
        <v>26.02373316844486</v>
      </c>
      <c r="AH825" s="25">
        <v>13.139353141442504</v>
      </c>
      <c r="AI825" s="25"/>
      <c r="AJ825" s="25"/>
    </row>
    <row r="826" spans="27:36" ht="13.5" x14ac:dyDescent="0.25">
      <c r="AA826" s="26"/>
      <c r="AB826" s="26">
        <v>40508</v>
      </c>
      <c r="AC826" s="43">
        <v>4.8737712729061728</v>
      </c>
      <c r="AD826" s="25">
        <f t="shared" si="36"/>
        <v>6.1710590659690858</v>
      </c>
      <c r="AE826" s="43">
        <v>6.6741074193620724</v>
      </c>
      <c r="AF826" s="43">
        <v>19.013485051886843</v>
      </c>
      <c r="AG826" s="25">
        <f t="shared" si="35"/>
        <v>26.02373316844486</v>
      </c>
      <c r="AH826" s="25">
        <v>13.227115018787407</v>
      </c>
      <c r="AI826" s="25"/>
      <c r="AJ826" s="25"/>
    </row>
    <row r="827" spans="27:36" ht="13.5" x14ac:dyDescent="0.25">
      <c r="AA827" s="26"/>
      <c r="AB827" s="26">
        <v>40515</v>
      </c>
      <c r="AC827" s="43">
        <v>5.1438548479046817</v>
      </c>
      <c r="AD827" s="25">
        <f t="shared" si="36"/>
        <v>6.1710590659690858</v>
      </c>
      <c r="AE827" s="43">
        <v>6.8415866735656516</v>
      </c>
      <c r="AF827" s="43">
        <v>20.393235556090428</v>
      </c>
      <c r="AG827" s="25">
        <f t="shared" si="35"/>
        <v>26.02373316844486</v>
      </c>
      <c r="AH827" s="25">
        <v>13.669108359451252</v>
      </c>
      <c r="AI827" s="25"/>
      <c r="AJ827" s="25"/>
    </row>
    <row r="828" spans="27:36" ht="13.5" x14ac:dyDescent="0.25">
      <c r="AA828" s="26"/>
      <c r="AB828" s="26">
        <v>40522</v>
      </c>
      <c r="AC828" s="43">
        <v>5.1052716302354426</v>
      </c>
      <c r="AD828" s="25">
        <f t="shared" si="36"/>
        <v>6.1710590659690858</v>
      </c>
      <c r="AE828" s="43">
        <v>6.9789093092970909</v>
      </c>
      <c r="AF828" s="43">
        <v>20.23807030663389</v>
      </c>
      <c r="AG828" s="25">
        <f t="shared" si="35"/>
        <v>26.02373316844486</v>
      </c>
      <c r="AH828" s="25">
        <v>13.508549702953852</v>
      </c>
      <c r="AI828" s="25"/>
      <c r="AJ828" s="25"/>
    </row>
    <row r="829" spans="27:36" ht="13.5" x14ac:dyDescent="0.25">
      <c r="AA829" s="26"/>
      <c r="AB829" s="26">
        <v>40529</v>
      </c>
      <c r="AC829" s="43">
        <v>5.0281046692400464</v>
      </c>
      <c r="AD829" s="25">
        <f t="shared" si="36"/>
        <v>6.1710590659690858</v>
      </c>
      <c r="AE829" s="43">
        <v>6.9865458556799434</v>
      </c>
      <c r="AF829" s="43">
        <v>19.927737693752835</v>
      </c>
      <c r="AG829" s="25">
        <f t="shared" si="35"/>
        <v>26.02373316844486</v>
      </c>
      <c r="AH829" s="25">
        <v>13.442358093668597</v>
      </c>
      <c r="AI829" s="25"/>
      <c r="AJ829" s="25"/>
    </row>
    <row r="830" spans="27:36" ht="13.5" x14ac:dyDescent="0.25">
      <c r="AA830" s="26"/>
      <c r="AB830" s="26">
        <v>40536</v>
      </c>
      <c r="AC830" s="43">
        <v>4.7938482926977004</v>
      </c>
      <c r="AD830" s="25">
        <f t="shared" si="36"/>
        <v>6.1710590659690858</v>
      </c>
      <c r="AE830" s="43">
        <v>6.9131341294142068</v>
      </c>
      <c r="AF830" s="43">
        <v>18.985658434978184</v>
      </c>
      <c r="AG830" s="25">
        <f t="shared" si="35"/>
        <v>26.02373316844486</v>
      </c>
      <c r="AH830" s="25">
        <v>13.192722206668044</v>
      </c>
      <c r="AI830" s="25"/>
      <c r="AJ830" s="25"/>
    </row>
    <row r="831" spans="27:36" ht="13.5" x14ac:dyDescent="0.25">
      <c r="AA831" s="26"/>
      <c r="AB831" s="26">
        <v>40543</v>
      </c>
      <c r="AC831" s="43">
        <v>4.7938482926977004</v>
      </c>
      <c r="AD831" s="25">
        <f t="shared" si="36"/>
        <v>6.1710590659690858</v>
      </c>
      <c r="AE831" s="43">
        <v>6.9131341294142068</v>
      </c>
      <c r="AF831" s="43">
        <v>18.985658434978184</v>
      </c>
      <c r="AG831" s="25">
        <f t="shared" si="35"/>
        <v>26.02373316844486</v>
      </c>
      <c r="AH831" s="25">
        <v>13.192722206668044</v>
      </c>
      <c r="AI831" s="25"/>
      <c r="AJ831" s="25"/>
    </row>
    <row r="832" spans="27:36" ht="13.5" x14ac:dyDescent="0.25">
      <c r="AA832" s="26"/>
      <c r="AB832" s="26">
        <v>40550</v>
      </c>
      <c r="AC832" s="43">
        <v>4.7938482926977004</v>
      </c>
      <c r="AD832" s="25">
        <f t="shared" si="36"/>
        <v>6.1710590659690858</v>
      </c>
      <c r="AE832" s="43">
        <v>6.9131341294142068</v>
      </c>
      <c r="AF832" s="43">
        <v>18.985658434978184</v>
      </c>
      <c r="AG832" s="25">
        <f t="shared" si="35"/>
        <v>26.02373316844486</v>
      </c>
      <c r="AH832" s="25">
        <v>13.192722206668044</v>
      </c>
      <c r="AI832" s="25"/>
      <c r="AJ832" s="25"/>
    </row>
    <row r="833" spans="27:36" ht="13.5" x14ac:dyDescent="0.25">
      <c r="AA833" s="26"/>
      <c r="AB833" s="26">
        <v>40557</v>
      </c>
      <c r="AC833" s="43">
        <v>5.0777119637615931</v>
      </c>
      <c r="AD833" s="25">
        <f t="shared" si="36"/>
        <v>6.1710590659690858</v>
      </c>
      <c r="AE833" s="43">
        <v>7.0352096468848506</v>
      </c>
      <c r="AF833" s="43">
        <v>20.12723707960723</v>
      </c>
      <c r="AG833" s="25">
        <f t="shared" si="35"/>
        <v>26.02373316844486</v>
      </c>
      <c r="AH833" s="25">
        <v>13.524583094435291</v>
      </c>
      <c r="AI833" s="25"/>
      <c r="AJ833" s="25"/>
    </row>
    <row r="834" spans="27:36" ht="13.5" x14ac:dyDescent="0.25">
      <c r="AA834" s="26"/>
      <c r="AB834" s="26">
        <v>40564</v>
      </c>
      <c r="AC834" s="43">
        <v>4.9592869009026765</v>
      </c>
      <c r="AD834" s="25">
        <f t="shared" si="36"/>
        <v>6.1710590659690858</v>
      </c>
      <c r="AE834" s="43">
        <v>7.0033507854243657</v>
      </c>
      <c r="AF834" s="43">
        <v>20.288279471986367</v>
      </c>
      <c r="AG834" s="25">
        <f t="shared" si="35"/>
        <v>26.02373316844486</v>
      </c>
      <c r="AH834" s="25">
        <v>13.644876698784413</v>
      </c>
      <c r="AI834" s="25"/>
      <c r="AJ834" s="25"/>
    </row>
    <row r="835" spans="27:36" ht="13.5" x14ac:dyDescent="0.25">
      <c r="AA835" s="26"/>
      <c r="AB835" s="26">
        <v>40571</v>
      </c>
      <c r="AC835" s="43">
        <v>4.7524097772175118</v>
      </c>
      <c r="AD835" s="25">
        <f t="shared" si="36"/>
        <v>6.1710590659690858</v>
      </c>
      <c r="AE835" s="43">
        <v>6.7077500636404412</v>
      </c>
      <c r="AF835" s="43">
        <v>20.154</v>
      </c>
      <c r="AG835" s="25">
        <f t="shared" si="35"/>
        <v>26.02373316844486</v>
      </c>
      <c r="AH835" s="25">
        <v>13.01521492582496</v>
      </c>
      <c r="AI835" s="25"/>
      <c r="AJ835" s="25"/>
    </row>
    <row r="836" spans="27:36" ht="13.5" x14ac:dyDescent="0.25">
      <c r="AA836" s="26"/>
      <c r="AB836" s="26">
        <v>40578</v>
      </c>
      <c r="AC836" s="43">
        <v>4.9000000000000004</v>
      </c>
      <c r="AD836" s="25">
        <f t="shared" si="36"/>
        <v>6.1710590659690858</v>
      </c>
      <c r="AE836" s="43">
        <v>6.8</v>
      </c>
      <c r="AF836" s="43">
        <v>19.84564</v>
      </c>
      <c r="AG836" s="25">
        <f t="shared" si="35"/>
        <v>26.02373316844486</v>
      </c>
      <c r="AH836" s="25">
        <v>13.1</v>
      </c>
      <c r="AI836" s="25"/>
      <c r="AJ836" s="25"/>
    </row>
    <row r="837" spans="27:36" ht="13.5" x14ac:dyDescent="0.25">
      <c r="AA837" s="26"/>
      <c r="AB837" s="26">
        <v>40585</v>
      </c>
      <c r="AC837" s="43">
        <v>5</v>
      </c>
      <c r="AD837" s="25">
        <f t="shared" si="36"/>
        <v>6.1710590659690858</v>
      </c>
      <c r="AE837" s="43">
        <v>6.9</v>
      </c>
      <c r="AF837" s="43">
        <v>19.394250092633548</v>
      </c>
      <c r="AG837" s="25">
        <f t="shared" si="35"/>
        <v>26.02373316844486</v>
      </c>
      <c r="AH837" s="25">
        <v>13.25</v>
      </c>
      <c r="AI837" s="25"/>
      <c r="AJ837" s="25"/>
    </row>
    <row r="838" spans="27:36" ht="13.5" x14ac:dyDescent="0.25">
      <c r="AA838" s="26"/>
      <c r="AB838" s="26">
        <v>40592</v>
      </c>
      <c r="AC838" s="43">
        <v>4.9000000000000004</v>
      </c>
      <c r="AD838" s="25">
        <f t="shared" si="36"/>
        <v>6.1710590659690858</v>
      </c>
      <c r="AE838" s="43">
        <v>7</v>
      </c>
      <c r="AF838" s="43">
        <v>19.646540000000002</v>
      </c>
      <c r="AG838" s="25">
        <f t="shared" si="35"/>
        <v>26.02373316844486</v>
      </c>
      <c r="AH838" s="25">
        <v>13.1456464</v>
      </c>
      <c r="AI838" s="25"/>
      <c r="AJ838" s="25"/>
    </row>
    <row r="839" spans="27:36" ht="13.5" x14ac:dyDescent="0.25">
      <c r="AA839" s="26"/>
      <c r="AB839" s="26">
        <v>40599</v>
      </c>
      <c r="AC839" s="43">
        <v>4.7524097772175118</v>
      </c>
      <c r="AD839" s="25">
        <f t="shared" si="36"/>
        <v>6.1710590659690858</v>
      </c>
      <c r="AE839" s="43">
        <v>6.85</v>
      </c>
      <c r="AF839" s="43">
        <v>19.846540000000001</v>
      </c>
      <c r="AG839" s="25">
        <f t="shared" si="35"/>
        <v>26.02373316844486</v>
      </c>
      <c r="AH839" s="25">
        <v>13.4</v>
      </c>
      <c r="AI839" s="25"/>
      <c r="AJ839" s="25"/>
    </row>
    <row r="840" spans="27:36" ht="13.5" x14ac:dyDescent="0.25">
      <c r="AA840" s="26"/>
      <c r="AB840" s="26">
        <v>40606</v>
      </c>
      <c r="AC840" s="43">
        <v>4.5999999999999996</v>
      </c>
      <c r="AD840" s="25">
        <f t="shared" si="36"/>
        <v>6.1710590659690858</v>
      </c>
      <c r="AE840" s="43">
        <v>6.7077500636404412</v>
      </c>
      <c r="AF840" s="43">
        <v>19.394250092633548</v>
      </c>
      <c r="AG840" s="25">
        <f t="shared" si="35"/>
        <v>26.02373316844486</v>
      </c>
      <c r="AH840" s="25">
        <v>13.5</v>
      </c>
      <c r="AI840" s="25"/>
      <c r="AJ840" s="25"/>
    </row>
    <row r="841" spans="27:36" ht="13.5" x14ac:dyDescent="0.25">
      <c r="AA841" s="26"/>
      <c r="AB841" s="26">
        <v>40613</v>
      </c>
      <c r="AC841" s="43">
        <v>4.6200082812689161</v>
      </c>
      <c r="AD841" s="25">
        <f t="shared" si="36"/>
        <v>6.1710590659690858</v>
      </c>
      <c r="AE841" s="43">
        <v>6.6</v>
      </c>
      <c r="AF841" s="43">
        <v>18.836587032403493</v>
      </c>
      <c r="AG841" s="25">
        <f t="shared" si="35"/>
        <v>26.02373316844486</v>
      </c>
      <c r="AH841" s="25">
        <v>13.32</v>
      </c>
      <c r="AI841" s="25"/>
      <c r="AJ841" s="25"/>
    </row>
    <row r="842" spans="27:36" ht="13.5" x14ac:dyDescent="0.25">
      <c r="AA842" s="26"/>
      <c r="AB842" s="26">
        <v>40620</v>
      </c>
      <c r="AC842" s="43">
        <v>4.9758369234850859</v>
      </c>
      <c r="AD842" s="25">
        <f t="shared" si="36"/>
        <v>6.1710590659690858</v>
      </c>
      <c r="AE842" s="43">
        <v>6.7077500636404412</v>
      </c>
      <c r="AF842" s="43">
        <v>20.2</v>
      </c>
      <c r="AG842" s="25">
        <f t="shared" si="35"/>
        <v>26.02373316844486</v>
      </c>
      <c r="AH842" s="25">
        <v>13.3</v>
      </c>
      <c r="AI842" s="25"/>
      <c r="AJ842" s="25"/>
    </row>
    <row r="843" spans="27:36" ht="13.5" x14ac:dyDescent="0.25">
      <c r="AA843" s="26"/>
      <c r="AB843" s="26">
        <v>40627</v>
      </c>
      <c r="AC843" s="43">
        <v>5.0999999999999996</v>
      </c>
      <c r="AD843" s="25">
        <f t="shared" si="36"/>
        <v>6.1710590659690858</v>
      </c>
      <c r="AE843" s="43">
        <v>6.914098386686776</v>
      </c>
      <c r="AF843" s="43">
        <v>20.359093078466323</v>
      </c>
      <c r="AG843" s="25">
        <f t="shared" si="35"/>
        <v>26.02373316844486</v>
      </c>
      <c r="AH843" s="25">
        <v>13.525685023629734</v>
      </c>
      <c r="AI843" s="25"/>
      <c r="AJ843" s="25"/>
    </row>
    <row r="844" spans="27:36" ht="13.5" x14ac:dyDescent="0.25">
      <c r="AA844" s="26"/>
      <c r="AB844" s="26">
        <v>40634</v>
      </c>
      <c r="AC844" s="43">
        <v>4.419406901629209</v>
      </c>
      <c r="AD844" s="25">
        <f t="shared" si="36"/>
        <v>6.1710590659690858</v>
      </c>
      <c r="AE844" s="43">
        <v>6.9790668154534972</v>
      </c>
      <c r="AF844" s="43">
        <v>18.229173885363309</v>
      </c>
      <c r="AG844" s="25">
        <f t="shared" si="35"/>
        <v>26.02373316844486</v>
      </c>
      <c r="AH844" s="43">
        <v>13.56328657087955</v>
      </c>
      <c r="AI844" s="43"/>
      <c r="AJ844" s="43"/>
    </row>
    <row r="845" spans="27:36" ht="13.5" x14ac:dyDescent="0.25">
      <c r="AA845" s="26"/>
      <c r="AB845" s="26">
        <v>40641</v>
      </c>
      <c r="AC845" s="43">
        <v>4.450332510989778</v>
      </c>
      <c r="AD845" s="25">
        <f t="shared" si="36"/>
        <v>6.1710590659690858</v>
      </c>
      <c r="AE845" s="43">
        <v>6.8845596151586097</v>
      </c>
      <c r="AF845" s="43">
        <v>18.365861196779218</v>
      </c>
      <c r="AG845" s="25">
        <f t="shared" si="35"/>
        <v>26.02373316844486</v>
      </c>
      <c r="AH845" s="43">
        <v>13.361208098028348</v>
      </c>
      <c r="AI845" s="43"/>
      <c r="AJ845" s="43"/>
    </row>
    <row r="846" spans="27:36" ht="13.5" x14ac:dyDescent="0.25">
      <c r="AA846" s="26"/>
      <c r="AB846" s="26">
        <v>40648</v>
      </c>
      <c r="AC846" s="43">
        <v>4.4812583884689969</v>
      </c>
      <c r="AD846" s="25">
        <f t="shared" si="36"/>
        <v>6.1710590659690858</v>
      </c>
      <c r="AE846" s="43">
        <v>6.8526103803736262</v>
      </c>
      <c r="AF846" s="43">
        <v>18.5025496932459</v>
      </c>
      <c r="AG846" s="25">
        <f t="shared" si="35"/>
        <v>26.02373316844486</v>
      </c>
      <c r="AH846" s="43">
        <v>13.279625338730852</v>
      </c>
      <c r="AI846" s="43"/>
      <c r="AJ846" s="43"/>
    </row>
    <row r="847" spans="27:36" ht="13.5" x14ac:dyDescent="0.25">
      <c r="AA847" s="26"/>
      <c r="AB847" s="26">
        <v>40655</v>
      </c>
      <c r="AC847" s="43">
        <v>4.4334640942907946</v>
      </c>
      <c r="AD847" s="25">
        <f t="shared" si="36"/>
        <v>6.1710590659690858</v>
      </c>
      <c r="AE847" s="43">
        <v>6.9099079544885473</v>
      </c>
      <c r="AF847" s="43">
        <v>18.291304912389005</v>
      </c>
      <c r="AG847" s="25">
        <f t="shared" si="35"/>
        <v>26.02373316844486</v>
      </c>
      <c r="AH847" s="43">
        <v>13.391306559133138</v>
      </c>
      <c r="AI847" s="43"/>
      <c r="AJ847" s="43"/>
    </row>
    <row r="848" spans="27:36" ht="13.5" x14ac:dyDescent="0.25">
      <c r="AA848" s="26"/>
      <c r="AB848" s="26">
        <v>40662</v>
      </c>
      <c r="AC848" s="43">
        <v>4.3884812922686383</v>
      </c>
      <c r="AD848" s="25">
        <f t="shared" si="36"/>
        <v>6.1710590659690858</v>
      </c>
      <c r="AE848" s="43">
        <v>6.873329326561108</v>
      </c>
      <c r="AF848" s="43">
        <v>18.092486573947404</v>
      </c>
      <c r="AG848" s="25">
        <f t="shared" si="35"/>
        <v>26.02373316844486</v>
      </c>
      <c r="AH848" s="43">
        <v>13.36900962724223</v>
      </c>
      <c r="AI848" s="43"/>
      <c r="AJ848" s="43"/>
    </row>
    <row r="849" spans="27:36" ht="13.5" x14ac:dyDescent="0.25">
      <c r="AA849" s="26"/>
      <c r="AB849" s="26">
        <v>40669</v>
      </c>
      <c r="AC849" s="43">
        <v>4.2900812117561857</v>
      </c>
      <c r="AD849" s="25">
        <f t="shared" si="36"/>
        <v>6.1710590659690858</v>
      </c>
      <c r="AE849" s="43">
        <v>6.7467070051715154</v>
      </c>
      <c r="AF849" s="43">
        <v>17.657570569818319</v>
      </c>
      <c r="AG849" s="25">
        <f t="shared" si="35"/>
        <v>26.02373316844486</v>
      </c>
      <c r="AH849" s="43">
        <v>13.059360821013641</v>
      </c>
      <c r="AI849" s="43"/>
      <c r="AJ849" s="43"/>
    </row>
    <row r="850" spans="27:36" ht="13.5" x14ac:dyDescent="0.25">
      <c r="AA850" s="26"/>
      <c r="AB850" s="26">
        <v>40676</v>
      </c>
      <c r="AC850" s="43">
        <v>4.4242138731544109</v>
      </c>
      <c r="AD850" s="25">
        <f t="shared" si="36"/>
        <v>6.1710590659690858</v>
      </c>
      <c r="AE850" s="43">
        <v>6.7859176013640523</v>
      </c>
      <c r="AF850" s="43">
        <v>19.119491455043402</v>
      </c>
      <c r="AG850" s="25">
        <f t="shared" si="35"/>
        <v>26.02373316844486</v>
      </c>
      <c r="AH850" s="43">
        <v>13.263859836355925</v>
      </c>
      <c r="AI850" s="43"/>
      <c r="AJ850" s="43"/>
    </row>
    <row r="851" spans="27:36" ht="13.5" x14ac:dyDescent="0.25">
      <c r="AA851" s="26"/>
      <c r="AB851" s="26">
        <v>40683</v>
      </c>
      <c r="AC851" s="43">
        <v>4.2686414698213158</v>
      </c>
      <c r="AD851" s="25">
        <f t="shared" si="36"/>
        <v>6.1710590659690858</v>
      </c>
      <c r="AE851" s="43">
        <v>6.6803634529243805</v>
      </c>
      <c r="AF851" s="43">
        <v>18.396991477161393</v>
      </c>
      <c r="AG851" s="25">
        <f t="shared" si="35"/>
        <v>26.02373316844486</v>
      </c>
      <c r="AH851" s="43">
        <v>12.998782891450057</v>
      </c>
      <c r="AI851" s="43"/>
      <c r="AJ851" s="43"/>
    </row>
    <row r="852" spans="27:36" ht="13.5" x14ac:dyDescent="0.25">
      <c r="AA852" s="26"/>
      <c r="AB852" s="26">
        <v>40690</v>
      </c>
      <c r="AC852" s="43">
        <v>4.2023792770825761</v>
      </c>
      <c r="AD852" s="25">
        <f t="shared" si="36"/>
        <v>6.1710590659690858</v>
      </c>
      <c r="AE852" s="43">
        <v>6.7265059295371925</v>
      </c>
      <c r="AF852" s="43">
        <v>18.089260595832467</v>
      </c>
      <c r="AG852" s="25">
        <f t="shared" si="35"/>
        <v>26.02373316844486</v>
      </c>
      <c r="AH852" s="43">
        <v>12.953797872693105</v>
      </c>
      <c r="AI852" s="43"/>
      <c r="AJ852" s="43"/>
    </row>
    <row r="853" spans="27:36" ht="13.5" x14ac:dyDescent="0.25">
      <c r="AA853" s="26"/>
      <c r="AB853" s="26">
        <v>40697</v>
      </c>
      <c r="AC853" s="43">
        <v>3.9661394981317493</v>
      </c>
      <c r="AD853" s="25">
        <f t="shared" si="36"/>
        <v>6.1710590659690858</v>
      </c>
      <c r="AE853" s="43">
        <v>6.5777080330567852</v>
      </c>
      <c r="AF853" s="43">
        <v>16.992130054618332</v>
      </c>
      <c r="AG853" s="25">
        <f t="shared" si="35"/>
        <v>26.02373316844486</v>
      </c>
      <c r="AH853" s="43">
        <v>12.557718490674809</v>
      </c>
      <c r="AI853" s="43"/>
      <c r="AJ853" s="43"/>
    </row>
    <row r="854" spans="27:36" ht="13.5" x14ac:dyDescent="0.25">
      <c r="AA854" s="26"/>
      <c r="AB854" s="26">
        <v>40704</v>
      </c>
      <c r="AC854" s="43">
        <v>3.7875193516938075</v>
      </c>
      <c r="AD854" s="25">
        <f t="shared" si="36"/>
        <v>6.1710590659690858</v>
      </c>
      <c r="AE854" s="43">
        <v>6.632161381870624</v>
      </c>
      <c r="AF854" s="43">
        <v>16.162593137493133</v>
      </c>
      <c r="AG854" s="25">
        <f t="shared" si="35"/>
        <v>26.02373316844486</v>
      </c>
      <c r="AH854" s="43">
        <v>12.494369649279253</v>
      </c>
      <c r="AI854" s="43"/>
      <c r="AJ854" s="43"/>
    </row>
    <row r="855" spans="27:36" ht="13.5" x14ac:dyDescent="0.25">
      <c r="AA855" s="26"/>
      <c r="AB855" s="26">
        <v>40711</v>
      </c>
      <c r="AC855" s="43">
        <v>3.7932814248454041</v>
      </c>
      <c r="AD855" s="25">
        <f t="shared" si="36"/>
        <v>6.1710590659690858</v>
      </c>
      <c r="AE855" s="43">
        <v>6.505559696102841</v>
      </c>
      <c r="AF855" s="43">
        <v>16.189353010294415</v>
      </c>
      <c r="AG855" s="25">
        <f t="shared" si="35"/>
        <v>26.02373316844486</v>
      </c>
      <c r="AH855" s="43">
        <v>12.371759420007749</v>
      </c>
      <c r="AI855" s="43"/>
      <c r="AJ855" s="43"/>
    </row>
    <row r="856" spans="27:36" ht="13.5" x14ac:dyDescent="0.25">
      <c r="AA856" s="26"/>
      <c r="AB856" s="26">
        <v>40718</v>
      </c>
      <c r="AC856" s="43">
        <v>3.770233681740558</v>
      </c>
      <c r="AD856" s="25">
        <f t="shared" si="36"/>
        <v>6.1710590659690858</v>
      </c>
      <c r="AE856" s="43">
        <v>6.582328641628246</v>
      </c>
      <c r="AF856" s="43">
        <v>16.082316071051224</v>
      </c>
      <c r="AG856" s="25">
        <f t="shared" si="35"/>
        <v>26.02373316844486</v>
      </c>
      <c r="AH856" s="43">
        <v>12.845236415920926</v>
      </c>
      <c r="AI856" s="43"/>
      <c r="AJ856" s="43"/>
    </row>
    <row r="857" spans="27:36" ht="13.5" x14ac:dyDescent="0.25">
      <c r="AA857" s="26"/>
      <c r="AB857" s="26">
        <v>40725</v>
      </c>
      <c r="AC857" s="43">
        <v>3.7424577376085884</v>
      </c>
      <c r="AD857" s="25">
        <f t="shared" si="36"/>
        <v>6.1710590659690858</v>
      </c>
      <c r="AE857" s="43">
        <v>6.582328641628246</v>
      </c>
      <c r="AF857" s="43">
        <v>16.857718694389252</v>
      </c>
      <c r="AG857" s="25">
        <f t="shared" si="35"/>
        <v>26.02373316844486</v>
      </c>
      <c r="AH857" s="43">
        <v>12.845236415920926</v>
      </c>
      <c r="AI857" s="43"/>
      <c r="AJ857" s="43"/>
    </row>
    <row r="858" spans="27:36" ht="13.5" x14ac:dyDescent="0.25">
      <c r="AA858" s="26"/>
      <c r="AB858" s="26">
        <v>40732</v>
      </c>
      <c r="AC858" s="43">
        <v>3.4411638142699976</v>
      </c>
      <c r="AD858" s="25">
        <f t="shared" si="36"/>
        <v>6.1710590659690858</v>
      </c>
      <c r="AE858" s="43">
        <v>5.8643955548861459</v>
      </c>
      <c r="AF858" s="43">
        <v>13.203600599987952</v>
      </c>
      <c r="AG858" s="25">
        <f t="shared" si="35"/>
        <v>26.02373316844486</v>
      </c>
      <c r="AH858" s="43">
        <v>11.208773212063186</v>
      </c>
      <c r="AI858" s="43"/>
      <c r="AJ858" s="43"/>
    </row>
    <row r="859" spans="27:36" ht="13.5" x14ac:dyDescent="0.25">
      <c r="AA859" s="26"/>
      <c r="AB859" s="26">
        <v>40739</v>
      </c>
      <c r="AC859" s="43">
        <v>3.3616927909525893</v>
      </c>
      <c r="AD859" s="25">
        <f t="shared" si="36"/>
        <v>6.1710590659690858</v>
      </c>
      <c r="AE859" s="43">
        <v>5.8322653494179697</v>
      </c>
      <c r="AF859" s="43">
        <v>12.889228966776834</v>
      </c>
      <c r="AG859" s="25">
        <f t="shared" si="35"/>
        <v>26.02373316844486</v>
      </c>
      <c r="AH859" s="43">
        <v>11.122111348710552</v>
      </c>
      <c r="AI859" s="43"/>
      <c r="AJ859" s="43"/>
    </row>
    <row r="860" spans="27:36" ht="13.5" x14ac:dyDescent="0.25">
      <c r="AA860" s="26"/>
      <c r="AB860" s="26">
        <v>40746</v>
      </c>
      <c r="AC860" s="43">
        <v>3.3590436978946783</v>
      </c>
      <c r="AD860" s="25">
        <f t="shared" si="36"/>
        <v>6.1710590659690858</v>
      </c>
      <c r="AE860" s="43">
        <v>5.8680266832016272</v>
      </c>
      <c r="AF860" s="43">
        <v>12.878749679152493</v>
      </c>
      <c r="AG860" s="25">
        <f t="shared" si="35"/>
        <v>26.02373316844486</v>
      </c>
      <c r="AH860" s="43">
        <v>11.185108962742273</v>
      </c>
      <c r="AI860" s="43"/>
      <c r="AJ860" s="43"/>
    </row>
    <row r="861" spans="27:36" ht="13.5" x14ac:dyDescent="0.25">
      <c r="AA861" s="26"/>
      <c r="AB861" s="26">
        <v>40753</v>
      </c>
      <c r="AC861" s="43">
        <v>3.6938739333409298</v>
      </c>
      <c r="AD861" s="25">
        <f t="shared" si="36"/>
        <v>6.1710590659690858</v>
      </c>
      <c r="AE861" s="43">
        <v>5.7309642153886324</v>
      </c>
      <c r="AF861" s="43">
        <v>14.401819354885104</v>
      </c>
      <c r="AG861" s="25">
        <f t="shared" si="35"/>
        <v>26.02373316844486</v>
      </c>
      <c r="AH861" s="43">
        <v>11.069869593820854</v>
      </c>
      <c r="AI861" s="43"/>
      <c r="AJ861" s="43"/>
    </row>
    <row r="862" spans="27:36" ht="13.5" x14ac:dyDescent="0.25">
      <c r="AA862" s="26"/>
      <c r="AB862" s="26">
        <v>40760</v>
      </c>
      <c r="AC862" s="43">
        <v>3.0880548643017325</v>
      </c>
      <c r="AD862" s="25">
        <f t="shared" si="36"/>
        <v>6.1710590659690858</v>
      </c>
      <c r="AE862" s="43">
        <v>5.2719781767674165</v>
      </c>
      <c r="AF862" s="43">
        <v>11.974189749753025</v>
      </c>
      <c r="AG862" s="25">
        <f t="shared" si="35"/>
        <v>26.02373316844486</v>
      </c>
      <c r="AH862" s="43">
        <v>9.9859560674084236</v>
      </c>
      <c r="AI862" s="43"/>
      <c r="AJ862" s="43"/>
    </row>
    <row r="863" spans="27:36" ht="13.5" x14ac:dyDescent="0.25">
      <c r="AA863" s="26"/>
      <c r="AB863" s="26">
        <v>40767</v>
      </c>
      <c r="AC863" s="43">
        <v>2.9692668658468238</v>
      </c>
      <c r="AD863" s="25">
        <f t="shared" si="36"/>
        <v>6.1710590659690858</v>
      </c>
      <c r="AE863" s="43">
        <v>5.2897762716976038</v>
      </c>
      <c r="AF863" s="43">
        <v>11.498184162406842</v>
      </c>
      <c r="AG863" s="25">
        <f t="shared" si="35"/>
        <v>26.02373316844486</v>
      </c>
      <c r="AH863" s="43">
        <v>10.039730004554091</v>
      </c>
      <c r="AI863" s="43"/>
      <c r="AJ863" s="43"/>
    </row>
    <row r="864" spans="27:36" ht="13.5" x14ac:dyDescent="0.25">
      <c r="AA864" s="26"/>
      <c r="AB864" s="26">
        <v>40774</v>
      </c>
      <c r="AC864" s="43">
        <v>2.5812258359324085</v>
      </c>
      <c r="AD864" s="25">
        <f t="shared" si="36"/>
        <v>6.1710590659690858</v>
      </c>
      <c r="AE864" s="43">
        <v>4.9265079308707644</v>
      </c>
      <c r="AF864" s="43">
        <v>9.9432316355407266</v>
      </c>
      <c r="AG864" s="25">
        <f t="shared" si="35"/>
        <v>26.02373316844486</v>
      </c>
      <c r="AH864" s="43">
        <v>9.2079443839467068</v>
      </c>
      <c r="AI864" s="43"/>
      <c r="AJ864" s="43"/>
    </row>
    <row r="865" spans="27:36" ht="13.5" x14ac:dyDescent="0.25">
      <c r="AA865" s="26"/>
      <c r="AB865" s="26">
        <v>40781</v>
      </c>
      <c r="AC865" s="43">
        <v>2.7765663741802564</v>
      </c>
      <c r="AD865" s="25">
        <f t="shared" si="36"/>
        <v>6.1710590659690858</v>
      </c>
      <c r="AE865" s="43">
        <v>5.0515006385068491</v>
      </c>
      <c r="AF865" s="43">
        <v>10.725997477634465</v>
      </c>
      <c r="AG865" s="25">
        <f t="shared" si="35"/>
        <v>26.02373316844486</v>
      </c>
      <c r="AH865" s="43">
        <v>9.5014077961698629</v>
      </c>
      <c r="AI865" s="43"/>
      <c r="AJ865" s="43"/>
    </row>
    <row r="866" spans="27:36" ht="13.5" x14ac:dyDescent="0.25">
      <c r="AA866" s="26"/>
      <c r="AB866" s="26">
        <v>40788</v>
      </c>
      <c r="AC866" s="43">
        <v>2.7765663741802564</v>
      </c>
      <c r="AD866" s="25">
        <f t="shared" si="36"/>
        <v>6.1710590659690858</v>
      </c>
      <c r="AE866" s="43">
        <v>5.0515006385068491</v>
      </c>
      <c r="AF866" s="43">
        <v>10.725997477634465</v>
      </c>
      <c r="AG866" s="25">
        <f t="shared" si="35"/>
        <v>26.02373316844486</v>
      </c>
      <c r="AH866" s="43">
        <v>9.5014077961698629</v>
      </c>
      <c r="AI866" s="43"/>
      <c r="AJ866" s="43"/>
    </row>
    <row r="867" spans="27:36" ht="13.5" x14ac:dyDescent="0.25">
      <c r="AA867" s="26"/>
      <c r="AB867" s="26">
        <v>40795</v>
      </c>
      <c r="AC867" s="43">
        <v>2.7528087241403365</v>
      </c>
      <c r="AD867" s="25">
        <f t="shared" si="36"/>
        <v>6.1710590659690858</v>
      </c>
      <c r="AE867" s="43">
        <v>5.0208070699172094</v>
      </c>
      <c r="AF867" s="43">
        <v>10.630796158407675</v>
      </c>
      <c r="AG867" s="25">
        <f t="shared" si="35"/>
        <v>26.02373316844486</v>
      </c>
      <c r="AH867" s="43">
        <v>9.3704557889881634</v>
      </c>
      <c r="AI867" s="43"/>
      <c r="AJ867" s="43"/>
    </row>
    <row r="868" spans="27:36" ht="13.5" x14ac:dyDescent="0.25">
      <c r="AA868" s="26"/>
      <c r="AB868" s="26">
        <v>40802</v>
      </c>
      <c r="AC868" s="43">
        <v>2.9692668658468238</v>
      </c>
      <c r="AD868" s="25">
        <f t="shared" si="36"/>
        <v>6.1710590659690858</v>
      </c>
      <c r="AE868" s="43">
        <v>5.2776628456031887</v>
      </c>
      <c r="AF868" s="43">
        <v>11.498184162406842</v>
      </c>
      <c r="AG868" s="25">
        <f t="shared" si="35"/>
        <v>26.02373316844486</v>
      </c>
      <c r="AH868" s="43">
        <v>9.9574755505394563</v>
      </c>
      <c r="AI868" s="43"/>
      <c r="AJ868" s="43"/>
    </row>
    <row r="869" spans="27:36" ht="13.5" x14ac:dyDescent="0.25">
      <c r="AA869" s="26"/>
      <c r="AB869" s="26">
        <v>40809</v>
      </c>
      <c r="AC869" s="43">
        <v>3.0694537313761452</v>
      </c>
      <c r="AD869" s="25">
        <f t="shared" si="36"/>
        <v>6.1710590659690858</v>
      </c>
      <c r="AE869" s="43">
        <v>5.0499409070318437</v>
      </c>
      <c r="AF869" s="43">
        <v>11.117181811858382</v>
      </c>
      <c r="AG869" s="25">
        <f t="shared" si="35"/>
        <v>26.02373316844486</v>
      </c>
      <c r="AH869" s="43">
        <v>9.3924243136032324</v>
      </c>
      <c r="AI869" s="43"/>
      <c r="AJ869" s="43"/>
    </row>
    <row r="870" spans="27:36" ht="13.5" x14ac:dyDescent="0.25">
      <c r="AA870" s="26"/>
      <c r="AB870" s="26">
        <v>40816</v>
      </c>
      <c r="AC870" s="43">
        <v>3.1642222424241098</v>
      </c>
      <c r="AD870" s="25">
        <f t="shared" si="36"/>
        <v>6.1710590659690858</v>
      </c>
      <c r="AE870" s="43">
        <v>5.1231125158067776</v>
      </c>
      <c r="AF870" s="43">
        <v>11.473174412753172</v>
      </c>
      <c r="AG870" s="25">
        <f t="shared" ref="AG870:AG933" si="37">$Z$69</f>
        <v>26.02373316844486</v>
      </c>
      <c r="AH870" s="43">
        <v>9.5608190161572537</v>
      </c>
      <c r="AI870" s="43"/>
      <c r="AJ870" s="43"/>
    </row>
    <row r="871" spans="27:36" ht="13.5" x14ac:dyDescent="0.25">
      <c r="AA871" s="26"/>
      <c r="AB871" s="26">
        <v>40823</v>
      </c>
      <c r="AC871" s="43">
        <v>3.2015553337268967</v>
      </c>
      <c r="AD871" s="25">
        <f t="shared" si="36"/>
        <v>6.1710590659690858</v>
      </c>
      <c r="AE871" s="43">
        <v>5.1179828767060114</v>
      </c>
      <c r="AF871" s="43">
        <v>11.614006081064733</v>
      </c>
      <c r="AG871" s="25">
        <f t="shared" si="37"/>
        <v>26.02373316844486</v>
      </c>
      <c r="AH871" s="43">
        <v>9.5660469649842597</v>
      </c>
      <c r="AI871" s="43"/>
      <c r="AJ871" s="43"/>
    </row>
    <row r="872" spans="27:36" ht="13.5" x14ac:dyDescent="0.25">
      <c r="AA872" s="26"/>
      <c r="AB872" s="26">
        <v>40830</v>
      </c>
      <c r="AC872" s="43">
        <v>3.2015553337268967</v>
      </c>
      <c r="AD872" s="25">
        <f t="shared" si="36"/>
        <v>6.1710590659690858</v>
      </c>
      <c r="AE872" s="43">
        <v>5.1179828767060114</v>
      </c>
      <c r="AF872" s="43">
        <v>11.614006081064733</v>
      </c>
      <c r="AG872" s="25">
        <f t="shared" si="37"/>
        <v>26.02373316844486</v>
      </c>
      <c r="AH872" s="43">
        <v>9.5660469649842597</v>
      </c>
      <c r="AI872" s="43"/>
      <c r="AJ872" s="43"/>
    </row>
    <row r="873" spans="27:36" ht="13.5" x14ac:dyDescent="0.25">
      <c r="AA873" s="26"/>
      <c r="AB873" s="26">
        <v>40837</v>
      </c>
      <c r="AC873" s="43">
        <v>3.2015553337268967</v>
      </c>
      <c r="AD873" s="25">
        <f t="shared" si="36"/>
        <v>6.1710590659690858</v>
      </c>
      <c r="AE873" s="43">
        <v>5.1179828767060114</v>
      </c>
      <c r="AF873" s="43">
        <v>11.614006081064733</v>
      </c>
      <c r="AG873" s="25">
        <f t="shared" si="37"/>
        <v>26.02373316844486</v>
      </c>
      <c r="AH873" s="43">
        <v>9.5660469649842597</v>
      </c>
      <c r="AI873" s="43"/>
      <c r="AJ873" s="43"/>
    </row>
    <row r="874" spans="27:36" ht="13.5" x14ac:dyDescent="0.25">
      <c r="AA874" s="26"/>
      <c r="AB874" s="26">
        <v>40844</v>
      </c>
      <c r="AC874" s="43">
        <v>4.1400127731407599</v>
      </c>
      <c r="AD874" s="25">
        <f t="shared" si="36"/>
        <v>6.1710590659690858</v>
      </c>
      <c r="AE874" s="43">
        <v>5.8738412586634485</v>
      </c>
      <c r="AF874" s="43">
        <v>14.934194675995903</v>
      </c>
      <c r="AG874" s="25">
        <f t="shared" si="37"/>
        <v>26.02373316844486</v>
      </c>
      <c r="AH874" s="43">
        <v>11.183617938880076</v>
      </c>
      <c r="AI874" s="43"/>
      <c r="AJ874" s="43"/>
    </row>
    <row r="875" spans="27:36" ht="13.5" x14ac:dyDescent="0.25">
      <c r="AA875" s="26"/>
      <c r="AB875" s="26">
        <v>40851</v>
      </c>
      <c r="AC875" s="43">
        <v>4.2112306214539386</v>
      </c>
      <c r="AD875" s="25">
        <f t="shared" si="36"/>
        <v>6.1710590659690858</v>
      </c>
      <c r="AE875" s="43">
        <v>6.03458928866314</v>
      </c>
      <c r="AF875" s="43">
        <v>14.030061089344221</v>
      </c>
      <c r="AG875" s="25">
        <f t="shared" si="37"/>
        <v>26.02373316844486</v>
      </c>
      <c r="AH875" s="43">
        <v>11.12387428834877</v>
      </c>
      <c r="AI875" s="43"/>
      <c r="AJ875" s="43"/>
    </row>
    <row r="876" spans="27:36" ht="13.5" x14ac:dyDescent="0.25">
      <c r="AA876" s="26"/>
      <c r="AB876" s="26">
        <v>40858</v>
      </c>
      <c r="AC876" s="43">
        <v>4.2548452360741118</v>
      </c>
      <c r="AD876" s="25">
        <f t="shared" si="36"/>
        <v>6.1710590659690858</v>
      </c>
      <c r="AE876" s="43">
        <v>6.1137967336131718</v>
      </c>
      <c r="AF876" s="43">
        <v>14.190717885588096</v>
      </c>
      <c r="AG876" s="25">
        <f t="shared" si="37"/>
        <v>26.02373316844486</v>
      </c>
      <c r="AH876" s="43">
        <v>11.183815055306741</v>
      </c>
      <c r="AI876" s="43"/>
      <c r="AJ876" s="43"/>
    </row>
    <row r="877" spans="27:36" ht="13.5" x14ac:dyDescent="0.25">
      <c r="AA877" s="26"/>
      <c r="AB877" s="26">
        <v>40865</v>
      </c>
      <c r="AC877" s="43">
        <v>4.1269085525436759</v>
      </c>
      <c r="AD877" s="25">
        <f t="shared" si="36"/>
        <v>6.1710590659690858</v>
      </c>
      <c r="AE877" s="43">
        <v>5.9976014927729651</v>
      </c>
      <c r="AF877" s="43">
        <v>13.717080914928454</v>
      </c>
      <c r="AG877" s="25">
        <f t="shared" si="37"/>
        <v>26.02373316844486</v>
      </c>
      <c r="AH877" s="43">
        <v>10.923627678523738</v>
      </c>
      <c r="AI877" s="43"/>
      <c r="AJ877" s="43"/>
    </row>
    <row r="878" spans="27:36" ht="13.5" x14ac:dyDescent="0.25">
      <c r="AA878" s="26"/>
      <c r="AB878" s="26">
        <v>40872</v>
      </c>
      <c r="AC878" s="43">
        <v>4.1269085525436759</v>
      </c>
      <c r="AD878" s="25">
        <f t="shared" si="36"/>
        <v>6.1710590659690858</v>
      </c>
      <c r="AE878" s="43">
        <v>5.9976014927729651</v>
      </c>
      <c r="AF878" s="43">
        <v>13.717080914928454</v>
      </c>
      <c r="AG878" s="25">
        <f t="shared" si="37"/>
        <v>26.02373316844486</v>
      </c>
      <c r="AH878" s="43">
        <v>10.923627678523738</v>
      </c>
      <c r="AI878" s="43"/>
      <c r="AJ878" s="43"/>
    </row>
    <row r="879" spans="27:36" ht="13.5" x14ac:dyDescent="0.25">
      <c r="AA879" s="26"/>
      <c r="AB879" s="26">
        <v>40879</v>
      </c>
      <c r="AC879" s="43">
        <v>4.106555102693588</v>
      </c>
      <c r="AD879" s="25">
        <f t="shared" si="36"/>
        <v>6.1710590659690858</v>
      </c>
      <c r="AE879" s="43">
        <v>6.2432745715632603</v>
      </c>
      <c r="AF879" s="43">
        <v>13.641190981433052</v>
      </c>
      <c r="AG879" s="25">
        <f t="shared" si="37"/>
        <v>26.02373316844486</v>
      </c>
      <c r="AH879" s="43">
        <v>11.599989066345291</v>
      </c>
      <c r="AI879" s="43"/>
      <c r="AJ879" s="43"/>
    </row>
    <row r="880" spans="27:36" ht="13.5" x14ac:dyDescent="0.25">
      <c r="AA880" s="26"/>
      <c r="AB880" s="26">
        <v>40886</v>
      </c>
      <c r="AC880" s="43">
        <v>3.9151572969456323</v>
      </c>
      <c r="AD880" s="25">
        <f t="shared" si="36"/>
        <v>6.1710590659690858</v>
      </c>
      <c r="AE880" s="43">
        <v>6.0764403731804819</v>
      </c>
      <c r="AF880" s="43">
        <v>13.923677007094515</v>
      </c>
      <c r="AG880" s="25">
        <f t="shared" si="37"/>
        <v>26.02373316844486</v>
      </c>
      <c r="AH880" s="43">
        <v>11.234335404278088</v>
      </c>
      <c r="AI880" s="43"/>
      <c r="AJ880" s="43"/>
    </row>
    <row r="881" spans="27:36" ht="13.5" x14ac:dyDescent="0.25">
      <c r="AA881" s="26"/>
      <c r="AB881" s="26">
        <v>40893</v>
      </c>
      <c r="AC881" s="43">
        <v>3.9756577613622213</v>
      </c>
      <c r="AD881" s="25">
        <f t="shared" si="36"/>
        <v>6.1710590659690858</v>
      </c>
      <c r="AE881" s="43">
        <v>6.1106278688337152</v>
      </c>
      <c r="AF881" s="43">
        <v>14.153440437126083</v>
      </c>
      <c r="AG881" s="25">
        <f t="shared" si="37"/>
        <v>26.02373316844486</v>
      </c>
      <c r="AH881" s="43">
        <v>11.36841258789774</v>
      </c>
      <c r="AI881" s="43"/>
      <c r="AJ881" s="43"/>
    </row>
    <row r="882" spans="27:36" ht="13.5" x14ac:dyDescent="0.25">
      <c r="AA882" s="26"/>
      <c r="AB882" s="26">
        <v>40900</v>
      </c>
      <c r="AC882" s="43">
        <v>3.6680282389776901</v>
      </c>
      <c r="AD882" s="25">
        <f t="shared" si="36"/>
        <v>6.1710590659690858</v>
      </c>
      <c r="AE882" s="43">
        <v>5.8059491278573434</v>
      </c>
      <c r="AF882" s="43">
        <v>14.475110334768734</v>
      </c>
      <c r="AG882" s="25">
        <f t="shared" si="37"/>
        <v>26.02373316844486</v>
      </c>
      <c r="AH882" s="43">
        <v>11.378656814638688</v>
      </c>
      <c r="AI882" s="43"/>
      <c r="AJ882" s="43"/>
    </row>
    <row r="883" spans="27:36" ht="13.5" x14ac:dyDescent="0.25">
      <c r="AA883" s="26"/>
      <c r="AB883" s="26">
        <v>40907</v>
      </c>
      <c r="AC883" s="43">
        <v>3.4879668579722738</v>
      </c>
      <c r="AD883" s="25">
        <f t="shared" si="36"/>
        <v>6.1710590659690858</v>
      </c>
      <c r="AE883" s="43">
        <v>6.2816059916878073</v>
      </c>
      <c r="AF883" s="43">
        <v>13.774330503674381</v>
      </c>
      <c r="AG883" s="25">
        <f t="shared" si="37"/>
        <v>26.02373316844486</v>
      </c>
      <c r="AH883" s="43">
        <v>11.671663230459066</v>
      </c>
      <c r="AI883" s="43"/>
      <c r="AJ883" s="43"/>
    </row>
    <row r="884" spans="27:36" ht="13.5" x14ac:dyDescent="0.25">
      <c r="AA884" s="26"/>
      <c r="AB884" s="26">
        <v>40914</v>
      </c>
      <c r="AC884" s="43">
        <v>3.6060399454608341</v>
      </c>
      <c r="AD884" s="25">
        <f t="shared" si="36"/>
        <v>6.1710590659690858</v>
      </c>
      <c r="AE884" s="43">
        <v>6.3610137323153424</v>
      </c>
      <c r="AF884" s="43">
        <v>14.233858459335973</v>
      </c>
      <c r="AG884" s="25">
        <f t="shared" si="37"/>
        <v>26.02373316844486</v>
      </c>
      <c r="AH884" s="43">
        <v>11.818961168569636</v>
      </c>
      <c r="AI884" s="43"/>
      <c r="AJ884" s="43"/>
    </row>
    <row r="885" spans="27:36" ht="13.5" x14ac:dyDescent="0.25">
      <c r="AA885" s="26"/>
      <c r="AB885" s="26">
        <v>40921</v>
      </c>
      <c r="AC885" s="43">
        <v>3.5883288838098291</v>
      </c>
      <c r="AD885" s="25">
        <f t="shared" ref="AD885:AD948" si="38">$Z$100</f>
        <v>6.1710590659690858</v>
      </c>
      <c r="AE885" s="43">
        <v>6.3948371111762787</v>
      </c>
      <c r="AF885" s="43">
        <v>14.164928882527274</v>
      </c>
      <c r="AG885" s="25">
        <f t="shared" si="37"/>
        <v>26.02373316844486</v>
      </c>
      <c r="AH885" s="43">
        <v>11.855185497065884</v>
      </c>
      <c r="AI885" s="43"/>
      <c r="AJ885" s="43"/>
    </row>
    <row r="886" spans="27:36" ht="13.5" x14ac:dyDescent="0.25">
      <c r="AA886" s="26"/>
      <c r="AB886" s="26">
        <v>40928</v>
      </c>
      <c r="AC886" s="43">
        <v>4.0311023284994363</v>
      </c>
      <c r="AD886" s="25">
        <f t="shared" si="38"/>
        <v>6.1710590659690858</v>
      </c>
      <c r="AE886" s="43">
        <v>6.6263592092142272</v>
      </c>
      <c r="AF886" s="43">
        <v>15.888156251161721</v>
      </c>
      <c r="AG886" s="25">
        <f t="shared" si="37"/>
        <v>26.02373316844486</v>
      </c>
      <c r="AH886" s="43">
        <v>12.432680394621471</v>
      </c>
      <c r="AI886" s="43"/>
      <c r="AJ886" s="43"/>
    </row>
    <row r="887" spans="27:36" ht="13.5" x14ac:dyDescent="0.25">
      <c r="AA887" s="26"/>
      <c r="AB887" s="26">
        <v>40935</v>
      </c>
      <c r="AC887" s="43">
        <v>4.0311023284994363</v>
      </c>
      <c r="AD887" s="25">
        <f t="shared" si="38"/>
        <v>6.1710590659690858</v>
      </c>
      <c r="AE887" s="43">
        <v>6.5758461840647371</v>
      </c>
      <c r="AF887" s="43">
        <v>15.888156251161721</v>
      </c>
      <c r="AG887" s="25">
        <f t="shared" si="37"/>
        <v>26.02373316844486</v>
      </c>
      <c r="AH887" s="43">
        <v>12.418119046871999</v>
      </c>
      <c r="AI887" s="43"/>
      <c r="AJ887" s="43"/>
    </row>
    <row r="888" spans="27:36" ht="13.5" x14ac:dyDescent="0.25">
      <c r="AA888" s="26"/>
      <c r="AB888" s="26">
        <v>40942</v>
      </c>
      <c r="AC888" s="43">
        <v>5.5930602382701915</v>
      </c>
      <c r="AD888" s="25">
        <f t="shared" si="38"/>
        <v>6.1710590659690858</v>
      </c>
      <c r="AE888" s="43">
        <v>7.032397100182501</v>
      </c>
      <c r="AF888" s="43">
        <v>20.5348765895429</v>
      </c>
      <c r="AG888" s="25">
        <f t="shared" si="37"/>
        <v>26.02373316844486</v>
      </c>
      <c r="AH888" s="43">
        <v>13.407033457049607</v>
      </c>
      <c r="AI888" s="43"/>
      <c r="AJ888" s="43"/>
    </row>
    <row r="889" spans="27:36" ht="13.5" x14ac:dyDescent="0.25">
      <c r="AA889" s="26"/>
      <c r="AB889" s="26">
        <v>40949</v>
      </c>
      <c r="AC889" s="43">
        <v>5.5250682687681909</v>
      </c>
      <c r="AD889" s="25">
        <f t="shared" si="38"/>
        <v>6.1710590659690858</v>
      </c>
      <c r="AE889" s="43">
        <v>7.0266768258650689</v>
      </c>
      <c r="AF889" s="43">
        <v>20.229060735596192</v>
      </c>
      <c r="AG889" s="25">
        <f t="shared" si="37"/>
        <v>26.02373316844486</v>
      </c>
      <c r="AH889" s="43">
        <v>13.448328000373708</v>
      </c>
      <c r="AI889" s="43"/>
      <c r="AJ889" s="43"/>
    </row>
    <row r="890" spans="27:36" ht="13.5" x14ac:dyDescent="0.25">
      <c r="AA890" s="26"/>
      <c r="AB890" s="26">
        <v>40956</v>
      </c>
      <c r="AC890" s="43">
        <v>5.6925607817352075</v>
      </c>
      <c r="AD890" s="25">
        <f t="shared" si="38"/>
        <v>6.1710590659690858</v>
      </c>
      <c r="AE890" s="43">
        <v>7.2881896148766163</v>
      </c>
      <c r="AF890" s="43">
        <v>20.98441907360883</v>
      </c>
      <c r="AG890" s="25">
        <f t="shared" si="37"/>
        <v>26.02373316844486</v>
      </c>
      <c r="AH890" s="43">
        <v>13.814540751175246</v>
      </c>
      <c r="AI890" s="43"/>
      <c r="AJ890" s="43"/>
    </row>
    <row r="891" spans="27:36" ht="13.5" x14ac:dyDescent="0.25">
      <c r="AA891" s="26"/>
      <c r="AB891" s="26">
        <v>40963</v>
      </c>
      <c r="AC891" s="43">
        <v>5.6991939826043385</v>
      </c>
      <c r="AD891" s="25">
        <f t="shared" si="38"/>
        <v>6.1710590659690858</v>
      </c>
      <c r="AE891" s="43">
        <v>7.2771930992071212</v>
      </c>
      <c r="AF891" s="43">
        <v>21.014268146336441</v>
      </c>
      <c r="AG891" s="25">
        <f t="shared" si="37"/>
        <v>26.02373316844486</v>
      </c>
      <c r="AH891" s="43">
        <v>13.793275326240792</v>
      </c>
      <c r="AI891" s="43"/>
      <c r="AJ891" s="43"/>
    </row>
    <row r="892" spans="27:36" ht="13.5" x14ac:dyDescent="0.25">
      <c r="AA892" s="26"/>
      <c r="AB892" s="26">
        <v>40970</v>
      </c>
      <c r="AC892" s="43">
        <v>5.7025107411906575</v>
      </c>
      <c r="AD892" s="25">
        <f t="shared" si="38"/>
        <v>6.1710590659690858</v>
      </c>
      <c r="AE892" s="43">
        <v>7.2221807142943639</v>
      </c>
      <c r="AF892" s="43">
        <v>21.029193394375245</v>
      </c>
      <c r="AG892" s="25">
        <f t="shared" si="37"/>
        <v>26.02373316844486</v>
      </c>
      <c r="AH892" s="43">
        <v>13.669040155250833</v>
      </c>
      <c r="AI892" s="43"/>
      <c r="AJ892" s="43"/>
    </row>
    <row r="893" spans="27:36" ht="13.5" x14ac:dyDescent="0.25">
      <c r="AA893" s="26"/>
      <c r="AB893" s="26">
        <v>40977</v>
      </c>
      <c r="AC893" s="43">
        <v>5.7025107411906575</v>
      </c>
      <c r="AD893" s="25">
        <f t="shared" si="38"/>
        <v>6.1710590659690858</v>
      </c>
      <c r="AE893" s="43">
        <v>7.2221807142943639</v>
      </c>
      <c r="AF893" s="43">
        <v>21.029193394375245</v>
      </c>
      <c r="AG893" s="25">
        <f t="shared" si="37"/>
        <v>26.02373316844486</v>
      </c>
      <c r="AH893" s="43">
        <v>13.669040155250833</v>
      </c>
      <c r="AI893" s="43"/>
      <c r="AJ893" s="43"/>
    </row>
    <row r="894" spans="27:36" ht="13.5" x14ac:dyDescent="0.25">
      <c r="AA894" s="26"/>
      <c r="AB894" s="26">
        <v>40984</v>
      </c>
      <c r="AC894" s="43">
        <v>5.7091439420597867</v>
      </c>
      <c r="AD894" s="25">
        <f t="shared" si="38"/>
        <v>6.1710590659690858</v>
      </c>
      <c r="AE894" s="43">
        <v>7.3444475122083395</v>
      </c>
      <c r="AF894" s="43">
        <v>21.059042467102856</v>
      </c>
      <c r="AG894" s="25">
        <f t="shared" si="37"/>
        <v>26.02373316844486</v>
      </c>
      <c r="AH894" s="43">
        <v>13.802412992886225</v>
      </c>
      <c r="AI894" s="43"/>
      <c r="AJ894" s="43"/>
    </row>
    <row r="895" spans="27:36" ht="13.5" x14ac:dyDescent="0.25">
      <c r="AA895" s="26"/>
      <c r="AB895" s="26">
        <v>40991</v>
      </c>
      <c r="AC895" s="43">
        <v>5.9015115118171817</v>
      </c>
      <c r="AD895" s="25">
        <f t="shared" si="38"/>
        <v>6.1710590659690858</v>
      </c>
      <c r="AE895" s="43">
        <v>7.4842657880361081</v>
      </c>
      <c r="AF895" s="43">
        <v>21.924686926453507</v>
      </c>
      <c r="AG895" s="25">
        <f t="shared" si="37"/>
        <v>26.02373316844486</v>
      </c>
      <c r="AH895" s="43">
        <v>14.151763431195919</v>
      </c>
      <c r="AI895" s="43"/>
      <c r="AJ895" s="43"/>
    </row>
    <row r="896" spans="27:36" ht="13.5" x14ac:dyDescent="0.25">
      <c r="AA896" s="26"/>
      <c r="AB896" s="26">
        <v>40998</v>
      </c>
      <c r="AC896" s="43">
        <v>5.8816115929062835</v>
      </c>
      <c r="AD896" s="25">
        <f t="shared" si="38"/>
        <v>6.1710590659690858</v>
      </c>
      <c r="AE896" s="43">
        <v>7.5150437174978526</v>
      </c>
      <c r="AF896" s="43">
        <v>21.835138284920678</v>
      </c>
      <c r="AG896" s="25">
        <f t="shared" si="37"/>
        <v>26.02373316844486</v>
      </c>
      <c r="AH896" s="43">
        <v>14.164613005476459</v>
      </c>
      <c r="AI896" s="43"/>
      <c r="AJ896" s="43"/>
    </row>
    <row r="897" spans="27:36" ht="13.5" x14ac:dyDescent="0.25">
      <c r="AA897" s="26"/>
      <c r="AB897" s="26">
        <v>41005</v>
      </c>
      <c r="AC897" s="43">
        <v>5.6991939826043385</v>
      </c>
      <c r="AD897" s="25">
        <f t="shared" si="38"/>
        <v>6.1710590659690858</v>
      </c>
      <c r="AE897" s="43">
        <v>7.4789665628900837</v>
      </c>
      <c r="AF897" s="43">
        <v>21.014268146336441</v>
      </c>
      <c r="AG897" s="25">
        <f t="shared" si="37"/>
        <v>26.02373316844486</v>
      </c>
      <c r="AH897" s="43">
        <v>14.143020964900295</v>
      </c>
      <c r="AI897" s="43"/>
      <c r="AJ897" s="43"/>
    </row>
    <row r="898" spans="27:36" ht="13.5" x14ac:dyDescent="0.25">
      <c r="AA898" s="26"/>
      <c r="AB898" s="26">
        <v>41012</v>
      </c>
      <c r="AC898" s="43">
        <v>5.7157774592324255</v>
      </c>
      <c r="AD898" s="25">
        <f t="shared" si="38"/>
        <v>6.1710590659690858</v>
      </c>
      <c r="AE898" s="43">
        <v>7.4345133969374713</v>
      </c>
      <c r="AF898" s="43">
        <v>21.088892963180463</v>
      </c>
      <c r="AG898" s="25">
        <f t="shared" si="37"/>
        <v>26.02373316844486</v>
      </c>
      <c r="AH898" s="43">
        <v>14.044764860126934</v>
      </c>
      <c r="AI898" s="43"/>
      <c r="AJ898" s="43"/>
    </row>
    <row r="899" spans="27:36" ht="13.5" x14ac:dyDescent="0.25">
      <c r="AA899" s="26"/>
      <c r="AB899" s="26">
        <v>41019</v>
      </c>
      <c r="AC899" s="43">
        <v>5.6229104329400474</v>
      </c>
      <c r="AD899" s="25">
        <f t="shared" si="38"/>
        <v>6.1710590659690858</v>
      </c>
      <c r="AE899" s="43">
        <v>7.5920677508821308</v>
      </c>
      <c r="AF899" s="43">
        <v>20.70126728072664</v>
      </c>
      <c r="AG899" s="25">
        <f t="shared" si="37"/>
        <v>26.02373316844486</v>
      </c>
      <c r="AH899" s="43">
        <v>14.317495179886613</v>
      </c>
      <c r="AI899" s="43"/>
      <c r="AJ899" s="43"/>
    </row>
    <row r="900" spans="27:36" ht="13.5" x14ac:dyDescent="0.25">
      <c r="AA900" s="26"/>
      <c r="AB900" s="26">
        <v>41026</v>
      </c>
      <c r="AC900" s="43">
        <v>5.7157774592324255</v>
      </c>
      <c r="AD900" s="25">
        <f t="shared" si="38"/>
        <v>6.1710590659690858</v>
      </c>
      <c r="AE900" s="43">
        <v>7.5631904977807585</v>
      </c>
      <c r="AF900" s="43">
        <v>21.089323104486009</v>
      </c>
      <c r="AG900" s="25">
        <f t="shared" si="37"/>
        <v>26.02373316844486</v>
      </c>
      <c r="AH900" s="43">
        <v>14.433443507279069</v>
      </c>
      <c r="AI900" s="43"/>
      <c r="AJ900" s="43"/>
    </row>
    <row r="901" spans="27:36" ht="13.5" x14ac:dyDescent="0.25">
      <c r="AA901" s="26"/>
      <c r="AB901" s="26">
        <v>41033</v>
      </c>
      <c r="AC901" s="43">
        <v>5.3774756747120716</v>
      </c>
      <c r="AD901" s="25">
        <f t="shared" si="38"/>
        <v>6.1710590659690858</v>
      </c>
      <c r="AE901" s="43">
        <v>7.5978629458932785</v>
      </c>
      <c r="AF901" s="43">
        <v>19.566950914374189</v>
      </c>
      <c r="AG901" s="25">
        <f t="shared" si="37"/>
        <v>26.02373316844486</v>
      </c>
      <c r="AH901" s="43">
        <v>14.249359404968471</v>
      </c>
      <c r="AI901" s="43"/>
      <c r="AJ901" s="43"/>
    </row>
    <row r="902" spans="27:36" ht="13.5" x14ac:dyDescent="0.25">
      <c r="AA902" s="26"/>
      <c r="AB902" s="26">
        <v>41040</v>
      </c>
      <c r="AC902" s="43">
        <v>5.3476257963457234</v>
      </c>
      <c r="AD902" s="25">
        <f t="shared" si="38"/>
        <v>6.1710590659690858</v>
      </c>
      <c r="AE902" s="43">
        <v>7.6509276701788815</v>
      </c>
      <c r="AF902" s="43">
        <v>19.432625212345815</v>
      </c>
      <c r="AG902" s="25">
        <f t="shared" si="37"/>
        <v>26.02373316844486</v>
      </c>
      <c r="AH902" s="43">
        <v>14.351742820214472</v>
      </c>
      <c r="AI902" s="43"/>
      <c r="AJ902" s="43"/>
    </row>
    <row r="903" spans="27:36" ht="13.5" x14ac:dyDescent="0.25">
      <c r="AA903" s="26"/>
      <c r="AB903" s="26">
        <v>41047</v>
      </c>
      <c r="AC903" s="43">
        <v>6.0356538632169112</v>
      </c>
      <c r="AD903" s="25">
        <f t="shared" si="38"/>
        <v>6.1710590659690858</v>
      </c>
      <c r="AE903" s="43">
        <v>7.7674658104346452</v>
      </c>
      <c r="AF903" s="43">
        <v>21.696217595062922</v>
      </c>
      <c r="AG903" s="25">
        <f t="shared" si="37"/>
        <v>26.02373316844486</v>
      </c>
      <c r="AH903" s="43">
        <v>14.675991196175621</v>
      </c>
      <c r="AI903" s="43"/>
      <c r="AJ903" s="43"/>
    </row>
    <row r="904" spans="27:36" ht="13.5" x14ac:dyDescent="0.25">
      <c r="AA904" s="26"/>
      <c r="AB904" s="26">
        <v>41054</v>
      </c>
      <c r="AC904" s="43">
        <v>6.1202750501892922</v>
      </c>
      <c r="AD904" s="25">
        <f t="shared" si="38"/>
        <v>6.1710590659690858</v>
      </c>
      <c r="AE904" s="43">
        <v>7.8381482032555425</v>
      </c>
      <c r="AF904" s="43">
        <v>22.074737535981779</v>
      </c>
      <c r="AG904" s="25">
        <f t="shared" si="37"/>
        <v>26.02373316844486</v>
      </c>
      <c r="AH904" s="43">
        <v>14.812087928157386</v>
      </c>
      <c r="AI904" s="43"/>
      <c r="AJ904" s="43"/>
    </row>
    <row r="905" spans="27:36" ht="13.5" x14ac:dyDescent="0.25">
      <c r="AA905" s="26"/>
      <c r="AB905" s="26">
        <v>41061</v>
      </c>
      <c r="AC905" s="43">
        <v>6.0250763409403776</v>
      </c>
      <c r="AD905" s="25">
        <f t="shared" si="38"/>
        <v>6.1710590659690858</v>
      </c>
      <c r="AE905" s="43">
        <v>7.6769598533626642</v>
      </c>
      <c r="AF905" s="43">
        <v>21.650204897915799</v>
      </c>
      <c r="AG905" s="25">
        <f t="shared" si="37"/>
        <v>26.02373316844486</v>
      </c>
      <c r="AH905" s="43">
        <v>14.420332297120252</v>
      </c>
      <c r="AI905" s="43"/>
      <c r="AJ905" s="43"/>
    </row>
    <row r="906" spans="27:36" ht="13.5" x14ac:dyDescent="0.25">
      <c r="AA906" s="26"/>
      <c r="AB906" s="26">
        <v>41068</v>
      </c>
      <c r="AC906" s="43">
        <v>5.9510330124979012</v>
      </c>
      <c r="AD906" s="25">
        <f t="shared" si="38"/>
        <v>6.1710590659690858</v>
      </c>
      <c r="AE906" s="43">
        <v>8.0100970469655319</v>
      </c>
      <c r="AF906" s="43">
        <v>21.318497153377866</v>
      </c>
      <c r="AG906" s="25">
        <f t="shared" si="37"/>
        <v>26.02373316844486</v>
      </c>
      <c r="AH906" s="43">
        <v>15.027699311055919</v>
      </c>
      <c r="AI906" s="43"/>
      <c r="AJ906" s="43"/>
    </row>
    <row r="907" spans="27:36" ht="13.5" x14ac:dyDescent="0.25">
      <c r="AA907" s="26"/>
      <c r="AB907" s="26">
        <v>41075</v>
      </c>
      <c r="AC907" s="43">
        <v>5.8875675425853276</v>
      </c>
      <c r="AD907" s="25">
        <f t="shared" si="38"/>
        <v>6.1710590659690858</v>
      </c>
      <c r="AE907" s="43">
        <v>7.9715511882853995</v>
      </c>
      <c r="AF907" s="43">
        <v>21.034040835534963</v>
      </c>
      <c r="AG907" s="25">
        <f t="shared" si="37"/>
        <v>26.02373316844486</v>
      </c>
      <c r="AH907" s="43">
        <v>14.958944442260254</v>
      </c>
      <c r="AI907" s="43"/>
      <c r="AJ907" s="43"/>
    </row>
    <row r="908" spans="27:36" ht="13.5" x14ac:dyDescent="0.25">
      <c r="AA908" s="26"/>
      <c r="AB908" s="26">
        <v>41082</v>
      </c>
      <c r="AC908" s="43">
        <v>6.1907924257884677</v>
      </c>
      <c r="AD908" s="25">
        <f t="shared" si="38"/>
        <v>6.1710590659690858</v>
      </c>
      <c r="AE908" s="43">
        <v>8.0812237391819348</v>
      </c>
      <c r="AF908" s="43">
        <v>22.393114263544383</v>
      </c>
      <c r="AG908" s="25">
        <f t="shared" si="37"/>
        <v>26.02373316844486</v>
      </c>
      <c r="AH908" s="43">
        <v>15.221716210806822</v>
      </c>
      <c r="AI908" s="43"/>
      <c r="AJ908" s="43"/>
    </row>
    <row r="909" spans="27:36" ht="13.5" x14ac:dyDescent="0.25">
      <c r="AA909" s="26"/>
      <c r="AB909" s="26">
        <v>41089</v>
      </c>
      <c r="AC909" s="43">
        <v>6.5222242592312787</v>
      </c>
      <c r="AD909" s="25">
        <f t="shared" si="38"/>
        <v>6.1710590659690858</v>
      </c>
      <c r="AE909" s="43">
        <v>8.208999746041961</v>
      </c>
      <c r="AF909" s="43">
        <v>23.884145842537304</v>
      </c>
      <c r="AG909" s="25">
        <f t="shared" si="37"/>
        <v>26.02373316844486</v>
      </c>
      <c r="AH909" s="43">
        <v>15.536594435589674</v>
      </c>
      <c r="AI909" s="43"/>
      <c r="AJ909" s="43"/>
    </row>
    <row r="910" spans="27:36" ht="13.5" x14ac:dyDescent="0.25">
      <c r="AA910" s="26"/>
      <c r="AB910" s="26">
        <v>41096</v>
      </c>
      <c r="AC910" s="43">
        <v>5.9777937578337177</v>
      </c>
      <c r="AD910" s="25">
        <f t="shared" si="38"/>
        <v>6.1710590659690858</v>
      </c>
      <c r="AE910" s="43">
        <v>7.1723160773169417</v>
      </c>
      <c r="AF910" s="43">
        <v>18.528560862773386</v>
      </c>
      <c r="AG910" s="25">
        <f t="shared" si="37"/>
        <v>26.02373316844486</v>
      </c>
      <c r="AH910" s="43">
        <v>13.534155840770934</v>
      </c>
      <c r="AI910" s="43"/>
      <c r="AJ910" s="43"/>
    </row>
    <row r="911" spans="27:36" ht="13.5" x14ac:dyDescent="0.25">
      <c r="AA911" s="26"/>
      <c r="AB911" s="26">
        <v>41103</v>
      </c>
      <c r="AC911" s="43">
        <v>6.0985520095614429</v>
      </c>
      <c r="AD911" s="25">
        <f t="shared" si="38"/>
        <v>6.1710590659690858</v>
      </c>
      <c r="AE911" s="43">
        <v>7.2753194687254723</v>
      </c>
      <c r="AF911" s="43">
        <v>18.981920182396284</v>
      </c>
      <c r="AG911" s="25">
        <f t="shared" si="37"/>
        <v>26.02373316844486</v>
      </c>
      <c r="AH911" s="43">
        <v>13.56923454120586</v>
      </c>
      <c r="AI911" s="43"/>
      <c r="AJ911" s="43"/>
    </row>
    <row r="912" spans="27:36" ht="13.5" x14ac:dyDescent="0.25">
      <c r="AA912" s="26"/>
      <c r="AB912" s="26">
        <v>41110</v>
      </c>
      <c r="AC912" s="43">
        <v>6.0604177769531171</v>
      </c>
      <c r="AD912" s="25">
        <f t="shared" si="38"/>
        <v>6.1710590659690858</v>
      </c>
      <c r="AE912" s="43">
        <v>7.2313298939483603</v>
      </c>
      <c r="AF912" s="43">
        <v>18.840721489753854</v>
      </c>
      <c r="AG912" s="25">
        <f t="shared" si="37"/>
        <v>26.02373316844486</v>
      </c>
      <c r="AH912" s="43">
        <v>13.543423845177635</v>
      </c>
      <c r="AI912" s="43"/>
      <c r="AJ912" s="43"/>
    </row>
    <row r="913" spans="27:36" ht="13.5" x14ac:dyDescent="0.25">
      <c r="AA913" s="26"/>
      <c r="AB913" s="26">
        <v>41117</v>
      </c>
      <c r="AC913" s="43">
        <v>6.1271527597836712</v>
      </c>
      <c r="AD913" s="25">
        <f t="shared" si="38"/>
        <v>6.1710590659690858</v>
      </c>
      <c r="AE913" s="43">
        <v>7.2025775517965194</v>
      </c>
      <c r="AF913" s="43">
        <v>19.088936818218098</v>
      </c>
      <c r="AG913" s="25">
        <f t="shared" si="37"/>
        <v>26.02373316844486</v>
      </c>
      <c r="AH913" s="43">
        <v>13.471910956875929</v>
      </c>
      <c r="AI913" s="43"/>
      <c r="AJ913" s="43"/>
    </row>
    <row r="914" spans="27:36" ht="13.5" x14ac:dyDescent="0.25">
      <c r="AA914" s="26"/>
      <c r="AB914" s="26">
        <v>41124</v>
      </c>
      <c r="AC914" s="43">
        <v>6.1346349089521297</v>
      </c>
      <c r="AD914" s="25">
        <f t="shared" si="38"/>
        <v>6.1710590659690858</v>
      </c>
      <c r="AE914" s="43">
        <v>7.1736321451874954</v>
      </c>
      <c r="AF914" s="43">
        <v>19.275942536399658</v>
      </c>
      <c r="AG914" s="25">
        <f t="shared" si="37"/>
        <v>26.02373316844486</v>
      </c>
      <c r="AH914" s="43">
        <v>13.414539692129752</v>
      </c>
      <c r="AI914" s="43"/>
      <c r="AJ914" s="43"/>
    </row>
    <row r="915" spans="27:36" ht="13.5" x14ac:dyDescent="0.25">
      <c r="AA915" s="26"/>
      <c r="AB915" s="26">
        <v>41131</v>
      </c>
      <c r="AC915" s="43">
        <v>6.1346349089521297</v>
      </c>
      <c r="AD915" s="25">
        <f t="shared" si="38"/>
        <v>6.1710590659690858</v>
      </c>
      <c r="AE915" s="43">
        <v>7.1736321451874954</v>
      </c>
      <c r="AF915" s="43">
        <v>19.275942536399658</v>
      </c>
      <c r="AG915" s="25">
        <f t="shared" si="37"/>
        <v>26.02373316844486</v>
      </c>
      <c r="AH915" s="43">
        <v>13.414539692129752</v>
      </c>
      <c r="AI915" s="43"/>
      <c r="AJ915" s="43"/>
    </row>
    <row r="916" spans="27:36" ht="13.5" x14ac:dyDescent="0.25">
      <c r="AA916" s="26"/>
      <c r="AB916" s="26">
        <v>41138</v>
      </c>
      <c r="AC916" s="43">
        <v>6.3100889469053518</v>
      </c>
      <c r="AD916" s="25">
        <f t="shared" si="38"/>
        <v>6.1710590659690858</v>
      </c>
      <c r="AE916" s="43">
        <v>7.1663469346148112</v>
      </c>
      <c r="AF916" s="43">
        <v>19.932942982255973</v>
      </c>
      <c r="AG916" s="25">
        <f t="shared" si="37"/>
        <v>26.02373316844486</v>
      </c>
      <c r="AH916" s="43">
        <v>13.588938576461487</v>
      </c>
      <c r="AI916" s="43"/>
      <c r="AJ916" s="43"/>
    </row>
    <row r="917" spans="27:36" ht="13.5" x14ac:dyDescent="0.25">
      <c r="AA917" s="26"/>
      <c r="AB917" s="26">
        <v>41145</v>
      </c>
      <c r="AC917" s="43">
        <v>6.2442939067704417</v>
      </c>
      <c r="AD917" s="25">
        <f t="shared" si="38"/>
        <v>6.1710590659690858</v>
      </c>
      <c r="AE917" s="43">
        <v>7.0843822681123658</v>
      </c>
      <c r="AF917" s="43">
        <v>19.686568654209474</v>
      </c>
      <c r="AG917" s="25">
        <f t="shared" si="37"/>
        <v>26.02373316844486</v>
      </c>
      <c r="AH917" s="43">
        <v>13.613642879128356</v>
      </c>
      <c r="AI917" s="43"/>
      <c r="AJ917" s="43"/>
    </row>
    <row r="918" spans="27:36" ht="13.5" x14ac:dyDescent="0.25">
      <c r="AA918" s="26"/>
      <c r="AB918" s="26">
        <v>41152</v>
      </c>
      <c r="AC918" s="43">
        <v>6.3320206269503219</v>
      </c>
      <c r="AD918" s="25">
        <f t="shared" si="38"/>
        <v>6.1710590659690858</v>
      </c>
      <c r="AE918" s="43">
        <v>7.0594257488690975</v>
      </c>
      <c r="AF918" s="43">
        <v>20.015067758271471</v>
      </c>
      <c r="AG918" s="25">
        <f t="shared" si="37"/>
        <v>26.02373316844486</v>
      </c>
      <c r="AH918" s="43">
        <v>13.443019465396741</v>
      </c>
      <c r="AI918" s="43"/>
      <c r="AJ918" s="43"/>
    </row>
    <row r="919" spans="27:36" ht="13.5" x14ac:dyDescent="0.25">
      <c r="AA919" s="26"/>
      <c r="AB919" s="26">
        <v>41159</v>
      </c>
      <c r="AC919" s="43">
        <v>6.70172779797542</v>
      </c>
      <c r="AD919" s="25">
        <f t="shared" si="38"/>
        <v>6.1710590659690858</v>
      </c>
      <c r="AE919" s="43">
        <v>7.284337188961536</v>
      </c>
      <c r="AF919" s="43">
        <v>21.399463233196514</v>
      </c>
      <c r="AG919" s="25">
        <f t="shared" si="37"/>
        <v>26.02373316844486</v>
      </c>
      <c r="AH919" s="43">
        <v>13.947663247070103</v>
      </c>
      <c r="AI919" s="43"/>
      <c r="AJ919" s="43"/>
    </row>
    <row r="920" spans="27:36" ht="13.5" x14ac:dyDescent="0.25">
      <c r="AA920" s="26"/>
      <c r="AB920" s="26">
        <v>41166</v>
      </c>
      <c r="AC920" s="43">
        <v>6.7831887507092095</v>
      </c>
      <c r="AD920" s="25">
        <f t="shared" si="38"/>
        <v>6.1710590659690858</v>
      </c>
      <c r="AE920" s="43">
        <v>7.4247628750801642</v>
      </c>
      <c r="AF920" s="43">
        <v>21.704499713920026</v>
      </c>
      <c r="AG920" s="25">
        <f t="shared" si="37"/>
        <v>26.02373316844486</v>
      </c>
      <c r="AH920" s="43">
        <v>14.300035770207977</v>
      </c>
      <c r="AI920" s="43"/>
      <c r="AJ920" s="43"/>
    </row>
    <row r="921" spans="27:36" ht="13.5" x14ac:dyDescent="0.25">
      <c r="AA921" s="26"/>
      <c r="AB921" s="26">
        <v>41173</v>
      </c>
      <c r="AC921" s="43">
        <v>6.8301852933189249</v>
      </c>
      <c r="AD921" s="25">
        <f t="shared" si="38"/>
        <v>6.1710590659690858</v>
      </c>
      <c r="AE921" s="43">
        <v>7.2693036846498371</v>
      </c>
      <c r="AF921" s="43">
        <v>21.880481696486427</v>
      </c>
      <c r="AG921" s="25">
        <f t="shared" si="37"/>
        <v>26.02373316844486</v>
      </c>
      <c r="AH921" s="43">
        <v>14.130906871130998</v>
      </c>
      <c r="AI921" s="43"/>
      <c r="AJ921" s="43"/>
    </row>
    <row r="922" spans="27:36" ht="13.5" x14ac:dyDescent="0.25">
      <c r="AA922" s="26"/>
      <c r="AB922" s="26">
        <v>41180</v>
      </c>
      <c r="AC922" s="43">
        <v>6.7111273455347478</v>
      </c>
      <c r="AD922" s="25">
        <f t="shared" si="38"/>
        <v>6.1710590659690858</v>
      </c>
      <c r="AE922" s="43">
        <v>7.1273794103227566</v>
      </c>
      <c r="AF922" s="43">
        <v>21.434660524802723</v>
      </c>
      <c r="AG922" s="25">
        <f t="shared" si="37"/>
        <v>26.02373316844486</v>
      </c>
      <c r="AH922" s="43">
        <v>13.726401562171963</v>
      </c>
      <c r="AI922" s="43"/>
      <c r="AJ922" s="43"/>
    </row>
    <row r="923" spans="27:36" ht="13.5" x14ac:dyDescent="0.25">
      <c r="AA923" s="26"/>
      <c r="AB923" s="26">
        <v>41187</v>
      </c>
      <c r="AC923" s="43">
        <v>6.3852835345995889</v>
      </c>
      <c r="AD923" s="25">
        <f t="shared" si="38"/>
        <v>6.1710590659690858</v>
      </c>
      <c r="AE923" s="43">
        <v>7.0514979372774302</v>
      </c>
      <c r="AF923" s="43">
        <v>20.214514601908679</v>
      </c>
      <c r="AG923" s="25">
        <f t="shared" si="37"/>
        <v>26.02373316844486</v>
      </c>
      <c r="AH923" s="43">
        <v>13.43999156820049</v>
      </c>
      <c r="AI923" s="43"/>
      <c r="AJ923" s="43"/>
    </row>
    <row r="924" spans="27:36" ht="13.5" x14ac:dyDescent="0.25">
      <c r="AA924" s="26"/>
      <c r="AB924" s="26">
        <v>41194</v>
      </c>
      <c r="AC924" s="43">
        <v>6.3852835345995889</v>
      </c>
      <c r="AD924" s="25">
        <f t="shared" si="38"/>
        <v>6.1710590659690858</v>
      </c>
      <c r="AE924" s="43">
        <v>7.0514979372774302</v>
      </c>
      <c r="AF924" s="43">
        <v>20.214514601908679</v>
      </c>
      <c r="AG924" s="25">
        <f t="shared" si="37"/>
        <v>26.02373316844486</v>
      </c>
      <c r="AH924" s="43">
        <v>13.43999156820049</v>
      </c>
      <c r="AI924" s="43"/>
      <c r="AJ924" s="43"/>
    </row>
    <row r="925" spans="27:36" ht="13.5" x14ac:dyDescent="0.25">
      <c r="AA925" s="26"/>
      <c r="AB925" s="26">
        <v>41201</v>
      </c>
      <c r="AC925" s="43">
        <v>6.3367206995267162</v>
      </c>
      <c r="AD925" s="25">
        <f t="shared" si="38"/>
        <v>6.1710590659690858</v>
      </c>
      <c r="AE925" s="43">
        <v>7.2526110547957439</v>
      </c>
      <c r="AF925" s="43">
        <v>20.032667522940734</v>
      </c>
      <c r="AG925" s="25">
        <f t="shared" si="37"/>
        <v>26.02373316844486</v>
      </c>
      <c r="AH925" s="43">
        <v>13.825085142616295</v>
      </c>
      <c r="AI925" s="43"/>
      <c r="AJ925" s="43"/>
    </row>
    <row r="926" spans="27:36" ht="13.5" x14ac:dyDescent="0.25">
      <c r="AA926" s="26"/>
      <c r="AB926" s="26">
        <v>41208</v>
      </c>
      <c r="AC926" s="43">
        <v>5.4728664324918102</v>
      </c>
      <c r="AD926" s="25">
        <f t="shared" si="38"/>
        <v>6.1710590659690858</v>
      </c>
      <c r="AE926" s="43">
        <v>7.4229309903240823</v>
      </c>
      <c r="AF926" s="43">
        <v>21.567620777676851</v>
      </c>
      <c r="AG926" s="25">
        <f t="shared" si="37"/>
        <v>26.02373316844486</v>
      </c>
      <c r="AH926" s="43">
        <v>14.222427793955916</v>
      </c>
      <c r="AI926" s="43"/>
      <c r="AJ926" s="43"/>
    </row>
    <row r="927" spans="27:36" ht="13.5" x14ac:dyDescent="0.25">
      <c r="AA927" s="26"/>
      <c r="AB927" s="26">
        <v>41215</v>
      </c>
      <c r="AC927" s="43">
        <v>5.2372496681392144</v>
      </c>
      <c r="AD927" s="25">
        <f t="shared" si="38"/>
        <v>6.1710590659690858</v>
      </c>
      <c r="AE927" s="43">
        <v>7.3910327051323748</v>
      </c>
      <c r="AF927" s="43">
        <v>20.660182615743654</v>
      </c>
      <c r="AG927" s="25">
        <f t="shared" si="37"/>
        <v>26.02373316844486</v>
      </c>
      <c r="AH927" s="43">
        <v>14.268306653422412</v>
      </c>
      <c r="AI927" s="43"/>
      <c r="AJ927" s="43"/>
    </row>
    <row r="928" spans="27:36" ht="13.5" x14ac:dyDescent="0.25">
      <c r="AA928" s="26"/>
      <c r="AB928" s="26">
        <v>41222</v>
      </c>
      <c r="AC928" s="43">
        <v>5.177943125860863</v>
      </c>
      <c r="AD928" s="25">
        <f t="shared" si="38"/>
        <v>6.1710590659690858</v>
      </c>
      <c r="AE928" s="43">
        <v>7.1342046891905362</v>
      </c>
      <c r="AF928" s="43">
        <v>20.437272587653609</v>
      </c>
      <c r="AG928" s="25">
        <f t="shared" si="37"/>
        <v>26.02373316844486</v>
      </c>
      <c r="AH928" s="43">
        <v>13.825997793659553</v>
      </c>
      <c r="AI928" s="43"/>
      <c r="AJ928" s="43"/>
    </row>
    <row r="929" spans="27:36" ht="13.5" x14ac:dyDescent="0.25">
      <c r="AA929" s="26"/>
      <c r="AB929" s="26">
        <v>41229</v>
      </c>
      <c r="AC929" s="43">
        <v>5.1617383302827369</v>
      </c>
      <c r="AD929" s="25">
        <f t="shared" si="38"/>
        <v>6.1710590659690858</v>
      </c>
      <c r="AE929" s="43">
        <v>7.1633847834235747</v>
      </c>
      <c r="AF929" s="43">
        <v>20.386912467292628</v>
      </c>
      <c r="AG929" s="25">
        <f t="shared" si="37"/>
        <v>26.02373316844486</v>
      </c>
      <c r="AH929" s="43">
        <v>13.661231319513972</v>
      </c>
      <c r="AI929" s="43"/>
      <c r="AJ929" s="43"/>
    </row>
    <row r="930" spans="27:36" ht="13.5" x14ac:dyDescent="0.25">
      <c r="AA930" s="26"/>
      <c r="AB930" s="26">
        <v>41236</v>
      </c>
      <c r="AC930" s="43">
        <v>5.2272877918235574</v>
      </c>
      <c r="AD930" s="25">
        <f t="shared" si="38"/>
        <v>6.1710590659690858</v>
      </c>
      <c r="AE930" s="43">
        <v>7.3122029614651245</v>
      </c>
      <c r="AF930" s="43">
        <v>20.633245726500704</v>
      </c>
      <c r="AG930" s="25">
        <f t="shared" si="37"/>
        <v>26.02373316844486</v>
      </c>
      <c r="AH930" s="43">
        <v>13.937367413965493</v>
      </c>
      <c r="AI930" s="43"/>
      <c r="AJ930" s="43"/>
    </row>
    <row r="931" spans="27:36" ht="13.5" x14ac:dyDescent="0.25">
      <c r="AA931" s="26"/>
      <c r="AB931" s="26">
        <v>41243</v>
      </c>
      <c r="AC931" s="43">
        <v>5.2585017927783495</v>
      </c>
      <c r="AD931" s="25">
        <f t="shared" si="38"/>
        <v>6.1710590659690858</v>
      </c>
      <c r="AE931" s="43">
        <v>7.5122413103231525</v>
      </c>
      <c r="AF931" s="43">
        <v>20.750547171964598</v>
      </c>
      <c r="AG931" s="25">
        <f t="shared" si="37"/>
        <v>26.02373316844486</v>
      </c>
      <c r="AH931" s="43">
        <v>14.23790256613546</v>
      </c>
      <c r="AI931" s="43"/>
      <c r="AJ931" s="43"/>
    </row>
    <row r="932" spans="27:36" ht="13.5" x14ac:dyDescent="0.25">
      <c r="AA932" s="26"/>
      <c r="AB932" s="26">
        <v>41250</v>
      </c>
      <c r="AC932" s="43">
        <v>5.1617383302827369</v>
      </c>
      <c r="AD932" s="25">
        <f t="shared" si="38"/>
        <v>6.1710590659690858</v>
      </c>
      <c r="AE932" s="43">
        <v>7.5200322210011574</v>
      </c>
      <c r="AF932" s="43">
        <v>20.386912467292628</v>
      </c>
      <c r="AG932" s="25">
        <f t="shared" si="37"/>
        <v>26.02373316844486</v>
      </c>
      <c r="AH932" s="43">
        <v>14.314865931979897</v>
      </c>
      <c r="AI932" s="43"/>
      <c r="AJ932" s="43"/>
    </row>
    <row r="933" spans="27:36" ht="13.5" x14ac:dyDescent="0.25">
      <c r="AA933" s="26"/>
      <c r="AB933" s="26">
        <v>41257</v>
      </c>
      <c r="AC933" s="43">
        <v>5.2555053582324787</v>
      </c>
      <c r="AD933" s="25">
        <f t="shared" si="38"/>
        <v>6.1710590659690858</v>
      </c>
      <c r="AE933" s="43">
        <v>7.5703320215832788</v>
      </c>
      <c r="AF933" s="43">
        <v>20.739286644870436</v>
      </c>
      <c r="AG933" s="25">
        <f t="shared" si="37"/>
        <v>26.02373316844486</v>
      </c>
      <c r="AH933" s="43">
        <v>13.572097500472916</v>
      </c>
      <c r="AI933" s="43"/>
      <c r="AJ933" s="43"/>
    </row>
    <row r="934" spans="27:36" ht="13.5" x14ac:dyDescent="0.25">
      <c r="AA934" s="26"/>
      <c r="AB934" s="26">
        <v>41264</v>
      </c>
      <c r="AC934" s="43">
        <v>5.2928366580068271</v>
      </c>
      <c r="AD934" s="25">
        <f t="shared" si="38"/>
        <v>6.1710590659690858</v>
      </c>
      <c r="AE934" s="43">
        <v>7.6342063949030496</v>
      </c>
      <c r="AF934" s="43">
        <v>20.8795767483698</v>
      </c>
      <c r="AG934" s="25">
        <f t="shared" ref="AG934:AG997" si="39">$Z$69</f>
        <v>26.02373316844486</v>
      </c>
      <c r="AH934" s="43">
        <v>14.517053992883392</v>
      </c>
      <c r="AI934" s="43"/>
      <c r="AJ934" s="43"/>
    </row>
    <row r="935" spans="27:36" ht="13.5" x14ac:dyDescent="0.25">
      <c r="AA935" s="26"/>
      <c r="AB935" s="26">
        <v>41271</v>
      </c>
      <c r="AC935" s="43">
        <v>5.0805827613008452</v>
      </c>
      <c r="AD935" s="25">
        <f t="shared" si="38"/>
        <v>6.1710590659690858</v>
      </c>
      <c r="AE935" s="43">
        <v>7.5193738487309423</v>
      </c>
      <c r="AF935" s="43">
        <v>21.161101112418738</v>
      </c>
      <c r="AG935" s="25">
        <f t="shared" si="39"/>
        <v>26.02373316844486</v>
      </c>
      <c r="AH935" s="43">
        <v>14.229615446844507</v>
      </c>
      <c r="AI935" s="43"/>
      <c r="AJ935" s="43"/>
    </row>
    <row r="936" spans="27:36" ht="13.5" x14ac:dyDescent="0.25">
      <c r="AA936" s="26"/>
      <c r="AB936" s="26">
        <v>41278</v>
      </c>
      <c r="AC936" s="43">
        <v>5.3677504984413495</v>
      </c>
      <c r="AD936" s="25">
        <f t="shared" si="38"/>
        <v>6.1710590659690858</v>
      </c>
      <c r="AE936" s="43">
        <v>7.8321065842444471</v>
      </c>
      <c r="AF936" s="43">
        <v>21.161101112418738</v>
      </c>
      <c r="AG936" s="25">
        <f t="shared" si="39"/>
        <v>26.02373316844486</v>
      </c>
      <c r="AH936" s="43">
        <v>14.463919546750112</v>
      </c>
      <c r="AI936" s="43"/>
      <c r="AJ936" s="43"/>
    </row>
    <row r="937" spans="27:36" ht="13.5" x14ac:dyDescent="0.25">
      <c r="AA937" s="26"/>
      <c r="AB937" s="26">
        <v>41285</v>
      </c>
      <c r="AC937" s="43">
        <v>5.5082126097015927</v>
      </c>
      <c r="AD937" s="25">
        <f t="shared" si="38"/>
        <v>6.1710590659690858</v>
      </c>
      <c r="AE937" s="43">
        <v>7.8912540036319427</v>
      </c>
      <c r="AF937" s="43">
        <v>21.688954260997786</v>
      </c>
      <c r="AG937" s="25">
        <f t="shared" si="39"/>
        <v>26.02373316844486</v>
      </c>
      <c r="AH937" s="43">
        <v>14.646792990535495</v>
      </c>
      <c r="AI937" s="43"/>
      <c r="AJ937" s="43"/>
    </row>
    <row r="938" spans="27:36" ht="13.5" x14ac:dyDescent="0.25">
      <c r="AA938" s="26"/>
      <c r="AB938" s="26">
        <v>41292</v>
      </c>
      <c r="AC938" s="43">
        <v>5.7439116819079103</v>
      </c>
      <c r="AD938" s="25">
        <f t="shared" si="38"/>
        <v>6.1710590659690858</v>
      </c>
      <c r="AE938" s="43">
        <v>7.9808109825615769</v>
      </c>
      <c r="AF938" s="43">
        <v>21.216919800795395</v>
      </c>
      <c r="AG938" s="25">
        <f t="shared" si="39"/>
        <v>26.02373316844486</v>
      </c>
      <c r="AH938" s="43">
        <v>14.760861619374307</v>
      </c>
      <c r="AI938" s="43"/>
      <c r="AJ938" s="43"/>
    </row>
    <row r="939" spans="27:36" ht="13.5" x14ac:dyDescent="0.25">
      <c r="AA939" s="26"/>
      <c r="AB939" s="26">
        <v>41299</v>
      </c>
      <c r="AC939" s="43">
        <v>5.7829696614040209</v>
      </c>
      <c r="AD939" s="25">
        <f t="shared" si="38"/>
        <v>6.1710590659690858</v>
      </c>
      <c r="AE939" s="43">
        <v>7.9725254328271582</v>
      </c>
      <c r="AF939" s="43">
        <v>21.355367232363896</v>
      </c>
      <c r="AG939" s="25">
        <f t="shared" si="39"/>
        <v>26.02373316844486</v>
      </c>
      <c r="AH939" s="43">
        <v>14.834276659987292</v>
      </c>
      <c r="AI939" s="43"/>
      <c r="AJ939" s="43"/>
    </row>
    <row r="940" spans="27:36" ht="13.5" x14ac:dyDescent="0.25">
      <c r="AA940" s="26"/>
      <c r="AB940" s="26">
        <v>41306</v>
      </c>
      <c r="AC940" s="43">
        <v>5.770785579597816</v>
      </c>
      <c r="AD940" s="25">
        <f t="shared" si="38"/>
        <v>6.1710590659690858</v>
      </c>
      <c r="AE940" s="43">
        <v>8.0507409161503105</v>
      </c>
      <c r="AF940" s="43">
        <v>21.698676222412328</v>
      </c>
      <c r="AG940" s="25">
        <f t="shared" si="39"/>
        <v>26.02373316844486</v>
      </c>
      <c r="AH940" s="43">
        <v>14.990723974905908</v>
      </c>
      <c r="AI940" s="43"/>
      <c r="AJ940" s="43"/>
    </row>
    <row r="941" spans="27:36" ht="13.5" x14ac:dyDescent="0.25">
      <c r="AA941" s="26"/>
      <c r="AB941" s="26">
        <v>41313</v>
      </c>
      <c r="AC941" s="43">
        <v>5.5889529628474008</v>
      </c>
      <c r="AD941" s="25">
        <f t="shared" si="38"/>
        <v>6.1710590659690858</v>
      </c>
      <c r="AE941" s="43">
        <v>7.7356323565454028</v>
      </c>
      <c r="AF941" s="43">
        <v>21.046531093172007</v>
      </c>
      <c r="AG941" s="25">
        <f t="shared" si="39"/>
        <v>26.02373316844486</v>
      </c>
      <c r="AH941" s="43">
        <v>14.457044118134181</v>
      </c>
      <c r="AI941" s="43"/>
      <c r="AJ941" s="43"/>
    </row>
    <row r="942" spans="27:36" ht="13.5" x14ac:dyDescent="0.25">
      <c r="AA942" s="26"/>
      <c r="AB942" s="26">
        <v>41320</v>
      </c>
      <c r="AC942" s="43">
        <v>5.6418497470140467</v>
      </c>
      <c r="AD942" s="25">
        <f t="shared" si="38"/>
        <v>6.1710590659690858</v>
      </c>
      <c r="AE942" s="43">
        <v>7.8785997101876371</v>
      </c>
      <c r="AF942" s="43">
        <v>21.236246122099427</v>
      </c>
      <c r="AG942" s="25">
        <f t="shared" si="39"/>
        <v>26.02373316844486</v>
      </c>
      <c r="AH942" s="43">
        <v>14.666862137676652</v>
      </c>
      <c r="AI942" s="43"/>
      <c r="AJ942" s="43"/>
    </row>
    <row r="943" spans="27:36" ht="13.5" x14ac:dyDescent="0.25">
      <c r="AA943" s="26"/>
      <c r="AB943" s="26">
        <v>41327</v>
      </c>
      <c r="AC943" s="43">
        <v>5.7013587868463729</v>
      </c>
      <c r="AD943" s="25">
        <f t="shared" si="38"/>
        <v>6.1710590659690858</v>
      </c>
      <c r="AE943" s="43">
        <v>7.7711031742085162</v>
      </c>
      <c r="AF943" s="43">
        <v>21.449676095038164</v>
      </c>
      <c r="AG943" s="25">
        <f t="shared" si="39"/>
        <v>26.02373316844486</v>
      </c>
      <c r="AH943" s="43">
        <v>14.509263509001521</v>
      </c>
      <c r="AI943" s="43"/>
      <c r="AJ943" s="43"/>
    </row>
    <row r="944" spans="27:36" ht="13.5" x14ac:dyDescent="0.25">
      <c r="AA944" s="26"/>
      <c r="AB944" s="26">
        <v>41334</v>
      </c>
      <c r="AC944" s="43">
        <v>5.7363914502664635</v>
      </c>
      <c r="AD944" s="25">
        <f t="shared" si="38"/>
        <v>6.1710590659690858</v>
      </c>
      <c r="AE944" s="43">
        <v>7.6225183444611186</v>
      </c>
      <c r="AF944" s="43">
        <v>21.578840734507203</v>
      </c>
      <c r="AG944" s="25">
        <f t="shared" si="39"/>
        <v>26.02373316844486</v>
      </c>
      <c r="AH944" s="43">
        <v>14.497144508801869</v>
      </c>
      <c r="AI944" s="43"/>
      <c r="AJ944" s="43"/>
    </row>
    <row r="945" spans="27:36" ht="13.5" x14ac:dyDescent="0.25">
      <c r="AA945" s="26"/>
      <c r="AB945" s="26">
        <v>41341</v>
      </c>
      <c r="AC945" s="43">
        <v>6.0286578753447628</v>
      </c>
      <c r="AD945" s="25">
        <f t="shared" si="38"/>
        <v>6.1710590659690858</v>
      </c>
      <c r="AE945" s="43">
        <v>7.3459780367652954</v>
      </c>
      <c r="AF945" s="43">
        <v>22.62353868461966</v>
      </c>
      <c r="AG945" s="25">
        <f t="shared" si="39"/>
        <v>26.02373316844486</v>
      </c>
      <c r="AH945" s="43">
        <v>14.183243119982869</v>
      </c>
      <c r="AI945" s="43"/>
      <c r="AJ945" s="43"/>
    </row>
    <row r="946" spans="27:36" ht="13.5" x14ac:dyDescent="0.25">
      <c r="AA946" s="26"/>
      <c r="AB946" s="26">
        <v>41348</v>
      </c>
      <c r="AC946" s="43">
        <v>6.1626494876362186</v>
      </c>
      <c r="AD946" s="25">
        <f t="shared" si="38"/>
        <v>6.1710590659690858</v>
      </c>
      <c r="AE946" s="43">
        <v>7.4119378823711912</v>
      </c>
      <c r="AF946" s="43">
        <v>23.099602597058745</v>
      </c>
      <c r="AG946" s="25">
        <f t="shared" si="39"/>
        <v>26.02373316844486</v>
      </c>
      <c r="AH946" s="43">
        <v>14.137886701598029</v>
      </c>
      <c r="AI946" s="43"/>
      <c r="AJ946" s="43"/>
    </row>
    <row r="947" spans="27:36" ht="13.5" x14ac:dyDescent="0.25">
      <c r="AA947" s="26"/>
      <c r="AB947" s="26">
        <v>41355</v>
      </c>
      <c r="AC947" s="43">
        <v>6.3458605894675415</v>
      </c>
      <c r="AD947" s="25">
        <f t="shared" si="38"/>
        <v>6.1710590659690858</v>
      </c>
      <c r="AE947" s="43">
        <v>7.2525805735188982</v>
      </c>
      <c r="AF947" s="43">
        <v>23.753238706561522</v>
      </c>
      <c r="AG947" s="25">
        <f t="shared" si="39"/>
        <v>26.02373316844486</v>
      </c>
      <c r="AH947" s="43">
        <v>13.951127778983938</v>
      </c>
      <c r="AI947" s="43"/>
      <c r="AJ947" s="43"/>
    </row>
    <row r="948" spans="27:36" ht="13.5" x14ac:dyDescent="0.25">
      <c r="AA948" s="26"/>
      <c r="AB948" s="26">
        <v>41362</v>
      </c>
      <c r="AC948" s="43">
        <v>6.4113071918367508</v>
      </c>
      <c r="AD948" s="25">
        <f t="shared" si="38"/>
        <v>6.1710590659690858</v>
      </c>
      <c r="AE948" s="43">
        <v>7.3701297553937843</v>
      </c>
      <c r="AF948" s="43">
        <v>27.196106969092359</v>
      </c>
      <c r="AG948" s="25">
        <f t="shared" si="39"/>
        <v>26.02373316844486</v>
      </c>
      <c r="AH948" s="43">
        <v>14.596873803935589</v>
      </c>
      <c r="AI948" s="43"/>
      <c r="AJ948" s="43"/>
    </row>
    <row r="949" spans="27:36" ht="13.5" x14ac:dyDescent="0.25">
      <c r="AA949" s="26"/>
      <c r="AB949" s="26">
        <v>41369</v>
      </c>
      <c r="AC949" s="43">
        <v>6.1523708665699557</v>
      </c>
      <c r="AD949" s="25">
        <f t="shared" ref="AD949:AD1012" si="40">$Z$100</f>
        <v>6.1710590659690858</v>
      </c>
      <c r="AE949" s="43">
        <v>7.2041562575107045</v>
      </c>
      <c r="AF949" s="43">
        <v>26.142925697834425</v>
      </c>
      <c r="AG949" s="25">
        <f t="shared" si="39"/>
        <v>26.02373316844486</v>
      </c>
      <c r="AH949" s="43">
        <v>14.17788614843834</v>
      </c>
      <c r="AI949" s="43"/>
      <c r="AJ949" s="43"/>
    </row>
    <row r="950" spans="27:36" ht="13.5" x14ac:dyDescent="0.25">
      <c r="AA950" s="26"/>
      <c r="AB950" s="26">
        <v>41376</v>
      </c>
      <c r="AC950" s="43">
        <v>6.3293652138766276</v>
      </c>
      <c r="AD950" s="25">
        <f t="shared" si="40"/>
        <v>6.1710590659690858</v>
      </c>
      <c r="AE950" s="43">
        <v>7.3187082934698084</v>
      </c>
      <c r="AF950" s="43">
        <v>26.862821338238856</v>
      </c>
      <c r="AG950" s="25">
        <f t="shared" si="39"/>
        <v>26.02373316844486</v>
      </c>
      <c r="AH950" s="43">
        <v>14.376955647784625</v>
      </c>
      <c r="AI950" s="43"/>
      <c r="AJ950" s="43"/>
    </row>
    <row r="951" spans="27:36" ht="13.5" x14ac:dyDescent="0.25">
      <c r="AA951" s="26"/>
      <c r="AB951" s="26">
        <v>41383</v>
      </c>
      <c r="AC951" s="43">
        <v>5.8901561619969556</v>
      </c>
      <c r="AD951" s="25">
        <f t="shared" si="40"/>
        <v>6.1710590659690858</v>
      </c>
      <c r="AE951" s="43">
        <v>7.3398758759798985</v>
      </c>
      <c r="AF951" s="43">
        <v>25.076410153442673</v>
      </c>
      <c r="AG951" s="25">
        <f t="shared" si="39"/>
        <v>26.02373316844486</v>
      </c>
      <c r="AH951" s="43">
        <v>14.358001064990844</v>
      </c>
      <c r="AI951" s="43"/>
      <c r="AJ951" s="43"/>
    </row>
    <row r="952" spans="27:36" ht="13.5" x14ac:dyDescent="0.25">
      <c r="AA952" s="26"/>
      <c r="AB952" s="26">
        <v>41390</v>
      </c>
      <c r="AC952" s="43">
        <v>6.073706642748359</v>
      </c>
      <c r="AD952" s="25">
        <f t="shared" si="40"/>
        <v>6.1710590659690858</v>
      </c>
      <c r="AE952" s="43">
        <v>7.5043729473465692</v>
      </c>
      <c r="AF952" s="43">
        <v>25.822971797347169</v>
      </c>
      <c r="AG952" s="25">
        <f t="shared" si="39"/>
        <v>26.02373316844486</v>
      </c>
      <c r="AH952" s="43">
        <v>14.965054149622814</v>
      </c>
      <c r="AI952" s="43"/>
      <c r="AJ952" s="43"/>
    </row>
    <row r="953" spans="27:36" ht="13.5" x14ac:dyDescent="0.25">
      <c r="AA953" s="26"/>
      <c r="AB953" s="26">
        <v>41397</v>
      </c>
      <c r="AC953" s="43">
        <v>6.3064215600746225</v>
      </c>
      <c r="AD953" s="25">
        <f t="shared" si="40"/>
        <v>6.1710590659690858</v>
      </c>
      <c r="AE953" s="43">
        <v>7.5762006795535131</v>
      </c>
      <c r="AF953" s="43">
        <v>26.769501768442687</v>
      </c>
      <c r="AG953" s="25">
        <f t="shared" si="39"/>
        <v>26.02373316844486</v>
      </c>
      <c r="AH953" s="43">
        <v>15.167056064655466</v>
      </c>
      <c r="AI953" s="43"/>
      <c r="AJ953" s="43"/>
    </row>
    <row r="954" spans="27:36" ht="13.5" x14ac:dyDescent="0.25">
      <c r="AA954" s="26"/>
      <c r="AB954" s="26">
        <v>41404</v>
      </c>
      <c r="AC954" s="43">
        <v>6.3785302756191662</v>
      </c>
      <c r="AD954" s="25">
        <f t="shared" si="40"/>
        <v>6.1710590659690858</v>
      </c>
      <c r="AE954" s="43">
        <v>7.6174488592319172</v>
      </c>
      <c r="AF954" s="43">
        <v>27.062792208197443</v>
      </c>
      <c r="AG954" s="25">
        <f t="shared" si="39"/>
        <v>26.02373316844486</v>
      </c>
      <c r="AH954" s="43">
        <v>15.346626197431485</v>
      </c>
      <c r="AI954" s="43"/>
      <c r="AJ954" s="43"/>
    </row>
    <row r="955" spans="27:36" ht="13.5" x14ac:dyDescent="0.25">
      <c r="AA955" s="26"/>
      <c r="AB955" s="26">
        <v>41411</v>
      </c>
      <c r="AC955" s="43">
        <v>7.1515415663606063</v>
      </c>
      <c r="AD955" s="25">
        <f t="shared" si="40"/>
        <v>6.1710590659690858</v>
      </c>
      <c r="AE955" s="43">
        <v>7.7738860305460022</v>
      </c>
      <c r="AF955" s="43">
        <v>28.97852427337801</v>
      </c>
      <c r="AG955" s="25">
        <f t="shared" si="39"/>
        <v>26.02373316844486</v>
      </c>
      <c r="AH955" s="43">
        <v>15.868854437163208</v>
      </c>
      <c r="AI955" s="43"/>
      <c r="AJ955" s="43"/>
    </row>
    <row r="956" spans="27:36" ht="13.5" x14ac:dyDescent="0.25">
      <c r="AA956" s="26"/>
      <c r="AB956" s="26">
        <v>41418</v>
      </c>
      <c r="AC956" s="43">
        <v>7.0905384159312659</v>
      </c>
      <c r="AD956" s="25">
        <f t="shared" si="40"/>
        <v>6.1710590659690858</v>
      </c>
      <c r="AE956" s="43">
        <v>7.8994165744753673</v>
      </c>
      <c r="AF956" s="43">
        <v>28.737482528467101</v>
      </c>
      <c r="AG956" s="25">
        <f t="shared" si="39"/>
        <v>26.02373316844486</v>
      </c>
      <c r="AH956" s="43">
        <v>15.141370101759749</v>
      </c>
      <c r="AI956" s="43"/>
      <c r="AJ956" s="43"/>
    </row>
    <row r="957" spans="27:36" ht="13.5" x14ac:dyDescent="0.25">
      <c r="AA957" s="26"/>
      <c r="AB957" s="26">
        <v>41425</v>
      </c>
      <c r="AC957" s="43">
        <v>7.2701587314830416</v>
      </c>
      <c r="AD957" s="25">
        <f t="shared" si="40"/>
        <v>6.1710590659690858</v>
      </c>
      <c r="AE957" s="43">
        <v>8.0232760492425399</v>
      </c>
      <c r="AF957" s="43">
        <v>29.447216271353007</v>
      </c>
      <c r="AG957" s="25">
        <f t="shared" si="39"/>
        <v>26.02373316844486</v>
      </c>
      <c r="AH957" s="43">
        <v>15.911037783331023</v>
      </c>
      <c r="AI957" s="43"/>
      <c r="AJ957" s="43"/>
    </row>
    <row r="958" spans="27:36" ht="13.5" x14ac:dyDescent="0.25">
      <c r="AA958" s="26"/>
      <c r="AB958" s="26">
        <v>41432</v>
      </c>
      <c r="AC958" s="43">
        <v>7.4667240793045027</v>
      </c>
      <c r="AD958" s="25">
        <f t="shared" si="40"/>
        <v>6.1710590659690858</v>
      </c>
      <c r="AE958" s="43">
        <v>7.8526743085924826</v>
      </c>
      <c r="AF958" s="43">
        <v>30.223904919307092</v>
      </c>
      <c r="AG958" s="25">
        <f t="shared" si="39"/>
        <v>26.02373316844486</v>
      </c>
      <c r="AH958" s="43">
        <v>15.807458191908577</v>
      </c>
      <c r="AI958" s="43"/>
      <c r="AJ958" s="43"/>
    </row>
    <row r="959" spans="27:36" ht="13.5" x14ac:dyDescent="0.25">
      <c r="AA959" s="26"/>
      <c r="AB959" s="26">
        <v>41439</v>
      </c>
      <c r="AC959" s="43">
        <v>7.4836697579857354</v>
      </c>
      <c r="AD959" s="25">
        <f t="shared" si="40"/>
        <v>6.1710590659690858</v>
      </c>
      <c r="AE959" s="43">
        <v>7.8889795244426244</v>
      </c>
      <c r="AF959" s="43">
        <v>30.290862378541181</v>
      </c>
      <c r="AG959" s="25">
        <f t="shared" si="39"/>
        <v>26.02373316844486</v>
      </c>
      <c r="AH959" s="43">
        <v>15.856033578460563</v>
      </c>
      <c r="AI959" s="43"/>
      <c r="AJ959" s="43"/>
    </row>
    <row r="960" spans="27:36" ht="13.5" x14ac:dyDescent="0.25">
      <c r="AA960" s="26"/>
      <c r="AB960" s="26">
        <v>41446</v>
      </c>
      <c r="AC960" s="43">
        <v>7.2803261386917812</v>
      </c>
      <c r="AD960" s="25">
        <f t="shared" si="40"/>
        <v>6.1710590659690858</v>
      </c>
      <c r="AE960" s="43">
        <v>7.8010957161997219</v>
      </c>
      <c r="AF960" s="43">
        <v>29.48739074689346</v>
      </c>
      <c r="AG960" s="25">
        <f t="shared" si="39"/>
        <v>26.02373316844486</v>
      </c>
      <c r="AH960" s="43">
        <v>15.594522526706177</v>
      </c>
      <c r="AI960" s="43"/>
      <c r="AJ960" s="43"/>
    </row>
    <row r="961" spans="27:36" ht="13.5" x14ac:dyDescent="0.25">
      <c r="AA961" s="26"/>
      <c r="AB961" s="26">
        <v>41453</v>
      </c>
      <c r="AC961" s="43">
        <v>7.1854322773115236</v>
      </c>
      <c r="AD961" s="25">
        <f t="shared" si="40"/>
        <v>6.1710590659690858</v>
      </c>
      <c r="AE961" s="43">
        <v>7.7625919119810343</v>
      </c>
      <c r="AF961" s="43">
        <v>29.112436637680283</v>
      </c>
      <c r="AG961" s="25">
        <f t="shared" si="39"/>
        <v>26.02373316844486</v>
      </c>
      <c r="AH961" s="43">
        <v>15.491867547299085</v>
      </c>
      <c r="AI961" s="43"/>
      <c r="AJ961" s="43"/>
    </row>
    <row r="962" spans="27:36" ht="13.5" x14ac:dyDescent="0.25">
      <c r="AA962" s="26"/>
      <c r="AB962" s="26">
        <v>41460</v>
      </c>
      <c r="AC962" s="43">
        <v>8.1682590164188298</v>
      </c>
      <c r="AD962" s="25">
        <f t="shared" si="40"/>
        <v>6.1710590659690858</v>
      </c>
      <c r="AE962" s="43">
        <v>8.1339373038732337</v>
      </c>
      <c r="AF962" s="43">
        <v>32.995879877450712</v>
      </c>
      <c r="AG962" s="25">
        <f t="shared" si="39"/>
        <v>26.02373316844486</v>
      </c>
      <c r="AH962" s="43">
        <v>16.455003803621132</v>
      </c>
      <c r="AI962" s="43"/>
      <c r="AJ962" s="43"/>
    </row>
    <row r="963" spans="27:36" ht="13.5" x14ac:dyDescent="0.25">
      <c r="AA963" s="26"/>
      <c r="AB963" s="26">
        <v>41467</v>
      </c>
      <c r="AC963" s="43">
        <v>8.6088369659576554</v>
      </c>
      <c r="AD963" s="25">
        <f t="shared" si="40"/>
        <v>6.1710590659690858</v>
      </c>
      <c r="AE963" s="43">
        <v>8.3505676025257287</v>
      </c>
      <c r="AF963" s="43">
        <v>34.736735505048429</v>
      </c>
      <c r="AG963" s="25">
        <f t="shared" si="39"/>
        <v>26.02373316844486</v>
      </c>
      <c r="AH963" s="43">
        <v>16.977782283831921</v>
      </c>
      <c r="AI963" s="43"/>
      <c r="AJ963" s="43"/>
    </row>
    <row r="964" spans="27:36" ht="13.5" x14ac:dyDescent="0.25">
      <c r="AA964" s="26"/>
      <c r="AB964" s="26">
        <v>41474</v>
      </c>
      <c r="AC964" s="43">
        <v>8.6088369659576554</v>
      </c>
      <c r="AD964" s="25">
        <f t="shared" si="40"/>
        <v>6.1710590659690858</v>
      </c>
      <c r="AE964" s="43">
        <v>8.5497766976139857</v>
      </c>
      <c r="AF964" s="43">
        <v>34.736735505048429</v>
      </c>
      <c r="AG964" s="25">
        <f t="shared" si="39"/>
        <v>26.02373316844486</v>
      </c>
      <c r="AH964" s="43">
        <v>17.265924058602028</v>
      </c>
      <c r="AI964" s="43"/>
      <c r="AJ964" s="43"/>
    </row>
    <row r="965" spans="27:36" ht="13.5" x14ac:dyDescent="0.25">
      <c r="AA965" s="26"/>
      <c r="AB965" s="26">
        <v>41481</v>
      </c>
      <c r="AC965" s="43">
        <v>8.5139431045773968</v>
      </c>
      <c r="AD965" s="25">
        <f t="shared" si="40"/>
        <v>6.1710590659690858</v>
      </c>
      <c r="AE965" s="43">
        <v>8.518894672888754</v>
      </c>
      <c r="AF965" s="43">
        <v>34.361781395835251</v>
      </c>
      <c r="AG965" s="25">
        <f t="shared" si="39"/>
        <v>26.02373316844486</v>
      </c>
      <c r="AH965" s="43">
        <v>17.233919670656082</v>
      </c>
      <c r="AI965" s="43"/>
      <c r="AJ965" s="43"/>
    </row>
    <row r="966" spans="27:36" ht="13.5" x14ac:dyDescent="0.25">
      <c r="AA966" s="26"/>
      <c r="AB966" s="26">
        <v>41488</v>
      </c>
      <c r="AC966" s="43">
        <v>8.994311630057835</v>
      </c>
      <c r="AD966" s="25">
        <f t="shared" si="40"/>
        <v>6.1710590659690858</v>
      </c>
      <c r="AE966" s="43">
        <v>8.7078542114710871</v>
      </c>
      <c r="AF966" s="43">
        <v>34.072581289822459</v>
      </c>
      <c r="AG966" s="25">
        <f t="shared" si="39"/>
        <v>26.02373316844486</v>
      </c>
      <c r="AH966" s="43">
        <v>17.454341974203857</v>
      </c>
      <c r="AI966" s="43"/>
      <c r="AJ966" s="43"/>
    </row>
    <row r="967" spans="27:36" ht="13.5" x14ac:dyDescent="0.25">
      <c r="AA967" s="26"/>
      <c r="AB967" s="26">
        <v>41495</v>
      </c>
      <c r="AC967" s="43">
        <v>9.0547393028122194</v>
      </c>
      <c r="AD967" s="25">
        <f t="shared" si="40"/>
        <v>6.1710590659690858</v>
      </c>
      <c r="AE967" s="43">
        <v>8.4606225227395999</v>
      </c>
      <c r="AF967" s="43">
        <v>34.298667988849076</v>
      </c>
      <c r="AG967" s="25">
        <f t="shared" si="39"/>
        <v>26.02373316844486</v>
      </c>
      <c r="AH967" s="43">
        <v>17.059057371554484</v>
      </c>
      <c r="AI967" s="43"/>
      <c r="AJ967" s="43"/>
    </row>
    <row r="968" spans="27:36" ht="13.5" x14ac:dyDescent="0.25">
      <c r="AA968" s="26"/>
      <c r="AB968" s="26">
        <v>41502</v>
      </c>
      <c r="AC968" s="43">
        <v>8.7329298539632134</v>
      </c>
      <c r="AD968" s="25">
        <f t="shared" si="40"/>
        <v>6.1710590659690858</v>
      </c>
      <c r="AE968" s="43">
        <v>8.3625655032686979</v>
      </c>
      <c r="AF968" s="43">
        <v>33.781471611754839</v>
      </c>
      <c r="AG968" s="25">
        <f t="shared" si="39"/>
        <v>26.02373316844486</v>
      </c>
      <c r="AH968" s="43">
        <v>16.852496323101832</v>
      </c>
      <c r="AI968" s="43"/>
      <c r="AJ968" s="43"/>
    </row>
    <row r="969" spans="27:36" ht="13.5" x14ac:dyDescent="0.25">
      <c r="AA969" s="26"/>
      <c r="AB969" s="26">
        <v>41509</v>
      </c>
      <c r="AC969" s="43">
        <v>8.9000940210101689</v>
      </c>
      <c r="AD969" s="25">
        <f t="shared" si="40"/>
        <v>6.1710590659690858</v>
      </c>
      <c r="AE969" s="43">
        <v>8.3939499423276462</v>
      </c>
      <c r="AF969" s="43">
        <v>34.419882063136164</v>
      </c>
      <c r="AG969" s="25">
        <f t="shared" si="39"/>
        <v>26.02373316844486</v>
      </c>
      <c r="AH969" s="43">
        <v>16.894060252001864</v>
      </c>
      <c r="AI969" s="43"/>
      <c r="AJ969" s="43"/>
    </row>
    <row r="970" spans="27:36" ht="13.5" x14ac:dyDescent="0.25">
      <c r="AA970" s="26"/>
      <c r="AB970" s="26">
        <v>41516</v>
      </c>
      <c r="AC970" s="43">
        <v>8.7364859465860665</v>
      </c>
      <c r="AD970" s="25">
        <f t="shared" si="40"/>
        <v>6.1710590659690858</v>
      </c>
      <c r="AE970" s="43">
        <v>8.2523198991155198</v>
      </c>
      <c r="AF970" s="43">
        <v>33.795052552793898</v>
      </c>
      <c r="AG970" s="25">
        <f t="shared" si="39"/>
        <v>26.02373316844486</v>
      </c>
      <c r="AH970" s="43">
        <v>16.592264001335899</v>
      </c>
      <c r="AI970" s="43"/>
      <c r="AJ970" s="43"/>
    </row>
    <row r="971" spans="27:36" ht="13.5" x14ac:dyDescent="0.25">
      <c r="AA971" s="26"/>
      <c r="AB971" s="26">
        <v>41523</v>
      </c>
      <c r="AC971" s="43">
        <v>8.7756097492844898</v>
      </c>
      <c r="AD971" s="25">
        <f t="shared" si="40"/>
        <v>6.1710590659690858</v>
      </c>
      <c r="AE971" s="43">
        <v>8.4030981636014843</v>
      </c>
      <c r="AF971" s="43">
        <v>33.944468812161489</v>
      </c>
      <c r="AG971" s="25">
        <f t="shared" si="39"/>
        <v>26.02373316844486</v>
      </c>
      <c r="AH971" s="43">
        <v>16.8669398051677</v>
      </c>
      <c r="AI971" s="43"/>
      <c r="AJ971" s="43"/>
    </row>
    <row r="972" spans="27:36" ht="13.5" x14ac:dyDescent="0.25">
      <c r="AA972" s="26"/>
      <c r="AB972" s="26">
        <v>41530</v>
      </c>
      <c r="AC972" s="43">
        <v>9.1917424597828035</v>
      </c>
      <c r="AD972" s="25">
        <f t="shared" si="40"/>
        <v>6.1710590659690858</v>
      </c>
      <c r="AE972" s="43">
        <v>8.5428028973647745</v>
      </c>
      <c r="AF972" s="43">
        <v>35.533705765492172</v>
      </c>
      <c r="AG972" s="25">
        <f t="shared" si="39"/>
        <v>26.02373316844486</v>
      </c>
      <c r="AH972" s="43">
        <v>17.23501320955285</v>
      </c>
      <c r="AI972" s="43"/>
      <c r="AJ972" s="43"/>
    </row>
    <row r="973" spans="27:36" ht="13.5" x14ac:dyDescent="0.25">
      <c r="AA973" s="26"/>
      <c r="AB973" s="26">
        <v>41537</v>
      </c>
      <c r="AC973" s="43">
        <v>9.2664332941720939</v>
      </c>
      <c r="AD973" s="25">
        <f t="shared" si="40"/>
        <v>6.1710590659690858</v>
      </c>
      <c r="AE973" s="43">
        <v>8.8034387964699174</v>
      </c>
      <c r="AF973" s="43">
        <v>35.818954752394497</v>
      </c>
      <c r="AG973" s="25">
        <f t="shared" si="39"/>
        <v>26.02373316844486</v>
      </c>
      <c r="AH973" s="43">
        <v>17.590185598004634</v>
      </c>
      <c r="AI973" s="43"/>
      <c r="AJ973" s="43"/>
    </row>
    <row r="974" spans="27:36" ht="13.5" x14ac:dyDescent="0.25">
      <c r="AA974" s="26"/>
      <c r="AB974" s="26">
        <v>41544</v>
      </c>
      <c r="AC974" s="43">
        <v>9.7963799633734165</v>
      </c>
      <c r="AD974" s="25">
        <f t="shared" si="40"/>
        <v>6.1710590659690858</v>
      </c>
      <c r="AE974" s="43">
        <v>8.8837174141568997</v>
      </c>
      <c r="AF974" s="43">
        <v>37.842854361201304</v>
      </c>
      <c r="AG974" s="25">
        <f t="shared" si="39"/>
        <v>26.02373316844486</v>
      </c>
      <c r="AH974" s="43">
        <v>17.897681310815805</v>
      </c>
      <c r="AI974" s="43"/>
      <c r="AJ974" s="43"/>
    </row>
    <row r="975" spans="27:36" ht="13.5" x14ac:dyDescent="0.25">
      <c r="AA975" s="26"/>
      <c r="AB975" s="26">
        <v>41551</v>
      </c>
      <c r="AC975" s="43">
        <v>10.525501060305004</v>
      </c>
      <c r="AD975" s="25">
        <f t="shared" si="40"/>
        <v>6.1710590659690858</v>
      </c>
      <c r="AE975" s="43">
        <v>8.9085267976096567</v>
      </c>
      <c r="AF975" s="43">
        <v>40.627413617091321</v>
      </c>
      <c r="AG975" s="25">
        <f t="shared" si="39"/>
        <v>26.02373316844486</v>
      </c>
      <c r="AH975" s="43">
        <v>18.220470735538647</v>
      </c>
      <c r="AI975" s="43"/>
      <c r="AJ975" s="43"/>
    </row>
    <row r="976" spans="27:36" ht="13.5" x14ac:dyDescent="0.25">
      <c r="AA976" s="26"/>
      <c r="AB976" s="26">
        <v>41558</v>
      </c>
      <c r="AC976" s="43">
        <v>10.53261460232012</v>
      </c>
      <c r="AD976" s="25">
        <f t="shared" si="40"/>
        <v>6.1710590659690858</v>
      </c>
      <c r="AE976" s="43">
        <v>9.0727636509096801</v>
      </c>
      <c r="AF976" s="43">
        <v>40.654580680757029</v>
      </c>
      <c r="AG976" s="25">
        <f t="shared" si="39"/>
        <v>26.02373316844486</v>
      </c>
      <c r="AH976" s="43">
        <v>18.563730833710991</v>
      </c>
      <c r="AI976" s="43"/>
      <c r="AJ976" s="43"/>
    </row>
    <row r="977" spans="27:36" ht="13.5" x14ac:dyDescent="0.25">
      <c r="AA977" s="26"/>
      <c r="AB977" s="26">
        <v>41565</v>
      </c>
      <c r="AC977" s="43">
        <v>11.43601408669848</v>
      </c>
      <c r="AD977" s="25">
        <f t="shared" si="40"/>
        <v>6.1710590659690858</v>
      </c>
      <c r="AE977" s="43">
        <v>9.4474028114387156</v>
      </c>
      <c r="AF977" s="43">
        <v>44.10472004248787</v>
      </c>
      <c r="AG977" s="25">
        <f t="shared" si="39"/>
        <v>26.02373316844486</v>
      </c>
      <c r="AH977" s="43">
        <v>19.431614692236408</v>
      </c>
      <c r="AI977" s="43"/>
      <c r="AJ977" s="43"/>
    </row>
    <row r="978" spans="27:36" ht="13.5" x14ac:dyDescent="0.25">
      <c r="AA978" s="26"/>
      <c r="AB978" s="26">
        <v>41572</v>
      </c>
      <c r="AC978" s="43">
        <v>11.549828045401489</v>
      </c>
      <c r="AD978" s="25">
        <f t="shared" si="40"/>
        <v>6.1710590659690858</v>
      </c>
      <c r="AE978" s="43">
        <v>9.4483240105217412</v>
      </c>
      <c r="AF978" s="43">
        <v>44.539382697963994</v>
      </c>
      <c r="AG978" s="25">
        <f t="shared" si="39"/>
        <v>26.02373316844486</v>
      </c>
      <c r="AH978" s="43">
        <v>19.449613592513892</v>
      </c>
      <c r="AI978" s="43"/>
      <c r="AJ978" s="43"/>
    </row>
    <row r="979" spans="27:36" ht="13.5" x14ac:dyDescent="0.25">
      <c r="AA979" s="26"/>
      <c r="AB979" s="26">
        <v>41579</v>
      </c>
      <c r="AC979" s="43">
        <v>11.720548983456</v>
      </c>
      <c r="AD979" s="25">
        <f t="shared" si="40"/>
        <v>6.1710590659690858</v>
      </c>
      <c r="AE979" s="43">
        <v>9.4635783302779775</v>
      </c>
      <c r="AF979" s="43">
        <v>45.191376681178177</v>
      </c>
      <c r="AG979" s="25">
        <f t="shared" si="39"/>
        <v>26.02373316844486</v>
      </c>
      <c r="AH979" s="43">
        <v>19.441070615333278</v>
      </c>
      <c r="AI979" s="43"/>
      <c r="AJ979" s="43"/>
    </row>
    <row r="980" spans="27:36" ht="13.5" x14ac:dyDescent="0.25">
      <c r="AA980" s="26"/>
      <c r="AB980" s="26">
        <v>41586</v>
      </c>
      <c r="AC980" s="43">
        <v>10.699550150081411</v>
      </c>
      <c r="AD980" s="25">
        <f t="shared" si="40"/>
        <v>6.1710590659690858</v>
      </c>
      <c r="AE980" s="43">
        <v>9.3475979709161976</v>
      </c>
      <c r="AF980" s="43">
        <v>41.275822134535609</v>
      </c>
      <c r="AG980" s="25">
        <f t="shared" si="39"/>
        <v>26.02373316844486</v>
      </c>
      <c r="AH980" s="43">
        <v>19.830108959823949</v>
      </c>
      <c r="AI980" s="43"/>
      <c r="AJ980" s="43"/>
    </row>
    <row r="981" spans="27:36" ht="13.5" x14ac:dyDescent="0.25">
      <c r="AA981" s="26"/>
      <c r="AB981" s="26">
        <v>41593</v>
      </c>
      <c r="AC981" s="43">
        <v>11.408021018556271</v>
      </c>
      <c r="AD981" s="25">
        <f t="shared" si="40"/>
        <v>6.1710590659690858</v>
      </c>
      <c r="AE981" s="43">
        <v>9.596151304126316</v>
      </c>
      <c r="AF981" s="43">
        <v>43.969965586318523</v>
      </c>
      <c r="AG981" s="25">
        <f t="shared" si="39"/>
        <v>26.02373316844486</v>
      </c>
      <c r="AH981" s="43">
        <v>20.540528115918104</v>
      </c>
      <c r="AI981" s="43"/>
      <c r="AJ981" s="43"/>
    </row>
    <row r="982" spans="27:36" ht="13.5" x14ac:dyDescent="0.25">
      <c r="AA982" s="26"/>
      <c r="AB982" s="26">
        <v>41600</v>
      </c>
      <c r="AC982" s="43">
        <v>11.221581588559909</v>
      </c>
      <c r="AD982" s="25">
        <f t="shared" si="40"/>
        <v>6.1710590659690858</v>
      </c>
      <c r="AE982" s="43">
        <v>9.4184436876783675</v>
      </c>
      <c r="AF982" s="43">
        <v>43.26098150266786</v>
      </c>
      <c r="AG982" s="25">
        <f t="shared" si="39"/>
        <v>26.02373316844486</v>
      </c>
      <c r="AH982" s="43">
        <v>20.175855897040794</v>
      </c>
      <c r="AI982" s="43"/>
      <c r="AJ982" s="43"/>
    </row>
    <row r="983" spans="27:36" ht="13.5" x14ac:dyDescent="0.25">
      <c r="AA983" s="26"/>
      <c r="AB983" s="26">
        <v>41607</v>
      </c>
      <c r="AC983" s="43">
        <v>11.038623871849575</v>
      </c>
      <c r="AD983" s="25">
        <f t="shared" si="40"/>
        <v>6.1710590659690858</v>
      </c>
      <c r="AE983" s="43">
        <v>9.3892700017948396</v>
      </c>
      <c r="AF983" s="43">
        <v>42.900040306487817</v>
      </c>
      <c r="AG983" s="25">
        <f t="shared" si="39"/>
        <v>26.02373316844486</v>
      </c>
      <c r="AH983" s="43">
        <v>20.214234570546115</v>
      </c>
      <c r="AI983" s="43"/>
      <c r="AJ983" s="43"/>
    </row>
    <row r="984" spans="27:36" ht="13.5" x14ac:dyDescent="0.25">
      <c r="AA984" s="26"/>
      <c r="AB984" s="26">
        <v>41614</v>
      </c>
      <c r="AC984" s="43">
        <v>12.034178686300294</v>
      </c>
      <c r="AD984" s="25">
        <f t="shared" si="40"/>
        <v>6.1710590659690858</v>
      </c>
      <c r="AE984" s="43">
        <v>9.3575644245482348</v>
      </c>
      <c r="AF984" s="43">
        <v>46.715672768611164</v>
      </c>
      <c r="AG984" s="25">
        <f t="shared" si="39"/>
        <v>26.02373316844486</v>
      </c>
      <c r="AH984" s="43">
        <v>20.49950011272897</v>
      </c>
      <c r="AI984" s="43"/>
      <c r="AJ984" s="43"/>
    </row>
    <row r="985" spans="27:36" ht="13.5" x14ac:dyDescent="0.25">
      <c r="AA985" s="26"/>
      <c r="AB985" s="26">
        <v>41621</v>
      </c>
      <c r="AC985" s="43">
        <v>11.947004309314291</v>
      </c>
      <c r="AD985" s="25">
        <f t="shared" si="40"/>
        <v>6.1710590659690858</v>
      </c>
      <c r="AE985" s="43">
        <v>9.0455197553616458</v>
      </c>
      <c r="AF985" s="43">
        <v>45.950870298366617</v>
      </c>
      <c r="AG985" s="25">
        <f t="shared" si="39"/>
        <v>26.02373316844486</v>
      </c>
      <c r="AH985" s="43">
        <v>19.497104529709475</v>
      </c>
      <c r="AI985" s="43"/>
      <c r="AJ985" s="43"/>
    </row>
    <row r="986" spans="27:36" ht="13.5" x14ac:dyDescent="0.25">
      <c r="AA986" s="26"/>
      <c r="AB986" s="26">
        <v>41628</v>
      </c>
      <c r="AC986" s="43">
        <v>12.666697485773183</v>
      </c>
      <c r="AD986" s="25">
        <f t="shared" si="40"/>
        <v>6.1710590659690858</v>
      </c>
      <c r="AE986" s="43">
        <v>9.3789045355590996</v>
      </c>
      <c r="AF986" s="43">
        <v>48.683768273421144</v>
      </c>
      <c r="AG986" s="25">
        <f t="shared" si="39"/>
        <v>26.02373316844486</v>
      </c>
      <c r="AH986" s="43">
        <v>20.364914690190485</v>
      </c>
      <c r="AI986" s="43"/>
      <c r="AJ986" s="43"/>
    </row>
    <row r="987" spans="27:36" ht="13.5" x14ac:dyDescent="0.25">
      <c r="AA987" s="26"/>
      <c r="AB987" s="26">
        <v>41635</v>
      </c>
      <c r="AC987" s="43">
        <v>12.224838981295663</v>
      </c>
      <c r="AD987" s="25">
        <f t="shared" si="40"/>
        <v>6.1710590659690858</v>
      </c>
      <c r="AE987" s="43">
        <v>9.5488595508068972</v>
      </c>
      <c r="AF987" s="43">
        <v>47.00589462997663</v>
      </c>
      <c r="AG987" s="25">
        <f t="shared" si="39"/>
        <v>26.02373316844486</v>
      </c>
      <c r="AH987" s="43">
        <v>20.535142996508036</v>
      </c>
      <c r="AI987" s="43"/>
      <c r="AJ987" s="43"/>
    </row>
    <row r="988" spans="27:36" ht="13.5" x14ac:dyDescent="0.25">
      <c r="AA988" s="26"/>
      <c r="AB988" s="26">
        <v>41642</v>
      </c>
      <c r="AC988" s="43">
        <v>11.980477935405593</v>
      </c>
      <c r="AD988" s="25">
        <f t="shared" si="40"/>
        <v>6.1710590659690858</v>
      </c>
      <c r="AE988" s="43">
        <v>9.4541006109336703</v>
      </c>
      <c r="AF988" s="43">
        <v>46.077980027838784</v>
      </c>
      <c r="AG988" s="25">
        <f t="shared" si="39"/>
        <v>26.02373316844486</v>
      </c>
      <c r="AH988" s="43">
        <v>20.334912816276898</v>
      </c>
      <c r="AI988" s="43"/>
      <c r="AJ988" s="43"/>
    </row>
    <row r="989" spans="27:36" ht="13.5" x14ac:dyDescent="0.25">
      <c r="AA989" s="26"/>
      <c r="AB989" s="26">
        <v>41649</v>
      </c>
      <c r="AC989" s="43">
        <v>11.960392993588622</v>
      </c>
      <c r="AD989" s="25">
        <f t="shared" si="40"/>
        <v>6.1710590659690858</v>
      </c>
      <c r="AE989" s="43">
        <v>9.3778210702816409</v>
      </c>
      <c r="AF989" s="43">
        <v>46.001711280800265</v>
      </c>
      <c r="AG989" s="25">
        <f t="shared" si="39"/>
        <v>26.02373316844486</v>
      </c>
      <c r="AH989" s="43">
        <v>20.133790222372561</v>
      </c>
      <c r="AI989" s="43"/>
      <c r="AJ989" s="43"/>
    </row>
    <row r="990" spans="27:36" ht="13.5" x14ac:dyDescent="0.25">
      <c r="AA990" s="26"/>
      <c r="AB990" s="26">
        <v>41656</v>
      </c>
      <c r="AC990" s="43">
        <v>11.475019030579803</v>
      </c>
      <c r="AD990" s="25">
        <f t="shared" si="40"/>
        <v>6.1710590659690858</v>
      </c>
      <c r="AE990" s="43">
        <v>9.2818568576933433</v>
      </c>
      <c r="AF990" s="43">
        <v>44.158595958827</v>
      </c>
      <c r="AG990" s="25">
        <f t="shared" si="39"/>
        <v>26.02373316844486</v>
      </c>
      <c r="AH990" s="43">
        <v>19.554005601908724</v>
      </c>
      <c r="AI990" s="43"/>
      <c r="AJ990" s="43"/>
    </row>
    <row r="991" spans="27:36" ht="13.5" x14ac:dyDescent="0.25">
      <c r="AA991" s="26"/>
      <c r="AB991" s="26">
        <v>41663</v>
      </c>
      <c r="AC991" s="43">
        <v>10.784967918136985</v>
      </c>
      <c r="AD991" s="25">
        <f t="shared" si="40"/>
        <v>6.1710590659690858</v>
      </c>
      <c r="AE991" s="43">
        <v>8.8166828983134646</v>
      </c>
      <c r="AF991" s="43">
        <v>41.463825083903686</v>
      </c>
      <c r="AG991" s="25">
        <f t="shared" si="39"/>
        <v>26.02373316844486</v>
      </c>
      <c r="AH991" s="43">
        <v>18.677639336069397</v>
      </c>
      <c r="AI991" s="43"/>
      <c r="AJ991" s="43"/>
    </row>
    <row r="992" spans="27:36" ht="13.5" x14ac:dyDescent="0.25">
      <c r="AA992" s="26"/>
      <c r="AB992" s="26">
        <v>41670</v>
      </c>
      <c r="AC992" s="43">
        <v>11.7</v>
      </c>
      <c r="AD992" s="25">
        <f t="shared" si="40"/>
        <v>6.1710590659690858</v>
      </c>
      <c r="AE992" s="43">
        <v>8.8211356634223019</v>
      </c>
      <c r="AF992" s="43">
        <v>42.4</v>
      </c>
      <c r="AG992" s="25">
        <f t="shared" si="39"/>
        <v>26.02373316844486</v>
      </c>
      <c r="AH992" s="43">
        <v>18.572250060248404</v>
      </c>
      <c r="AI992" s="43"/>
      <c r="AJ992" s="43"/>
    </row>
    <row r="993" spans="27:36" ht="13.5" x14ac:dyDescent="0.25">
      <c r="AA993" s="26"/>
      <c r="AB993" s="26">
        <v>41677</v>
      </c>
      <c r="AC993" s="43">
        <v>11.69899512738059</v>
      </c>
      <c r="AD993" s="25">
        <f t="shared" si="40"/>
        <v>6.1710590659690858</v>
      </c>
      <c r="AE993" s="43">
        <v>9.6337993704892728</v>
      </c>
      <c r="AF993" s="43">
        <v>42.470177951232451</v>
      </c>
      <c r="AG993" s="25">
        <f t="shared" si="39"/>
        <v>26.02373316844486</v>
      </c>
      <c r="AH993" s="43">
        <v>20.770688244123686</v>
      </c>
      <c r="AI993" s="43"/>
      <c r="AJ993" s="43"/>
    </row>
    <row r="994" spans="27:36" ht="13.5" x14ac:dyDescent="0.25">
      <c r="AA994" s="26"/>
      <c r="AB994" s="26">
        <v>41684</v>
      </c>
      <c r="AC994" s="43">
        <v>11.933718993339678</v>
      </c>
      <c r="AD994" s="25">
        <f t="shared" si="40"/>
        <v>6.1710590659690858</v>
      </c>
      <c r="AE994" s="43">
        <v>9.7721672434785614</v>
      </c>
      <c r="AF994" s="43">
        <v>43.295987867011263</v>
      </c>
      <c r="AG994" s="25">
        <f t="shared" si="39"/>
        <v>26.02373316844486</v>
      </c>
      <c r="AH994" s="43">
        <v>21.097993408839624</v>
      </c>
      <c r="AI994" s="43"/>
      <c r="AJ994" s="43"/>
    </row>
    <row r="995" spans="27:36" ht="13.5" x14ac:dyDescent="0.25">
      <c r="AA995" s="26"/>
      <c r="AB995" s="26">
        <v>41691</v>
      </c>
      <c r="AC995" s="43">
        <v>12.024255396458562</v>
      </c>
      <c r="AD995" s="25">
        <f t="shared" si="40"/>
        <v>6.1710590659690858</v>
      </c>
      <c r="AE995" s="43">
        <v>9.8274674249020926</v>
      </c>
      <c r="AF995" s="43">
        <v>43.614514741681745</v>
      </c>
      <c r="AG995" s="25">
        <f t="shared" si="39"/>
        <v>26.02373316844486</v>
      </c>
      <c r="AH995" s="43">
        <v>21.25463688528939</v>
      </c>
      <c r="AI995" s="43"/>
      <c r="AJ995" s="43"/>
    </row>
    <row r="996" spans="27:36" ht="13.5" x14ac:dyDescent="0.25">
      <c r="AA996" s="26"/>
      <c r="AB996" s="26">
        <v>41698</v>
      </c>
      <c r="AC996" s="43">
        <v>11.967358206071841</v>
      </c>
      <c r="AD996" s="25">
        <f t="shared" si="40"/>
        <v>6.1710590659690858</v>
      </c>
      <c r="AE996" s="43">
        <v>9.6375185092275046</v>
      </c>
      <c r="AF996" s="43">
        <v>45.262559752798033</v>
      </c>
      <c r="AG996" s="25">
        <f t="shared" si="39"/>
        <v>26.02373316844486</v>
      </c>
      <c r="AH996" s="43">
        <v>21.152522543134648</v>
      </c>
      <c r="AI996" s="43"/>
      <c r="AJ996" s="43"/>
    </row>
    <row r="997" spans="27:36" ht="13.5" x14ac:dyDescent="0.25">
      <c r="AA997" s="26"/>
      <c r="AB997" s="26">
        <v>41705</v>
      </c>
      <c r="AC997" s="43">
        <v>12.341761942581346</v>
      </c>
      <c r="AD997" s="25">
        <f t="shared" si="40"/>
        <v>6.1710590659690858</v>
      </c>
      <c r="AE997" s="43">
        <v>9.9761682974502719</v>
      </c>
      <c r="AF997" s="43">
        <v>46.636364251728182</v>
      </c>
      <c r="AG997" s="25">
        <f t="shared" si="39"/>
        <v>26.02373316844486</v>
      </c>
      <c r="AH997" s="43">
        <v>21.297620555668122</v>
      </c>
      <c r="AI997" s="43"/>
      <c r="AJ997" s="43"/>
    </row>
    <row r="998" spans="27:36" ht="13.5" x14ac:dyDescent="0.25">
      <c r="AA998" s="26"/>
      <c r="AB998" s="26">
        <v>41712</v>
      </c>
      <c r="AC998" s="43">
        <v>11.563134680567327</v>
      </c>
      <c r="AD998" s="25">
        <f t="shared" si="40"/>
        <v>6.1710590659690858</v>
      </c>
      <c r="AE998" s="43">
        <v>9.8053032771181865</v>
      </c>
      <c r="AF998" s="43">
        <v>43.779337114347129</v>
      </c>
      <c r="AG998" s="25">
        <f t="shared" ref="AG998:AG1061" si="41">$Z$69</f>
        <v>26.02373316844486</v>
      </c>
      <c r="AH998" s="43">
        <v>20.747299190316252</v>
      </c>
      <c r="AI998" s="43"/>
      <c r="AJ998" s="43"/>
    </row>
    <row r="999" spans="27:36" ht="13.5" x14ac:dyDescent="0.25">
      <c r="AA999" s="26"/>
      <c r="AB999" s="26">
        <v>41719</v>
      </c>
      <c r="AC999" s="43">
        <v>11.645967287339547</v>
      </c>
      <c r="AD999" s="25">
        <f t="shared" si="40"/>
        <v>6.1710590659690858</v>
      </c>
      <c r="AE999" s="43">
        <v>9.8891609635312303</v>
      </c>
      <c r="AF999" s="43">
        <v>44.083275875489534</v>
      </c>
      <c r="AG999" s="25">
        <f t="shared" si="41"/>
        <v>26.02373316844486</v>
      </c>
      <c r="AH999" s="43">
        <v>20.949277123832996</v>
      </c>
      <c r="AI999" s="43"/>
      <c r="AJ999" s="43"/>
    </row>
    <row r="1000" spans="27:36" ht="13.5" x14ac:dyDescent="0.25">
      <c r="AA1000" s="26"/>
      <c r="AB1000" s="26">
        <v>41726</v>
      </c>
      <c r="AC1000" s="43">
        <v>11.019752982369615</v>
      </c>
      <c r="AD1000" s="25">
        <f t="shared" si="40"/>
        <v>6.1710590659690858</v>
      </c>
      <c r="AE1000" s="43">
        <v>9.535971259478103</v>
      </c>
      <c r="AF1000" s="43">
        <v>41.785499583290964</v>
      </c>
      <c r="AG1000" s="25">
        <f t="shared" si="41"/>
        <v>26.02373316844486</v>
      </c>
      <c r="AH1000" s="43">
        <v>19.937850209144518</v>
      </c>
      <c r="AI1000" s="43"/>
      <c r="AJ1000" s="43"/>
    </row>
    <row r="1001" spans="27:36" ht="13.5" x14ac:dyDescent="0.25">
      <c r="AA1001" s="26"/>
      <c r="AB1001" s="26">
        <v>41733</v>
      </c>
      <c r="AC1001" s="43">
        <v>10.237812972211829</v>
      </c>
      <c r="AD1001" s="25">
        <f t="shared" si="40"/>
        <v>6.1710590659690858</v>
      </c>
      <c r="AE1001" s="43">
        <v>9.5095204663424884</v>
      </c>
      <c r="AF1001" s="43">
        <v>38.916316936068696</v>
      </c>
      <c r="AG1001" s="25">
        <f t="shared" si="41"/>
        <v>26.02373316844486</v>
      </c>
      <c r="AH1001" s="43">
        <v>19.831945879520728</v>
      </c>
      <c r="AI1001" s="43"/>
      <c r="AJ1001" s="43"/>
    </row>
    <row r="1002" spans="27:36" ht="13.5" x14ac:dyDescent="0.25">
      <c r="AA1002" s="26"/>
      <c r="AB1002" s="26">
        <v>41740</v>
      </c>
      <c r="AC1002" s="43">
        <v>9.4128009165586839</v>
      </c>
      <c r="AD1002" s="25">
        <f t="shared" si="40"/>
        <v>6.1710590659690858</v>
      </c>
      <c r="AE1002" s="43">
        <v>9.3818676355393933</v>
      </c>
      <c r="AF1002" s="43">
        <v>35.88908947222334</v>
      </c>
      <c r="AG1002" s="25">
        <f t="shared" si="41"/>
        <v>26.02373316844486</v>
      </c>
      <c r="AH1002" s="43">
        <v>19.24406239179801</v>
      </c>
      <c r="AI1002" s="43"/>
      <c r="AJ1002" s="43"/>
    </row>
    <row r="1003" spans="27:36" ht="13.5" x14ac:dyDescent="0.25">
      <c r="AA1003" s="26"/>
      <c r="AB1003" s="26">
        <v>41747</v>
      </c>
      <c r="AC1003" s="43">
        <v>10.058894870204407</v>
      </c>
      <c r="AD1003" s="25">
        <f t="shared" si="40"/>
        <v>6.1710590659690858</v>
      </c>
      <c r="AE1003" s="43">
        <v>9.6910791467687396</v>
      </c>
      <c r="AF1003" s="43">
        <v>38.259810417812844</v>
      </c>
      <c r="AG1003" s="25">
        <f t="shared" si="41"/>
        <v>26.02373316844486</v>
      </c>
      <c r="AH1003" s="43">
        <v>20.00002603212284</v>
      </c>
      <c r="AI1003" s="43"/>
      <c r="AJ1003" s="43"/>
    </row>
    <row r="1004" spans="27:36" ht="13.5" x14ac:dyDescent="0.25">
      <c r="AA1004" s="26"/>
      <c r="AB1004" s="26">
        <v>41754</v>
      </c>
      <c r="AC1004" s="43">
        <v>9.3167147893608426</v>
      </c>
      <c r="AD1004" s="25">
        <f t="shared" si="40"/>
        <v>6.1710590659690858</v>
      </c>
      <c r="AE1004" s="43">
        <v>9.5432128145024357</v>
      </c>
      <c r="AF1004" s="43">
        <v>35.536519396241168</v>
      </c>
      <c r="AG1004" s="25">
        <f t="shared" si="41"/>
        <v>26.02373316844486</v>
      </c>
      <c r="AH1004" s="43">
        <v>19.178903806901278</v>
      </c>
      <c r="AI1004" s="43"/>
      <c r="AJ1004" s="43"/>
    </row>
    <row r="1005" spans="27:36" ht="13.5" x14ac:dyDescent="0.25">
      <c r="AA1005" s="26"/>
      <c r="AB1005" s="26">
        <v>41761</v>
      </c>
      <c r="AC1005" s="43">
        <v>9.1112902784648178</v>
      </c>
      <c r="AD1005" s="25">
        <f t="shared" si="40"/>
        <v>6.1710590659690858</v>
      </c>
      <c r="AE1005" s="43">
        <v>9.3691269244867552</v>
      </c>
      <c r="AF1005" s="43">
        <v>34.782752567174491</v>
      </c>
      <c r="AG1005" s="25">
        <f t="shared" si="41"/>
        <v>26.02373316844486</v>
      </c>
      <c r="AH1005" s="43">
        <v>19.220749349850625</v>
      </c>
      <c r="AI1005" s="43"/>
      <c r="AJ1005" s="43"/>
    </row>
    <row r="1006" spans="27:36" ht="13.5" x14ac:dyDescent="0.25">
      <c r="AA1006" s="26"/>
      <c r="AB1006" s="26">
        <v>41768</v>
      </c>
      <c r="AC1006" s="43">
        <v>8.4883887216386551</v>
      </c>
      <c r="AD1006" s="25">
        <f t="shared" si="40"/>
        <v>6.1710590659690858</v>
      </c>
      <c r="AE1006" s="43">
        <v>9.3491720421054065</v>
      </c>
      <c r="AF1006" s="43">
        <v>32.497131784817142</v>
      </c>
      <c r="AG1006" s="25">
        <f t="shared" si="41"/>
        <v>26.02373316844486</v>
      </c>
      <c r="AH1006" s="43">
        <v>18.946216643656019</v>
      </c>
      <c r="AI1006" s="43"/>
      <c r="AJ1006" s="43"/>
    </row>
    <row r="1007" spans="27:36" ht="13.5" x14ac:dyDescent="0.25">
      <c r="AA1007" s="26"/>
      <c r="AB1007" s="26">
        <v>41775</v>
      </c>
      <c r="AC1007" s="43">
        <v>6.4044840294538679</v>
      </c>
      <c r="AD1007" s="25">
        <f t="shared" si="40"/>
        <v>6.1710590659690858</v>
      </c>
      <c r="AE1007" s="43">
        <v>8.2077062069236479</v>
      </c>
      <c r="AF1007" s="43">
        <v>25.496671648267373</v>
      </c>
      <c r="AG1007" s="25">
        <f t="shared" si="41"/>
        <v>26.02373316844486</v>
      </c>
      <c r="AH1007" s="43">
        <v>16.25289553028345</v>
      </c>
      <c r="AI1007" s="43"/>
      <c r="AJ1007" s="43"/>
    </row>
    <row r="1008" spans="27:36" ht="13.5" x14ac:dyDescent="0.25">
      <c r="AA1008" s="26"/>
      <c r="AB1008" s="26">
        <v>41782</v>
      </c>
      <c r="AC1008" s="43">
        <v>7.0320986169070538</v>
      </c>
      <c r="AD1008" s="25">
        <f t="shared" si="40"/>
        <v>6.1710590659690858</v>
      </c>
      <c r="AE1008" s="43">
        <v>8.3756623434816397</v>
      </c>
      <c r="AF1008" s="43">
        <v>27.834793551528684</v>
      </c>
      <c r="AG1008" s="25">
        <f t="shared" si="41"/>
        <v>26.02373316844486</v>
      </c>
      <c r="AH1008" s="43">
        <v>16.813751930374124</v>
      </c>
      <c r="AI1008" s="43"/>
      <c r="AJ1008" s="43"/>
    </row>
    <row r="1009" spans="27:36" ht="13.5" x14ac:dyDescent="0.25">
      <c r="AA1009" s="26"/>
      <c r="AB1009" s="26">
        <v>41789</v>
      </c>
      <c r="AC1009" s="43">
        <v>7.1084748679289795</v>
      </c>
      <c r="AD1009" s="25">
        <f t="shared" si="40"/>
        <v>6.1710590659690858</v>
      </c>
      <c r="AE1009" s="43">
        <v>8.4178352272713788</v>
      </c>
      <c r="AF1009" s="43">
        <v>28.119326430421765</v>
      </c>
      <c r="AG1009" s="25">
        <f t="shared" si="41"/>
        <v>26.02373316844486</v>
      </c>
      <c r="AH1009" s="43">
        <v>16.816211524003741</v>
      </c>
      <c r="AI1009" s="43"/>
      <c r="AJ1009" s="43"/>
    </row>
    <row r="1010" spans="27:36" ht="13.5" x14ac:dyDescent="0.25">
      <c r="AA1010" s="26"/>
      <c r="AB1010" s="26">
        <v>41796</v>
      </c>
      <c r="AC1010" s="43">
        <v>6.9623639442459329</v>
      </c>
      <c r="AD1010" s="25">
        <f t="shared" si="40"/>
        <v>6.1710590659690858</v>
      </c>
      <c r="AE1010" s="43">
        <v>8.5089960354382601</v>
      </c>
      <c r="AF1010" s="43">
        <v>27.575003277648399</v>
      </c>
      <c r="AG1010" s="25">
        <f t="shared" si="41"/>
        <v>26.02373316844486</v>
      </c>
      <c r="AH1010" s="43">
        <v>16.92418072628012</v>
      </c>
      <c r="AI1010" s="43"/>
      <c r="AJ1010" s="43"/>
    </row>
    <row r="1011" spans="27:36" ht="13.5" x14ac:dyDescent="0.25">
      <c r="AA1011" s="26"/>
      <c r="AB1011" s="26">
        <v>41803</v>
      </c>
      <c r="AC1011" s="43">
        <v>6.510746749723638</v>
      </c>
      <c r="AD1011" s="25">
        <f t="shared" si="40"/>
        <v>6.1710590659690858</v>
      </c>
      <c r="AE1011" s="43">
        <v>8.3606566355538678</v>
      </c>
      <c r="AF1011" s="43">
        <v>25.892543890133343</v>
      </c>
      <c r="AG1011" s="25">
        <f t="shared" si="41"/>
        <v>26.02373316844486</v>
      </c>
      <c r="AH1011" s="43">
        <v>16.516109257569994</v>
      </c>
      <c r="AI1011" s="43"/>
      <c r="AJ1011" s="43"/>
    </row>
    <row r="1012" spans="27:36" ht="13.5" x14ac:dyDescent="0.25">
      <c r="AA1012" s="26"/>
      <c r="AB1012" s="26">
        <v>41810</v>
      </c>
      <c r="AC1012" s="43">
        <v>6.7598002378718256</v>
      </c>
      <c r="AD1012" s="25">
        <f t="shared" si="40"/>
        <v>6.1710590659690858</v>
      </c>
      <c r="AE1012" s="43">
        <v>8.4802772835087676</v>
      </c>
      <c r="AF1012" s="43">
        <v>26.820370341850964</v>
      </c>
      <c r="AG1012" s="25">
        <f t="shared" si="41"/>
        <v>26.02373316844486</v>
      </c>
      <c r="AH1012" s="43">
        <v>16.858299430207605</v>
      </c>
      <c r="AI1012" s="43"/>
      <c r="AJ1012" s="43"/>
    </row>
    <row r="1013" spans="27:36" ht="13.5" x14ac:dyDescent="0.25">
      <c r="AA1013" s="26"/>
      <c r="AB1013" s="26">
        <v>41817</v>
      </c>
      <c r="AC1013" s="43">
        <v>6.719951401082775</v>
      </c>
      <c r="AD1013" s="25">
        <f t="shared" ref="AD1013:AD1076" si="42">$Z$100</f>
        <v>6.1710590659690858</v>
      </c>
      <c r="AE1013" s="43">
        <v>8.5513927833640313</v>
      </c>
      <c r="AF1013" s="43">
        <v>26.671917071358884</v>
      </c>
      <c r="AG1013" s="25">
        <f t="shared" si="41"/>
        <v>26.02373316844486</v>
      </c>
      <c r="AH1013" s="43">
        <v>17.02174012517327</v>
      </c>
      <c r="AI1013" s="43"/>
      <c r="AJ1013" s="43"/>
    </row>
    <row r="1014" spans="27:36" ht="13.5" x14ac:dyDescent="0.25">
      <c r="AA1014" s="26"/>
      <c r="AB1014" s="26">
        <v>41824</v>
      </c>
      <c r="AC1014" s="43">
        <v>6.7598002378718256</v>
      </c>
      <c r="AD1014" s="25">
        <f t="shared" si="42"/>
        <v>6.1710590659690858</v>
      </c>
      <c r="AE1014" s="43">
        <v>8.496069319096156</v>
      </c>
      <c r="AF1014" s="43">
        <v>26.820370341850964</v>
      </c>
      <c r="AG1014" s="25">
        <f t="shared" si="41"/>
        <v>26.02373316844486</v>
      </c>
      <c r="AH1014" s="43">
        <v>17.037321666310529</v>
      </c>
      <c r="AI1014" s="43"/>
      <c r="AJ1014" s="43"/>
    </row>
    <row r="1015" spans="27:36" ht="13.5" x14ac:dyDescent="0.25">
      <c r="AA1015" s="26"/>
      <c r="AB1015" s="26">
        <v>41831</v>
      </c>
      <c r="AC1015" s="43">
        <v>6.2517308940342442</v>
      </c>
      <c r="AD1015" s="25">
        <f t="shared" si="42"/>
        <v>6.1710590659690858</v>
      </c>
      <c r="AE1015" s="43">
        <v>8.3041392770716751</v>
      </c>
      <c r="AF1015" s="43">
        <v>24.92760353089653</v>
      </c>
      <c r="AG1015" s="25">
        <f t="shared" si="41"/>
        <v>26.02373316844486</v>
      </c>
      <c r="AH1015" s="43">
        <v>16.474560030203541</v>
      </c>
      <c r="AI1015" s="43"/>
      <c r="AJ1015" s="43"/>
    </row>
    <row r="1016" spans="27:36" ht="13.5" x14ac:dyDescent="0.25">
      <c r="AA1016" s="26"/>
      <c r="AB1016" s="26">
        <v>41838</v>
      </c>
      <c r="AC1016" s="43">
        <v>6.1189024936970302</v>
      </c>
      <c r="AD1016" s="25">
        <f t="shared" si="42"/>
        <v>6.1710590659690858</v>
      </c>
      <c r="AE1016" s="43">
        <v>8.2619243703594716</v>
      </c>
      <c r="AF1016" s="43">
        <v>24.432763228564067</v>
      </c>
      <c r="AG1016" s="25">
        <f t="shared" si="41"/>
        <v>26.02373316844486</v>
      </c>
      <c r="AH1016" s="43">
        <v>16.303721421507362</v>
      </c>
      <c r="AI1016" s="43"/>
      <c r="AJ1016" s="43"/>
    </row>
    <row r="1017" spans="27:36" ht="13.5" x14ac:dyDescent="0.25">
      <c r="AA1017" s="26"/>
      <c r="AB1017" s="26">
        <v>41845</v>
      </c>
      <c r="AC1017" s="43">
        <v>5.8964146856162838</v>
      </c>
      <c r="AD1017" s="25">
        <f t="shared" si="42"/>
        <v>6.1710590659690858</v>
      </c>
      <c r="AE1017" s="43">
        <v>8.1878452041458072</v>
      </c>
      <c r="AF1017" s="43">
        <v>23.603904837312935</v>
      </c>
      <c r="AG1017" s="25">
        <f t="shared" si="41"/>
        <v>26.02373316844486</v>
      </c>
      <c r="AH1017" s="43">
        <v>16.101482688978624</v>
      </c>
      <c r="AI1017" s="43"/>
      <c r="AJ1017" s="43"/>
    </row>
    <row r="1018" spans="27:36" ht="13.5" x14ac:dyDescent="0.25">
      <c r="AA1018" s="26"/>
      <c r="AB1018" s="26">
        <v>41852</v>
      </c>
      <c r="AC1018" s="43">
        <v>5.6672852991747353</v>
      </c>
      <c r="AD1018" s="25">
        <f t="shared" si="42"/>
        <v>6.1710590659690858</v>
      </c>
      <c r="AE1018" s="43">
        <v>8.0371935010325242</v>
      </c>
      <c r="AF1018" s="43">
        <v>22.750303841049011</v>
      </c>
      <c r="AG1018" s="25">
        <f t="shared" si="41"/>
        <v>26.02373316844486</v>
      </c>
      <c r="AH1018" s="43">
        <v>15.707281228146424</v>
      </c>
      <c r="AI1018" s="43"/>
      <c r="AJ1018" s="43"/>
    </row>
    <row r="1019" spans="27:36" ht="13.5" x14ac:dyDescent="0.25">
      <c r="AA1019" s="26"/>
      <c r="AB1019" s="26">
        <v>41859</v>
      </c>
      <c r="AC1019" s="514">
        <v>5.7</v>
      </c>
      <c r="AD1019" s="25">
        <f t="shared" si="42"/>
        <v>6.1710590659690858</v>
      </c>
      <c r="AE1019" s="43">
        <v>8.3000000000000007</v>
      </c>
      <c r="AF1019" s="43">
        <v>24.255169834595158</v>
      </c>
      <c r="AG1019" s="25">
        <f t="shared" si="41"/>
        <v>26.02373316844486</v>
      </c>
      <c r="AH1019" s="43">
        <v>15.929469628381407</v>
      </c>
      <c r="AI1019" s="43"/>
      <c r="AJ1019" s="43"/>
    </row>
    <row r="1020" spans="27:36" ht="13.5" x14ac:dyDescent="0.25">
      <c r="AA1020" s="26"/>
      <c r="AB1020" s="26">
        <v>41866</v>
      </c>
      <c r="AC1020" s="514">
        <v>5.6</v>
      </c>
      <c r="AD1020" s="25">
        <f t="shared" si="42"/>
        <v>6.1710590659690858</v>
      </c>
      <c r="AE1020" s="43">
        <v>8.5</v>
      </c>
      <c r="AF1020" s="43">
        <v>23.958718684100294</v>
      </c>
      <c r="AG1020" s="25">
        <f t="shared" si="41"/>
        <v>26.02373316844486</v>
      </c>
      <c r="AH1020" s="43">
        <v>15.83896905568526</v>
      </c>
      <c r="AI1020" s="43"/>
      <c r="AJ1020" s="43"/>
    </row>
    <row r="1021" spans="27:36" ht="13.5" x14ac:dyDescent="0.25">
      <c r="AA1021" s="26"/>
      <c r="AB1021" s="26">
        <v>41873</v>
      </c>
      <c r="AC1021" s="514">
        <v>5.8</v>
      </c>
      <c r="AD1021" s="25">
        <f t="shared" si="42"/>
        <v>6.1710590659690858</v>
      </c>
      <c r="AE1021" s="43">
        <v>8.8411998162254015</v>
      </c>
      <c r="AF1021" s="43">
        <v>24.726798650968565</v>
      </c>
      <c r="AG1021" s="25">
        <f t="shared" si="41"/>
        <v>26.02373316844486</v>
      </c>
      <c r="AH1021" s="43">
        <v>15.931647150728002</v>
      </c>
      <c r="AI1021" s="43"/>
      <c r="AJ1021" s="43"/>
    </row>
    <row r="1022" spans="27:36" ht="13.5" x14ac:dyDescent="0.25">
      <c r="AA1022" s="26"/>
      <c r="AB1022" s="26">
        <v>41880</v>
      </c>
      <c r="AC1022" s="43">
        <v>5.9332184579493319</v>
      </c>
      <c r="AD1022" s="25">
        <f t="shared" si="42"/>
        <v>6.1710590659690858</v>
      </c>
      <c r="AE1022" s="43">
        <v>8.8393680937527765</v>
      </c>
      <c r="AF1022" s="43">
        <v>24.989562579616099</v>
      </c>
      <c r="AG1022" s="25">
        <f t="shared" si="41"/>
        <v>26.02373316844486</v>
      </c>
      <c r="AH1022" s="43">
        <v>15.991012451181708</v>
      </c>
      <c r="AI1022" s="43"/>
      <c r="AJ1022" s="43"/>
    </row>
    <row r="1023" spans="27:36" ht="13.5" x14ac:dyDescent="0.25">
      <c r="AA1023" s="26"/>
      <c r="AB1023" s="26">
        <v>41887</v>
      </c>
      <c r="AC1023" s="43">
        <v>5.9332184579493319</v>
      </c>
      <c r="AD1023" s="25">
        <f t="shared" si="42"/>
        <v>6.1710590659690858</v>
      </c>
      <c r="AE1023" s="43">
        <v>8.8457370094269798</v>
      </c>
      <c r="AF1023" s="43">
        <v>25.17821307809735</v>
      </c>
      <c r="AG1023" s="25">
        <f t="shared" si="41"/>
        <v>26.02373316844486</v>
      </c>
      <c r="AH1023" s="43">
        <v>16.113517455390149</v>
      </c>
      <c r="AI1023" s="43"/>
      <c r="AJ1023" s="43"/>
    </row>
    <row r="1024" spans="27:36" ht="13.5" x14ac:dyDescent="0.25">
      <c r="AA1024" s="26"/>
      <c r="AB1024" s="26">
        <v>41894</v>
      </c>
      <c r="AC1024" s="43">
        <v>5.9332184579493319</v>
      </c>
      <c r="AD1024" s="25">
        <f t="shared" si="42"/>
        <v>6.1710590659690858</v>
      </c>
      <c r="AE1024" s="43">
        <v>8.8457870239706473</v>
      </c>
      <c r="AF1024" s="43">
        <v>25.104099647931065</v>
      </c>
      <c r="AG1024" s="25">
        <f t="shared" si="41"/>
        <v>26.02373316844486</v>
      </c>
      <c r="AH1024" s="43">
        <v>15.707794667680544</v>
      </c>
      <c r="AI1024" s="43"/>
      <c r="AJ1024" s="43"/>
    </row>
    <row r="1025" spans="27:36" ht="13.5" x14ac:dyDescent="0.25">
      <c r="AA1025" s="26"/>
      <c r="AB1025" s="26">
        <v>41901</v>
      </c>
      <c r="AC1025" s="43">
        <v>5.9332184579493319</v>
      </c>
      <c r="AD1025" s="25">
        <f t="shared" si="42"/>
        <v>6.1710590659690858</v>
      </c>
      <c r="AE1025" s="43">
        <v>8.8457870239706473</v>
      </c>
      <c r="AF1025" s="43">
        <v>24.376445889381756</v>
      </c>
      <c r="AG1025" s="25">
        <f t="shared" si="41"/>
        <v>26.02373316844486</v>
      </c>
      <c r="AH1025" s="43">
        <v>15.341289057130224</v>
      </c>
      <c r="AI1025" s="43"/>
      <c r="AJ1025" s="43"/>
    </row>
    <row r="1026" spans="27:36" ht="13.5" x14ac:dyDescent="0.25">
      <c r="AA1026" s="26"/>
      <c r="AB1026" s="26">
        <v>41908</v>
      </c>
      <c r="AC1026" s="43">
        <v>5.9332184579493319</v>
      </c>
      <c r="AD1026" s="25">
        <f t="shared" si="42"/>
        <v>6.1710590659690858</v>
      </c>
      <c r="AE1026" s="43">
        <v>8.8553834136013325</v>
      </c>
      <c r="AF1026" s="43">
        <v>23.089574481519769</v>
      </c>
      <c r="AG1026" s="25">
        <f t="shared" si="41"/>
        <v>26.02373316844486</v>
      </c>
      <c r="AH1026" s="43">
        <v>15.037893715436104</v>
      </c>
      <c r="AI1026" s="43"/>
      <c r="AJ1026" s="43"/>
    </row>
    <row r="1027" spans="27:36" ht="13.5" x14ac:dyDescent="0.25">
      <c r="AA1027" s="26"/>
      <c r="AB1027" s="26">
        <v>41915</v>
      </c>
      <c r="AC1027" s="43">
        <v>5.9332184579493319</v>
      </c>
      <c r="AD1027" s="25">
        <f t="shared" si="42"/>
        <v>6.1710590659690858</v>
      </c>
      <c r="AE1027" s="43">
        <v>8.8465977483608373</v>
      </c>
      <c r="AF1027" s="43">
        <v>22.981773829506157</v>
      </c>
      <c r="AG1027" s="25">
        <f t="shared" si="41"/>
        <v>26.02373316844486</v>
      </c>
      <c r="AH1027" s="43">
        <v>14.806076641716746</v>
      </c>
      <c r="AI1027" s="43"/>
      <c r="AJ1027" s="43"/>
    </row>
    <row r="1028" spans="27:36" ht="13.5" x14ac:dyDescent="0.25">
      <c r="AA1028" s="26"/>
      <c r="AB1028" s="26">
        <v>41922</v>
      </c>
      <c r="AC1028" s="43">
        <v>5.9332184579493319</v>
      </c>
      <c r="AD1028" s="25">
        <f t="shared" si="42"/>
        <v>6.1710590659690858</v>
      </c>
      <c r="AE1028" s="43">
        <v>8.8511084913155536</v>
      </c>
      <c r="AF1028" s="43">
        <v>22.072203418606669</v>
      </c>
      <c r="AG1028" s="25">
        <f t="shared" si="41"/>
        <v>26.02373316844486</v>
      </c>
      <c r="AH1028" s="43">
        <v>14.443031741776057</v>
      </c>
      <c r="AI1028" s="43"/>
      <c r="AJ1028" s="43"/>
    </row>
    <row r="1029" spans="27:36" ht="13.5" x14ac:dyDescent="0.25">
      <c r="AA1029" s="26"/>
      <c r="AB1029" s="26">
        <v>41929</v>
      </c>
      <c r="AC1029" s="43">
        <v>5.9332184579493319</v>
      </c>
      <c r="AD1029" s="25">
        <f t="shared" si="42"/>
        <v>6.1710590659690858</v>
      </c>
      <c r="AE1029" s="43">
        <v>8.7244676298737982</v>
      </c>
      <c r="AF1029" s="43">
        <v>22.503408596831395</v>
      </c>
      <c r="AG1029" s="25">
        <f t="shared" si="41"/>
        <v>26.02373316844486</v>
      </c>
      <c r="AH1029" s="43">
        <v>14.752565495303129</v>
      </c>
      <c r="AI1029" s="43"/>
      <c r="AJ1029" s="43"/>
    </row>
    <row r="1030" spans="27:36" ht="13.5" x14ac:dyDescent="0.25">
      <c r="AA1030" s="26"/>
      <c r="AB1030" s="26">
        <v>41936</v>
      </c>
      <c r="AC1030" s="43">
        <v>6.7245821311710294</v>
      </c>
      <c r="AD1030" s="25">
        <f t="shared" si="42"/>
        <v>6.1710590659690858</v>
      </c>
      <c r="AE1030" s="43">
        <v>8.2043535140155299</v>
      </c>
      <c r="AF1030" s="43">
        <v>22.719009900858619</v>
      </c>
      <c r="AG1030" s="25">
        <f t="shared" si="41"/>
        <v>26.02373316844486</v>
      </c>
      <c r="AH1030" s="43">
        <v>15.009206601724143</v>
      </c>
      <c r="AI1030" s="43"/>
      <c r="AJ1030" s="43"/>
    </row>
    <row r="1031" spans="27:36" ht="13.5" x14ac:dyDescent="0.25">
      <c r="AA1031" s="26"/>
      <c r="AB1031" s="26">
        <v>41943</v>
      </c>
      <c r="AC1031" s="43">
        <v>7.4207143575850498</v>
      </c>
      <c r="AD1031" s="25">
        <f t="shared" si="42"/>
        <v>6.1710590659690858</v>
      </c>
      <c r="AE1031" s="43">
        <v>8.8899736383862251</v>
      </c>
      <c r="AF1031" s="43">
        <v>25.38707796582322</v>
      </c>
      <c r="AG1031" s="25">
        <f t="shared" si="41"/>
        <v>26.02373316844486</v>
      </c>
      <c r="AH1031" s="43">
        <v>16.285337867545053</v>
      </c>
      <c r="AI1031" s="43"/>
      <c r="AJ1031" s="43"/>
    </row>
    <row r="1032" spans="27:36" ht="13.5" x14ac:dyDescent="0.25">
      <c r="AA1032" s="26"/>
      <c r="AB1032" s="26">
        <v>41950</v>
      </c>
      <c r="AC1032" s="43">
        <v>7.7342776012685146</v>
      </c>
      <c r="AD1032" s="25">
        <f t="shared" si="42"/>
        <v>6.1710590659690858</v>
      </c>
      <c r="AE1032" s="43">
        <v>9.1519497757678057</v>
      </c>
      <c r="AF1032" s="43">
        <v>25.474428754492816</v>
      </c>
      <c r="AG1032" s="25">
        <f t="shared" si="41"/>
        <v>26.02373316844486</v>
      </c>
      <c r="AH1032" s="43">
        <v>16.50836715937201</v>
      </c>
      <c r="AI1032" s="43"/>
      <c r="AJ1032" s="43"/>
    </row>
    <row r="1033" spans="27:36" ht="13.5" x14ac:dyDescent="0.25">
      <c r="AA1033" s="26"/>
      <c r="AB1033" s="26">
        <v>41957</v>
      </c>
      <c r="AC1033" s="43">
        <v>7.5021831134894903</v>
      </c>
      <c r="AD1033" s="25">
        <f t="shared" si="42"/>
        <v>6.1710590659690858</v>
      </c>
      <c r="AE1033" s="43">
        <v>8.9561812025914538</v>
      </c>
      <c r="AF1033" s="43">
        <v>24.619094532609374</v>
      </c>
      <c r="AG1033" s="25">
        <f t="shared" si="41"/>
        <v>26.02373316844486</v>
      </c>
      <c r="AH1033" s="43">
        <v>16.216157532094236</v>
      </c>
      <c r="AI1033" s="43"/>
      <c r="AJ1033" s="43"/>
    </row>
    <row r="1034" spans="27:36" ht="13.5" x14ac:dyDescent="0.25">
      <c r="AA1034" s="26"/>
      <c r="AB1034" s="26">
        <v>41964</v>
      </c>
      <c r="AC1034" s="43">
        <v>7.6677079070270917</v>
      </c>
      <c r="AD1034" s="25">
        <f t="shared" si="42"/>
        <v>6.1710590659690858</v>
      </c>
      <c r="AE1034" s="43">
        <v>8.9999506757202532</v>
      </c>
      <c r="AF1034" s="43">
        <v>25.229100491120967</v>
      </c>
      <c r="AG1034" s="25">
        <f t="shared" si="41"/>
        <v>26.02373316844486</v>
      </c>
      <c r="AH1034" s="43">
        <v>16.375797949966621</v>
      </c>
      <c r="AI1034" s="43"/>
      <c r="AJ1034" s="43"/>
    </row>
    <row r="1035" spans="27:36" ht="13.5" x14ac:dyDescent="0.25">
      <c r="AA1035" s="26"/>
      <c r="AB1035" s="26">
        <v>41971</v>
      </c>
      <c r="AC1035" s="43">
        <v>7.6695074774940419</v>
      </c>
      <c r="AD1035" s="25">
        <f t="shared" si="42"/>
        <v>6.1710590659690858</v>
      </c>
      <c r="AE1035" s="43">
        <v>9.0704491219057974</v>
      </c>
      <c r="AF1035" s="43">
        <v>25.235732420296898</v>
      </c>
      <c r="AG1035" s="25">
        <f t="shared" si="41"/>
        <v>26.02373316844486</v>
      </c>
      <c r="AH1035" s="43">
        <v>16.599356047283056</v>
      </c>
      <c r="AI1035" s="43"/>
      <c r="AJ1035" s="43"/>
    </row>
    <row r="1036" spans="27:36" ht="13.5" x14ac:dyDescent="0.25">
      <c r="AA1036" s="26"/>
      <c r="AB1036" s="26">
        <v>41978</v>
      </c>
      <c r="AC1036" s="43">
        <v>7.9285900315970403</v>
      </c>
      <c r="AD1036" s="25">
        <f t="shared" si="42"/>
        <v>6.1710590659690858</v>
      </c>
      <c r="AE1036" s="43">
        <v>9.2212168242573291</v>
      </c>
      <c r="AF1036" s="43">
        <v>26.19052534510022</v>
      </c>
      <c r="AG1036" s="25">
        <f t="shared" si="41"/>
        <v>26.02373316844486</v>
      </c>
      <c r="AH1036" s="43">
        <v>16.957652482747715</v>
      </c>
      <c r="AI1036" s="43"/>
      <c r="AJ1036" s="43"/>
    </row>
    <row r="1037" spans="27:36" ht="13.5" x14ac:dyDescent="0.25">
      <c r="AA1037" s="26"/>
      <c r="AB1037" s="26">
        <v>41985</v>
      </c>
      <c r="AC1037" s="43">
        <v>7.6839006095544686</v>
      </c>
      <c r="AD1037" s="25">
        <f t="shared" si="42"/>
        <v>6.1710590659690858</v>
      </c>
      <c r="AE1037" s="43">
        <v>9.1743048719991194</v>
      </c>
      <c r="AF1037" s="43">
        <v>25.288775207004917</v>
      </c>
      <c r="AG1037" s="25">
        <f t="shared" si="41"/>
        <v>26.02373316844486</v>
      </c>
      <c r="AH1037" s="43">
        <v>17.643305765565419</v>
      </c>
      <c r="AI1037" s="43"/>
      <c r="AJ1037" s="43"/>
    </row>
    <row r="1038" spans="27:36" ht="13.5" x14ac:dyDescent="0.25">
      <c r="AA1038" s="26"/>
      <c r="AB1038" s="26">
        <v>41992</v>
      </c>
      <c r="AC1038" s="43">
        <v>7.9681723458495268</v>
      </c>
      <c r="AD1038" s="25">
        <f t="shared" si="42"/>
        <v>6.1710590659690858</v>
      </c>
      <c r="AE1038" s="43">
        <v>9.2847753420666557</v>
      </c>
      <c r="AF1038" s="43">
        <v>26.336397434892071</v>
      </c>
      <c r="AG1038" s="25">
        <f t="shared" si="41"/>
        <v>26.02373316844486</v>
      </c>
      <c r="AH1038" s="43">
        <v>17.164210640974968</v>
      </c>
      <c r="AI1038" s="43"/>
      <c r="AJ1038" s="43"/>
    </row>
    <row r="1039" spans="27:36" ht="13.5" x14ac:dyDescent="0.25">
      <c r="AA1039" s="26"/>
      <c r="AB1039" s="26">
        <v>41999</v>
      </c>
      <c r="AC1039" s="43">
        <v>8.2740334370677058</v>
      </c>
      <c r="AD1039" s="25">
        <f t="shared" si="42"/>
        <v>6.1710590659690858</v>
      </c>
      <c r="AE1039" s="43">
        <v>9.417895050088692</v>
      </c>
      <c r="AF1039" s="43">
        <v>27.463582578171312</v>
      </c>
      <c r="AG1039" s="25">
        <f t="shared" si="41"/>
        <v>26.02373316844486</v>
      </c>
      <c r="AH1039" s="43">
        <v>17.4952908943397</v>
      </c>
      <c r="AI1039" s="43"/>
      <c r="AJ1039" s="43"/>
    </row>
    <row r="1040" spans="27:36" ht="13.5" x14ac:dyDescent="0.25">
      <c r="AA1040" s="26"/>
      <c r="AB1040" s="26">
        <v>42006</v>
      </c>
      <c r="AC1040" s="43">
        <v>7.7990484113780241</v>
      </c>
      <c r="AD1040" s="25">
        <f t="shared" si="42"/>
        <v>6.1710590659690858</v>
      </c>
      <c r="AE1040" s="43">
        <v>9.2639980045142121</v>
      </c>
      <c r="AF1040" s="43">
        <v>25.713127618028615</v>
      </c>
      <c r="AG1040" s="25">
        <f t="shared" si="41"/>
        <v>26.02373316844486</v>
      </c>
      <c r="AH1040" s="43">
        <v>17.076031183691789</v>
      </c>
      <c r="AI1040" s="43"/>
      <c r="AJ1040" s="43"/>
    </row>
    <row r="1041" spans="27:36" ht="13.5" x14ac:dyDescent="0.25">
      <c r="AA1041" s="26"/>
      <c r="AB1041" s="26">
        <v>42013</v>
      </c>
      <c r="AC1041" s="43">
        <v>7.6830168483116319</v>
      </c>
      <c r="AD1041" s="25">
        <f t="shared" si="42"/>
        <v>6.1710590659690858</v>
      </c>
      <c r="AE1041" s="43">
        <v>9.1007016878939204</v>
      </c>
      <c r="AF1041" s="43">
        <v>25.57442489719795</v>
      </c>
      <c r="AG1041" s="25">
        <f t="shared" si="41"/>
        <v>26.02373316844486</v>
      </c>
      <c r="AH1041" s="43">
        <v>16.937984673246191</v>
      </c>
      <c r="AI1041" s="43"/>
      <c r="AJ1041" s="43"/>
    </row>
    <row r="1042" spans="27:36" ht="13.5" x14ac:dyDescent="0.25">
      <c r="AA1042" s="26"/>
      <c r="AB1042" s="26">
        <v>42020</v>
      </c>
      <c r="AC1042" s="43">
        <v>7.2492609124398415</v>
      </c>
      <c r="AD1042" s="25">
        <f t="shared" si="42"/>
        <v>6.1710590659690858</v>
      </c>
      <c r="AE1042" s="43">
        <v>9.152078445987156</v>
      </c>
      <c r="AF1042" s="43">
        <v>23.963028528943632</v>
      </c>
      <c r="AG1042" s="25">
        <f t="shared" si="41"/>
        <v>26.02373316844486</v>
      </c>
      <c r="AH1042" s="43">
        <v>16.883699846340839</v>
      </c>
      <c r="AI1042" s="43"/>
      <c r="AJ1042" s="43"/>
    </row>
    <row r="1043" spans="27:36" ht="13.5" x14ac:dyDescent="0.25">
      <c r="AA1043" s="26"/>
      <c r="AB1043" s="26">
        <v>42027</v>
      </c>
      <c r="AC1043" s="43">
        <v>7.564083693792317</v>
      </c>
      <c r="AD1043" s="25">
        <f t="shared" si="42"/>
        <v>6.1710590659690858</v>
      </c>
      <c r="AE1043" s="43">
        <v>9.2595147487670477</v>
      </c>
      <c r="AF1043" s="43">
        <v>25.132590129283439</v>
      </c>
      <c r="AG1043" s="25">
        <f t="shared" si="41"/>
        <v>26.02373316844486</v>
      </c>
      <c r="AH1043" s="43">
        <v>17.210756131305466</v>
      </c>
      <c r="AI1043" s="43"/>
      <c r="AJ1043" s="43"/>
    </row>
    <row r="1044" spans="27:36" ht="13.5" x14ac:dyDescent="0.25">
      <c r="AA1044" s="26"/>
      <c r="AB1044" s="26">
        <v>42034</v>
      </c>
      <c r="AC1044" s="43">
        <v>7.1653082152256307</v>
      </c>
      <c r="AD1044" s="25">
        <f t="shared" si="42"/>
        <v>6.1710590659690858</v>
      </c>
      <c r="AE1044" s="43">
        <v>9.1068217294993818</v>
      </c>
      <c r="AF1044" s="43">
        <v>23.651145600761364</v>
      </c>
      <c r="AG1044" s="25">
        <f t="shared" si="41"/>
        <v>26.02373316844486</v>
      </c>
      <c r="AH1044" s="43">
        <v>16.77892392015654</v>
      </c>
      <c r="AI1044" s="43"/>
      <c r="AJ1044" s="43"/>
    </row>
    <row r="1045" spans="27:36" ht="13.5" x14ac:dyDescent="0.25">
      <c r="AA1045" s="26"/>
      <c r="AB1045" s="26">
        <v>42041</v>
      </c>
      <c r="AC1045" s="43">
        <v>7.7073405841445179</v>
      </c>
      <c r="AD1045" s="25">
        <f t="shared" si="42"/>
        <v>6.1710590659690858</v>
      </c>
      <c r="AE1045" s="43">
        <v>9.3704619004304899</v>
      </c>
      <c r="AF1045" s="43">
        <v>25.341339174830527</v>
      </c>
      <c r="AG1045" s="25">
        <f t="shared" si="41"/>
        <v>26.02373316844486</v>
      </c>
      <c r="AH1045" s="43">
        <v>16.938114745428404</v>
      </c>
      <c r="AI1045" s="43"/>
      <c r="AJ1045" s="43"/>
    </row>
    <row r="1046" spans="27:36" ht="13.5" x14ac:dyDescent="0.25">
      <c r="AA1046" s="26"/>
      <c r="AB1046" s="26">
        <v>42048</v>
      </c>
      <c r="AC1046" s="43">
        <v>7.6459206839880274</v>
      </c>
      <c r="AD1046" s="25">
        <f t="shared" si="42"/>
        <v>6.1710590659690858</v>
      </c>
      <c r="AE1046" s="43">
        <v>9.4180546814640476</v>
      </c>
      <c r="AF1046" s="43">
        <v>25.117777706705276</v>
      </c>
      <c r="AG1046" s="25">
        <f t="shared" si="41"/>
        <v>26.02373316844486</v>
      </c>
      <c r="AH1046" s="43">
        <v>17.033089392699129</v>
      </c>
      <c r="AI1046" s="43"/>
      <c r="AJ1046" s="43"/>
    </row>
    <row r="1047" spans="27:36" ht="13.5" x14ac:dyDescent="0.25">
      <c r="AA1047" s="26"/>
      <c r="AB1047" s="26">
        <v>42055</v>
      </c>
      <c r="AC1047" s="43">
        <v>7.7326310096597046</v>
      </c>
      <c r="AD1047" s="25">
        <f t="shared" si="42"/>
        <v>6.1710590659690858</v>
      </c>
      <c r="AE1047" s="43">
        <v>9.5041347862513028</v>
      </c>
      <c r="AF1047" s="43">
        <v>25.433393454360161</v>
      </c>
      <c r="AG1047" s="25">
        <f t="shared" si="41"/>
        <v>26.02373316844486</v>
      </c>
      <c r="AH1047" s="43">
        <v>17.142291114800823</v>
      </c>
      <c r="AI1047" s="43"/>
      <c r="AJ1047" s="43"/>
    </row>
    <row r="1048" spans="27:36" ht="13.5" x14ac:dyDescent="0.25">
      <c r="AA1048" s="26"/>
      <c r="AB1048" s="26">
        <v>42062</v>
      </c>
      <c r="AC1048" s="43">
        <v>8.0686339523327124</v>
      </c>
      <c r="AD1048" s="25">
        <f t="shared" si="42"/>
        <v>6.1710590659690858</v>
      </c>
      <c r="AE1048" s="43">
        <v>9.4741212601137903</v>
      </c>
      <c r="AF1048" s="43">
        <v>26.656406044204719</v>
      </c>
      <c r="AG1048" s="25">
        <f t="shared" si="41"/>
        <v>26.02373316844486</v>
      </c>
      <c r="AH1048" s="43">
        <v>17.395271198197836</v>
      </c>
      <c r="AI1048" s="43"/>
      <c r="AJ1048" s="43"/>
    </row>
    <row r="1049" spans="27:36" ht="13.5" x14ac:dyDescent="0.25">
      <c r="AA1049" s="26"/>
      <c r="AB1049" s="26">
        <v>42069</v>
      </c>
      <c r="AC1049" s="43">
        <v>7.7687604843010076</v>
      </c>
      <c r="AD1049" s="25">
        <f t="shared" si="42"/>
        <v>6.1710590659690858</v>
      </c>
      <c r="AE1049" s="43">
        <v>9.3483939158230189</v>
      </c>
      <c r="AF1049" s="43">
        <v>25.564900642955781</v>
      </c>
      <c r="AG1049" s="25">
        <f t="shared" si="41"/>
        <v>26.02373316844486</v>
      </c>
      <c r="AH1049" s="43">
        <v>17.235070807258325</v>
      </c>
      <c r="AI1049" s="43"/>
      <c r="AJ1049" s="43"/>
    </row>
    <row r="1050" spans="27:36" ht="13.5" x14ac:dyDescent="0.25">
      <c r="AA1050" s="26"/>
      <c r="AB1050" s="26">
        <v>42076</v>
      </c>
      <c r="AC1050" s="43">
        <v>7.5375322600641219</v>
      </c>
      <c r="AD1050" s="25">
        <f t="shared" si="42"/>
        <v>6.1710590659690858</v>
      </c>
      <c r="AE1050" s="43">
        <v>9.3185968284275482</v>
      </c>
      <c r="AF1050" s="43">
        <v>24.723256140918419</v>
      </c>
      <c r="AG1050" s="25">
        <f t="shared" si="41"/>
        <v>26.02373316844486</v>
      </c>
      <c r="AH1050" s="43">
        <v>17.138611777774788</v>
      </c>
      <c r="AI1050" s="43"/>
      <c r="AJ1050" s="43"/>
    </row>
    <row r="1051" spans="27:36" ht="13.5" x14ac:dyDescent="0.25">
      <c r="AA1051" s="26"/>
      <c r="AB1051" s="26">
        <v>42083</v>
      </c>
      <c r="AC1051" s="43">
        <v>7.5898403051306591</v>
      </c>
      <c r="AD1051" s="25">
        <f t="shared" si="42"/>
        <v>6.1710590659690858</v>
      </c>
      <c r="AE1051" s="43">
        <v>9.4742143634204545</v>
      </c>
      <c r="AF1051" s="43">
        <v>25.207674204843737</v>
      </c>
      <c r="AG1051" s="25">
        <f t="shared" si="41"/>
        <v>26.02373316844486</v>
      </c>
      <c r="AH1051" s="43">
        <v>17.362359112593712</v>
      </c>
      <c r="AI1051" s="43"/>
      <c r="AJ1051" s="43"/>
    </row>
    <row r="1052" spans="27:36" ht="13.5" x14ac:dyDescent="0.25">
      <c r="AA1052" s="26"/>
      <c r="AB1052" s="26">
        <v>42090</v>
      </c>
      <c r="AC1052" s="43">
        <v>7.2323023115900558</v>
      </c>
      <c r="AD1052" s="25">
        <f t="shared" si="42"/>
        <v>6.1710590659690858</v>
      </c>
      <c r="AE1052" s="43">
        <v>9.3822256581381662</v>
      </c>
      <c r="AF1052" s="43">
        <v>23.89517604109556</v>
      </c>
      <c r="AG1052" s="25">
        <f t="shared" si="41"/>
        <v>26.02373316844486</v>
      </c>
      <c r="AH1052" s="43">
        <v>16.897203726662696</v>
      </c>
      <c r="AI1052" s="43"/>
      <c r="AJ1052" s="43"/>
    </row>
    <row r="1053" spans="27:36" ht="13.5" x14ac:dyDescent="0.25">
      <c r="AA1053" s="26"/>
      <c r="AB1053" s="26">
        <v>42097</v>
      </c>
      <c r="AC1053" s="43">
        <v>7.2498290771034632</v>
      </c>
      <c r="AD1053" s="25">
        <f t="shared" si="42"/>
        <v>6.1710590659690858</v>
      </c>
      <c r="AE1053" s="43">
        <v>9.3541425243897169</v>
      </c>
      <c r="AF1053" s="43">
        <v>23.959515630085786</v>
      </c>
      <c r="AG1053" s="25">
        <f t="shared" si="41"/>
        <v>26.02373316844486</v>
      </c>
      <c r="AH1053" s="43">
        <v>16.945925784536023</v>
      </c>
      <c r="AI1053" s="43"/>
      <c r="AJ1053" s="43"/>
    </row>
    <row r="1054" spans="27:36" ht="13.5" x14ac:dyDescent="0.25">
      <c r="AA1054" s="26"/>
      <c r="AB1054" s="26">
        <v>42104</v>
      </c>
      <c r="AC1054" s="43">
        <v>7.4005552490523128</v>
      </c>
      <c r="AD1054" s="25">
        <f t="shared" si="42"/>
        <v>6.1710590659690858</v>
      </c>
      <c r="AE1054" s="43">
        <v>9.4081198010223854</v>
      </c>
      <c r="AF1054" s="43">
        <v>24.512821369575516</v>
      </c>
      <c r="AG1054" s="25">
        <f t="shared" si="41"/>
        <v>26.02373316844486</v>
      </c>
      <c r="AH1054" s="43">
        <v>17.055310093291137</v>
      </c>
      <c r="AI1054" s="43"/>
      <c r="AJ1054" s="43"/>
    </row>
    <row r="1055" spans="27:36" ht="13.5" x14ac:dyDescent="0.25">
      <c r="AA1055" s="26"/>
      <c r="AB1055" s="26">
        <v>42111</v>
      </c>
      <c r="AC1055" s="43">
        <v>7.123639039717899</v>
      </c>
      <c r="AD1055" s="25">
        <f t="shared" si="42"/>
        <v>6.1710590659690858</v>
      </c>
      <c r="AE1055" s="43">
        <v>9.3752423427100844</v>
      </c>
      <c r="AF1055" s="43">
        <v>23.496280406573636</v>
      </c>
      <c r="AG1055" s="25">
        <f t="shared" si="41"/>
        <v>26.02373316844486</v>
      </c>
      <c r="AH1055" s="43">
        <v>16.912993162942062</v>
      </c>
      <c r="AI1055" s="43"/>
      <c r="AJ1055" s="43"/>
    </row>
    <row r="1056" spans="27:36" ht="13.5" x14ac:dyDescent="0.25">
      <c r="AA1056" s="26"/>
      <c r="AB1056" s="26">
        <v>42118</v>
      </c>
      <c r="AC1056" s="43">
        <v>7.1481758428589268</v>
      </c>
      <c r="AD1056" s="25">
        <f t="shared" si="42"/>
        <v>6.1710590659690858</v>
      </c>
      <c r="AE1056" s="43">
        <v>9.4726193885514114</v>
      </c>
      <c r="AF1056" s="43">
        <v>23.586353376855584</v>
      </c>
      <c r="AG1056" s="25">
        <f t="shared" si="41"/>
        <v>26.02373316844486</v>
      </c>
      <c r="AH1056" s="43">
        <v>17.037012091934333</v>
      </c>
      <c r="AI1056" s="43"/>
      <c r="AJ1056" s="43"/>
    </row>
    <row r="1057" spans="27:36" ht="13.5" x14ac:dyDescent="0.25">
      <c r="AA1057" s="26"/>
      <c r="AB1057" s="26">
        <v>42125</v>
      </c>
      <c r="AC1057" s="43">
        <v>6.8116699679344119</v>
      </c>
      <c r="AD1057" s="25">
        <f t="shared" si="42"/>
        <v>6.1710590659690858</v>
      </c>
      <c r="AE1057" s="43">
        <v>9.0886937483524122</v>
      </c>
      <c r="AF1057" s="43">
        <v>22.351062719895676</v>
      </c>
      <c r="AG1057" s="25">
        <f t="shared" si="41"/>
        <v>26.02373316844486</v>
      </c>
      <c r="AH1057" s="43">
        <v>16.354849357439715</v>
      </c>
      <c r="AI1057" s="43"/>
      <c r="AJ1057" s="43"/>
    </row>
    <row r="1058" spans="27:36" ht="13.5" x14ac:dyDescent="0.25">
      <c r="AA1058" s="26"/>
      <c r="AB1058" s="26">
        <v>42132</v>
      </c>
      <c r="AC1058" s="43">
        <v>6.8151746524593522</v>
      </c>
      <c r="AD1058" s="25">
        <f t="shared" si="42"/>
        <v>6.1710590659690858</v>
      </c>
      <c r="AE1058" s="43">
        <v>9.2466053045507159</v>
      </c>
      <c r="AF1058" s="43">
        <v>22.363928183389355</v>
      </c>
      <c r="AG1058" s="25">
        <f t="shared" si="41"/>
        <v>26.02373316844486</v>
      </c>
      <c r="AH1058" s="43">
        <v>16.507350090799061</v>
      </c>
      <c r="AI1058" s="43"/>
      <c r="AJ1058" s="43"/>
    </row>
    <row r="1059" spans="27:36" ht="13.5" x14ac:dyDescent="0.25">
      <c r="AA1059" s="26"/>
      <c r="AB1059" s="26">
        <v>42139</v>
      </c>
      <c r="AC1059" s="43">
        <v>6.8151746524593522</v>
      </c>
      <c r="AD1059" s="25">
        <f t="shared" si="42"/>
        <v>6.1710590659690858</v>
      </c>
      <c r="AE1059" s="43">
        <v>9.2522791864488916</v>
      </c>
      <c r="AF1059" s="514">
        <v>22.132313025937648</v>
      </c>
      <c r="AG1059" s="25">
        <f t="shared" si="41"/>
        <v>26.02373316844486</v>
      </c>
      <c r="AH1059" s="43">
        <v>16.59737241513621</v>
      </c>
      <c r="AI1059" s="43"/>
      <c r="AJ1059" s="43"/>
    </row>
    <row r="1060" spans="27:36" ht="13.5" x14ac:dyDescent="0.25">
      <c r="AA1060" s="26"/>
      <c r="AB1060" s="26">
        <v>42146</v>
      </c>
      <c r="AC1060" s="43">
        <v>9.410786226143701</v>
      </c>
      <c r="AD1060" s="25">
        <f t="shared" si="42"/>
        <v>6.1710590659690858</v>
      </c>
      <c r="AE1060" s="43">
        <v>9.6799635528730015</v>
      </c>
      <c r="AF1060" s="514">
        <v>34.574079939519017</v>
      </c>
      <c r="AG1060" s="25">
        <f t="shared" si="41"/>
        <v>26.02373316844486</v>
      </c>
      <c r="AH1060" s="43">
        <v>18.271587231816355</v>
      </c>
      <c r="AI1060" s="43"/>
      <c r="AJ1060" s="43"/>
    </row>
    <row r="1061" spans="27:36" ht="13.5" x14ac:dyDescent="0.25">
      <c r="AA1061" s="26"/>
      <c r="AB1061" s="26">
        <v>42153</v>
      </c>
      <c r="AC1061" s="43">
        <v>6.8151746524593522</v>
      </c>
      <c r="AD1061" s="25">
        <f t="shared" si="42"/>
        <v>6.1710590659690858</v>
      </c>
      <c r="AE1061" s="43">
        <v>9.2731406657445099</v>
      </c>
      <c r="AF1061" s="514">
        <v>22.055105519149379</v>
      </c>
      <c r="AG1061" s="25">
        <f t="shared" si="41"/>
        <v>26.02373316844486</v>
      </c>
      <c r="AH1061" s="43">
        <v>16.470118946064385</v>
      </c>
      <c r="AI1061" s="43"/>
      <c r="AJ1061" s="43"/>
    </row>
    <row r="1062" spans="27:36" ht="13.5" x14ac:dyDescent="0.25">
      <c r="AA1062" s="26"/>
      <c r="AB1062" s="26">
        <v>42160</v>
      </c>
      <c r="AC1062" s="43">
        <v>9.410786226143701</v>
      </c>
      <c r="AD1062" s="25">
        <f t="shared" si="42"/>
        <v>6.1710590659690858</v>
      </c>
      <c r="AE1062" s="43">
        <v>9.6398538017990916</v>
      </c>
      <c r="AF1062" s="514">
        <v>35.468939565280138</v>
      </c>
      <c r="AG1062" s="25">
        <f t="shared" ref="AG1062:AG1103" si="43">$Z$69</f>
        <v>26.02373316844486</v>
      </c>
      <c r="AH1062" s="43">
        <v>18.205857990392843</v>
      </c>
      <c r="AI1062" s="43"/>
      <c r="AJ1062" s="43"/>
    </row>
    <row r="1063" spans="27:36" ht="13.5" x14ac:dyDescent="0.25">
      <c r="AA1063" s="26"/>
      <c r="AB1063" s="26">
        <v>42167</v>
      </c>
      <c r="AC1063" s="43">
        <v>9.410786226143701</v>
      </c>
      <c r="AD1063" s="25">
        <f t="shared" si="42"/>
        <v>6.1710590659690858</v>
      </c>
      <c r="AE1063" s="43">
        <v>9.5938746373873478</v>
      </c>
      <c r="AF1063" s="43">
        <v>38.621280596358069</v>
      </c>
      <c r="AG1063" s="25">
        <f t="shared" si="43"/>
        <v>26.02373316844486</v>
      </c>
      <c r="AH1063" s="43">
        <v>19.43483460474949</v>
      </c>
      <c r="AI1063" s="43"/>
      <c r="AJ1063" s="43"/>
    </row>
    <row r="1064" spans="27:36" ht="13.5" x14ac:dyDescent="0.25">
      <c r="AA1064" s="26"/>
      <c r="AB1064" s="26">
        <v>42174</v>
      </c>
      <c r="AC1064" s="43">
        <v>9.410786226143701</v>
      </c>
      <c r="AD1064" s="25">
        <f t="shared" si="42"/>
        <v>6.1710590659690858</v>
      </c>
      <c r="AE1064" s="43">
        <v>9.5973840472437217</v>
      </c>
      <c r="AF1064" s="43">
        <v>38.560266117633233</v>
      </c>
      <c r="AG1064" s="25">
        <f t="shared" si="43"/>
        <v>26.02373316844486</v>
      </c>
      <c r="AH1064" s="43">
        <v>19.590271928182723</v>
      </c>
      <c r="AI1064" s="43"/>
      <c r="AJ1064" s="43"/>
    </row>
    <row r="1065" spans="27:36" ht="13.5" x14ac:dyDescent="0.25">
      <c r="AA1065" s="26"/>
      <c r="AB1065" s="26">
        <v>42181</v>
      </c>
      <c r="AC1065" s="43">
        <v>9.410786226143701</v>
      </c>
      <c r="AD1065" s="25">
        <f t="shared" si="42"/>
        <v>6.1710590659690858</v>
      </c>
      <c r="AE1065" s="43">
        <v>9.9583119954771764</v>
      </c>
      <c r="AF1065" s="43">
        <v>37.401018175612407</v>
      </c>
      <c r="AG1065" s="25">
        <f t="shared" si="43"/>
        <v>26.02373316844486</v>
      </c>
      <c r="AH1065" s="43">
        <v>16.166872695193774</v>
      </c>
      <c r="AI1065" s="43"/>
      <c r="AJ1065" s="43"/>
    </row>
    <row r="1066" spans="27:36" ht="13.5" x14ac:dyDescent="0.25">
      <c r="AA1066" s="26"/>
      <c r="AB1066" s="26">
        <v>42188</v>
      </c>
      <c r="AC1066" s="43">
        <v>7.9381673583955079</v>
      </c>
      <c r="AD1066" s="25">
        <f t="shared" si="42"/>
        <v>6.1710590659690858</v>
      </c>
      <c r="AE1066" s="43">
        <v>9.5199187869606909</v>
      </c>
      <c r="AF1066" s="43">
        <v>34.777457656161175</v>
      </c>
      <c r="AG1066" s="25">
        <f t="shared" si="43"/>
        <v>26.02373316844486</v>
      </c>
      <c r="AH1066" s="43">
        <v>15.531541430273402</v>
      </c>
      <c r="AI1066" s="43"/>
      <c r="AJ1066" s="43"/>
    </row>
    <row r="1067" spans="27:36" ht="13.5" x14ac:dyDescent="0.25">
      <c r="AA1067" s="26"/>
      <c r="AB1067" s="26">
        <v>42195</v>
      </c>
      <c r="AC1067" s="43">
        <v>7.8654718466176288</v>
      </c>
      <c r="AD1067" s="25">
        <f t="shared" si="42"/>
        <v>6.1710590659690858</v>
      </c>
      <c r="AE1067" s="43">
        <v>9.607118777571177</v>
      </c>
      <c r="AF1067" s="43">
        <v>34.472393020751582</v>
      </c>
      <c r="AG1067" s="25">
        <f t="shared" si="43"/>
        <v>26.02373316844486</v>
      </c>
      <c r="AH1067" s="43">
        <v>15.575217499778656</v>
      </c>
      <c r="AI1067" s="43"/>
      <c r="AJ1067" s="43"/>
    </row>
    <row r="1068" spans="27:36" ht="13.5" x14ac:dyDescent="0.25">
      <c r="AA1068" s="26"/>
      <c r="AB1068" s="26">
        <v>42202</v>
      </c>
      <c r="AC1068" s="43">
        <v>7.8535048006983015</v>
      </c>
      <c r="AD1068" s="25">
        <f t="shared" si="42"/>
        <v>6.1710590659690858</v>
      </c>
      <c r="AE1068" s="43">
        <v>9.914314433488066</v>
      </c>
      <c r="AF1068" s="43">
        <v>35.0686906316527</v>
      </c>
      <c r="AG1068" s="25">
        <f t="shared" si="43"/>
        <v>26.02373316844486</v>
      </c>
      <c r="AH1068" s="43">
        <v>15.823493633073374</v>
      </c>
      <c r="AI1068" s="43"/>
      <c r="AJ1068" s="43"/>
    </row>
    <row r="1069" spans="27:36" ht="13.5" x14ac:dyDescent="0.25">
      <c r="AA1069" s="26"/>
      <c r="AB1069" s="26">
        <v>42209</v>
      </c>
      <c r="AC1069" s="43">
        <v>8.0085888056573999</v>
      </c>
      <c r="AD1069" s="25">
        <f t="shared" si="42"/>
        <v>6.1710590659690858</v>
      </c>
      <c r="AE1069" s="43">
        <v>9.5601124943583429</v>
      </c>
      <c r="AF1069" s="43">
        <v>35.718862714572815</v>
      </c>
      <c r="AG1069" s="25">
        <f t="shared" si="43"/>
        <v>26.02373316844486</v>
      </c>
      <c r="AH1069" s="43">
        <v>15.338685212256211</v>
      </c>
      <c r="AI1069" s="43"/>
      <c r="AJ1069" s="43"/>
    </row>
    <row r="1070" spans="27:36" ht="13.5" x14ac:dyDescent="0.25">
      <c r="AA1070" s="26"/>
      <c r="AB1070" s="26">
        <v>42216</v>
      </c>
      <c r="AC1070" s="43">
        <v>8.1685193013181703</v>
      </c>
      <c r="AD1070" s="25">
        <f t="shared" si="42"/>
        <v>6.1710590659690858</v>
      </c>
      <c r="AE1070" s="43">
        <v>9.7345428549965334</v>
      </c>
      <c r="AF1070" s="43">
        <v>36.389353159500601</v>
      </c>
      <c r="AG1070" s="25">
        <f t="shared" si="43"/>
        <v>26.02373316844486</v>
      </c>
      <c r="AH1070" s="43">
        <v>15.814587640760143</v>
      </c>
      <c r="AI1070" s="43"/>
      <c r="AJ1070" s="43"/>
    </row>
    <row r="1071" spans="27:36" ht="13.5" x14ac:dyDescent="0.25">
      <c r="AA1071" s="26"/>
      <c r="AB1071" s="26">
        <v>42223</v>
      </c>
      <c r="AC1071" s="43">
        <v>10.185668213672875</v>
      </c>
      <c r="AD1071" s="25">
        <f t="shared" si="42"/>
        <v>6.1710590659690858</v>
      </c>
      <c r="AE1071" s="43">
        <v>9.7080129553829764</v>
      </c>
      <c r="AF1071" s="43">
        <v>41.827712103750336</v>
      </c>
      <c r="AG1071" s="25">
        <f t="shared" si="43"/>
        <v>26.02373316844486</v>
      </c>
      <c r="AH1071" s="43">
        <v>16.075880056132227</v>
      </c>
      <c r="AI1071" s="43"/>
      <c r="AJ1071" s="43"/>
    </row>
    <row r="1072" spans="27:36" ht="13.5" x14ac:dyDescent="0.25">
      <c r="AA1072" s="26"/>
      <c r="AB1072" s="26">
        <v>42230</v>
      </c>
      <c r="AC1072" s="43">
        <v>9.9932927373218163</v>
      </c>
      <c r="AD1072" s="25">
        <f t="shared" si="42"/>
        <v>6.1710590659690858</v>
      </c>
      <c r="AE1072" s="43">
        <v>9.6236562666538301</v>
      </c>
      <c r="AF1072" s="43">
        <v>41.47992036493698</v>
      </c>
      <c r="AG1072" s="25">
        <f t="shared" si="43"/>
        <v>26.02373316844486</v>
      </c>
      <c r="AH1072" s="43">
        <v>15.767329246603746</v>
      </c>
      <c r="AI1072" s="43"/>
      <c r="AJ1072" s="43"/>
    </row>
    <row r="1073" spans="27:36" ht="13.5" x14ac:dyDescent="0.25">
      <c r="AA1073" s="26"/>
      <c r="AB1073" s="26">
        <v>42237</v>
      </c>
      <c r="AC1073" s="43">
        <v>9.4873413711425556</v>
      </c>
      <c r="AD1073" s="25">
        <f t="shared" si="42"/>
        <v>6.1710590659690858</v>
      </c>
      <c r="AE1073" s="43">
        <v>9.1209676882773625</v>
      </c>
      <c r="AF1073" s="43">
        <v>39.46081134953161</v>
      </c>
      <c r="AG1073" s="25">
        <f t="shared" si="43"/>
        <v>26.02373316844486</v>
      </c>
      <c r="AH1073" s="43">
        <v>14.899769161627018</v>
      </c>
      <c r="AI1073" s="43"/>
      <c r="AJ1073" s="43"/>
    </row>
    <row r="1074" spans="27:36" ht="13.5" x14ac:dyDescent="0.25">
      <c r="AA1074" s="26"/>
      <c r="AB1074" s="26">
        <v>42244</v>
      </c>
      <c r="AC1074" s="43">
        <v>9.9883804789801758</v>
      </c>
      <c r="AD1074" s="25">
        <f t="shared" si="42"/>
        <v>6.1710590659690858</v>
      </c>
      <c r="AE1074" s="43">
        <v>8.9788426178306615</v>
      </c>
      <c r="AF1074" s="43">
        <v>41.460316929178902</v>
      </c>
      <c r="AG1074" s="25">
        <f t="shared" si="43"/>
        <v>26.02373316844486</v>
      </c>
      <c r="AH1074" s="43">
        <v>14.932596575897954</v>
      </c>
      <c r="AI1074" s="43"/>
      <c r="AJ1074" s="43"/>
    </row>
    <row r="1075" spans="27:36" ht="13.5" x14ac:dyDescent="0.25">
      <c r="AA1075" s="26"/>
      <c r="AB1075" s="26">
        <v>42251</v>
      </c>
      <c r="AC1075" s="43">
        <v>9.6347063106393431</v>
      </c>
      <c r="AD1075" s="25">
        <f t="shared" si="42"/>
        <v>6.1710590659690858</v>
      </c>
      <c r="AE1075" s="43">
        <v>8.4950817604872064</v>
      </c>
      <c r="AF1075" s="43">
        <v>40.048903205354783</v>
      </c>
      <c r="AG1075" s="25">
        <f t="shared" si="43"/>
        <v>26.02373316844486</v>
      </c>
      <c r="AH1075" s="43">
        <v>14.444995009388537</v>
      </c>
      <c r="AI1075" s="43"/>
      <c r="AJ1075" s="43"/>
    </row>
    <row r="1076" spans="27:36" ht="13.5" x14ac:dyDescent="0.25">
      <c r="AA1076" s="26"/>
      <c r="AB1076" s="26">
        <v>42258</v>
      </c>
      <c r="AC1076" s="43">
        <v>9.5364630176414842</v>
      </c>
      <c r="AD1076" s="25">
        <f t="shared" si="42"/>
        <v>6.1710590659690858</v>
      </c>
      <c r="AE1076" s="43">
        <v>8.5448717059851056</v>
      </c>
      <c r="AF1076" s="43">
        <v>39.656841968139332</v>
      </c>
      <c r="AG1076" s="25">
        <f t="shared" si="43"/>
        <v>26.02373316844486</v>
      </c>
      <c r="AH1076" s="43">
        <v>14.375575052189687</v>
      </c>
      <c r="AI1076" s="43"/>
      <c r="AJ1076" s="43"/>
    </row>
    <row r="1077" spans="27:36" ht="13.5" x14ac:dyDescent="0.25">
      <c r="AA1077" s="26"/>
      <c r="AB1077" s="26">
        <v>42265</v>
      </c>
      <c r="AC1077" s="43">
        <v>9.5561120510080464</v>
      </c>
      <c r="AD1077" s="25">
        <f t="shared" ref="AD1077:AD1083" si="44">$Z$100</f>
        <v>6.1710590659690858</v>
      </c>
      <c r="AE1077" s="43">
        <v>8.5291510633818923</v>
      </c>
      <c r="AF1077" s="43">
        <v>39.735255711171646</v>
      </c>
      <c r="AG1077" s="25">
        <f t="shared" si="43"/>
        <v>26.02373316844486</v>
      </c>
      <c r="AH1077" s="43">
        <v>14.472460959677287</v>
      </c>
      <c r="AI1077" s="43"/>
      <c r="AJ1077" s="43"/>
    </row>
    <row r="1078" spans="27:36" ht="13.5" x14ac:dyDescent="0.25">
      <c r="AA1078" s="26"/>
      <c r="AB1078" s="26">
        <v>42272</v>
      </c>
      <c r="AC1078" s="43">
        <v>9.2859434637226741</v>
      </c>
      <c r="AD1078" s="25">
        <f t="shared" si="44"/>
        <v>6.1710590659690858</v>
      </c>
      <c r="AE1078" s="43">
        <v>8.4014872115938797</v>
      </c>
      <c r="AF1078" s="43">
        <v>38.657089178315687</v>
      </c>
      <c r="AG1078" s="25">
        <f t="shared" si="43"/>
        <v>26.02373316844486</v>
      </c>
      <c r="AH1078" s="43">
        <v>14.32602098828243</v>
      </c>
      <c r="AI1078" s="43"/>
      <c r="AJ1078" s="43"/>
    </row>
    <row r="1079" spans="27:36" ht="13.5" x14ac:dyDescent="0.25">
      <c r="AA1079" s="26"/>
      <c r="AB1079" s="26">
        <v>42279</v>
      </c>
      <c r="AC1079" s="43">
        <v>9.4136593698528994</v>
      </c>
      <c r="AD1079" s="25">
        <f t="shared" si="44"/>
        <v>6.1710590659690858</v>
      </c>
      <c r="AE1079" s="43">
        <v>8.4419064325470838</v>
      </c>
      <c r="AF1079" s="43">
        <v>39.166767291106552</v>
      </c>
      <c r="AG1079" s="25">
        <f t="shared" si="43"/>
        <v>26.02373316844486</v>
      </c>
      <c r="AH1079" s="43">
        <v>14.260759860567671</v>
      </c>
      <c r="AI1079" s="43"/>
      <c r="AJ1079" s="43"/>
    </row>
    <row r="1080" spans="27:36" ht="13.5" x14ac:dyDescent="0.25">
      <c r="AA1080" s="26"/>
      <c r="AB1080" s="26">
        <v>42286</v>
      </c>
      <c r="AC1080" s="43">
        <v>10.175042548292614</v>
      </c>
      <c r="AD1080" s="25">
        <f t="shared" si="44"/>
        <v>6.1710590659690858</v>
      </c>
      <c r="AE1080" s="43">
        <v>8.8788387887493165</v>
      </c>
      <c r="AF1080" s="43">
        <v>42.205232532093646</v>
      </c>
      <c r="AG1080" s="25">
        <f t="shared" si="43"/>
        <v>26.02373316844486</v>
      </c>
      <c r="AH1080" s="43">
        <v>15.162782735878579</v>
      </c>
      <c r="AI1080" s="43"/>
      <c r="AJ1080" s="43"/>
    </row>
    <row r="1081" spans="27:36" ht="13.5" x14ac:dyDescent="0.25">
      <c r="AA1081" s="26"/>
      <c r="AB1081" s="26">
        <v>42293</v>
      </c>
      <c r="AC1081" s="43">
        <v>10.219251936449902</v>
      </c>
      <c r="AD1081" s="25">
        <f t="shared" si="44"/>
        <v>6.1710590659690858</v>
      </c>
      <c r="AE1081" s="43">
        <v>8.7109846827669539</v>
      </c>
      <c r="AF1081" s="43">
        <v>42.381659714943289</v>
      </c>
      <c r="AG1081" s="25">
        <f t="shared" si="43"/>
        <v>26.02373316844486</v>
      </c>
      <c r="AH1081" s="43">
        <v>15.420186692348583</v>
      </c>
      <c r="AI1081" s="43"/>
      <c r="AJ1081" s="43"/>
    </row>
    <row r="1082" spans="27:36" ht="13.5" x14ac:dyDescent="0.25">
      <c r="AA1082" s="26"/>
      <c r="AB1082" s="26">
        <v>42300</v>
      </c>
      <c r="AC1082" s="43">
        <v>10.346966905662649</v>
      </c>
      <c r="AD1082" s="25">
        <f t="shared" si="44"/>
        <v>6.1710590659690858</v>
      </c>
      <c r="AE1082" s="43">
        <v>8.8317341048703319</v>
      </c>
      <c r="AF1082" s="43">
        <v>42.891334088761091</v>
      </c>
      <c r="AG1082" s="25">
        <f t="shared" si="43"/>
        <v>26.02373316844486</v>
      </c>
      <c r="AH1082" s="43">
        <v>15.737569456077779</v>
      </c>
      <c r="AI1082" s="43"/>
      <c r="AJ1082" s="43"/>
    </row>
    <row r="1083" spans="27:36" ht="13.5" x14ac:dyDescent="0.25">
      <c r="AA1083" s="26"/>
      <c r="AB1083" s="590">
        <v>42307</v>
      </c>
      <c r="AC1083" s="591">
        <v>10.464859232027074</v>
      </c>
      <c r="AD1083" s="591">
        <f t="shared" si="44"/>
        <v>6.1710590659690858</v>
      </c>
      <c r="AE1083" s="591">
        <v>8.7788349744944014</v>
      </c>
      <c r="AF1083" s="591">
        <v>43.361809069008864</v>
      </c>
      <c r="AG1083" s="591">
        <f t="shared" si="43"/>
        <v>26.02373316844486</v>
      </c>
      <c r="AH1083" s="591">
        <v>15.720905992209335</v>
      </c>
      <c r="AI1083" s="591"/>
      <c r="AJ1083" s="591"/>
    </row>
    <row r="1084" spans="27:36" ht="13.5" x14ac:dyDescent="0.25">
      <c r="AA1084" s="26"/>
      <c r="AB1084" s="590">
        <f>AB1083+7</f>
        <v>42314</v>
      </c>
      <c r="AC1084" s="592">
        <v>10.532351622026162</v>
      </c>
      <c r="AD1084" s="591">
        <f>$Z$100</f>
        <v>6.1710590659690858</v>
      </c>
      <c r="AE1084" s="592">
        <v>10.048348869986333</v>
      </c>
      <c r="AF1084" s="592">
        <v>43.583735479043632</v>
      </c>
      <c r="AG1084" s="591">
        <f t="shared" si="43"/>
        <v>26.02373316844486</v>
      </c>
      <c r="AH1084" s="592">
        <v>15.430616013974063</v>
      </c>
      <c r="AI1084" s="592"/>
      <c r="AJ1084" s="592"/>
    </row>
    <row r="1085" spans="27:36" ht="13.5" x14ac:dyDescent="0.25">
      <c r="AA1085" s="26"/>
      <c r="AB1085" s="590">
        <f t="shared" ref="AB1085:AB1099" si="45">AB1084+7</f>
        <v>42321</v>
      </c>
      <c r="AC1085" s="592">
        <v>10.004799030284726</v>
      </c>
      <c r="AD1085" s="591">
        <f t="shared" ref="AD1085:AD1103" si="46">$Z$100</f>
        <v>6.1710590659690858</v>
      </c>
      <c r="AE1085" s="592">
        <v>9.5067456303332971</v>
      </c>
      <c r="AF1085" s="592">
        <v>41.479825891664383</v>
      </c>
      <c r="AG1085" s="591">
        <f t="shared" si="43"/>
        <v>26.02373316844486</v>
      </c>
      <c r="AH1085" s="592">
        <v>14.796799810880994</v>
      </c>
      <c r="AI1085" s="592"/>
      <c r="AJ1085" s="592"/>
    </row>
    <row r="1086" spans="27:36" ht="13.5" x14ac:dyDescent="0.25">
      <c r="AA1086" s="26"/>
      <c r="AB1086" s="590">
        <f t="shared" si="45"/>
        <v>42328</v>
      </c>
      <c r="AC1086" s="592">
        <v>10.232275471722073</v>
      </c>
      <c r="AD1086" s="591">
        <f t="shared" si="46"/>
        <v>6.1710590659690858</v>
      </c>
      <c r="AE1086" s="592">
        <v>9.6248207037207454</v>
      </c>
      <c r="AF1086" s="592">
        <v>42.387014811849831</v>
      </c>
      <c r="AG1086" s="591">
        <f t="shared" si="43"/>
        <v>26.02373316844486</v>
      </c>
      <c r="AH1086" s="592">
        <v>15.168256636329971</v>
      </c>
      <c r="AI1086" s="592"/>
      <c r="AJ1086" s="592"/>
    </row>
    <row r="1087" spans="27:36" ht="13.5" x14ac:dyDescent="0.25">
      <c r="AA1087" s="26"/>
      <c r="AB1087" s="590">
        <f t="shared" si="45"/>
        <v>42335</v>
      </c>
      <c r="AC1087" s="592">
        <v>10.532351622026162</v>
      </c>
      <c r="AD1087" s="591">
        <f t="shared" si="46"/>
        <v>6.1710590659690858</v>
      </c>
      <c r="AE1087" s="592">
        <v>9.6783054223178251</v>
      </c>
      <c r="AF1087" s="592">
        <v>43.583735479043632</v>
      </c>
      <c r="AG1087" s="591">
        <f t="shared" si="43"/>
        <v>26.02373316844486</v>
      </c>
      <c r="AH1087" s="592">
        <v>15.383262616354058</v>
      </c>
      <c r="AI1087" s="592"/>
      <c r="AJ1087" s="592"/>
    </row>
    <row r="1088" spans="27:36" ht="13.5" x14ac:dyDescent="0.25">
      <c r="AA1088" s="26"/>
      <c r="AB1088" s="590">
        <f t="shared" si="45"/>
        <v>42342</v>
      </c>
      <c r="AC1088" s="592">
        <v>10.595270323481207</v>
      </c>
      <c r="AD1088" s="591">
        <f t="shared" si="46"/>
        <v>6.1710590659690858</v>
      </c>
      <c r="AE1088" s="592">
        <v>9.7017452299800357</v>
      </c>
      <c r="AF1088" s="592">
        <v>43.834658820695232</v>
      </c>
      <c r="AG1088" s="591">
        <f t="shared" si="43"/>
        <v>26.02373316844486</v>
      </c>
      <c r="AH1088" s="592">
        <v>15.373847259463142</v>
      </c>
      <c r="AI1088" s="592"/>
      <c r="AJ1088" s="592"/>
    </row>
    <row r="1089" spans="27:36" ht="13.5" x14ac:dyDescent="0.25">
      <c r="AA1089" s="26"/>
      <c r="AB1089" s="590">
        <f t="shared" si="45"/>
        <v>42349</v>
      </c>
      <c r="AC1089" s="592">
        <v>10.766396741848448</v>
      </c>
      <c r="AD1089" s="591">
        <f t="shared" si="46"/>
        <v>6.1710590659690858</v>
      </c>
      <c r="AE1089" s="592">
        <v>9.173903882459415</v>
      </c>
      <c r="AF1089" s="592">
        <v>42.942704814806959</v>
      </c>
      <c r="AG1089" s="591">
        <f t="shared" si="43"/>
        <v>26.02373316844486</v>
      </c>
      <c r="AH1089" s="592">
        <v>14.888598329504012</v>
      </c>
      <c r="AI1089" s="592"/>
      <c r="AJ1089" s="592"/>
    </row>
    <row r="1090" spans="27:36" ht="13.5" x14ac:dyDescent="0.25">
      <c r="AA1090" s="26"/>
      <c r="AB1090" s="590">
        <f t="shared" si="45"/>
        <v>42356</v>
      </c>
      <c r="AC1090" s="592">
        <v>10.430384900002364</v>
      </c>
      <c r="AD1090" s="591">
        <f t="shared" si="46"/>
        <v>6.1710590659690858</v>
      </c>
      <c r="AE1090" s="592">
        <v>9.0771164274205844</v>
      </c>
      <c r="AF1090" s="592">
        <v>41.650448275208539</v>
      </c>
      <c r="AG1090" s="591">
        <f t="shared" si="43"/>
        <v>26.02373316844486</v>
      </c>
      <c r="AH1090" s="592">
        <v>14.858831875600604</v>
      </c>
      <c r="AI1090" s="592"/>
      <c r="AJ1090" s="592"/>
    </row>
    <row r="1091" spans="27:36" ht="13.5" x14ac:dyDescent="0.25">
      <c r="AA1091" s="26"/>
      <c r="AB1091" s="590">
        <f t="shared" si="45"/>
        <v>42363</v>
      </c>
      <c r="AC1091" s="592">
        <v>10.678516630659054</v>
      </c>
      <c r="AD1091" s="591">
        <f t="shared" si="46"/>
        <v>6.1710590659690858</v>
      </c>
      <c r="AE1091" s="592">
        <v>9.3847668110565401</v>
      </c>
      <c r="AF1091" s="592">
        <v>42.604729677498703</v>
      </c>
      <c r="AG1091" s="591">
        <f t="shared" si="43"/>
        <v>26.02373316844486</v>
      </c>
      <c r="AH1091" s="592">
        <v>15.091794947014812</v>
      </c>
      <c r="AI1091" s="592"/>
      <c r="AJ1091" s="592"/>
    </row>
    <row r="1092" spans="27:36" ht="13.5" x14ac:dyDescent="0.25">
      <c r="AA1092" s="26"/>
      <c r="AB1092" s="590">
        <f t="shared" si="45"/>
        <v>42370</v>
      </c>
      <c r="AC1092" s="592">
        <v>10.414876297090878</v>
      </c>
      <c r="AD1092" s="591">
        <f t="shared" si="46"/>
        <v>6.1710590659690858</v>
      </c>
      <c r="AE1092" s="592">
        <v>9.1957928513954048</v>
      </c>
      <c r="AF1092" s="592">
        <v>41.590804265573944</v>
      </c>
      <c r="AG1092" s="591">
        <f t="shared" si="43"/>
        <v>26.02373316844486</v>
      </c>
      <c r="AH1092" s="592">
        <v>14.679630092147882</v>
      </c>
      <c r="AI1092" s="592"/>
      <c r="AJ1092" s="592"/>
    </row>
    <row r="1093" spans="27:36" ht="13.5" x14ac:dyDescent="0.25">
      <c r="AA1093" s="26"/>
      <c r="AB1093" s="590">
        <f t="shared" si="45"/>
        <v>42377</v>
      </c>
      <c r="AC1093" s="592">
        <v>9.3654844971219955</v>
      </c>
      <c r="AD1093" s="591">
        <f t="shared" si="46"/>
        <v>6.1710590659690858</v>
      </c>
      <c r="AE1093" s="592">
        <v>8.453973162576732</v>
      </c>
      <c r="AF1093" s="592">
        <v>37.554983954419768</v>
      </c>
      <c r="AG1093" s="591">
        <f t="shared" si="43"/>
        <v>26.02373316844486</v>
      </c>
      <c r="AH1093" s="592">
        <v>13.493179294966396</v>
      </c>
      <c r="AI1093" s="592"/>
      <c r="AJ1093" s="592"/>
    </row>
    <row r="1094" spans="27:36" ht="13.5" x14ac:dyDescent="0.25">
      <c r="AA1094" s="26"/>
      <c r="AB1094" s="590">
        <f t="shared" si="45"/>
        <v>42384</v>
      </c>
      <c r="AC1094" s="592">
        <v>9.1018441635538174</v>
      </c>
      <c r="AD1094" s="591">
        <f t="shared" si="46"/>
        <v>6.1710590659690858</v>
      </c>
      <c r="AE1094" s="592">
        <v>8.9531440396514235</v>
      </c>
      <c r="AF1094" s="592">
        <v>36.541058542495009</v>
      </c>
      <c r="AG1094" s="591">
        <f t="shared" si="43"/>
        <v>26.02373316844486</v>
      </c>
      <c r="AH1094" s="592">
        <v>13.330656303541783</v>
      </c>
      <c r="AI1094" s="592"/>
      <c r="AJ1094" s="592"/>
    </row>
    <row r="1095" spans="27:36" ht="13.5" x14ac:dyDescent="0.25">
      <c r="AA1095" s="26"/>
      <c r="AB1095" s="590">
        <f t="shared" si="45"/>
        <v>42391</v>
      </c>
      <c r="AC1095" s="592">
        <v>9.2052328776546979</v>
      </c>
      <c r="AD1095" s="591">
        <f t="shared" si="46"/>
        <v>6.1710590659690858</v>
      </c>
      <c r="AE1095" s="592">
        <v>8.8977028330700865</v>
      </c>
      <c r="AF1095" s="592">
        <v>36.938677689437853</v>
      </c>
      <c r="AG1095" s="591">
        <f t="shared" si="43"/>
        <v>26.02373316844486</v>
      </c>
      <c r="AH1095" s="592">
        <v>13.503883544197436</v>
      </c>
      <c r="AI1095" s="592"/>
      <c r="AJ1095" s="592"/>
    </row>
    <row r="1096" spans="27:36" ht="13.5" x14ac:dyDescent="0.25">
      <c r="AA1096" s="26"/>
      <c r="AB1096" s="590">
        <f t="shared" si="45"/>
        <v>42398</v>
      </c>
      <c r="AC1096" s="592">
        <v>9.2672663033127947</v>
      </c>
      <c r="AD1096" s="591">
        <f t="shared" si="46"/>
        <v>6.1710590659690858</v>
      </c>
      <c r="AE1096" s="592">
        <v>8.0877946076793457</v>
      </c>
      <c r="AF1096" s="592">
        <v>37.177249935999008</v>
      </c>
      <c r="AG1096" s="591">
        <f t="shared" si="43"/>
        <v>26.02373316844486</v>
      </c>
      <c r="AH1096" s="592">
        <v>13.646047128954766</v>
      </c>
      <c r="AI1096" s="592"/>
      <c r="AJ1096" s="592"/>
    </row>
    <row r="1097" spans="27:36" ht="13.5" x14ac:dyDescent="0.25">
      <c r="AA1097" s="26"/>
      <c r="AB1097" s="590">
        <f t="shared" si="45"/>
        <v>42405</v>
      </c>
      <c r="AC1097" s="592">
        <v>9.7794574093912026</v>
      </c>
      <c r="AD1097" s="591">
        <f t="shared" si="46"/>
        <v>6.1710590659690858</v>
      </c>
      <c r="AE1097" s="592">
        <v>7.9587984989350931</v>
      </c>
      <c r="AF1097" s="592">
        <v>35.756578557771199</v>
      </c>
      <c r="AG1097" s="591">
        <f t="shared" si="43"/>
        <v>26.02373316844486</v>
      </c>
      <c r="AH1097" s="592">
        <v>13.497162471880394</v>
      </c>
      <c r="AI1097" s="592"/>
      <c r="AJ1097" s="592"/>
    </row>
    <row r="1098" spans="27:36" ht="13.5" x14ac:dyDescent="0.25">
      <c r="AA1098" s="26"/>
      <c r="AB1098" s="590">
        <f t="shared" si="45"/>
        <v>42412</v>
      </c>
      <c r="AC1098" s="592">
        <v>9.6413889476439021</v>
      </c>
      <c r="AD1098" s="591">
        <f t="shared" si="46"/>
        <v>6.1710590659690858</v>
      </c>
      <c r="AE1098" s="592">
        <v>7.8768897385581624</v>
      </c>
      <c r="AF1098" s="592">
        <v>35.269725677498641</v>
      </c>
      <c r="AG1098" s="591">
        <f t="shared" si="43"/>
        <v>26.02373316844486</v>
      </c>
      <c r="AH1098" s="592">
        <v>13.457387104734449</v>
      </c>
      <c r="AI1098" s="592"/>
      <c r="AJ1098" s="592"/>
    </row>
    <row r="1099" spans="27:36" ht="13.5" x14ac:dyDescent="0.25">
      <c r="AA1099" s="26"/>
      <c r="AB1099" s="590">
        <f t="shared" si="45"/>
        <v>42419</v>
      </c>
      <c r="AC1099" s="592">
        <v>9.9891164918893764</v>
      </c>
      <c r="AD1099" s="591">
        <f t="shared" si="46"/>
        <v>6.1710590659690858</v>
      </c>
      <c r="AE1099" s="592">
        <v>8.0727798601894225</v>
      </c>
      <c r="AF1099" s="592">
        <v>36.495872143705085</v>
      </c>
      <c r="AG1099" s="591">
        <f t="shared" si="43"/>
        <v>26.02373316844486</v>
      </c>
      <c r="AH1099" s="592">
        <v>13.905953893515992</v>
      </c>
      <c r="AI1099" s="592"/>
      <c r="AJ1099" s="592"/>
    </row>
    <row r="1100" spans="27:36" ht="13.5" x14ac:dyDescent="0.25">
      <c r="AA1100" s="26"/>
      <c r="AB1100" s="590">
        <f>AB1099+7</f>
        <v>42426</v>
      </c>
      <c r="AC1100" s="592">
        <v>10.265253415383979</v>
      </c>
      <c r="AD1100" s="591">
        <f t="shared" si="46"/>
        <v>6.1710590659690858</v>
      </c>
      <c r="AE1100" s="592">
        <v>8.4059488092980832</v>
      </c>
      <c r="AF1100" s="592">
        <v>37.469577904250201</v>
      </c>
      <c r="AG1100" s="591">
        <f t="shared" si="43"/>
        <v>26.02373316844486</v>
      </c>
      <c r="AH1100" s="592">
        <v>14.268258096009639</v>
      </c>
      <c r="AI1100" s="592"/>
      <c r="AJ1100" s="592"/>
    </row>
    <row r="1101" spans="27:36" ht="13.5" x14ac:dyDescent="0.25">
      <c r="AA1101" s="26"/>
      <c r="AB1101" s="590">
        <f>AB1100+7</f>
        <v>42433</v>
      </c>
      <c r="AC1101" s="592">
        <v>10.574197034863245</v>
      </c>
      <c r="AD1101" s="591">
        <f t="shared" si="46"/>
        <v>6.1710590659690858</v>
      </c>
      <c r="AE1101" s="592">
        <v>8.6275416388912198</v>
      </c>
      <c r="AF1101" s="592">
        <v>38.695720931209976</v>
      </c>
      <c r="AG1101" s="591">
        <f t="shared" si="43"/>
        <v>26.02373316844486</v>
      </c>
      <c r="AH1101" s="592">
        <v>14.976842212433999</v>
      </c>
      <c r="AI1101" s="592"/>
      <c r="AJ1101" s="592"/>
    </row>
    <row r="1102" spans="27:36" ht="13.5" x14ac:dyDescent="0.25">
      <c r="AA1102" s="26"/>
      <c r="AB1102" s="590">
        <f>AB1101+7</f>
        <v>42440</v>
      </c>
      <c r="AC1102" s="592">
        <v>10.020339016983206</v>
      </c>
      <c r="AD1102" s="591">
        <f t="shared" si="46"/>
        <v>6.1710590659690858</v>
      </c>
      <c r="AE1102" s="592">
        <v>8.0580495712137186</v>
      </c>
      <c r="AF1102" s="592">
        <v>35.280015787072976</v>
      </c>
      <c r="AG1102" s="591">
        <f t="shared" si="43"/>
        <v>26.02373316844486</v>
      </c>
      <c r="AH1102" s="592">
        <v>14.375853650058737</v>
      </c>
      <c r="AI1102" s="592"/>
      <c r="AJ1102" s="592"/>
    </row>
    <row r="1103" spans="27:36" ht="13.5" x14ac:dyDescent="0.25">
      <c r="AA1103" s="26"/>
      <c r="AB1103" s="590">
        <f>AB1102+7</f>
        <v>42447</v>
      </c>
      <c r="AC1103" s="592">
        <v>10.415731030907416</v>
      </c>
      <c r="AD1103" s="591">
        <f t="shared" si="46"/>
        <v>6.1710590659690858</v>
      </c>
      <c r="AE1103" s="592">
        <v>7.9182473456906752</v>
      </c>
      <c r="AF1103" s="592">
        <v>36.625299563062221</v>
      </c>
      <c r="AG1103" s="591">
        <f t="shared" si="43"/>
        <v>26.02373316844486</v>
      </c>
      <c r="AH1103" s="592">
        <v>13.756548629320942</v>
      </c>
      <c r="AI1103" s="592"/>
      <c r="AJ1103" s="592"/>
    </row>
    <row r="1104" spans="27:36" ht="13.5" x14ac:dyDescent="0.25">
      <c r="AA1104" s="26"/>
      <c r="AB1104" s="26"/>
      <c r="AC1104" s="43"/>
      <c r="AD1104" s="25"/>
      <c r="AE1104" s="43"/>
      <c r="AF1104" s="43"/>
      <c r="AG1104" s="25"/>
      <c r="AH1104" s="43"/>
      <c r="AI1104" s="43"/>
      <c r="AJ1104" s="43"/>
    </row>
    <row r="1105" spans="27:36" ht="13.5" x14ac:dyDescent="0.25">
      <c r="AA1105" s="26"/>
      <c r="AB1105" s="26"/>
      <c r="AC1105" s="43"/>
      <c r="AD1105" s="25"/>
      <c r="AE1105" s="43"/>
      <c r="AF1105" s="43"/>
      <c r="AG1105" s="25"/>
      <c r="AH1105" s="43"/>
      <c r="AI1105" s="43"/>
      <c r="AJ1105" s="43"/>
    </row>
    <row r="1106" spans="27:36" ht="13.5" x14ac:dyDescent="0.25">
      <c r="AA1106" s="26"/>
      <c r="AB1106" s="26"/>
      <c r="AC1106" s="43"/>
      <c r="AD1106" s="25"/>
      <c r="AE1106" s="43"/>
      <c r="AF1106" s="43"/>
      <c r="AG1106" s="25"/>
      <c r="AH1106" s="43"/>
      <c r="AI1106" s="43"/>
      <c r="AJ1106" s="43"/>
    </row>
    <row r="1107" spans="27:36" ht="13.5" x14ac:dyDescent="0.25">
      <c r="AA1107" s="26"/>
      <c r="AB1107" s="26"/>
      <c r="AC1107" s="43"/>
      <c r="AD1107" s="25"/>
      <c r="AE1107" s="43"/>
      <c r="AF1107" s="43"/>
      <c r="AG1107" s="25"/>
      <c r="AH1107" s="43"/>
      <c r="AI1107" s="43"/>
      <c r="AJ1107" s="43"/>
    </row>
    <row r="1108" spans="27:36" ht="13.5" x14ac:dyDescent="0.25">
      <c r="AA1108" s="26"/>
      <c r="AB1108" s="26"/>
      <c r="AC1108" s="43"/>
      <c r="AD1108" s="25"/>
      <c r="AE1108" s="43"/>
      <c r="AF1108" s="43"/>
      <c r="AG1108" s="25"/>
      <c r="AH1108" s="43"/>
      <c r="AI1108" s="43"/>
      <c r="AJ1108" s="43"/>
    </row>
    <row r="1109" spans="27:36" ht="13.5" x14ac:dyDescent="0.25">
      <c r="AA1109" s="26"/>
      <c r="AB1109" s="26"/>
      <c r="AC1109" s="43"/>
      <c r="AD1109" s="25"/>
      <c r="AE1109" s="43"/>
      <c r="AF1109" s="43"/>
      <c r="AG1109" s="25"/>
      <c r="AH1109" s="43"/>
      <c r="AI1109" s="43"/>
      <c r="AJ1109" s="43"/>
    </row>
    <row r="1110" spans="27:36" ht="13.5" x14ac:dyDescent="0.25">
      <c r="AA1110" s="26"/>
      <c r="AB1110" s="26"/>
      <c r="AC1110" s="43"/>
      <c r="AD1110" s="25"/>
      <c r="AE1110" s="43"/>
      <c r="AF1110" s="43"/>
      <c r="AG1110" s="25"/>
      <c r="AH1110" s="43"/>
      <c r="AI1110" s="43"/>
      <c r="AJ1110" s="43"/>
    </row>
    <row r="1111" spans="27:36" ht="13.5" x14ac:dyDescent="0.25">
      <c r="AA1111" s="26"/>
      <c r="AB1111" s="26"/>
      <c r="AC1111" s="43"/>
      <c r="AD1111" s="25"/>
      <c r="AE1111" s="43"/>
      <c r="AF1111" s="43"/>
      <c r="AG1111" s="25"/>
      <c r="AH1111" s="43"/>
      <c r="AI1111" s="43"/>
      <c r="AJ1111" s="43"/>
    </row>
    <row r="1112" spans="27:36" ht="13.5" x14ac:dyDescent="0.25">
      <c r="AA1112" s="26"/>
      <c r="AB1112" s="26"/>
      <c r="AC1112" s="43"/>
      <c r="AD1112" s="25"/>
      <c r="AE1112" s="43"/>
      <c r="AF1112" s="43"/>
      <c r="AG1112" s="25"/>
      <c r="AH1112" s="43"/>
      <c r="AI1112" s="43"/>
      <c r="AJ1112" s="43"/>
    </row>
    <row r="1113" spans="27:36" ht="13.5" x14ac:dyDescent="0.25">
      <c r="AA1113" s="26"/>
      <c r="AB1113" s="26"/>
      <c r="AC1113" s="43"/>
      <c r="AD1113" s="25"/>
      <c r="AE1113" s="43"/>
      <c r="AF1113" s="43"/>
      <c r="AG1113" s="25"/>
      <c r="AH1113" s="43"/>
      <c r="AI1113" s="43"/>
      <c r="AJ1113" s="43"/>
    </row>
    <row r="1114" spans="27:36" ht="13.5" x14ac:dyDescent="0.25">
      <c r="AA1114" s="26"/>
      <c r="AB1114" s="26"/>
      <c r="AC1114" s="43"/>
      <c r="AD1114" s="25"/>
      <c r="AE1114" s="43"/>
      <c r="AF1114" s="43"/>
      <c r="AG1114" s="25"/>
      <c r="AH1114" s="43"/>
      <c r="AI1114" s="43"/>
      <c r="AJ1114" s="43"/>
    </row>
    <row r="1115" spans="27:36" ht="13.5" x14ac:dyDescent="0.25">
      <c r="AA1115" s="26"/>
      <c r="AB1115" s="26"/>
      <c r="AC1115" s="43"/>
      <c r="AD1115" s="25"/>
      <c r="AE1115" s="43"/>
      <c r="AF1115" s="43"/>
      <c r="AG1115" s="25"/>
      <c r="AH1115" s="43"/>
      <c r="AI1115" s="43"/>
      <c r="AJ1115" s="43"/>
    </row>
    <row r="1116" spans="27:36" ht="13.5" x14ac:dyDescent="0.25">
      <c r="AA1116" s="26"/>
      <c r="AB1116" s="26"/>
      <c r="AC1116" s="43"/>
      <c r="AD1116" s="25"/>
      <c r="AE1116" s="43"/>
      <c r="AF1116" s="43"/>
      <c r="AG1116" s="25"/>
      <c r="AH1116" s="43"/>
      <c r="AI1116" s="43"/>
      <c r="AJ1116" s="43"/>
    </row>
    <row r="1117" spans="27:36" ht="13.5" x14ac:dyDescent="0.25">
      <c r="AA1117" s="26"/>
      <c r="AB1117" s="26"/>
      <c r="AC1117" s="43"/>
      <c r="AD1117" s="25"/>
      <c r="AE1117" s="43"/>
      <c r="AF1117" s="43"/>
      <c r="AG1117" s="25"/>
      <c r="AH1117" s="43"/>
      <c r="AI1117" s="43"/>
      <c r="AJ1117" s="43"/>
    </row>
    <row r="1118" spans="27:36" ht="13.5" x14ac:dyDescent="0.25">
      <c r="AA1118" s="26"/>
      <c r="AB1118" s="26"/>
      <c r="AC1118" s="43"/>
      <c r="AD1118" s="25"/>
      <c r="AE1118" s="43"/>
      <c r="AF1118" s="43"/>
      <c r="AG1118" s="25"/>
      <c r="AH1118" s="43"/>
      <c r="AI1118" s="43"/>
      <c r="AJ1118" s="43"/>
    </row>
    <row r="1119" spans="27:36" ht="13.5" x14ac:dyDescent="0.25">
      <c r="AA1119" s="26"/>
      <c r="AB1119" s="26"/>
      <c r="AC1119" s="43"/>
      <c r="AD1119" s="25"/>
      <c r="AE1119" s="43"/>
      <c r="AF1119" s="43"/>
      <c r="AG1119" s="25"/>
      <c r="AH1119" s="43"/>
      <c r="AI1119" s="43"/>
      <c r="AJ1119" s="43"/>
    </row>
    <row r="1120" spans="27:36" ht="13.5" x14ac:dyDescent="0.25">
      <c r="AA1120" s="26"/>
      <c r="AB1120" s="26"/>
      <c r="AC1120" s="43"/>
      <c r="AD1120" s="25"/>
      <c r="AE1120" s="43"/>
      <c r="AF1120" s="43"/>
      <c r="AG1120" s="25"/>
      <c r="AH1120" s="43"/>
      <c r="AI1120" s="43"/>
      <c r="AJ1120" s="43"/>
    </row>
    <row r="1121" spans="27:36" ht="13.5" x14ac:dyDescent="0.25">
      <c r="AA1121" s="26"/>
      <c r="AB1121" s="26"/>
      <c r="AC1121" s="43"/>
      <c r="AD1121" s="25"/>
      <c r="AE1121" s="43"/>
      <c r="AF1121" s="43"/>
      <c r="AG1121" s="25"/>
      <c r="AH1121" s="43"/>
      <c r="AI1121" s="43"/>
      <c r="AJ1121" s="43"/>
    </row>
    <row r="1122" spans="27:36" ht="13.5" x14ac:dyDescent="0.25">
      <c r="AA1122" s="26"/>
      <c r="AB1122" s="26"/>
      <c r="AC1122" s="43"/>
      <c r="AD1122" s="25"/>
      <c r="AE1122" s="43"/>
      <c r="AF1122" s="43"/>
      <c r="AG1122" s="25"/>
      <c r="AH1122" s="43"/>
      <c r="AI1122" s="43"/>
      <c r="AJ1122" s="43"/>
    </row>
    <row r="1123" spans="27:36" ht="13.5" x14ac:dyDescent="0.25">
      <c r="AA1123" s="26"/>
      <c r="AB1123" s="26"/>
      <c r="AC1123" s="43"/>
      <c r="AD1123" s="25"/>
      <c r="AE1123" s="43"/>
      <c r="AF1123" s="43"/>
      <c r="AG1123" s="25"/>
      <c r="AH1123" s="43"/>
      <c r="AI1123" s="43"/>
      <c r="AJ1123" s="43"/>
    </row>
    <row r="1124" spans="27:36" ht="13.5" x14ac:dyDescent="0.25">
      <c r="AA1124" s="26"/>
      <c r="AB1124" s="26"/>
      <c r="AC1124" s="43"/>
      <c r="AD1124" s="25"/>
      <c r="AE1124" s="43"/>
      <c r="AF1124" s="43"/>
      <c r="AG1124" s="25"/>
      <c r="AH1124" s="43"/>
      <c r="AI1124" s="43"/>
      <c r="AJ1124" s="43"/>
    </row>
    <row r="1125" spans="27:36" ht="13.5" x14ac:dyDescent="0.25">
      <c r="AA1125" s="26"/>
      <c r="AB1125" s="26"/>
      <c r="AC1125" s="43"/>
      <c r="AD1125" s="25"/>
      <c r="AE1125" s="43"/>
      <c r="AF1125" s="43"/>
      <c r="AG1125" s="25"/>
      <c r="AH1125" s="43"/>
      <c r="AI1125" s="43"/>
      <c r="AJ1125" s="43"/>
    </row>
    <row r="1126" spans="27:36" ht="13.5" x14ac:dyDescent="0.25">
      <c r="AA1126" s="26"/>
      <c r="AB1126" s="26"/>
      <c r="AC1126" s="43"/>
      <c r="AD1126" s="25"/>
      <c r="AE1126" s="43"/>
      <c r="AF1126" s="43"/>
      <c r="AG1126" s="25"/>
      <c r="AH1126" s="43"/>
      <c r="AI1126" s="43"/>
      <c r="AJ1126" s="43"/>
    </row>
    <row r="1127" spans="27:36" ht="13.5" x14ac:dyDescent="0.25">
      <c r="AA1127" s="26"/>
      <c r="AB1127" s="26"/>
      <c r="AC1127" s="43"/>
      <c r="AD1127" s="25"/>
      <c r="AE1127" s="43"/>
      <c r="AF1127" s="43"/>
      <c r="AG1127" s="25"/>
      <c r="AH1127" s="43"/>
      <c r="AI1127" s="43"/>
      <c r="AJ1127" s="43"/>
    </row>
    <row r="1128" spans="27:36" ht="13.5" x14ac:dyDescent="0.25">
      <c r="AA1128" s="26"/>
      <c r="AB1128" s="26"/>
      <c r="AC1128" s="43"/>
      <c r="AD1128" s="25"/>
      <c r="AE1128" s="43"/>
      <c r="AF1128" s="43"/>
      <c r="AG1128" s="25"/>
      <c r="AH1128" s="43"/>
      <c r="AI1128" s="43"/>
      <c r="AJ1128" s="43"/>
    </row>
    <row r="1129" spans="27:36" ht="13.5" x14ac:dyDescent="0.25">
      <c r="AA1129" s="26"/>
      <c r="AB1129" s="26"/>
      <c r="AC1129" s="43"/>
      <c r="AD1129" s="25"/>
      <c r="AE1129" s="43"/>
      <c r="AF1129" s="43"/>
      <c r="AG1129" s="25"/>
      <c r="AH1129" s="43"/>
      <c r="AI1129" s="43"/>
      <c r="AJ1129" s="43"/>
    </row>
    <row r="1130" spans="27:36" ht="13.5" x14ac:dyDescent="0.25">
      <c r="AA1130" s="26"/>
      <c r="AB1130" s="26"/>
      <c r="AC1130" s="43"/>
      <c r="AD1130" s="25"/>
      <c r="AE1130" s="43"/>
      <c r="AF1130" s="43"/>
      <c r="AG1130" s="25"/>
      <c r="AH1130" s="43"/>
      <c r="AI1130" s="43"/>
      <c r="AJ1130" s="43"/>
    </row>
    <row r="1131" spans="27:36" ht="13.5" x14ac:dyDescent="0.25">
      <c r="AA1131" s="26"/>
      <c r="AB1131" s="26"/>
      <c r="AC1131" s="43"/>
      <c r="AD1131" s="25"/>
      <c r="AE1131" s="43"/>
      <c r="AF1131" s="43"/>
      <c r="AG1131" s="25"/>
      <c r="AH1131" s="43"/>
      <c r="AI1131" s="43"/>
      <c r="AJ1131" s="43"/>
    </row>
    <row r="1132" spans="27:36" ht="13.5" x14ac:dyDescent="0.25">
      <c r="AA1132" s="26"/>
      <c r="AB1132" s="26"/>
      <c r="AC1132" s="43"/>
      <c r="AD1132" s="25"/>
      <c r="AE1132" s="43"/>
      <c r="AF1132" s="43"/>
      <c r="AG1132" s="25"/>
      <c r="AH1132" s="43"/>
      <c r="AI1132" s="43"/>
      <c r="AJ1132" s="43"/>
    </row>
    <row r="1133" spans="27:36" ht="13.5" x14ac:dyDescent="0.25">
      <c r="AA1133" s="26"/>
      <c r="AB1133" s="26"/>
      <c r="AC1133" s="43"/>
      <c r="AD1133" s="25"/>
      <c r="AE1133" s="43"/>
      <c r="AF1133" s="43"/>
      <c r="AG1133" s="25"/>
      <c r="AH1133" s="43"/>
      <c r="AI1133" s="43"/>
      <c r="AJ1133" s="43"/>
    </row>
    <row r="1134" spans="27:36" ht="13.5" x14ac:dyDescent="0.25">
      <c r="AA1134" s="26"/>
      <c r="AB1134" s="26"/>
      <c r="AC1134" s="43"/>
      <c r="AD1134" s="25"/>
      <c r="AE1134" s="43"/>
      <c r="AF1134" s="43"/>
      <c r="AG1134" s="25"/>
      <c r="AH1134" s="43"/>
      <c r="AI1134" s="43"/>
      <c r="AJ1134" s="43"/>
    </row>
    <row r="1135" spans="27:36" ht="13.5" x14ac:dyDescent="0.25">
      <c r="AA1135" s="26"/>
      <c r="AB1135" s="26"/>
      <c r="AC1135" s="43"/>
      <c r="AD1135" s="25"/>
      <c r="AE1135" s="43"/>
      <c r="AF1135" s="43"/>
      <c r="AG1135" s="25"/>
      <c r="AH1135" s="43"/>
      <c r="AI1135" s="43"/>
      <c r="AJ1135" s="43"/>
    </row>
    <row r="1136" spans="27:36" ht="13.5" x14ac:dyDescent="0.25">
      <c r="AA1136" s="26"/>
      <c r="AB1136" s="26"/>
      <c r="AC1136" s="43"/>
      <c r="AD1136" s="25"/>
      <c r="AE1136" s="43"/>
      <c r="AF1136" s="43"/>
      <c r="AG1136" s="25"/>
      <c r="AH1136" s="43"/>
      <c r="AI1136" s="43"/>
      <c r="AJ1136" s="43"/>
    </row>
    <row r="1137" spans="27:36" ht="13.5" x14ac:dyDescent="0.25">
      <c r="AA1137" s="26"/>
      <c r="AB1137" s="26"/>
      <c r="AC1137" s="43"/>
      <c r="AD1137" s="25"/>
      <c r="AE1137" s="43"/>
      <c r="AF1137" s="43"/>
      <c r="AG1137" s="25"/>
      <c r="AH1137" s="43"/>
      <c r="AI1137" s="43"/>
      <c r="AJ1137" s="43"/>
    </row>
    <row r="1138" spans="27:36" ht="13.5" x14ac:dyDescent="0.25">
      <c r="AA1138" s="26"/>
      <c r="AB1138" s="26"/>
      <c r="AC1138" s="43"/>
      <c r="AD1138" s="25"/>
      <c r="AE1138" s="43"/>
      <c r="AF1138" s="43"/>
      <c r="AG1138" s="25"/>
      <c r="AH1138" s="43"/>
      <c r="AI1138" s="43"/>
      <c r="AJ1138" s="43"/>
    </row>
    <row r="1139" spans="27:36" ht="13.5" x14ac:dyDescent="0.25">
      <c r="AA1139" s="26"/>
      <c r="AB1139" s="26"/>
      <c r="AC1139" s="43"/>
      <c r="AD1139" s="25"/>
      <c r="AE1139" s="43"/>
      <c r="AF1139" s="43"/>
      <c r="AG1139" s="25"/>
      <c r="AH1139" s="43"/>
      <c r="AI1139" s="43"/>
      <c r="AJ1139" s="43"/>
    </row>
    <row r="1140" spans="27:36" ht="13.5" x14ac:dyDescent="0.25">
      <c r="AA1140" s="26"/>
      <c r="AB1140" s="26"/>
      <c r="AC1140" s="43"/>
      <c r="AD1140" s="25"/>
      <c r="AE1140" s="43"/>
      <c r="AF1140" s="43"/>
      <c r="AG1140" s="25"/>
      <c r="AH1140" s="43"/>
      <c r="AI1140" s="43"/>
      <c r="AJ1140" s="43"/>
    </row>
    <row r="1141" spans="27:36" ht="13.5" x14ac:dyDescent="0.25">
      <c r="AA1141" s="26"/>
      <c r="AB1141" s="26"/>
      <c r="AC1141" s="43"/>
      <c r="AD1141" s="25"/>
      <c r="AE1141" s="43"/>
      <c r="AF1141" s="43"/>
      <c r="AG1141" s="25"/>
      <c r="AH1141" s="43"/>
      <c r="AI1141" s="43"/>
      <c r="AJ1141" s="43"/>
    </row>
    <row r="1142" spans="27:36" ht="13.5" x14ac:dyDescent="0.25">
      <c r="AA1142" s="26"/>
      <c r="AB1142" s="26"/>
      <c r="AC1142" s="43"/>
      <c r="AD1142" s="25"/>
      <c r="AE1142" s="43"/>
      <c r="AF1142" s="43"/>
      <c r="AG1142" s="25"/>
      <c r="AH1142" s="43"/>
      <c r="AI1142" s="43"/>
      <c r="AJ1142" s="43"/>
    </row>
    <row r="1143" spans="27:36" ht="13.5" x14ac:dyDescent="0.25">
      <c r="AA1143" s="26"/>
      <c r="AB1143" s="26"/>
      <c r="AC1143" s="43"/>
      <c r="AD1143" s="25"/>
      <c r="AE1143" s="43"/>
      <c r="AF1143" s="43"/>
      <c r="AG1143" s="25"/>
      <c r="AH1143" s="43"/>
      <c r="AI1143" s="43"/>
      <c r="AJ1143" s="43"/>
    </row>
    <row r="1144" spans="27:36" ht="13.5" x14ac:dyDescent="0.25">
      <c r="AA1144" s="26"/>
      <c r="AB1144" s="26"/>
      <c r="AC1144" s="43"/>
      <c r="AD1144" s="25"/>
      <c r="AE1144" s="43"/>
      <c r="AF1144" s="43"/>
      <c r="AG1144" s="25"/>
      <c r="AH1144" s="43"/>
      <c r="AI1144" s="43"/>
      <c r="AJ1144" s="43"/>
    </row>
    <row r="1145" spans="27:36" ht="13.5" x14ac:dyDescent="0.25">
      <c r="AA1145" s="26"/>
      <c r="AB1145" s="26"/>
      <c r="AC1145" s="43"/>
      <c r="AD1145" s="25"/>
      <c r="AE1145" s="43"/>
      <c r="AF1145" s="43"/>
      <c r="AG1145" s="25"/>
      <c r="AH1145" s="43"/>
      <c r="AI1145" s="43"/>
      <c r="AJ1145" s="43"/>
    </row>
    <row r="1146" spans="27:36" ht="13.5" x14ac:dyDescent="0.25">
      <c r="AA1146" s="26"/>
      <c r="AB1146" s="26"/>
      <c r="AC1146" s="43"/>
      <c r="AD1146" s="25"/>
      <c r="AE1146" s="43"/>
      <c r="AF1146" s="43"/>
      <c r="AG1146" s="25"/>
      <c r="AH1146" s="43"/>
      <c r="AI1146" s="43"/>
      <c r="AJ1146" s="43"/>
    </row>
    <row r="1147" spans="27:36" ht="13.5" x14ac:dyDescent="0.25">
      <c r="AA1147" s="26"/>
      <c r="AB1147" s="26"/>
      <c r="AC1147" s="43"/>
      <c r="AD1147" s="25"/>
      <c r="AE1147" s="43"/>
      <c r="AF1147" s="43"/>
      <c r="AG1147" s="25"/>
      <c r="AH1147" s="43"/>
      <c r="AI1147" s="43"/>
      <c r="AJ1147" s="43"/>
    </row>
    <row r="1148" spans="27:36" ht="13.5" x14ac:dyDescent="0.25">
      <c r="AA1148" s="26"/>
      <c r="AB1148" s="26"/>
      <c r="AC1148" s="43"/>
      <c r="AD1148" s="25"/>
      <c r="AE1148" s="43"/>
      <c r="AF1148" s="43"/>
      <c r="AG1148" s="25"/>
      <c r="AH1148" s="43"/>
      <c r="AI1148" s="43"/>
      <c r="AJ1148" s="43"/>
    </row>
    <row r="1149" spans="27:36" ht="13.5" x14ac:dyDescent="0.25">
      <c r="AA1149" s="26"/>
      <c r="AB1149" s="26"/>
      <c r="AC1149" s="43"/>
      <c r="AD1149" s="25"/>
      <c r="AE1149" s="43"/>
      <c r="AF1149" s="43"/>
      <c r="AG1149" s="25"/>
      <c r="AH1149" s="43"/>
      <c r="AI1149" s="43"/>
      <c r="AJ1149" s="43"/>
    </row>
    <row r="1150" spans="27:36" ht="13.5" x14ac:dyDescent="0.25">
      <c r="AA1150" s="26"/>
      <c r="AB1150" s="26"/>
      <c r="AC1150" s="43"/>
      <c r="AD1150" s="25"/>
      <c r="AE1150" s="43"/>
      <c r="AF1150" s="43"/>
      <c r="AG1150" s="25"/>
      <c r="AH1150" s="43"/>
      <c r="AI1150" s="43"/>
      <c r="AJ1150" s="43"/>
    </row>
    <row r="1151" spans="27:36" ht="13.5" x14ac:dyDescent="0.25">
      <c r="AA1151" s="26"/>
      <c r="AB1151" s="26"/>
      <c r="AC1151" s="43"/>
      <c r="AD1151" s="25"/>
      <c r="AE1151" s="43"/>
      <c r="AF1151" s="43"/>
      <c r="AG1151" s="25"/>
      <c r="AH1151" s="43"/>
      <c r="AI1151" s="43"/>
      <c r="AJ1151" s="43"/>
    </row>
    <row r="1152" spans="27:36" ht="13.5" x14ac:dyDescent="0.25">
      <c r="AA1152" s="26"/>
      <c r="AB1152" s="26"/>
      <c r="AC1152" s="43"/>
      <c r="AD1152" s="25"/>
      <c r="AE1152" s="43"/>
      <c r="AF1152" s="43"/>
      <c r="AG1152" s="25"/>
      <c r="AH1152" s="43"/>
      <c r="AI1152" s="43"/>
      <c r="AJ1152" s="43"/>
    </row>
    <row r="1153" spans="27:36" ht="13.5" x14ac:dyDescent="0.25">
      <c r="AA1153" s="26"/>
      <c r="AB1153" s="26"/>
      <c r="AC1153" s="43"/>
      <c r="AD1153" s="25"/>
      <c r="AE1153" s="43"/>
      <c r="AF1153" s="43"/>
      <c r="AG1153" s="25"/>
      <c r="AH1153" s="43"/>
      <c r="AI1153" s="43"/>
      <c r="AJ1153" s="43"/>
    </row>
    <row r="1154" spans="27:36" ht="13.5" x14ac:dyDescent="0.25">
      <c r="AA1154" s="26"/>
      <c r="AB1154" s="26"/>
      <c r="AC1154" s="43"/>
      <c r="AD1154" s="25"/>
      <c r="AE1154" s="43"/>
      <c r="AF1154" s="43"/>
      <c r="AG1154" s="25"/>
      <c r="AH1154" s="43"/>
      <c r="AI1154" s="43"/>
      <c r="AJ1154" s="43"/>
    </row>
    <row r="1155" spans="27:36" ht="13.5" x14ac:dyDescent="0.25">
      <c r="AA1155" s="26"/>
      <c r="AB1155" s="26"/>
      <c r="AC1155" s="43"/>
      <c r="AD1155" s="25"/>
      <c r="AE1155" s="43"/>
      <c r="AF1155" s="43"/>
      <c r="AG1155" s="25"/>
      <c r="AH1155" s="43"/>
      <c r="AI1155" s="43"/>
      <c r="AJ1155" s="43"/>
    </row>
    <row r="1156" spans="27:36" ht="13.5" x14ac:dyDescent="0.25">
      <c r="AA1156" s="26"/>
      <c r="AB1156" s="26"/>
      <c r="AC1156" s="43"/>
      <c r="AD1156" s="25"/>
      <c r="AE1156" s="43"/>
      <c r="AF1156" s="43"/>
      <c r="AG1156" s="25"/>
      <c r="AH1156" s="43"/>
      <c r="AI1156" s="43"/>
      <c r="AJ1156" s="43"/>
    </row>
    <row r="1157" spans="27:36" ht="13.5" x14ac:dyDescent="0.25">
      <c r="AA1157" s="26"/>
      <c r="AB1157" s="26"/>
      <c r="AC1157" s="43"/>
      <c r="AD1157" s="25"/>
      <c r="AE1157" s="43"/>
      <c r="AF1157" s="43"/>
      <c r="AG1157" s="25"/>
      <c r="AH1157" s="43"/>
      <c r="AI1157" s="43"/>
      <c r="AJ1157" s="43"/>
    </row>
    <row r="1158" spans="27:36" ht="13.5" x14ac:dyDescent="0.25">
      <c r="AA1158" s="26"/>
      <c r="AB1158" s="26"/>
      <c r="AC1158" s="43"/>
      <c r="AD1158" s="25"/>
      <c r="AE1158" s="43"/>
      <c r="AF1158" s="43"/>
      <c r="AG1158" s="25"/>
      <c r="AH1158" s="43"/>
      <c r="AI1158" s="43"/>
      <c r="AJ1158" s="43"/>
    </row>
    <row r="1159" spans="27:36" ht="13.5" x14ac:dyDescent="0.25">
      <c r="AA1159" s="26"/>
      <c r="AB1159" s="26"/>
      <c r="AC1159" s="43"/>
      <c r="AD1159" s="25"/>
      <c r="AE1159" s="43"/>
      <c r="AF1159" s="43"/>
      <c r="AG1159" s="25"/>
      <c r="AH1159" s="43"/>
      <c r="AI1159" s="43"/>
      <c r="AJ1159" s="43"/>
    </row>
    <row r="1160" spans="27:36" ht="13.5" x14ac:dyDescent="0.25">
      <c r="AA1160" s="26"/>
      <c r="AB1160" s="26"/>
      <c r="AC1160" s="43"/>
      <c r="AD1160" s="25"/>
      <c r="AE1160" s="43"/>
      <c r="AF1160" s="43"/>
      <c r="AG1160" s="25"/>
      <c r="AH1160" s="43"/>
      <c r="AI1160" s="43"/>
      <c r="AJ1160" s="43"/>
    </row>
  </sheetData>
  <phoneticPr fontId="0" type="noConversion"/>
  <printOptions horizontalCentered="1"/>
  <pageMargins left="0" right="0" top="0" bottom="0" header="0" footer="0"/>
  <pageSetup pageOrder="overThenDown" orientation="portrait" horizontalDpi="1200" verticalDpi="1200" r:id="rId1"/>
  <headerFooter alignWithMargins="0">
    <oddFooter>&amp;RDaniel Salmon
BMO Capital Markets
(212) 885-4029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1" r:id="rId4" name="Button 197">
              <controlPr defaultSize="0" print="0" autoFill="0" autoPict="0" macro="[0]!Print_All">
                <anchor moveWithCells="1" sizeWithCells="1">
                  <from>
                    <xdr:col>28</xdr:col>
                    <xdr:colOff>0</xdr:colOff>
                    <xdr:row>16</xdr:row>
                    <xdr:rowOff>133350</xdr:rowOff>
                  </from>
                  <to>
                    <xdr:col>30</xdr:col>
                    <xdr:colOff>28575</xdr:colOff>
                    <xdr:row>31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pageSetUpPr fitToPage="1"/>
  </sheetPr>
  <dimension ref="A2:IX85"/>
  <sheetViews>
    <sheetView showGridLines="0" topLeftCell="D1" zoomScaleNormal="100" zoomScaleSheetLayoutView="100" workbookViewId="0">
      <selection activeCell="P20" sqref="P20"/>
    </sheetView>
  </sheetViews>
  <sheetFormatPr defaultColWidth="9.33203125" defaultRowHeight="12.75" x14ac:dyDescent="0.25"/>
  <cols>
    <col min="1" max="3" width="0" style="53" hidden="1" customWidth="1"/>
    <col min="4" max="4" width="1.83203125" style="53" customWidth="1"/>
    <col min="5" max="5" width="3.6640625" style="53" customWidth="1"/>
    <col min="6" max="6" width="16.6640625" style="53" customWidth="1"/>
    <col min="7" max="8" width="6.83203125" style="53" hidden="1" customWidth="1"/>
    <col min="9" max="9" width="7.33203125" style="53" hidden="1" customWidth="1"/>
    <col min="10" max="12" width="6.83203125" style="53" hidden="1" customWidth="1"/>
    <col min="13" max="13" width="7.6640625" style="53" hidden="1" customWidth="1"/>
    <col min="14" max="15" width="8.83203125" style="53" hidden="1" customWidth="1"/>
    <col min="16" max="19" width="8.83203125" style="53" customWidth="1"/>
    <col min="20" max="21" width="8.83203125" style="48" customWidth="1"/>
    <col min="22" max="30" width="8.83203125" style="53" customWidth="1"/>
    <col min="31" max="31" width="6.83203125" style="53" customWidth="1"/>
    <col min="32" max="16384" width="9.33203125" style="53"/>
  </cols>
  <sheetData>
    <row r="2" spans="1:258" s="48" customFormat="1" ht="13.5" x14ac:dyDescent="0.25">
      <c r="E2" s="44" t="str">
        <f>Summary!E2</f>
        <v>LiveRamp</v>
      </c>
      <c r="F2" s="45"/>
      <c r="G2" s="46"/>
      <c r="H2" s="47"/>
      <c r="I2" s="47"/>
      <c r="J2" s="47"/>
      <c r="K2" s="47"/>
      <c r="L2" s="47"/>
      <c r="M2" s="47"/>
      <c r="N2" s="47"/>
      <c r="O2" s="47"/>
      <c r="P2" s="47"/>
      <c r="Q2" s="47"/>
      <c r="R2" s="47"/>
      <c r="S2" s="47"/>
      <c r="T2" s="47"/>
      <c r="U2" s="47"/>
    </row>
    <row r="3" spans="1:258" s="48" customFormat="1" ht="13.5" x14ac:dyDescent="0.25">
      <c r="E3" s="45" t="s">
        <v>72</v>
      </c>
      <c r="F3" s="45"/>
      <c r="G3" s="46"/>
      <c r="H3" s="47"/>
      <c r="I3" s="47"/>
      <c r="J3" s="47"/>
      <c r="K3" s="47"/>
      <c r="L3" s="47"/>
      <c r="M3" s="47"/>
      <c r="N3" s="47"/>
      <c r="O3" s="47"/>
      <c r="P3" s="47"/>
      <c r="Q3" s="47"/>
      <c r="R3" s="47"/>
      <c r="S3" s="47"/>
      <c r="T3" s="47"/>
      <c r="U3" s="47"/>
    </row>
    <row r="4" spans="1:258" s="48" customFormat="1" ht="12.75" customHeight="1" x14ac:dyDescent="0.25">
      <c r="E4" s="49" t="s">
        <v>107</v>
      </c>
      <c r="F4" s="46"/>
      <c r="G4" s="50"/>
      <c r="H4" s="50"/>
      <c r="I4" s="50"/>
      <c r="J4" s="50"/>
      <c r="K4" s="50"/>
      <c r="L4" s="50"/>
      <c r="M4" s="50"/>
      <c r="N4" s="50"/>
      <c r="O4" s="50"/>
      <c r="P4" s="50"/>
      <c r="Q4" s="50"/>
      <c r="R4" s="50"/>
      <c r="S4" s="50"/>
      <c r="T4" s="50"/>
      <c r="U4" s="50"/>
    </row>
    <row r="5" spans="1:258" ht="12.75" customHeight="1" thickBot="1" x14ac:dyDescent="0.3">
      <c r="E5" s="51"/>
      <c r="F5" s="51"/>
      <c r="G5" s="52"/>
      <c r="H5" s="283"/>
      <c r="K5" s="52"/>
      <c r="L5" s="52"/>
      <c r="M5" s="52"/>
      <c r="N5" s="52"/>
      <c r="O5" s="52"/>
      <c r="P5" s="52"/>
      <c r="Q5" s="52"/>
      <c r="R5" s="52"/>
      <c r="S5" s="52"/>
      <c r="T5" s="52"/>
      <c r="U5" s="52"/>
      <c r="X5" s="327"/>
    </row>
    <row r="6" spans="1:258" s="48" customFormat="1" ht="12.75" customHeight="1" x14ac:dyDescent="0.25">
      <c r="E6" s="284" t="s">
        <v>100</v>
      </c>
      <c r="F6" s="285"/>
      <c r="G6" s="286"/>
      <c r="H6" s="287"/>
      <c r="I6" s="288"/>
      <c r="J6" s="288"/>
      <c r="K6" s="288"/>
      <c r="L6" s="288"/>
      <c r="M6" s="288"/>
      <c r="N6" s="287"/>
      <c r="O6" s="287"/>
      <c r="P6" s="287"/>
      <c r="Q6" s="287"/>
      <c r="R6" s="287"/>
      <c r="S6" s="287"/>
      <c r="T6" s="287"/>
      <c r="U6" s="287"/>
      <c r="V6" s="287"/>
      <c r="W6" s="287"/>
      <c r="X6" s="287"/>
      <c r="Y6" s="287"/>
      <c r="Z6" s="287"/>
      <c r="AA6" s="287"/>
      <c r="AB6" s="287"/>
      <c r="AC6" s="287"/>
      <c r="AD6" s="289"/>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57"/>
      <c r="BF6" s="57"/>
      <c r="BG6" s="57"/>
      <c r="BH6" s="57"/>
      <c r="BI6" s="57"/>
      <c r="BJ6" s="57"/>
      <c r="BK6" s="57"/>
      <c r="BL6" s="57"/>
      <c r="BM6" s="57"/>
      <c r="BN6" s="57"/>
      <c r="BO6" s="57"/>
      <c r="BP6" s="57"/>
    </row>
    <row r="7" spans="1:258" s="113" customFormat="1" ht="12" customHeight="1" x14ac:dyDescent="0.25">
      <c r="A7" s="48"/>
      <c r="B7" s="48"/>
      <c r="C7" s="48"/>
      <c r="D7" s="48"/>
      <c r="E7" s="290"/>
      <c r="F7" s="112"/>
      <c r="G7" s="291" t="s">
        <v>377</v>
      </c>
      <c r="H7" s="291" t="s">
        <v>378</v>
      </c>
      <c r="I7" s="291" t="s">
        <v>379</v>
      </c>
      <c r="J7" s="291" t="s">
        <v>380</v>
      </c>
      <c r="K7" s="291" t="s">
        <v>380</v>
      </c>
      <c r="L7" s="291" t="s">
        <v>372</v>
      </c>
      <c r="M7" s="291" t="s">
        <v>373</v>
      </c>
      <c r="N7" s="291" t="s">
        <v>374</v>
      </c>
      <c r="O7" s="291" t="s">
        <v>371</v>
      </c>
      <c r="P7" s="291" t="s">
        <v>381</v>
      </c>
      <c r="Q7" s="291" t="s">
        <v>382</v>
      </c>
      <c r="R7" s="291" t="s">
        <v>383</v>
      </c>
      <c r="S7" s="291" t="s">
        <v>384</v>
      </c>
      <c r="T7" s="291" t="s">
        <v>385</v>
      </c>
      <c r="U7" s="291" t="s">
        <v>386</v>
      </c>
      <c r="V7" s="291" t="s">
        <v>414</v>
      </c>
      <c r="W7" s="291" t="s">
        <v>434</v>
      </c>
      <c r="X7" s="291" t="s">
        <v>491</v>
      </c>
      <c r="Y7" s="291" t="s">
        <v>548</v>
      </c>
      <c r="Z7" s="291" t="s">
        <v>554</v>
      </c>
      <c r="AA7" s="291" t="s">
        <v>637</v>
      </c>
      <c r="AB7" s="291" t="s">
        <v>722</v>
      </c>
      <c r="AC7" s="291" t="s">
        <v>721</v>
      </c>
      <c r="AD7" s="292" t="s">
        <v>791</v>
      </c>
      <c r="AE7" s="47"/>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c r="DQ7" s="48"/>
      <c r="DR7" s="48"/>
      <c r="DS7" s="48"/>
      <c r="DT7" s="48"/>
      <c r="DU7" s="48"/>
      <c r="DV7" s="48"/>
      <c r="DW7" s="48"/>
      <c r="DX7" s="48"/>
      <c r="DY7" s="48"/>
      <c r="DZ7" s="48"/>
      <c r="EA7" s="48"/>
      <c r="EB7" s="48"/>
      <c r="EC7" s="48"/>
      <c r="ED7" s="48"/>
      <c r="EE7" s="48"/>
      <c r="EF7" s="48"/>
      <c r="EG7" s="48"/>
      <c r="EH7" s="48"/>
      <c r="EI7" s="48"/>
      <c r="EJ7" s="48"/>
      <c r="EK7" s="48"/>
      <c r="EL7" s="48"/>
      <c r="EM7" s="48"/>
      <c r="EN7" s="48"/>
      <c r="EO7" s="48"/>
      <c r="EP7" s="48"/>
      <c r="EQ7" s="48"/>
      <c r="ER7" s="48"/>
      <c r="ES7" s="48"/>
      <c r="ET7" s="48"/>
      <c r="EU7" s="48"/>
      <c r="EV7" s="48"/>
      <c r="EW7" s="48"/>
      <c r="EX7" s="48"/>
      <c r="EY7" s="48"/>
      <c r="EZ7" s="48"/>
      <c r="FA7" s="48"/>
      <c r="FB7" s="48"/>
      <c r="FC7" s="48"/>
      <c r="FD7" s="48"/>
      <c r="FE7" s="48"/>
      <c r="FF7" s="48"/>
      <c r="FG7" s="48"/>
      <c r="FH7" s="48"/>
      <c r="FI7" s="48"/>
      <c r="FJ7" s="48"/>
      <c r="FK7" s="48"/>
      <c r="FL7" s="48"/>
      <c r="FM7" s="48"/>
      <c r="FN7" s="48"/>
      <c r="FO7" s="48"/>
      <c r="FP7" s="48"/>
      <c r="FQ7" s="48"/>
      <c r="FR7" s="48"/>
      <c r="FS7" s="48"/>
      <c r="FT7" s="48"/>
      <c r="FU7" s="48"/>
      <c r="FV7" s="48"/>
      <c r="FW7" s="48"/>
      <c r="FX7" s="48"/>
      <c r="FY7" s="48"/>
      <c r="FZ7" s="48"/>
      <c r="GA7" s="48"/>
      <c r="GB7" s="48"/>
      <c r="GC7" s="48"/>
      <c r="GD7" s="48"/>
      <c r="GE7" s="48"/>
      <c r="GF7" s="48"/>
      <c r="GG7" s="48"/>
      <c r="GH7" s="48"/>
      <c r="GI7" s="48"/>
      <c r="GJ7" s="48"/>
      <c r="GK7" s="48"/>
      <c r="GL7" s="48"/>
      <c r="GM7" s="48"/>
      <c r="GN7" s="48"/>
      <c r="GO7" s="48"/>
      <c r="GP7" s="48"/>
      <c r="GQ7" s="48"/>
      <c r="GR7" s="48"/>
      <c r="GS7" s="48"/>
      <c r="GT7" s="48"/>
      <c r="GU7" s="48"/>
      <c r="GV7" s="48"/>
      <c r="GW7" s="48"/>
      <c r="GX7" s="48"/>
      <c r="GY7" s="48"/>
      <c r="GZ7" s="48"/>
      <c r="HA7" s="48"/>
      <c r="HB7" s="48"/>
      <c r="HC7" s="48"/>
      <c r="HD7" s="48"/>
      <c r="HE7" s="48"/>
      <c r="HF7" s="48"/>
      <c r="HG7" s="48"/>
      <c r="HH7" s="48"/>
      <c r="HI7" s="48"/>
      <c r="HJ7" s="48"/>
      <c r="HK7" s="48"/>
      <c r="HL7" s="48"/>
      <c r="HM7" s="48"/>
      <c r="HN7" s="48"/>
      <c r="HO7" s="48"/>
      <c r="HP7" s="48"/>
      <c r="HQ7" s="48"/>
      <c r="HR7" s="48"/>
      <c r="HS7" s="48"/>
      <c r="HT7" s="48"/>
      <c r="HU7" s="48"/>
      <c r="HV7" s="48"/>
      <c r="HW7" s="48"/>
      <c r="HX7" s="48"/>
      <c r="HY7" s="48"/>
      <c r="HZ7" s="48"/>
      <c r="IA7" s="48"/>
      <c r="IB7" s="48"/>
      <c r="IC7" s="48"/>
      <c r="ID7" s="48"/>
      <c r="IE7" s="48"/>
      <c r="IF7" s="48"/>
      <c r="IG7" s="48"/>
      <c r="IH7" s="48"/>
      <c r="II7" s="48"/>
      <c r="IJ7" s="48"/>
      <c r="IK7" s="48"/>
      <c r="IL7" s="48"/>
      <c r="IM7" s="48"/>
      <c r="IN7" s="48"/>
      <c r="IO7" s="48"/>
      <c r="IP7" s="48"/>
      <c r="IQ7" s="48"/>
      <c r="IR7" s="48"/>
      <c r="IS7" s="48"/>
      <c r="IT7" s="48"/>
      <c r="IU7" s="48"/>
      <c r="IV7" s="48"/>
      <c r="IW7" s="48"/>
      <c r="IX7" s="48"/>
    </row>
    <row r="8" spans="1:258" s="48" customFormat="1" ht="12.75" customHeight="1" x14ac:dyDescent="0.25">
      <c r="E8" s="293" t="str">
        <f>'Cash Flow'!E67</f>
        <v xml:space="preserve"> Adjusted EBITDA</v>
      </c>
      <c r="F8" s="59"/>
      <c r="G8" s="60">
        <f>'Cash Flow'!Y67</f>
        <v>373.03699999999998</v>
      </c>
      <c r="H8" s="60">
        <f>'Cash Flow'!AD67</f>
        <v>401.05599999999993</v>
      </c>
      <c r="I8" s="60">
        <f>'Cash Flow'!AI67</f>
        <v>379.28699999999992</v>
      </c>
      <c r="J8" s="60">
        <f>'Cash Flow'!AN67</f>
        <v>341.14100000000002</v>
      </c>
      <c r="K8" s="60">
        <f>'Cash Flow'!AS67</f>
        <v>276.22200000000009</v>
      </c>
      <c r="L8" s="60">
        <f>'Cash Flow'!AX67</f>
        <v>268.89999999999981</v>
      </c>
      <c r="M8" s="60">
        <f>'Cash Flow'!BC67</f>
        <v>259.63600000000002</v>
      </c>
      <c r="N8" s="60">
        <f>'Cash Flow'!BH67</f>
        <v>232.93899999999991</v>
      </c>
      <c r="O8" s="60">
        <f>'Cash Flow'!BM67</f>
        <v>159.88999999999999</v>
      </c>
      <c r="P8" s="60">
        <f>'Cash Flow'!BR67</f>
        <v>129.94800000000001</v>
      </c>
      <c r="Q8" s="60">
        <f>'Cash Flow'!BW67</f>
        <v>143.65000000000003</v>
      </c>
      <c r="R8" s="60">
        <f>'Cash Flow'!CB67</f>
        <v>164.53799999999998</v>
      </c>
      <c r="S8" s="60">
        <f>'Cash Flow'!CG67</f>
        <v>-21.515000000000008</v>
      </c>
      <c r="T8" s="60">
        <f>'Cash Flow'!CL67</f>
        <v>-43.61713199999997</v>
      </c>
      <c r="U8" s="60">
        <f>'Cash Flow'!CQ67</f>
        <v>-18.818169919999974</v>
      </c>
      <c r="V8" s="60">
        <f>'Cash Flow'!CV67</f>
        <v>34.032296306300047</v>
      </c>
      <c r="W8" s="60"/>
      <c r="X8" s="60"/>
      <c r="Y8" s="60"/>
      <c r="Z8" s="60"/>
      <c r="AD8" s="556"/>
      <c r="AE8" s="47"/>
    </row>
    <row r="9" spans="1:258" s="48" customFormat="1" ht="12.75" customHeight="1" x14ac:dyDescent="0.25">
      <c r="E9" s="293" t="str">
        <f>'Cash Flow'!E68</f>
        <v>- Interest expense</v>
      </c>
      <c r="G9" s="60">
        <f>'Cash Flow'!Y68</f>
        <v>-28.744</v>
      </c>
      <c r="H9" s="60">
        <f>'Cash Flow'!AD68</f>
        <v>-46.631999999999998</v>
      </c>
      <c r="I9" s="60">
        <f>'Cash Flow'!AI68</f>
        <v>-51.230000000000004</v>
      </c>
      <c r="J9" s="60">
        <f>'Cash Flow'!AN68</f>
        <v>-32.595999999999997</v>
      </c>
      <c r="K9" s="60">
        <f>'Cash Flow'!AS68</f>
        <v>-22.479999999999997</v>
      </c>
      <c r="L9" s="60">
        <f>'Cash Flow'!AX68</f>
        <v>-23.823</v>
      </c>
      <c r="M9" s="60">
        <f>'Cash Flow'!BC68</f>
        <v>-17.448</v>
      </c>
      <c r="N9" s="60">
        <f>'Cash Flow'!BH68</f>
        <v>-12.693999999999999</v>
      </c>
      <c r="O9" s="60">
        <f>'Cash Flow'!BM68</f>
        <v>-8.6710000000000012</v>
      </c>
      <c r="P9" s="60">
        <f>'Cash Flow'!BR68</f>
        <v>-7.6719999999999988</v>
      </c>
      <c r="Q9" s="60">
        <f>'Cash Flow'!BW68</f>
        <v>-7.6690000000000005</v>
      </c>
      <c r="R9" s="60">
        <f>'Cash Flow'!CB68</f>
        <v>-7.3810000000000002</v>
      </c>
      <c r="S9" s="60">
        <f>'Cash Flow'!CG68</f>
        <v>0</v>
      </c>
      <c r="T9" s="60">
        <f>'Cash Flow'!CL68</f>
        <v>16.616238853750001</v>
      </c>
      <c r="U9" s="60">
        <f>'Cash Flow'!CQ68</f>
        <v>16.128155722164898</v>
      </c>
      <c r="V9" s="60">
        <f>'Cash Flow'!CV68</f>
        <v>12.968702389948492</v>
      </c>
      <c r="W9" s="60"/>
      <c r="X9" s="60"/>
      <c r="Y9" s="60"/>
      <c r="Z9" s="60"/>
      <c r="AD9" s="556"/>
      <c r="AE9" s="47"/>
    </row>
    <row r="10" spans="1:258" s="48" customFormat="1" ht="12" customHeight="1" x14ac:dyDescent="0.25">
      <c r="E10" s="293" t="str">
        <f>'Cash Flow'!E69</f>
        <v>- Cash taxes</v>
      </c>
      <c r="G10" s="60">
        <f>'Cash Flow'!Y69</f>
        <v>0</v>
      </c>
      <c r="H10" s="60">
        <f>'Cash Flow'!AD69</f>
        <v>0</v>
      </c>
      <c r="I10" s="60">
        <f>'Cash Flow'!AI69</f>
        <v>1.5049999999999999</v>
      </c>
      <c r="J10" s="60">
        <f>'Cash Flow'!AN69</f>
        <v>3.1460000000000008</v>
      </c>
      <c r="K10" s="60">
        <f>'Cash Flow'!AS69</f>
        <v>7.5489999999999995</v>
      </c>
      <c r="L10" s="60">
        <f>'Cash Flow'!AX69</f>
        <v>-22.995000000000001</v>
      </c>
      <c r="M10" s="60">
        <f>'Cash Flow'!BC69</f>
        <v>-20.765000000000001</v>
      </c>
      <c r="N10" s="60">
        <f>'Cash Flow'!BH69</f>
        <v>-57.463999999999999</v>
      </c>
      <c r="O10" s="60">
        <f>'Cash Flow'!BM69</f>
        <v>-9.9429999999999996</v>
      </c>
      <c r="P10" s="60">
        <f>'Cash Flow'!BR69</f>
        <v>3.8449999999999998</v>
      </c>
      <c r="Q10" s="60">
        <f>'Cash Flow'!BW69</f>
        <v>-6.1</v>
      </c>
      <c r="R10" s="60">
        <f>'Cash Flow'!CB69</f>
        <v>-6.6859999999999999</v>
      </c>
      <c r="S10" s="60">
        <f>'Cash Flow'!CG69</f>
        <v>-1.236</v>
      </c>
      <c r="T10" s="60">
        <f>'Cash Flow'!CL69</f>
        <v>-3.6</v>
      </c>
      <c r="U10" s="60">
        <f>'Cash Flow'!CQ69</f>
        <v>-4.2000000000000011</v>
      </c>
      <c r="V10" s="60">
        <f>'Cash Flow'!CV69</f>
        <v>-6.9400000000000013</v>
      </c>
      <c r="W10" s="60"/>
      <c r="X10" s="60"/>
      <c r="Y10" s="60"/>
      <c r="Z10" s="60"/>
      <c r="AD10" s="556"/>
      <c r="AE10" s="47"/>
    </row>
    <row r="11" spans="1:258" s="48" customFormat="1" ht="12" customHeight="1" x14ac:dyDescent="0.25">
      <c r="E11" s="391" t="str">
        <f>'Cash Flow'!E70</f>
        <v>- Capitalized software</v>
      </c>
      <c r="F11" s="392"/>
      <c r="G11" s="60">
        <f>'Cash Flow'!Y70</f>
        <v>-21.902999999999999</v>
      </c>
      <c r="H11" s="60">
        <f>'Cash Flow'!AD70</f>
        <v>-27.443000000000001</v>
      </c>
      <c r="I11" s="60">
        <f>'Cash Flow'!AI70</f>
        <v>-33.344999999999999</v>
      </c>
      <c r="J11" s="60">
        <f>'Cash Flow'!AN70</f>
        <v>-16.239000000000001</v>
      </c>
      <c r="K11" s="60">
        <f>'Cash Flow'!AS70</f>
        <v>-8.2569999999999997</v>
      </c>
      <c r="L11" s="60">
        <f>'Cash Flow'!AX70</f>
        <v>-4.5549999999999997</v>
      </c>
      <c r="M11" s="60">
        <f>'Cash Flow'!BC70</f>
        <v>-5.2620000000000005</v>
      </c>
      <c r="N11" s="60">
        <f>'Cash Flow'!BH70</f>
        <v>-19.878999999999998</v>
      </c>
      <c r="O11" s="60">
        <f>'Cash Flow'!BM70</f>
        <v>-24.517000000000003</v>
      </c>
      <c r="P11" s="60">
        <f>'Cash Flow'!BR70</f>
        <v>-18.587</v>
      </c>
      <c r="Q11" s="60">
        <f>'Cash Flow'!BW70</f>
        <v>-14.879999999999999</v>
      </c>
      <c r="R11" s="60">
        <f>'Cash Flow'!CB70</f>
        <v>-14.477</v>
      </c>
      <c r="S11" s="60">
        <f>'Cash Flow'!CG70</f>
        <v>-3.266</v>
      </c>
      <c r="T11" s="60">
        <f>'Cash Flow'!CL70</f>
        <v>-6.3220000000000001</v>
      </c>
      <c r="U11" s="60">
        <f>'Cash Flow'!CQ70</f>
        <v>-11.7</v>
      </c>
      <c r="V11" s="60">
        <f>'Cash Flow'!CV70</f>
        <v>-16.429999999999996</v>
      </c>
      <c r="W11" s="60"/>
      <c r="X11" s="60"/>
      <c r="Y11" s="60"/>
      <c r="Z11" s="60"/>
      <c r="AD11" s="556"/>
      <c r="AE11" s="47"/>
    </row>
    <row r="12" spans="1:258" s="48" customFormat="1" ht="12.75" customHeight="1" x14ac:dyDescent="0.25">
      <c r="E12" s="391" t="str">
        <f>'Cash Flow'!E71</f>
        <v>- Captial expenditures</v>
      </c>
      <c r="F12" s="392"/>
      <c r="G12" s="60">
        <f>'Cash Flow'!Y71</f>
        <v>-6.8479999999999999</v>
      </c>
      <c r="H12" s="60">
        <f>'Cash Flow'!AD71</f>
        <v>-14.225</v>
      </c>
      <c r="I12" s="60">
        <f>'Cash Flow'!AI71</f>
        <v>-21.6</v>
      </c>
      <c r="J12" s="60">
        <f>'Cash Flow'!AN71</f>
        <v>-31.448999999999998</v>
      </c>
      <c r="K12" s="60">
        <f>'Cash Flow'!AS71</f>
        <v>-57.908000000000001</v>
      </c>
      <c r="L12" s="60">
        <f>'Cash Flow'!AX71</f>
        <v>-59.021000000000008</v>
      </c>
      <c r="M12" s="60">
        <f>'Cash Flow'!BC71</f>
        <v>-51.591000000000001</v>
      </c>
      <c r="N12" s="60">
        <f>'Cash Flow'!BH71</f>
        <v>-38.4908</v>
      </c>
      <c r="O12" s="60">
        <f>'Cash Flow'!BM71</f>
        <v>-39.298000000000002</v>
      </c>
      <c r="P12" s="60">
        <f>'Cash Flow'!BR71</f>
        <v>-69.040999999999997</v>
      </c>
      <c r="Q12" s="60">
        <f>'Cash Flow'!BW71</f>
        <v>-47.422999999999995</v>
      </c>
      <c r="R12" s="60">
        <f>'Cash Flow'!CB71</f>
        <v>-47.993000000000002</v>
      </c>
      <c r="S12" s="60">
        <f>'Cash Flow'!CG71</f>
        <v>-9.375</v>
      </c>
      <c r="T12" s="60">
        <f>'Cash Flow'!CL71</f>
        <v>-7.4350000000000005</v>
      </c>
      <c r="U12" s="60">
        <f>'Cash Flow'!CQ71</f>
        <v>-10.226061679680003</v>
      </c>
      <c r="V12" s="60">
        <f>'Cash Flow'!CV71</f>
        <v>-11.97447318576541</v>
      </c>
      <c r="W12" s="60"/>
      <c r="X12" s="60"/>
      <c r="Y12" s="60"/>
      <c r="Z12" s="60"/>
      <c r="AD12" s="556"/>
      <c r="AE12" s="47"/>
    </row>
    <row r="13" spans="1:258" s="48" customFormat="1" ht="12.75" customHeight="1" x14ac:dyDescent="0.25">
      <c r="E13" s="391" t="str">
        <f>'Cash Flow'!E72</f>
        <v>- Data acquisition costs</v>
      </c>
      <c r="F13" s="392"/>
      <c r="G13" s="60">
        <f>'Cash Flow'!Y72</f>
        <v>-70.453999999999994</v>
      </c>
      <c r="H13" s="60">
        <f>'Cash Flow'!AD72</f>
        <v>-66.686999999999998</v>
      </c>
      <c r="I13" s="60">
        <f>'Cash Flow'!AI72</f>
        <v>-32.164000000000001</v>
      </c>
      <c r="J13" s="60">
        <f>'Cash Flow'!AN72</f>
        <v>-30.561</v>
      </c>
      <c r="K13" s="60">
        <f>'Cash Flow'!AS72</f>
        <v>-18.808</v>
      </c>
      <c r="L13" s="60">
        <f>'Cash Flow'!AX72</f>
        <v>-13.366</v>
      </c>
      <c r="M13" s="60">
        <f>'Cash Flow'!BC72</f>
        <v>-12.311999999999999</v>
      </c>
      <c r="N13" s="60">
        <f>'Cash Flow'!BH72</f>
        <v>-8.57</v>
      </c>
      <c r="O13" s="60">
        <f>'Cash Flow'!BM72</f>
        <v>-7.7450000000000001</v>
      </c>
      <c r="P13" s="60">
        <f>'Cash Flow'!BR72</f>
        <v>-1.871</v>
      </c>
      <c r="Q13" s="60">
        <f>'Cash Flow'!BW72</f>
        <v>-1.5529999999999999</v>
      </c>
      <c r="R13" s="60">
        <f>'Cash Flow'!CB72</f>
        <v>-0.88100000000000001</v>
      </c>
      <c r="S13" s="60">
        <f>'Cash Flow'!CG72</f>
        <v>0</v>
      </c>
      <c r="T13" s="60">
        <f>'Cash Flow'!CL72</f>
        <v>-0.4</v>
      </c>
      <c r="U13" s="60">
        <f>'Cash Flow'!CQ72</f>
        <v>0</v>
      </c>
      <c r="V13" s="60">
        <f>'Cash Flow'!CV72</f>
        <v>0</v>
      </c>
      <c r="W13" s="60"/>
      <c r="X13" s="60"/>
      <c r="Y13" s="60"/>
      <c r="Z13" s="60"/>
      <c r="AD13" s="556"/>
      <c r="AE13" s="47"/>
    </row>
    <row r="14" spans="1:258" s="48" customFormat="1" ht="12.75" customHeight="1" x14ac:dyDescent="0.25">
      <c r="E14" s="293" t="str">
        <f>'Cash Flow'!E75</f>
        <v>+ Adjustment</v>
      </c>
      <c r="G14" s="29">
        <f>'Cash Flow'!Y75</f>
        <v>0</v>
      </c>
      <c r="H14" s="29">
        <f>'Cash Flow'!AD75</f>
        <v>0</v>
      </c>
      <c r="I14" s="29">
        <f>'Cash Flow'!AI75</f>
        <v>0</v>
      </c>
      <c r="J14" s="29">
        <f>'Cash Flow'!AN75</f>
        <v>0</v>
      </c>
      <c r="K14" s="29">
        <f>'Cash Flow'!AS75</f>
        <v>0</v>
      </c>
      <c r="L14" s="29">
        <f>'Cash Flow'!AX75</f>
        <v>0</v>
      </c>
      <c r="M14" s="29">
        <f>'Cash Flow'!BC75</f>
        <v>0</v>
      </c>
      <c r="N14" s="29">
        <f>'Cash Flow'!BH75</f>
        <v>0</v>
      </c>
      <c r="O14" s="29">
        <f>'Cash Flow'!BM75</f>
        <v>0</v>
      </c>
      <c r="P14" s="29">
        <f>'Cash Flow'!BR75</f>
        <v>0</v>
      </c>
      <c r="Q14" s="29">
        <f>'Cash Flow'!BW75</f>
        <v>0</v>
      </c>
      <c r="R14" s="29">
        <f>'Cash Flow'!CB75</f>
        <v>0</v>
      </c>
      <c r="S14" s="29">
        <f>'Cash Flow'!CG75</f>
        <v>0</v>
      </c>
      <c r="T14" s="29">
        <f>'Cash Flow'!CL75</f>
        <v>0</v>
      </c>
      <c r="U14" s="29">
        <f>'Cash Flow'!CQ75</f>
        <v>0</v>
      </c>
      <c r="V14" s="29">
        <f>'Cash Flow'!CV75</f>
        <v>0</v>
      </c>
      <c r="W14" s="295"/>
      <c r="X14" s="295"/>
      <c r="Y14" s="295"/>
      <c r="Z14" s="295"/>
      <c r="AD14" s="556"/>
      <c r="AE14" s="47"/>
    </row>
    <row r="15" spans="1:258" s="48" customFormat="1" ht="12.75" customHeight="1" x14ac:dyDescent="0.25">
      <c r="E15" s="296" t="str">
        <f>'Cash Flow'!E76</f>
        <v>Free Cash Flow</v>
      </c>
      <c r="F15" s="297"/>
      <c r="G15" s="298">
        <f>'Cash Flow'!Y76</f>
        <v>143.78699999999998</v>
      </c>
      <c r="H15" s="298">
        <f>'Cash Flow'!AD76</f>
        <v>143.03699999999992</v>
      </c>
      <c r="I15" s="298">
        <f>'Cash Flow'!AI76</f>
        <v>140.92699999999985</v>
      </c>
      <c r="J15" s="298">
        <f>'Cash Flow'!AN76</f>
        <v>169.43600000000004</v>
      </c>
      <c r="K15" s="298">
        <f>'Cash Flow'!AS76</f>
        <v>139.09500000000008</v>
      </c>
      <c r="L15" s="298">
        <f>'Cash Flow'!AX76</f>
        <v>117.46699999999976</v>
      </c>
      <c r="M15" s="298">
        <f>'Cash Flow'!BC76</f>
        <v>131.011</v>
      </c>
      <c r="N15" s="298">
        <f>'Cash Flow'!BH76</f>
        <v>77.558199999999928</v>
      </c>
      <c r="O15" s="298">
        <f>'Cash Flow'!BM76</f>
        <v>59.836999999999975</v>
      </c>
      <c r="P15" s="298">
        <f>'Cash Flow'!BR76</f>
        <v>32.799000000000007</v>
      </c>
      <c r="Q15" s="298">
        <f>'Cash Flow'!BW76</f>
        <v>65.962000000000032</v>
      </c>
      <c r="R15" s="298">
        <f>'Cash Flow'!CB76</f>
        <v>87.119999999999976</v>
      </c>
      <c r="S15" s="298">
        <f>'Cash Flow'!CG76</f>
        <v>-35.39200000000001</v>
      </c>
      <c r="T15" s="298">
        <f>'Cash Flow'!CL76</f>
        <v>-44.75789314624997</v>
      </c>
      <c r="U15" s="298">
        <f>'Cash Flow'!CQ76</f>
        <v>-28.816075877515075</v>
      </c>
      <c r="V15" s="298">
        <f>'Cash Flow'!CV76</f>
        <v>11.656525510483126</v>
      </c>
      <c r="W15" s="298">
        <f>V15*(1+W16)</f>
        <v>20.224071760688222</v>
      </c>
      <c r="X15" s="298">
        <f t="shared" ref="X15:AD15" si="0">W15*(1+X16)</f>
        <v>35.088764504794064</v>
      </c>
      <c r="Y15" s="298">
        <f t="shared" si="0"/>
        <v>60.879006415817699</v>
      </c>
      <c r="Z15" s="298">
        <f t="shared" si="0"/>
        <v>105.62507613144371</v>
      </c>
      <c r="AA15" s="298">
        <f t="shared" si="0"/>
        <v>137.31259897087682</v>
      </c>
      <c r="AB15" s="298">
        <f t="shared" si="0"/>
        <v>178.50637866213987</v>
      </c>
      <c r="AC15" s="298">
        <f t="shared" si="0"/>
        <v>232.05829226078183</v>
      </c>
      <c r="AD15" s="299">
        <f t="shared" si="0"/>
        <v>301.67577993901637</v>
      </c>
      <c r="AE15" s="47"/>
    </row>
    <row r="16" spans="1:258" s="48" customFormat="1" ht="12.75" customHeight="1" thickBot="1" x14ac:dyDescent="0.3">
      <c r="E16" s="300" t="s">
        <v>2</v>
      </c>
      <c r="F16" s="297"/>
      <c r="G16" s="298"/>
      <c r="H16" s="301">
        <f>H15/G15-1</f>
        <v>-5.2160487387598042E-3</v>
      </c>
      <c r="I16" s="301">
        <f>I15/H15-1</f>
        <v>-1.4751427952208629E-2</v>
      </c>
      <c r="J16" s="301">
        <f>J15/I15-1</f>
        <v>0.2022962242863342</v>
      </c>
      <c r="K16" s="301">
        <f>K15/J15-1</f>
        <v>-0.17907056351660766</v>
      </c>
      <c r="L16" s="301">
        <f t="shared" ref="L16:R16" si="1">L15/K15-1</f>
        <v>-0.15549085157626308</v>
      </c>
      <c r="M16" s="301">
        <f t="shared" si="1"/>
        <v>0.11530046736530486</v>
      </c>
      <c r="N16" s="301">
        <f t="shared" si="1"/>
        <v>-0.40800238147941825</v>
      </c>
      <c r="O16" s="301">
        <f t="shared" si="1"/>
        <v>-0.22848905724990998</v>
      </c>
      <c r="P16" s="301">
        <f t="shared" si="1"/>
        <v>-0.45186088874776442</v>
      </c>
      <c r="Q16" s="301">
        <f t="shared" si="1"/>
        <v>1.0110978993261996</v>
      </c>
      <c r="R16" s="301">
        <f t="shared" si="1"/>
        <v>0.32076043782783925</v>
      </c>
      <c r="S16" s="301">
        <f>S15/R15-1</f>
        <v>-1.4062442607897156</v>
      </c>
      <c r="T16" s="301">
        <f>T15/S15-1</f>
        <v>0.26463305679955806</v>
      </c>
      <c r="U16" s="301">
        <f>U15/T15-1</f>
        <v>-0.3561789027165273</v>
      </c>
      <c r="V16" s="756">
        <f>V15/U15-1</f>
        <v>-1.4045146729912177</v>
      </c>
      <c r="W16" s="302">
        <v>0.73499999999999999</v>
      </c>
      <c r="X16" s="430">
        <f>W16</f>
        <v>0.73499999999999999</v>
      </c>
      <c r="Y16" s="430">
        <f>X16</f>
        <v>0.73499999999999999</v>
      </c>
      <c r="Z16" s="430">
        <f>Y16</f>
        <v>0.73499999999999999</v>
      </c>
      <c r="AA16" s="302">
        <v>0.3</v>
      </c>
      <c r="AB16" s="430">
        <f>AA16</f>
        <v>0.3</v>
      </c>
      <c r="AC16" s="430">
        <f>AA16</f>
        <v>0.3</v>
      </c>
      <c r="AD16" s="416">
        <f>AB16</f>
        <v>0.3</v>
      </c>
      <c r="AE16" s="47"/>
    </row>
    <row r="17" spans="5:68" s="61" customFormat="1" ht="12.75" customHeight="1" x14ac:dyDescent="0.25">
      <c r="E17" s="303" t="s">
        <v>183</v>
      </c>
      <c r="F17" s="304"/>
      <c r="P17" s="304"/>
      <c r="Q17" s="305"/>
      <c r="R17" s="303" t="s">
        <v>184</v>
      </c>
      <c r="S17" s="306"/>
      <c r="T17" s="307"/>
      <c r="U17" s="307"/>
      <c r="V17" s="1107" t="s">
        <v>103</v>
      </c>
      <c r="W17" s="308" t="s">
        <v>43</v>
      </c>
      <c r="X17" s="309"/>
      <c r="Y17" s="309"/>
      <c r="Z17" s="309"/>
      <c r="AA17" s="310" t="s">
        <v>492</v>
      </c>
      <c r="AB17" s="309"/>
      <c r="AC17" s="309"/>
      <c r="AD17" s="311"/>
    </row>
    <row r="18" spans="5:68" s="61" customFormat="1" ht="12.75" customHeight="1" x14ac:dyDescent="0.25">
      <c r="E18" s="312"/>
      <c r="F18" s="313"/>
      <c r="P18" s="314" t="s">
        <v>41</v>
      </c>
      <c r="Q18" s="48"/>
      <c r="R18" s="294" t="s">
        <v>61</v>
      </c>
      <c r="S18" s="48"/>
      <c r="T18" s="315"/>
      <c r="U18" s="229">
        <f>Balance!CQ59</f>
        <v>0</v>
      </c>
      <c r="V18" s="1108"/>
      <c r="W18" s="316"/>
      <c r="X18" s="317">
        <f>Y18-1</f>
        <v>15.45</v>
      </c>
      <c r="Y18" s="317">
        <f>Z18-1</f>
        <v>16.45</v>
      </c>
      <c r="Z18" s="317">
        <f>AA18-1</f>
        <v>17.45</v>
      </c>
      <c r="AA18" s="318">
        <f>P20</f>
        <v>18.45</v>
      </c>
      <c r="AB18" s="317">
        <f>AA18+1</f>
        <v>19.45</v>
      </c>
      <c r="AC18" s="317">
        <f>AB18+1</f>
        <v>20.45</v>
      </c>
      <c r="AD18" s="319">
        <f>AC18+1</f>
        <v>21.45</v>
      </c>
    </row>
    <row r="19" spans="5:68" s="48" customFormat="1" ht="12.75" customHeight="1" x14ac:dyDescent="0.25">
      <c r="E19" s="294" t="s">
        <v>101</v>
      </c>
      <c r="P19" s="320">
        <f>AD15</f>
        <v>301.67577993901637</v>
      </c>
      <c r="R19" s="321" t="s">
        <v>89</v>
      </c>
      <c r="T19" s="315"/>
      <c r="U19" s="322">
        <f>Summary!W11</f>
        <v>2901.5919599999997</v>
      </c>
      <c r="V19" s="1108"/>
      <c r="W19" s="323">
        <f>W20-0.005</f>
        <v>7.7901599999999974E-2</v>
      </c>
      <c r="X19" s="324">
        <f>((NPV($W19,$V$15:$AD$15))+$P$25+((($P$19*X$18))/((1+$W19)^(2029-2020))))/Summary!$W$10</f>
        <v>59.028766924281129</v>
      </c>
      <c r="Y19" s="324">
        <f>((NPV($W19,$V$15:$AD$15))+$P$25+((($P$19*Y$18))/((1+$W19)^(2029-2020))))/Summary!$W$10</f>
        <v>61.491014745861087</v>
      </c>
      <c r="Z19" s="324">
        <f>((NPV($W19,$V$15:$AD$15))+$P$25+((($P$19*Z$18))/((1+$W19)^(2029-2020))))/Summary!$W$10</f>
        <v>63.953262567441037</v>
      </c>
      <c r="AA19" s="324">
        <f>((NPV($W19,$V$15:$AD$15))+$P$25+((($P$19*AA$18))/((1+$W19)^(2029-2020))))/Summary!$W$10</f>
        <v>66.415510389020994</v>
      </c>
      <c r="AB19" s="324">
        <f>((NPV($W19,$V$15:$AD$15))+$P$25+((($P$19*AB$18))/((1+$W19)^(2029-2020))))/Summary!$W$10</f>
        <v>68.877758210600945</v>
      </c>
      <c r="AC19" s="324">
        <f>((NPV($W19,$V$15:$AD$15))+$P$25+((($P$19*AC$18))/((1+$W19)^(2029-2020))))/Summary!$W$10</f>
        <v>71.340006032180895</v>
      </c>
      <c r="AD19" s="753">
        <f>((NPV($W19,$V$15:$AD$15))+$P$25+((($P$19*AD$18))/((1+$W19)^(2029-2020))))/Summary!$W$10</f>
        <v>73.802253853760845</v>
      </c>
      <c r="AW19" s="47"/>
      <c r="AX19" s="47"/>
      <c r="AY19" s="47"/>
      <c r="AZ19" s="47"/>
      <c r="BA19" s="47"/>
      <c r="BB19" s="47"/>
      <c r="BC19" s="47"/>
      <c r="BD19" s="47"/>
      <c r="BE19" s="57"/>
      <c r="BF19" s="57"/>
      <c r="BG19" s="57"/>
      <c r="BH19" s="57"/>
      <c r="BI19" s="57"/>
      <c r="BJ19" s="57"/>
      <c r="BK19" s="57"/>
      <c r="BL19" s="57"/>
      <c r="BM19" s="57"/>
      <c r="BN19" s="57"/>
      <c r="BO19" s="57"/>
      <c r="BP19" s="57"/>
    </row>
    <row r="20" spans="5:68" s="48" customFormat="1" ht="12.75" customHeight="1" x14ac:dyDescent="0.25">
      <c r="E20" s="294" t="s">
        <v>48</v>
      </c>
      <c r="P20" s="325">
        <v>18.45</v>
      </c>
      <c r="R20" s="294" t="s">
        <v>185</v>
      </c>
      <c r="T20" s="315"/>
      <c r="U20" s="229">
        <f>U19-U18</f>
        <v>2901.5919599999997</v>
      </c>
      <c r="V20" s="1108"/>
      <c r="W20" s="323">
        <f>W21-0.005</f>
        <v>8.2901599999999978E-2</v>
      </c>
      <c r="X20" s="324">
        <f>((NPV($W20,$V$15:$AD$15))+$P$25+((($P$19*X$18))/((1+$W20)^(2029-2020))))/Summary!$W$10</f>
        <v>57.160327641968983</v>
      </c>
      <c r="Y20" s="324">
        <f>((NPV($W20,$V$15:$AD$15))+$P$25+((($P$19*Y$18))/((1+$W20)^(2029-2020))))/Summary!$W$10</f>
        <v>59.522126197060352</v>
      </c>
      <c r="Z20" s="324">
        <f>((NPV($W20,$V$15:$AD$15))+$P$25+((($P$19*Z$18))/((1+$W20)^(2029-2020))))/Summary!$W$10</f>
        <v>61.883924752151728</v>
      </c>
      <c r="AA20" s="324">
        <f>((NPV($W20,$V$15:$AD$15))+$P$25+((($P$19*AA$18))/((1+$W20)^(2029-2020))))/Summary!$W$10</f>
        <v>64.245723307243111</v>
      </c>
      <c r="AB20" s="324">
        <f>((NPV($W20,$V$15:$AD$15))+$P$25+((($P$19*AB$18))/((1+$W20)^(2029-2020))))/Summary!$W$10</f>
        <v>66.607521862334508</v>
      </c>
      <c r="AC20" s="324">
        <f>((NPV($W20,$V$15:$AD$15))+$P$25+((($P$19*AC$18))/((1+$W20)^(2029-2020))))/Summary!$W$10</f>
        <v>68.969320417425877</v>
      </c>
      <c r="AD20" s="753">
        <f>((NPV($W20,$V$15:$AD$15))+$P$25+((($P$19*AD$18))/((1+$W20)^(2029-2020))))/Summary!$W$10</f>
        <v>71.33111897251726</v>
      </c>
      <c r="AW20" s="47"/>
      <c r="AX20" s="47"/>
      <c r="AY20" s="47"/>
      <c r="AZ20" s="47"/>
      <c r="BA20" s="47"/>
      <c r="BB20" s="47"/>
      <c r="BC20" s="47"/>
      <c r="BD20" s="47"/>
      <c r="BE20" s="57"/>
      <c r="BF20" s="57"/>
      <c r="BG20" s="57"/>
      <c r="BH20" s="57"/>
      <c r="BI20" s="57"/>
      <c r="BJ20" s="57"/>
      <c r="BK20" s="57"/>
      <c r="BL20" s="57"/>
      <c r="BM20" s="57"/>
      <c r="BN20" s="57"/>
      <c r="BO20" s="57"/>
      <c r="BP20" s="57"/>
    </row>
    <row r="21" spans="5:68" s="48" customFormat="1" ht="12.75" customHeight="1" thickBot="1" x14ac:dyDescent="0.3">
      <c r="E21" s="232" t="s">
        <v>186</v>
      </c>
      <c r="F21" s="233"/>
      <c r="P21" s="326">
        <f>P19*P20</f>
        <v>5565.9181398748515</v>
      </c>
      <c r="Q21" s="327"/>
      <c r="R21" s="294" t="s">
        <v>187</v>
      </c>
      <c r="T21" s="315"/>
      <c r="U21" s="328">
        <v>2.9000000000000001E-2</v>
      </c>
      <c r="V21" s="1108"/>
      <c r="W21" s="323">
        <f>W22-0.005</f>
        <v>8.7901599999999983E-2</v>
      </c>
      <c r="X21" s="324">
        <f>((NPV($W21,$V$15:$AD$15))+$P$25+((($P$19*X$18))/((1+$W21)^(2029-2020))))/Summary!$W$10</f>
        <v>55.373835771442678</v>
      </c>
      <c r="Y21" s="324">
        <f>((NPV($W21,$V$15:$AD$15))+$P$25+((($P$19*Y$18))/((1+$W21)^(2029-2020))))/Summary!$W$10</f>
        <v>57.63971767916059</v>
      </c>
      <c r="Z21" s="324">
        <f>((NPV($W21,$V$15:$AD$15))+$P$25+((($P$19*Z$18))/((1+$W21)^(2029-2020))))/Summary!$W$10</f>
        <v>59.905599586878502</v>
      </c>
      <c r="AA21" s="324">
        <f>((NPV($W21,$V$15:$AD$15))+$P$25+((($P$19*AA$18))/((1+$W21)^(2029-2020))))/Summary!$W$10</f>
        <v>62.171481494596414</v>
      </c>
      <c r="AB21" s="324">
        <f>((NPV($W21,$V$15:$AD$15))+$P$25+((($P$19*AB$18))/((1+$W21)^(2029-2020))))/Summary!$W$10</f>
        <v>64.437363402314332</v>
      </c>
      <c r="AC21" s="324">
        <f>((NPV($W21,$V$15:$AD$15))+$P$25+((($P$19*AC$18))/((1+$W21)^(2029-2020))))/Summary!$W$10</f>
        <v>66.703245310032244</v>
      </c>
      <c r="AD21" s="753">
        <f>((NPV($W21,$V$15:$AD$15))+$P$25+((($P$19*AD$18))/((1+$W21)^(2029-2020))))/Summary!$W$10</f>
        <v>68.969127217750156</v>
      </c>
      <c r="AW21" s="47"/>
      <c r="AX21" s="47"/>
      <c r="AY21" s="47"/>
      <c r="AZ21" s="47"/>
      <c r="BA21" s="47"/>
      <c r="BB21" s="47"/>
      <c r="BC21" s="47"/>
      <c r="BD21" s="47"/>
      <c r="BE21" s="57"/>
      <c r="BF21" s="57"/>
      <c r="BG21" s="57"/>
      <c r="BH21" s="57"/>
      <c r="BI21" s="57"/>
      <c r="BJ21" s="57"/>
      <c r="BK21" s="57"/>
      <c r="BL21" s="57"/>
      <c r="BM21" s="57"/>
      <c r="BN21" s="57"/>
      <c r="BO21" s="57"/>
      <c r="BP21" s="57"/>
    </row>
    <row r="22" spans="5:68" s="48" customFormat="1" ht="12.75" customHeight="1" thickBot="1" x14ac:dyDescent="0.3">
      <c r="E22" s="303" t="s">
        <v>188</v>
      </c>
      <c r="F22" s="306"/>
      <c r="P22" s="306"/>
      <c r="Q22" s="329"/>
      <c r="R22" s="294" t="s">
        <v>46</v>
      </c>
      <c r="T22" s="315"/>
      <c r="U22" s="325">
        <v>1.1399999999999999</v>
      </c>
      <c r="V22" s="1108"/>
      <c r="W22" s="323">
        <f>W23-0.005</f>
        <v>9.2901599999999987E-2</v>
      </c>
      <c r="X22" s="324">
        <f>((NPV($W22,$V$15:$AD$15))+$P$25+((($P$19*X$18))/((1+$W22)^(2029-2020))))/Summary!$W$10</f>
        <v>53.665312708272772</v>
      </c>
      <c r="Y22" s="324">
        <f>((NPV($W22,$V$15:$AD$15))+$P$25+((($P$19*Y$18))/((1+$W22)^(2029-2020))))/Summary!$W$10</f>
        <v>55.83958662113703</v>
      </c>
      <c r="Z22" s="324">
        <f>((NPV($W22,$V$15:$AD$15))+$P$25+((($P$19*Z$18))/((1+$W22)^(2029-2020))))/Summary!$W$10</f>
        <v>58.013860534001275</v>
      </c>
      <c r="AA22" s="435">
        <f>((NPV($W22,$V$15:$AD$15))+$P$25+((($P$19*AA$18))/((1+$W22)^(2029-2020))))/Summary!$W$10</f>
        <v>60.188134446865526</v>
      </c>
      <c r="AB22" s="324">
        <f>((NPV($W22,$V$15:$AD$15))+$P$25+((($P$19*AB$18))/((1+$W22)^(2029-2020))))/Summary!$W$10</f>
        <v>62.362408359729784</v>
      </c>
      <c r="AC22" s="324">
        <f>((NPV($W22,$V$15:$AD$15))+$P$25+((($P$19*AC$18))/((1+$W22)^(2029-2020))))/Summary!$W$10</f>
        <v>64.536682272594021</v>
      </c>
      <c r="AD22" s="753">
        <f>((NPV($W22,$V$15:$AD$15))+$P$25+((($P$19*AD$18))/((1+$W22)^(2029-2020))))/Summary!$W$10</f>
        <v>66.710956185458272</v>
      </c>
      <c r="AW22" s="47"/>
      <c r="AX22" s="47"/>
      <c r="AY22" s="47"/>
      <c r="AZ22" s="47"/>
      <c r="BA22" s="47"/>
      <c r="BB22" s="47"/>
      <c r="BC22" s="47"/>
      <c r="BD22" s="47"/>
      <c r="BE22" s="57"/>
      <c r="BF22" s="57"/>
      <c r="BG22" s="57"/>
      <c r="BH22" s="57"/>
      <c r="BI22" s="57"/>
      <c r="BJ22" s="57"/>
      <c r="BK22" s="57"/>
      <c r="BL22" s="57"/>
      <c r="BM22" s="57"/>
      <c r="BN22" s="57"/>
      <c r="BO22" s="57"/>
      <c r="BP22" s="57"/>
    </row>
    <row r="23" spans="5:68" s="48" customFormat="1" ht="12.75" customHeight="1" thickBot="1" x14ac:dyDescent="0.3">
      <c r="E23" s="312"/>
      <c r="F23" s="313"/>
      <c r="P23" s="314" t="s">
        <v>41</v>
      </c>
      <c r="Q23" s="330" t="s">
        <v>189</v>
      </c>
      <c r="R23" s="321" t="s">
        <v>190</v>
      </c>
      <c r="S23" s="331"/>
      <c r="T23" s="332"/>
      <c r="U23" s="333">
        <v>6.0440000000000001E-2</v>
      </c>
      <c r="V23" s="1108"/>
      <c r="W23" s="334">
        <f>U27</f>
        <v>9.7901599999999991E-2</v>
      </c>
      <c r="X23" s="324">
        <f>((NPV($W23,$V$15:$AD$15))+$P$25+((($P$19*X$18))/((1+$W23)^(2029-2020))))/Summary!$W$10</f>
        <v>52.030990802184576</v>
      </c>
      <c r="Y23" s="324">
        <f>((NPV($W23,$V$15:$AD$15))+$P$25+((($P$19*Y$18))/((1+$W23)^(2029-2020))))/Summary!$W$10</f>
        <v>54.117753424710607</v>
      </c>
      <c r="Z23" s="433">
        <f>((NPV($W23,$V$15:$AD$15))+$P$25+((($P$19*Z$18))/((1+$W23)^(2029-2020))))/Summary!$W$10</f>
        <v>56.204516047236638</v>
      </c>
      <c r="AA23" s="437">
        <f>((NPV($W23,$V$15:$AD$15))+$P$25+((($P$19*AA$18))/((1+$W23)^(2029-2020))))/Summary!$W$10</f>
        <v>58.291278669762676</v>
      </c>
      <c r="AB23" s="434">
        <f>((NPV($W23,$V$15:$AD$15))+$P$25+((($P$19*AB$18))/((1+$W23)^(2029-2020))))/Summary!$W$10</f>
        <v>60.378041292288714</v>
      </c>
      <c r="AC23" s="324">
        <f>((NPV($W23,$V$15:$AD$15))+$P$25+((($P$19*AC$18))/((1+$W23)^(2029-2020))))/Summary!$W$10</f>
        <v>62.464803914814745</v>
      </c>
      <c r="AD23" s="753">
        <f>((NPV($W23,$V$15:$AD$15))+$P$25+((($P$19*AD$18))/((1+$W23)^(2029-2020))))/Summary!$W$10</f>
        <v>64.551566537340776</v>
      </c>
      <c r="AW23" s="47"/>
      <c r="AX23" s="47"/>
      <c r="AY23" s="47"/>
      <c r="AZ23" s="47"/>
      <c r="BA23" s="47"/>
      <c r="BB23" s="47"/>
      <c r="BC23" s="47"/>
      <c r="BD23" s="47"/>
      <c r="BE23" s="57"/>
      <c r="BF23" s="57"/>
      <c r="BG23" s="57"/>
      <c r="BH23" s="57"/>
      <c r="BI23" s="57"/>
      <c r="BJ23" s="57"/>
      <c r="BK23" s="57"/>
      <c r="BL23" s="57"/>
      <c r="BM23" s="57"/>
      <c r="BN23" s="57"/>
      <c r="BO23" s="57"/>
      <c r="BP23" s="57"/>
    </row>
    <row r="24" spans="5:68" s="48" customFormat="1" ht="12.75" customHeight="1" x14ac:dyDescent="0.25">
      <c r="E24" s="226" t="s">
        <v>792</v>
      </c>
      <c r="F24" s="110"/>
      <c r="P24" s="227">
        <f>NPV(W23,$V$15:$AD$15)</f>
        <v>573.34134223151</v>
      </c>
      <c r="Q24" s="228">
        <f>P24/Summary!W10</f>
        <v>9.1921399039890677</v>
      </c>
      <c r="R24" s="294" t="s">
        <v>191</v>
      </c>
      <c r="T24" s="315"/>
      <c r="U24" s="675">
        <f>(U23*U22)+U21</f>
        <v>9.7901599999999991E-2</v>
      </c>
      <c r="V24" s="1108"/>
      <c r="W24" s="323">
        <f>W23+0.005</f>
        <v>0.1029016</v>
      </c>
      <c r="X24" s="324">
        <f>((NPV($W24,$V$15:$AD$15))+$P$25+((($P$19*X$18))/((1+$W24)^(2029-2020))))/Summary!$W$10</f>
        <v>50.467301254174018</v>
      </c>
      <c r="Y24" s="324">
        <f>((NPV($W24,$V$15:$AD$15))+$P$25+((($P$19*Y$18))/((1+$W24)^(2029-2020))))/Summary!$W$10</f>
        <v>52.470448665891269</v>
      </c>
      <c r="Z24" s="324">
        <f>((NPV($W24,$V$15:$AD$15))+$P$25+((($P$19*Z$18))/((1+$W24)^(2029-2020))))/Summary!$W$10</f>
        <v>54.473596077608526</v>
      </c>
      <c r="AA24" s="436">
        <f>((NPV($W24,$V$15:$AD$15))+$P$25+((($P$19*AA$18))/((1+$W24)^(2029-2020))))/Summary!$W$10</f>
        <v>56.476743489325777</v>
      </c>
      <c r="AB24" s="324">
        <f>((NPV($W24,$V$15:$AD$15))+$P$25+((($P$19*AB$18))/((1+$W24)^(2029-2020))))/Summary!$W$10</f>
        <v>58.479890901043035</v>
      </c>
      <c r="AC24" s="324">
        <f>((NPV($W24,$V$15:$AD$15))+$P$25+((($P$19*AC$18))/((1+$W24)^(2029-2020))))/Summary!$W$10</f>
        <v>60.483038312760286</v>
      </c>
      <c r="AD24" s="753">
        <f>((NPV($W24,$V$15:$AD$15))+$P$25+((($P$19*AD$18))/((1+$W24)^(2029-2020))))/Summary!$W$10</f>
        <v>62.486185724477536</v>
      </c>
      <c r="AW24" s="47"/>
      <c r="AX24" s="47"/>
      <c r="AY24" s="47"/>
      <c r="AZ24" s="47"/>
      <c r="BA24" s="47"/>
      <c r="BB24" s="47"/>
      <c r="BC24" s="47"/>
      <c r="BD24" s="47"/>
      <c r="BE24" s="57"/>
      <c r="BF24" s="57"/>
      <c r="BG24" s="57"/>
      <c r="BH24" s="57"/>
      <c r="BI24" s="57"/>
      <c r="BJ24" s="57"/>
      <c r="BK24" s="57"/>
      <c r="BL24" s="57"/>
      <c r="BM24" s="57"/>
      <c r="BN24" s="57"/>
      <c r="BO24" s="57"/>
      <c r="BP24" s="57"/>
    </row>
    <row r="25" spans="5:68" s="48" customFormat="1" ht="12.75" customHeight="1" x14ac:dyDescent="0.25">
      <c r="E25" s="226" t="s">
        <v>102</v>
      </c>
      <c r="F25" s="110"/>
      <c r="P25" s="229">
        <f>(Summary!W12)</f>
        <v>661.05203097623507</v>
      </c>
      <c r="Q25" s="228">
        <f>P25/Summary!W10</f>
        <v>10.598368380168266</v>
      </c>
      <c r="R25" s="294" t="s">
        <v>192</v>
      </c>
      <c r="T25" s="315"/>
      <c r="U25" s="335">
        <f>Debt!CL52</f>
        <v>6.1858218551128934E-2</v>
      </c>
      <c r="V25" s="1108"/>
      <c r="W25" s="323">
        <f>W24+0.005</f>
        <v>0.1079016</v>
      </c>
      <c r="X25" s="324">
        <f>((NPV($W25,$V$15:$AD$15))+$P$25+((($P$19*X$18))/((1+$W25)^(2029-2020))))/Summary!$W$10</f>
        <v>48.970862759643886</v>
      </c>
      <c r="Y25" s="324">
        <f>((NPV($W25,$V$15:$AD$15))+$P$25+((($P$19*Y$18))/((1+$W25)^(2029-2020))))/Summary!$W$10</f>
        <v>50.89410108570155</v>
      </c>
      <c r="Z25" s="324">
        <f>((NPV($W25,$V$15:$AD$15))+$P$25+((($P$19*Z$18))/((1+$W25)^(2029-2020))))/Summary!$W$10</f>
        <v>52.817339411759221</v>
      </c>
      <c r="AA25" s="324">
        <f>((NPV($W25,$V$15:$AD$15))+$P$25+((($P$19*AA$18))/((1+$W25)^(2029-2020))))/Summary!$W$10</f>
        <v>54.740577737816878</v>
      </c>
      <c r="AB25" s="324">
        <f>((NPV($W25,$V$15:$AD$15))+$P$25+((($P$19*AB$18))/((1+$W25)^(2029-2020))))/Summary!$W$10</f>
        <v>56.663816063874556</v>
      </c>
      <c r="AC25" s="324">
        <f>((NPV($W25,$V$15:$AD$15))+$P$25+((($P$19*AC$18))/((1+$W25)^(2029-2020))))/Summary!$W$10</f>
        <v>58.587054389932227</v>
      </c>
      <c r="AD25" s="753">
        <f>((NPV($W25,$V$15:$AD$15))+$P$25+((($P$19*AD$18))/((1+$W25)^(2029-2020))))/Summary!$W$10</f>
        <v>60.510292715989891</v>
      </c>
      <c r="AW25" s="47"/>
      <c r="AX25" s="47"/>
      <c r="AY25" s="47"/>
      <c r="AZ25" s="47"/>
      <c r="BA25" s="47"/>
      <c r="BB25" s="47"/>
      <c r="BC25" s="47"/>
      <c r="BD25" s="47"/>
      <c r="BE25" s="57"/>
      <c r="BF25" s="57"/>
      <c r="BG25" s="57"/>
      <c r="BH25" s="57"/>
      <c r="BI25" s="57"/>
      <c r="BJ25" s="57"/>
      <c r="BK25" s="57"/>
      <c r="BL25" s="57"/>
      <c r="BM25" s="57"/>
      <c r="BN25" s="57"/>
      <c r="BO25" s="57"/>
      <c r="BP25" s="57"/>
    </row>
    <row r="26" spans="5:68" s="48" customFormat="1" ht="12.75" customHeight="1" x14ac:dyDescent="0.25">
      <c r="E26" s="230" t="s">
        <v>108</v>
      </c>
      <c r="F26" s="108"/>
      <c r="P26" s="109">
        <f>(P21)/(((1+W23)^(2029-2020)))</f>
        <v>2401.4085512613619</v>
      </c>
      <c r="Q26" s="231">
        <f>P26/Summary!W10</f>
        <v>38.50077038560535</v>
      </c>
      <c r="R26" s="294" t="s">
        <v>193</v>
      </c>
      <c r="T26" s="315"/>
      <c r="U26" s="328">
        <v>0.34</v>
      </c>
      <c r="V26" s="1108"/>
      <c r="W26" s="323">
        <f>W25+0.005</f>
        <v>0.1129016</v>
      </c>
      <c r="X26" s="324">
        <f>((NPV($W26,$V$15:$AD$15))+$P$25+((($P$19*X$18))/((1+$W26)^(2029-2020))))/Summary!$W$10</f>
        <v>47.538470848436191</v>
      </c>
      <c r="Y26" s="324">
        <f>((NPV($W26,$V$15:$AD$15))+$P$25+((($P$19*Y$18))/((1+$W26)^(2029-2020))))/Summary!$W$10</f>
        <v>49.385326318099686</v>
      </c>
      <c r="Z26" s="324">
        <f>((NPV($W26,$V$15:$AD$15))+$P$25+((($P$19*Z$18))/((1+$W26)^(2029-2020))))/Summary!$W$10</f>
        <v>51.232181787763196</v>
      </c>
      <c r="AA26" s="324">
        <f>((NPV($W26,$V$15:$AD$15))+$P$25+((($P$19*AA$18))/((1+$W26)^(2029-2020))))/Summary!$W$10</f>
        <v>53.079037257426691</v>
      </c>
      <c r="AB26" s="324">
        <f>((NPV($W26,$V$15:$AD$15))+$P$25+((($P$19*AB$18))/((1+$W26)^(2029-2020))))/Summary!$W$10</f>
        <v>54.925892727090208</v>
      </c>
      <c r="AC26" s="324">
        <f>((NPV($W26,$V$15:$AD$15))+$P$25+((($P$19*AC$18))/((1+$W26)^(2029-2020))))/Summary!$W$10</f>
        <v>56.77274819675371</v>
      </c>
      <c r="AD26" s="753">
        <f>((NPV($W26,$V$15:$AD$15))+$P$25+((($P$19*AD$18))/((1+$W26)^(2029-2020))))/Summary!$W$10</f>
        <v>58.619603666417213</v>
      </c>
      <c r="AW26" s="47"/>
      <c r="AX26" s="47"/>
      <c r="AY26" s="47"/>
      <c r="AZ26" s="47"/>
      <c r="BA26" s="47"/>
      <c r="BB26" s="47"/>
      <c r="BC26" s="47"/>
      <c r="BD26" s="47"/>
      <c r="BE26" s="57"/>
      <c r="BF26" s="57"/>
      <c r="BG26" s="57"/>
      <c r="BH26" s="57"/>
      <c r="BI26" s="57"/>
      <c r="BJ26" s="57"/>
      <c r="BK26" s="57"/>
      <c r="BL26" s="57"/>
      <c r="BM26" s="57"/>
      <c r="BN26" s="57"/>
      <c r="BO26" s="57"/>
      <c r="BP26" s="57"/>
    </row>
    <row r="27" spans="5:68" s="48" customFormat="1" ht="12.75" customHeight="1" thickBot="1" x14ac:dyDescent="0.3">
      <c r="E27" s="232" t="s">
        <v>42</v>
      </c>
      <c r="F27" s="233"/>
      <c r="G27" s="327"/>
      <c r="H27" s="327"/>
      <c r="P27" s="234">
        <f>SUM(P24:P26)</f>
        <v>3635.8019244691068</v>
      </c>
      <c r="Q27" s="235">
        <f>P27/Summary!W10</f>
        <v>58.291278669762676</v>
      </c>
      <c r="R27" s="232" t="s">
        <v>47</v>
      </c>
      <c r="S27" s="233"/>
      <c r="T27" s="336"/>
      <c r="U27" s="337">
        <f>((U19/U20)*U24)+((-U18/U20)*(U25*(1-U26)))</f>
        <v>9.7901599999999991E-2</v>
      </c>
      <c r="V27" s="1109"/>
      <c r="W27" s="338">
        <f>W26+0.005</f>
        <v>0.11790160000000001</v>
      </c>
      <c r="X27" s="754">
        <f>((NPV($W27,$V$15:$AD$15))+$P$25+((($P$19*X$18))/((1+$W27)^(2029-2020))))/Summary!$W$10</f>
        <v>46.167087876081425</v>
      </c>
      <c r="Y27" s="754">
        <f>((NPV($W27,$V$15:$AD$15))+$P$25+((($P$19*Y$18))/((1+$W27)^(2029-2020))))/Summary!$W$10</f>
        <v>47.940916306767107</v>
      </c>
      <c r="Z27" s="754">
        <f>((NPV($W27,$V$15:$AD$15))+$P$25+((($P$19*Z$18))/((1+$W27)^(2029-2020))))/Summary!$W$10</f>
        <v>49.714744737452797</v>
      </c>
      <c r="AA27" s="754">
        <f>((NPV($W27,$V$15:$AD$15))+$P$25+((($P$19*AA$18))/((1+$W27)^(2029-2020))))/Summary!$W$10</f>
        <v>51.48857316813848</v>
      </c>
      <c r="AB27" s="754">
        <f>((NPV($W27,$V$15:$AD$15))+$P$25+((($P$19*AB$18))/((1+$W27)^(2029-2020))))/Summary!$W$10</f>
        <v>53.262401598824177</v>
      </c>
      <c r="AC27" s="754">
        <f>((NPV($W27,$V$15:$AD$15))+$P$25+((($P$19*AC$18))/((1+$W27)^(2029-2020))))/Summary!$W$10</f>
        <v>55.036230029509859</v>
      </c>
      <c r="AD27" s="755">
        <f>((NPV($W27,$V$15:$AD$15))+$P$25+((($P$19*AD$18))/((1+$W27)^(2029-2020))))/Summary!$W$10</f>
        <v>56.810058460195542</v>
      </c>
      <c r="AW27" s="47"/>
      <c r="AX27" s="47"/>
      <c r="AY27" s="47"/>
      <c r="AZ27" s="47"/>
      <c r="BA27" s="47"/>
      <c r="BB27" s="47"/>
      <c r="BC27" s="47"/>
      <c r="BD27" s="47"/>
      <c r="BE27" s="57"/>
      <c r="BF27" s="57"/>
      <c r="BG27" s="57"/>
      <c r="BH27" s="57"/>
      <c r="BI27" s="57"/>
      <c r="BJ27" s="57"/>
      <c r="BK27" s="57"/>
      <c r="BL27" s="57"/>
      <c r="BM27" s="57"/>
      <c r="BN27" s="57"/>
      <c r="BO27" s="57"/>
      <c r="BP27" s="57"/>
    </row>
    <row r="28" spans="5:68" s="48" customFormat="1" ht="12.75" customHeight="1" x14ac:dyDescent="0.25">
      <c r="U28" s="47"/>
      <c r="V28" s="47"/>
      <c r="W28" s="47"/>
      <c r="X28" s="47"/>
      <c r="Y28" s="47"/>
      <c r="Z28" s="47"/>
      <c r="AA28" s="47"/>
      <c r="AB28" s="47"/>
      <c r="AC28" s="47"/>
      <c r="AD28" s="720"/>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57"/>
      <c r="BF28" s="57"/>
      <c r="BG28" s="57"/>
      <c r="BH28" s="57"/>
      <c r="BI28" s="57"/>
      <c r="BJ28" s="57"/>
      <c r="BK28" s="57"/>
      <c r="BL28" s="57"/>
      <c r="BM28" s="57"/>
      <c r="BN28" s="57"/>
      <c r="BO28" s="57"/>
      <c r="BP28" s="57"/>
    </row>
    <row r="29" spans="5:68" s="48" customFormat="1" ht="12.75" customHeight="1" x14ac:dyDescent="0.25">
      <c r="I29" s="47"/>
      <c r="J29" s="47"/>
      <c r="K29" s="47"/>
      <c r="L29" s="47"/>
      <c r="AC29" s="47"/>
      <c r="AD29" s="720"/>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57"/>
      <c r="BF29" s="57"/>
      <c r="BG29" s="57"/>
      <c r="BH29" s="57"/>
      <c r="BI29" s="57"/>
      <c r="BJ29" s="57"/>
      <c r="BK29" s="57"/>
      <c r="BL29" s="57"/>
      <c r="BM29" s="57"/>
      <c r="BN29" s="57"/>
      <c r="BO29" s="57"/>
      <c r="BP29" s="57"/>
    </row>
    <row r="30" spans="5:68" s="48" customFormat="1" ht="12.75" customHeight="1" x14ac:dyDescent="0.25">
      <c r="E30" s="50"/>
      <c r="AC30" s="47"/>
      <c r="AD30" s="720"/>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57"/>
      <c r="BF30" s="57"/>
      <c r="BG30" s="57"/>
      <c r="BH30" s="57"/>
      <c r="BI30" s="57"/>
      <c r="BJ30" s="57"/>
      <c r="BK30" s="57"/>
      <c r="BL30" s="57"/>
      <c r="BM30" s="57"/>
      <c r="BN30" s="57"/>
      <c r="BO30" s="57"/>
      <c r="BP30" s="57"/>
    </row>
    <row r="31" spans="5:68" s="48" customFormat="1" ht="12.75" customHeight="1" x14ac:dyDescent="0.25">
      <c r="AC31" s="47"/>
      <c r="AD31" s="720"/>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57"/>
      <c r="BF31" s="57"/>
      <c r="BG31" s="57"/>
      <c r="BH31" s="57"/>
      <c r="BI31" s="57"/>
      <c r="BJ31" s="57"/>
      <c r="BK31" s="57"/>
      <c r="BL31" s="57"/>
      <c r="BM31" s="57"/>
      <c r="BN31" s="57"/>
      <c r="BO31" s="57"/>
      <c r="BP31" s="57"/>
    </row>
    <row r="32" spans="5:68" s="48" customFormat="1" ht="12.75" customHeight="1" x14ac:dyDescent="0.25">
      <c r="AC32" s="47"/>
      <c r="AD32" s="720"/>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57"/>
      <c r="BF32" s="57"/>
      <c r="BG32" s="57"/>
      <c r="BH32" s="57"/>
      <c r="BI32" s="57"/>
      <c r="BJ32" s="57"/>
      <c r="BK32" s="57"/>
      <c r="BL32" s="57"/>
      <c r="BM32" s="57"/>
      <c r="BN32" s="57"/>
      <c r="BO32" s="57"/>
      <c r="BP32" s="57"/>
    </row>
    <row r="33" spans="15:68" s="48" customFormat="1" ht="12.75" customHeight="1" x14ac:dyDescent="0.25">
      <c r="AC33" s="47"/>
      <c r="AD33" s="720"/>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57"/>
      <c r="BF33" s="57"/>
      <c r="BG33" s="57"/>
      <c r="BH33" s="57"/>
      <c r="BI33" s="57"/>
      <c r="BJ33" s="57"/>
      <c r="BK33" s="57"/>
      <c r="BL33" s="57"/>
      <c r="BM33" s="57"/>
      <c r="BN33" s="57"/>
      <c r="BO33" s="57"/>
      <c r="BP33" s="57"/>
    </row>
    <row r="34" spans="15:68" s="48" customFormat="1" ht="12.75" customHeight="1" x14ac:dyDescent="0.25">
      <c r="Z34" s="698">
        <f>(P21*U27-AC15)/P21</f>
        <v>5.6208875380446097E-2</v>
      </c>
      <c r="AC34" s="47"/>
      <c r="AD34" s="720"/>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57"/>
      <c r="BF34" s="57"/>
      <c r="BG34" s="57"/>
      <c r="BH34" s="57"/>
      <c r="BI34" s="57"/>
      <c r="BJ34" s="57"/>
      <c r="BK34" s="57"/>
      <c r="BL34" s="57"/>
      <c r="BM34" s="57"/>
      <c r="BN34" s="57"/>
      <c r="BO34" s="57"/>
      <c r="BP34" s="57"/>
    </row>
    <row r="35" spans="15:68" s="48" customFormat="1" ht="12.75" customHeight="1" x14ac:dyDescent="0.25">
      <c r="AC35" s="47"/>
      <c r="AD35" s="720"/>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57"/>
      <c r="BF35" s="57"/>
      <c r="BG35" s="57"/>
      <c r="BH35" s="57"/>
      <c r="BI35" s="57"/>
      <c r="BJ35" s="57"/>
      <c r="BK35" s="57"/>
      <c r="BL35" s="57"/>
      <c r="BM35" s="57"/>
      <c r="BN35" s="57"/>
      <c r="BO35" s="57"/>
      <c r="BP35" s="57"/>
    </row>
    <row r="36" spans="15:68" s="48" customFormat="1" ht="12.75" customHeight="1" x14ac:dyDescent="0.25">
      <c r="AC36" s="47"/>
      <c r="AD36" s="720"/>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57"/>
      <c r="BF36" s="57"/>
      <c r="BG36" s="57"/>
      <c r="BH36" s="57"/>
      <c r="BI36" s="57"/>
      <c r="BJ36" s="57"/>
      <c r="BK36" s="57"/>
      <c r="BL36" s="57"/>
      <c r="BM36" s="57"/>
      <c r="BN36" s="57"/>
      <c r="BO36" s="57"/>
      <c r="BP36" s="57"/>
    </row>
    <row r="37" spans="15:68" ht="12.75" customHeight="1" x14ac:dyDescent="0.25"/>
    <row r="38" spans="15:68" ht="12.75" customHeight="1" x14ac:dyDescent="0.25"/>
    <row r="39" spans="15:68" s="64" customFormat="1" ht="12.75" customHeight="1" x14ac:dyDescent="0.25"/>
    <row r="40" spans="15:68" s="64" customFormat="1" ht="12.75" customHeight="1" x14ac:dyDescent="0.25"/>
    <row r="41" spans="15:68" s="64" customFormat="1" ht="12.75" customHeight="1" x14ac:dyDescent="0.25"/>
    <row r="42" spans="15:68" s="61" customFormat="1" ht="12.75" customHeight="1" x14ac:dyDescent="0.25"/>
    <row r="43" spans="15:68" ht="12.75" customHeight="1" x14ac:dyDescent="0.25">
      <c r="O43" s="65"/>
      <c r="P43" s="48"/>
      <c r="Q43" s="48"/>
      <c r="R43" s="48"/>
      <c r="S43" s="48"/>
    </row>
    <row r="44" spans="15:68" ht="12.75" customHeight="1" x14ac:dyDescent="0.25">
      <c r="O44" s="58"/>
      <c r="S44" s="48"/>
    </row>
    <row r="45" spans="15:68" ht="12.75" customHeight="1" x14ac:dyDescent="0.25">
      <c r="O45" s="58"/>
      <c r="S45" s="48"/>
    </row>
    <row r="46" spans="15:68" ht="12.75" customHeight="1" x14ac:dyDescent="0.25">
      <c r="O46" s="58"/>
      <c r="S46" s="48"/>
    </row>
    <row r="47" spans="15:68" ht="12.75" customHeight="1" x14ac:dyDescent="0.25">
      <c r="O47" s="58"/>
      <c r="S47" s="48"/>
    </row>
    <row r="48" spans="15:68" ht="12.75" customHeight="1" x14ac:dyDescent="0.25">
      <c r="O48" s="58"/>
      <c r="S48" s="48"/>
    </row>
    <row r="49" spans="5:19" ht="12.75" customHeight="1" x14ac:dyDescent="0.25">
      <c r="E49" s="51"/>
      <c r="F49" s="51"/>
      <c r="H49" s="56"/>
      <c r="I49" s="52"/>
      <c r="J49" s="52"/>
      <c r="K49" s="52"/>
      <c r="L49" s="52"/>
      <c r="M49" s="52"/>
      <c r="N49" s="52"/>
      <c r="O49" s="58"/>
      <c r="S49" s="48"/>
    </row>
    <row r="50" spans="5:19" ht="12.75" customHeight="1" x14ac:dyDescent="0.25">
      <c r="H50" s="66"/>
      <c r="I50" s="66"/>
      <c r="J50" s="63"/>
      <c r="K50" s="63"/>
      <c r="L50" s="63"/>
      <c r="M50" s="55"/>
      <c r="N50" s="63"/>
      <c r="O50" s="58"/>
      <c r="S50" s="48"/>
    </row>
    <row r="51" spans="5:19" ht="12.75" customHeight="1" x14ac:dyDescent="0.25">
      <c r="H51" s="66"/>
      <c r="I51" s="66"/>
      <c r="J51" s="63"/>
      <c r="K51" s="63"/>
      <c r="L51" s="63"/>
      <c r="M51" s="55"/>
      <c r="N51" s="63"/>
      <c r="O51" s="58"/>
      <c r="S51" s="48"/>
    </row>
    <row r="52" spans="5:19" ht="12.75" customHeight="1" x14ac:dyDescent="0.25">
      <c r="H52" s="66"/>
      <c r="I52" s="66"/>
      <c r="J52" s="58"/>
      <c r="K52" s="58"/>
      <c r="L52" s="58"/>
    </row>
    <row r="53" spans="5:19" ht="12.75" customHeight="1" x14ac:dyDescent="0.25">
      <c r="H53" s="66"/>
      <c r="I53" s="66"/>
      <c r="J53" s="58"/>
      <c r="K53" s="58"/>
      <c r="L53" s="58"/>
    </row>
    <row r="54" spans="5:19" ht="12.75" customHeight="1" x14ac:dyDescent="0.25">
      <c r="H54" s="66"/>
      <c r="I54" s="66"/>
      <c r="J54" s="58"/>
      <c r="K54" s="58"/>
      <c r="L54" s="58"/>
    </row>
    <row r="55" spans="5:19" ht="12.75" customHeight="1" x14ac:dyDescent="0.25">
      <c r="H55" s="66"/>
      <c r="I55" s="66"/>
      <c r="J55" s="58"/>
      <c r="K55" s="58"/>
      <c r="L55" s="58"/>
    </row>
    <row r="56" spans="5:19" ht="12.75" customHeight="1" x14ac:dyDescent="0.25">
      <c r="H56" s="66"/>
      <c r="I56" s="66"/>
    </row>
    <row r="57" spans="5:19" ht="12.75" customHeight="1" x14ac:dyDescent="0.25">
      <c r="H57" s="66"/>
      <c r="I57" s="66"/>
    </row>
    <row r="58" spans="5:19" ht="12.75" customHeight="1" x14ac:dyDescent="0.25">
      <c r="H58" s="66"/>
      <c r="I58" s="66"/>
    </row>
    <row r="59" spans="5:19" ht="12.75" customHeight="1" x14ac:dyDescent="0.25">
      <c r="H59" s="66"/>
      <c r="I59" s="66"/>
    </row>
    <row r="60" spans="5:19" ht="12.75" customHeight="1" x14ac:dyDescent="0.25">
      <c r="H60" s="66"/>
      <c r="I60" s="66"/>
    </row>
    <row r="61" spans="5:19" ht="12.75" customHeight="1" x14ac:dyDescent="0.25"/>
    <row r="62" spans="5:19" ht="12.75" customHeight="1" x14ac:dyDescent="0.25"/>
    <row r="63" spans="5:19" ht="12.75" customHeight="1" x14ac:dyDescent="0.25"/>
    <row r="64" spans="5:19"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sheetData>
  <mergeCells count="1">
    <mergeCell ref="V17:V27"/>
  </mergeCells>
  <phoneticPr fontId="6" type="noConversion"/>
  <pageMargins left="0.75" right="0.75" top="0.5" bottom="0.5" header="0.5" footer="0.5"/>
  <pageSetup orientation="landscape" horizontalDpi="300" verticalDpi="300" r:id="rId1"/>
  <headerFooter alignWithMargins="0">
    <oddFooter>&amp;R&amp;"Book Antiqua,Regular"&amp;8Daniel Salmon
BMO Capital Markets
 (212) 885-4029</oddFooter>
  </headerFooter>
  <rowBreaks count="1" manualBreakCount="1">
    <brk id="5" min="4" max="20"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E2:M32"/>
  <sheetViews>
    <sheetView showGridLines="0" topLeftCell="D1" zoomScaleNormal="100" workbookViewId="0">
      <pane xSplit="2" ySplit="6" topLeftCell="F7" activePane="bottomRight" state="frozen"/>
      <selection activeCell="D1" sqref="D1"/>
      <selection pane="topRight" activeCell="F1" sqref="F1"/>
      <selection pane="bottomLeft" activeCell="D7" sqref="D7"/>
      <selection pane="bottomRight" activeCell="H40" sqref="H40"/>
    </sheetView>
  </sheetViews>
  <sheetFormatPr defaultColWidth="9.33203125" defaultRowHeight="12.75" x14ac:dyDescent="0.25"/>
  <cols>
    <col min="1" max="3" width="9.33203125" style="237"/>
    <col min="4" max="4" width="1.83203125" style="237" customWidth="1"/>
    <col min="5" max="5" width="35.6640625" style="237" bestFit="1" customWidth="1"/>
    <col min="6" max="10" width="15.83203125" style="237" customWidth="1"/>
    <col min="11" max="11" width="9.33203125" style="237"/>
    <col min="12" max="12" width="23.5" style="237" customWidth="1"/>
    <col min="13" max="16384" width="9.33203125" style="237"/>
  </cols>
  <sheetData>
    <row r="2" spans="5:13" ht="13.5" x14ac:dyDescent="0.25">
      <c r="E2" s="44" t="str">
        <f>Summary!E2</f>
        <v>LiveRamp</v>
      </c>
    </row>
    <row r="3" spans="5:13" x14ac:dyDescent="0.25">
      <c r="E3" s="45" t="s">
        <v>169</v>
      </c>
    </row>
    <row r="4" spans="5:13" ht="13.5" x14ac:dyDescent="0.25">
      <c r="E4" s="49" t="str">
        <f>Income!E4</f>
        <v>$ in millions, except per share figures</v>
      </c>
      <c r="H4" s="594"/>
    </row>
    <row r="5" spans="5:13" ht="13.5" thickBot="1" x14ac:dyDescent="0.3"/>
    <row r="6" spans="5:13" ht="14.25" thickBot="1" x14ac:dyDescent="0.35">
      <c r="E6" s="238" t="s">
        <v>170</v>
      </c>
      <c r="F6" s="239" t="s">
        <v>438</v>
      </c>
      <c r="G6" s="239" t="s">
        <v>439</v>
      </c>
      <c r="H6" s="239" t="s">
        <v>171</v>
      </c>
      <c r="I6" s="239" t="s">
        <v>440</v>
      </c>
      <c r="J6" s="240" t="s">
        <v>441</v>
      </c>
    </row>
    <row r="7" spans="5:13" x14ac:dyDescent="0.25">
      <c r="E7" s="241" t="s">
        <v>172</v>
      </c>
      <c r="F7" s="384" t="s">
        <v>435</v>
      </c>
      <c r="G7" s="384" t="s">
        <v>391</v>
      </c>
      <c r="H7" s="384" t="s">
        <v>436</v>
      </c>
      <c r="I7" s="384" t="s">
        <v>437</v>
      </c>
      <c r="J7" s="431" t="s">
        <v>681</v>
      </c>
    </row>
    <row r="8" spans="5:13" ht="25.5" x14ac:dyDescent="0.25">
      <c r="E8" s="241" t="s">
        <v>399</v>
      </c>
      <c r="F8" s="389" t="s">
        <v>510</v>
      </c>
      <c r="G8" s="389" t="s">
        <v>509</v>
      </c>
      <c r="H8" s="389" t="s">
        <v>507</v>
      </c>
      <c r="I8" s="389" t="s">
        <v>508</v>
      </c>
      <c r="J8" s="390" t="s">
        <v>417</v>
      </c>
    </row>
    <row r="9" spans="5:13" ht="26.25" thickBot="1" x14ac:dyDescent="0.3">
      <c r="E9" s="241" t="s">
        <v>173</v>
      </c>
      <c r="F9" s="242" t="s">
        <v>400</v>
      </c>
      <c r="G9" s="242" t="s">
        <v>194</v>
      </c>
      <c r="H9" s="242" t="s">
        <v>195</v>
      </c>
      <c r="I9" s="242" t="s">
        <v>401</v>
      </c>
      <c r="J9" s="243" t="s">
        <v>402</v>
      </c>
    </row>
    <row r="10" spans="5:13" ht="14.25" thickBot="1" x14ac:dyDescent="0.35">
      <c r="E10" s="238" t="s">
        <v>773</v>
      </c>
      <c r="F10" s="239" t="str">
        <f>F6</f>
        <v>Strong Bear</v>
      </c>
      <c r="G10" s="239" t="str">
        <f>G6</f>
        <v>Weak Bear</v>
      </c>
      <c r="H10" s="239" t="str">
        <f>H6</f>
        <v>Base Case</v>
      </c>
      <c r="I10" s="239" t="str">
        <f>I6</f>
        <v>Weak Bull</v>
      </c>
      <c r="J10" s="240" t="str">
        <f>J6</f>
        <v>Strong Bull</v>
      </c>
      <c r="L10" s="244"/>
    </row>
    <row r="11" spans="5:13" ht="13.5" x14ac:dyDescent="0.3">
      <c r="E11" s="248" t="s">
        <v>174</v>
      </c>
      <c r="F11" s="249">
        <f>M11*(1+F12)</f>
        <v>361.24983536000002</v>
      </c>
      <c r="G11" s="249">
        <f>M11*(1+G12)</f>
        <v>366.89083272000005</v>
      </c>
      <c r="H11" s="249">
        <f>Income!CQ22</f>
        <v>372.53183008000002</v>
      </c>
      <c r="I11" s="249">
        <f>M11*(1+I12)</f>
        <v>378.17282744000005</v>
      </c>
      <c r="J11" s="250">
        <f>M11*(1+J12)</f>
        <v>383.81382479999996</v>
      </c>
      <c r="L11" s="468" t="s">
        <v>638</v>
      </c>
      <c r="M11" s="469">
        <f>Income!CL22</f>
        <v>282.049868</v>
      </c>
    </row>
    <row r="12" spans="5:13" ht="13.5" x14ac:dyDescent="0.3">
      <c r="E12" s="245" t="s">
        <v>175</v>
      </c>
      <c r="F12" s="246">
        <f>H12+-0.04</f>
        <v>0.28080129206087778</v>
      </c>
      <c r="G12" s="246">
        <f>H12+-0.02</f>
        <v>0.30080129206087775</v>
      </c>
      <c r="H12" s="246">
        <f>Income!CQ23</f>
        <v>0.32080129206087776</v>
      </c>
      <c r="I12" s="246">
        <f>H12+0.02</f>
        <v>0.34080129206087778</v>
      </c>
      <c r="J12" s="251">
        <f>H12+0.04</f>
        <v>0.36080129206087774</v>
      </c>
    </row>
    <row r="13" spans="5:13" ht="3.95" customHeight="1" x14ac:dyDescent="0.25">
      <c r="E13" s="252"/>
      <c r="F13" s="253"/>
      <c r="G13" s="253"/>
      <c r="H13" s="254"/>
      <c r="I13" s="174"/>
      <c r="J13" s="255"/>
    </row>
    <row r="14" spans="5:13" x14ac:dyDescent="0.25">
      <c r="E14" s="252" t="s">
        <v>774</v>
      </c>
      <c r="F14" s="25">
        <f>H14+F30</f>
        <v>5.4858650796640775</v>
      </c>
      <c r="G14" s="25">
        <f>H14+G30</f>
        <v>4.3358650796640781</v>
      </c>
      <c r="H14" s="25">
        <f>((Summary!Z64*Summary!W10)-Summary!W12)/Summary!W17</f>
        <v>7.9358650796640777</v>
      </c>
      <c r="I14" s="25">
        <f>H14+I30</f>
        <v>9.9358650796640777</v>
      </c>
      <c r="J14" s="222">
        <f>H14+J30</f>
        <v>10.435865079664078</v>
      </c>
    </row>
    <row r="15" spans="5:13" x14ac:dyDescent="0.25">
      <c r="E15" s="252" t="s">
        <v>165</v>
      </c>
      <c r="F15" s="258">
        <f>F14*F11</f>
        <v>1981.7678568358215</v>
      </c>
      <c r="G15" s="258">
        <f>G14*G11</f>
        <v>1590.789149639523</v>
      </c>
      <c r="H15" s="258">
        <f>H14*H11</f>
        <v>2956.3623413952241</v>
      </c>
      <c r="I15" s="258">
        <f>I14*I11</f>
        <v>3757.4741902389255</v>
      </c>
      <c r="J15" s="259">
        <f>J14*J11</f>
        <v>4005.4292913226259</v>
      </c>
      <c r="M15" s="247"/>
    </row>
    <row r="16" spans="5:13" x14ac:dyDescent="0.25">
      <c r="E16" s="260" t="s">
        <v>20</v>
      </c>
      <c r="F16" s="261">
        <f>$H16-($H11-F11)</f>
        <v>649.77003625623502</v>
      </c>
      <c r="G16" s="261">
        <f>$H16-($H11-G11)</f>
        <v>655.41103361623504</v>
      </c>
      <c r="H16" s="261">
        <f>Summary!W12</f>
        <v>661.05203097623507</v>
      </c>
      <c r="I16" s="261">
        <f>$H16-($H11-I11)</f>
        <v>666.6930283362351</v>
      </c>
      <c r="J16" s="262">
        <f>$H16-($H11-J11)</f>
        <v>672.33402569623502</v>
      </c>
      <c r="M16" s="263"/>
    </row>
    <row r="17" spans="5:13" x14ac:dyDescent="0.25">
      <c r="E17" s="221" t="s">
        <v>89</v>
      </c>
      <c r="F17" s="258">
        <f>F15+F16</f>
        <v>2631.5378930920565</v>
      </c>
      <c r="G17" s="258">
        <f>G15+G16</f>
        <v>2246.200183255758</v>
      </c>
      <c r="H17" s="258">
        <f>H15+H16</f>
        <v>3617.4143723714592</v>
      </c>
      <c r="I17" s="258">
        <f>I15+I16</f>
        <v>4424.1672185751604</v>
      </c>
      <c r="J17" s="259">
        <f>J15+J16</f>
        <v>4677.763317018861</v>
      </c>
      <c r="M17" s="263"/>
    </row>
    <row r="18" spans="5:13" ht="13.5" thickBot="1" x14ac:dyDescent="0.3">
      <c r="E18" s="252" t="s">
        <v>176</v>
      </c>
      <c r="F18" s="258">
        <f>H18</f>
        <v>62.37299999999999</v>
      </c>
      <c r="G18" s="258">
        <f>H18</f>
        <v>62.37299999999999</v>
      </c>
      <c r="H18" s="258">
        <f>Summary!$W10</f>
        <v>62.37299999999999</v>
      </c>
      <c r="I18" s="258">
        <f>H18</f>
        <v>62.37299999999999</v>
      </c>
      <c r="J18" s="259">
        <f>H18</f>
        <v>62.37299999999999</v>
      </c>
    </row>
    <row r="19" spans="5:13" ht="13.5" x14ac:dyDescent="0.3">
      <c r="E19" s="273" t="s">
        <v>177</v>
      </c>
      <c r="F19" s="274">
        <f>F17/F18</f>
        <v>42.190337054367383</v>
      </c>
      <c r="G19" s="274">
        <f>G17/G18</f>
        <v>36.012380088431826</v>
      </c>
      <c r="H19" s="274">
        <f>H17/H18</f>
        <v>57.99647880287079</v>
      </c>
      <c r="I19" s="274">
        <f>I17/I18</f>
        <v>70.930806896816904</v>
      </c>
      <c r="J19" s="275">
        <f>J17/J18</f>
        <v>74.996606176051529</v>
      </c>
    </row>
    <row r="20" spans="5:13" ht="14.25" thickBot="1" x14ac:dyDescent="0.35">
      <c r="E20" s="276" t="s">
        <v>180</v>
      </c>
      <c r="F20" s="277">
        <f>F19/Summary!$V$9-1</f>
        <v>-9.3071000551002148E-2</v>
      </c>
      <c r="G20" s="277">
        <f>G19/Summary!$V$9-1</f>
        <v>-0.22587317092794879</v>
      </c>
      <c r="H20" s="277">
        <f>H19/Summary!$V$9-1</f>
        <v>0.2466998882818312</v>
      </c>
      <c r="I20" s="277">
        <f>I19/Summary!$V$9-1</f>
        <v>0.52473789546038052</v>
      </c>
      <c r="J20" s="278">
        <f>J19/Summary!$V$9-1</f>
        <v>0.61213684815244029</v>
      </c>
    </row>
    <row r="21" spans="5:13" ht="3.95" customHeight="1" x14ac:dyDescent="0.25">
      <c r="E21" s="256"/>
      <c r="F21" s="174"/>
      <c r="G21" s="174"/>
      <c r="H21" s="257"/>
      <c r="I21" s="174"/>
      <c r="J21" s="255"/>
    </row>
    <row r="22" spans="5:13" ht="13.5" x14ac:dyDescent="0.3">
      <c r="E22" s="248" t="s">
        <v>178</v>
      </c>
      <c r="F22" s="264">
        <v>0.03</v>
      </c>
      <c r="G22" s="264">
        <v>0.2</v>
      </c>
      <c r="H22" s="265">
        <f>(H24-(F19*F22)-(G19*G22)-(I19*I22)-(J19*J22))/H19</f>
        <v>0.41843766378050712</v>
      </c>
      <c r="I22" s="264">
        <v>0.28000000000000003</v>
      </c>
      <c r="J22" s="266">
        <v>7.1999999999999995E-2</v>
      </c>
    </row>
    <row r="23" spans="5:13" ht="3.95" customHeight="1" thickBot="1" x14ac:dyDescent="0.35">
      <c r="E23" s="248"/>
      <c r="F23" s="264"/>
      <c r="G23" s="264"/>
      <c r="H23" s="265"/>
      <c r="I23" s="264"/>
      <c r="J23" s="266"/>
    </row>
    <row r="24" spans="5:13" ht="13.5" customHeight="1" x14ac:dyDescent="0.3">
      <c r="E24" s="248"/>
      <c r="F24" s="174"/>
      <c r="G24" s="279" t="s">
        <v>181</v>
      </c>
      <c r="H24" s="280">
        <f>Summary!Z64</f>
        <v>57.99647880287079</v>
      </c>
      <c r="I24" s="174"/>
      <c r="J24" s="255"/>
    </row>
    <row r="25" spans="5:13" ht="13.5" customHeight="1" thickBot="1" x14ac:dyDescent="0.35">
      <c r="E25" s="267"/>
      <c r="F25" s="268"/>
      <c r="G25" s="281" t="s">
        <v>180</v>
      </c>
      <c r="H25" s="282">
        <f>H24/Summary!$V$9-1</f>
        <v>0.2466998882818312</v>
      </c>
      <c r="I25" s="268"/>
      <c r="J25" s="269"/>
    </row>
    <row r="27" spans="5:13" ht="13.5" x14ac:dyDescent="0.3">
      <c r="E27" s="270"/>
      <c r="F27" s="271"/>
      <c r="G27" s="271"/>
      <c r="H27" s="429" t="s">
        <v>182</v>
      </c>
      <c r="I27" s="271"/>
      <c r="J27" s="271"/>
    </row>
    <row r="28" spans="5:13" x14ac:dyDescent="0.25">
      <c r="E28" s="270"/>
      <c r="F28" s="271"/>
      <c r="G28" s="271"/>
      <c r="H28" s="438">
        <f>SUM(F22:J22)-1</f>
        <v>4.3766378050724697E-4</v>
      </c>
      <c r="I28" s="271"/>
      <c r="J28" s="271"/>
    </row>
    <row r="29" spans="5:13" ht="3.95" customHeight="1" x14ac:dyDescent="0.25"/>
    <row r="30" spans="5:13" x14ac:dyDescent="0.25">
      <c r="E30" s="270" t="s">
        <v>179</v>
      </c>
      <c r="F30" s="272">
        <v>-2.4500000000000002</v>
      </c>
      <c r="G30" s="272">
        <v>-3.6</v>
      </c>
      <c r="I30" s="272">
        <v>2</v>
      </c>
      <c r="J30" s="272">
        <v>2.5</v>
      </c>
    </row>
    <row r="31" spans="5:13" x14ac:dyDescent="0.25">
      <c r="H31" s="692"/>
      <c r="I31" s="692"/>
    </row>
    <row r="32" spans="5:13" x14ac:dyDescent="0.25">
      <c r="G32" s="692"/>
      <c r="H32" s="692"/>
      <c r="I32" s="692"/>
    </row>
  </sheetData>
  <phoneticPr fontId="7" type="noConversion"/>
  <pageMargins left="0.75" right="0.75" top="1" bottom="1" header="0.5" footer="0.5"/>
  <pageSetup orientation="landscape" r:id="rId1"/>
  <headerFooter alignWithMargins="0"/>
  <colBreaks count="1" manualBreakCount="1">
    <brk id="10" max="1048575" man="1"/>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DB182"/>
  <sheetViews>
    <sheetView showGridLines="0" zoomScaleNormal="100" workbookViewId="0">
      <pane xSplit="5" ySplit="6" topLeftCell="CJ7" activePane="bottomRight" state="frozen"/>
      <selection activeCell="E1" sqref="E1"/>
      <selection pane="topRight" activeCell="F1" sqref="F1"/>
      <selection pane="bottomLeft" activeCell="E7" sqref="E7"/>
      <selection pane="bottomRight" activeCell="CY50" sqref="CY50"/>
    </sheetView>
  </sheetViews>
  <sheetFormatPr defaultColWidth="9" defaultRowHeight="12.75" outlineLevelRow="1" outlineLevelCol="1" x14ac:dyDescent="0.25"/>
  <cols>
    <col min="1" max="4" width="9" style="2" hidden="1" customWidth="1" outlineLevel="1"/>
    <col min="5" max="5" width="45.6640625" style="6" customWidth="1" collapsed="1"/>
    <col min="6" max="6" width="4" style="6" hidden="1" customWidth="1" outlineLevel="1"/>
    <col min="7" max="10" width="9.33203125" style="6" hidden="1" customWidth="1" outlineLevel="1"/>
    <col min="11" max="11" width="10.6640625" style="6" hidden="1" customWidth="1" outlineLevel="1"/>
    <col min="12" max="12" width="10.1640625" style="6" hidden="1" customWidth="1" outlineLevel="1"/>
    <col min="13" max="13" width="9.33203125" style="6" hidden="1" customWidth="1" outlineLevel="1"/>
    <col min="14" max="14" width="9.5" style="6" hidden="1" customWidth="1" outlineLevel="1"/>
    <col min="15" max="18" width="9.33203125" style="6" hidden="1" customWidth="1" outlineLevel="1"/>
    <col min="19" max="19" width="9.83203125" style="6" hidden="1" customWidth="1" outlineLevel="1"/>
    <col min="20" max="20" width="9.33203125" style="6" hidden="1" customWidth="1" outlineLevel="1"/>
    <col min="21" max="21" width="7.1640625" style="6" hidden="1" customWidth="1" outlineLevel="1"/>
    <col min="22" max="22" width="7.5" style="6" hidden="1" customWidth="1" outlineLevel="1"/>
    <col min="23" max="23" width="7" style="6" hidden="1" customWidth="1" outlineLevel="1"/>
    <col min="24" max="24" width="7.33203125" style="6" hidden="1" customWidth="1" outlineLevel="1"/>
    <col min="25" max="25" width="9.33203125" style="6" hidden="1" customWidth="1" outlineLevel="1"/>
    <col min="26" max="26" width="7.1640625" style="6" hidden="1" customWidth="1" outlineLevel="1"/>
    <col min="27" max="27" width="7.5" style="6" hidden="1" customWidth="1" outlineLevel="1"/>
    <col min="28" max="28" width="7" style="6" hidden="1" customWidth="1" outlineLevel="1"/>
    <col min="29" max="29" width="7.33203125" style="6" hidden="1" customWidth="1" outlineLevel="1"/>
    <col min="30" max="30" width="9.33203125" style="6" hidden="1" customWidth="1" outlineLevel="1"/>
    <col min="31" max="34" width="9" style="6" hidden="1" customWidth="1" outlineLevel="1"/>
    <col min="35" max="35" width="9.33203125" style="6" hidden="1" customWidth="1" outlineLevel="1"/>
    <col min="36" max="37" width="6.33203125" style="6" hidden="1" customWidth="1" outlineLevel="1"/>
    <col min="38" max="38" width="6.1640625" style="6" hidden="1" customWidth="1" outlineLevel="1"/>
    <col min="39" max="39" width="6.83203125" style="6" hidden="1" customWidth="1" outlineLevel="1"/>
    <col min="40" max="40" width="8.1640625" style="6" hidden="1" customWidth="1" outlineLevel="1"/>
    <col min="41" max="42" width="6.33203125" style="6" hidden="1" customWidth="1" outlineLevel="1"/>
    <col min="43" max="43" width="6.1640625" style="6" hidden="1" customWidth="1" outlineLevel="1"/>
    <col min="44" max="44" width="6.33203125" style="6" hidden="1" customWidth="1" outlineLevel="1"/>
    <col min="45" max="45" width="8.1640625" style="6" hidden="1" customWidth="1" outlineLevel="1"/>
    <col min="46" max="47" width="6.33203125" style="6" hidden="1" customWidth="1" outlineLevel="1"/>
    <col min="48" max="48" width="6.1640625" style="6" hidden="1" customWidth="1" outlineLevel="1"/>
    <col min="49" max="49" width="6.33203125" style="6" hidden="1" customWidth="1" outlineLevel="1"/>
    <col min="50" max="50" width="8.1640625" style="6" hidden="1" customWidth="1" outlineLevel="1"/>
    <col min="51" max="52" width="6.33203125" style="6" hidden="1" customWidth="1" outlineLevel="1"/>
    <col min="53" max="53" width="6.1640625" style="6" hidden="1" customWidth="1" outlineLevel="1"/>
    <col min="54" max="54" width="6.33203125" style="6" hidden="1" customWidth="1" outlineLevel="1"/>
    <col min="55" max="55" width="8.1640625" style="6" hidden="1" customWidth="1" outlineLevel="1"/>
    <col min="56" max="59" width="6.33203125" style="6" hidden="1" customWidth="1" outlineLevel="1"/>
    <col min="60" max="60" width="8.1640625" style="6" hidden="1" customWidth="1" outlineLevel="1"/>
    <col min="61" max="63" width="6.33203125" style="6" hidden="1" customWidth="1" outlineLevel="1"/>
    <col min="64" max="64" width="7.5" style="6" hidden="1" customWidth="1" outlineLevel="1"/>
    <col min="65" max="65" width="9.33203125" style="6" hidden="1" customWidth="1" outlineLevel="1"/>
    <col min="66" max="69" width="7.5" style="6" hidden="1" customWidth="1" outlineLevel="1"/>
    <col min="70" max="74" width="9" style="6" hidden="1" customWidth="1" outlineLevel="1"/>
    <col min="75" max="75" width="9.83203125" style="6" hidden="1" customWidth="1" outlineLevel="1" collapsed="1"/>
    <col min="76" max="79" width="9" style="6" hidden="1" customWidth="1" outlineLevel="1"/>
    <col min="80" max="80" width="10.33203125" style="6" hidden="1" customWidth="1" outlineLevel="1"/>
    <col min="81" max="84" width="9" style="6" hidden="1" customWidth="1" outlineLevel="1"/>
    <col min="85" max="85" width="9.83203125" style="6" customWidth="1" collapsed="1"/>
    <col min="86" max="87" width="9" style="6" customWidth="1"/>
    <col min="88" max="88" width="9.83203125" style="6" customWidth="1"/>
    <col min="89" max="89" width="9" style="6" customWidth="1"/>
    <col min="90" max="90" width="9.83203125" style="6" customWidth="1"/>
    <col min="91" max="94" width="9" style="6" customWidth="1"/>
    <col min="95" max="95" width="9.83203125" style="6" customWidth="1"/>
    <col min="96" max="98" width="9" style="6" customWidth="1"/>
    <col min="99" max="99" width="10" style="6" bestFit="1" customWidth="1"/>
    <col min="100" max="100" width="9.83203125" style="6" customWidth="1"/>
    <col min="101" max="101" width="9.5" style="6" bestFit="1" customWidth="1"/>
    <col min="102" max="102" width="9" style="717"/>
    <col min="103" max="16384" width="9" style="6"/>
  </cols>
  <sheetData>
    <row r="1" spans="1:106" x14ac:dyDescent="0.25">
      <c r="CC1" s="423"/>
      <c r="CD1" s="717"/>
      <c r="CE1" s="717"/>
      <c r="CF1" s="717"/>
      <c r="CG1" s="101"/>
      <c r="CH1" s="805"/>
      <c r="CI1" s="805"/>
      <c r="CJ1" s="805"/>
      <c r="CK1" s="805"/>
      <c r="CL1" s="27"/>
      <c r="CM1" s="423"/>
      <c r="CN1" s="423"/>
      <c r="CO1" s="423"/>
      <c r="CP1" s="423"/>
      <c r="CQ1" s="27"/>
      <c r="CR1" s="423"/>
      <c r="CS1" s="423"/>
      <c r="CT1" s="423"/>
      <c r="CU1" s="423"/>
    </row>
    <row r="2" spans="1:106" ht="13.5" x14ac:dyDescent="0.25">
      <c r="E2" s="13" t="str">
        <f>Summary!E2</f>
        <v>LiveRamp</v>
      </c>
      <c r="F2" s="13"/>
      <c r="G2" s="13"/>
      <c r="H2" s="20"/>
      <c r="I2" s="20"/>
      <c r="J2" s="20"/>
      <c r="L2" s="114"/>
      <c r="M2" s="114"/>
      <c r="N2" s="114"/>
      <c r="O2" s="20"/>
      <c r="P2" s="114"/>
      <c r="Q2" s="114"/>
      <c r="R2" s="114"/>
      <c r="S2" s="114"/>
      <c r="BS2" s="571"/>
      <c r="BT2" s="571"/>
      <c r="BU2" s="571"/>
      <c r="BV2" s="571"/>
      <c r="BW2" s="571"/>
      <c r="BX2" s="571"/>
      <c r="BY2" s="571"/>
      <c r="BZ2" s="571"/>
      <c r="CA2" s="571"/>
      <c r="CB2" s="571"/>
      <c r="CC2" s="571"/>
      <c r="CD2" s="571"/>
      <c r="CE2" s="571"/>
      <c r="CF2" s="571"/>
      <c r="CH2" s="571"/>
      <c r="CI2" s="571"/>
      <c r="CJ2" s="571"/>
      <c r="CK2" s="571"/>
      <c r="CL2" s="571"/>
      <c r="CM2" s="571"/>
      <c r="CN2" s="571"/>
      <c r="CO2" s="571"/>
      <c r="CP2" s="571"/>
      <c r="CQ2" s="571"/>
      <c r="CR2" s="571"/>
      <c r="CS2" s="571"/>
      <c r="CT2" s="571"/>
      <c r="CU2" s="571"/>
      <c r="CV2" s="571"/>
    </row>
    <row r="3" spans="1:106" ht="12" customHeight="1" x14ac:dyDescent="0.25">
      <c r="A3" s="115"/>
      <c r="B3" s="115"/>
      <c r="C3" s="115"/>
      <c r="D3" s="115"/>
      <c r="E3" s="93" t="s">
        <v>4</v>
      </c>
      <c r="F3" s="13"/>
      <c r="G3" s="13"/>
      <c r="H3" s="116"/>
      <c r="I3" s="116"/>
      <c r="J3" s="116"/>
      <c r="K3" s="116"/>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6"/>
      <c r="AR3" s="116"/>
      <c r="AS3" s="116"/>
      <c r="AT3" s="116"/>
      <c r="AU3" s="116"/>
      <c r="AV3" s="116"/>
      <c r="AW3" s="116"/>
      <c r="AX3" s="116"/>
      <c r="AY3" s="116"/>
      <c r="AZ3" s="116"/>
      <c r="BA3" s="116"/>
      <c r="BB3" s="116"/>
      <c r="BC3" s="116"/>
      <c r="BD3" s="116"/>
      <c r="BE3" s="116"/>
      <c r="BF3" s="116"/>
      <c r="BG3" s="116"/>
      <c r="BH3" s="116"/>
      <c r="BI3" s="116"/>
      <c r="BJ3" s="116"/>
      <c r="BK3" s="116"/>
      <c r="BL3" s="116"/>
      <c r="BM3" s="116"/>
      <c r="BP3" s="101"/>
      <c r="BS3" s="571"/>
      <c r="BT3" s="706"/>
      <c r="BU3" s="571"/>
      <c r="BV3" s="571"/>
      <c r="BW3" s="571"/>
      <c r="BX3" s="571"/>
      <c r="BY3" s="571"/>
      <c r="BZ3" s="571"/>
      <c r="CA3" s="571"/>
      <c r="CB3" s="571"/>
      <c r="CC3" s="571"/>
      <c r="CD3" s="571"/>
      <c r="CE3" s="571"/>
      <c r="CF3" s="571"/>
      <c r="CH3" s="805"/>
      <c r="CI3" s="805"/>
      <c r="CJ3" s="805"/>
      <c r="CK3" s="805"/>
      <c r="CL3" s="571"/>
      <c r="CM3" s="571"/>
      <c r="CN3" s="571"/>
      <c r="CO3" s="571"/>
      <c r="CP3" s="571"/>
      <c r="CQ3" s="717"/>
      <c r="CR3" s="571"/>
      <c r="CS3" s="571"/>
      <c r="CT3" s="571"/>
      <c r="CU3" s="571"/>
      <c r="CV3" s="717"/>
      <c r="DA3" s="717"/>
      <c r="DB3" s="717"/>
    </row>
    <row r="4" spans="1:106" s="33" customFormat="1" ht="12" customHeight="1" x14ac:dyDescent="0.25">
      <c r="A4" s="115"/>
      <c r="B4" s="115"/>
      <c r="C4" s="115"/>
      <c r="D4" s="115"/>
      <c r="E4" s="111" t="s">
        <v>107</v>
      </c>
      <c r="F4" s="106" t="s">
        <v>49</v>
      </c>
      <c r="G4" s="106" t="s">
        <v>49</v>
      </c>
      <c r="H4" s="106" t="s">
        <v>49</v>
      </c>
      <c r="I4" s="106" t="s">
        <v>49</v>
      </c>
      <c r="J4" s="106" t="s">
        <v>49</v>
      </c>
      <c r="K4" s="102" t="s">
        <v>235</v>
      </c>
      <c r="L4" s="102"/>
      <c r="M4" s="102"/>
      <c r="N4" s="102"/>
      <c r="O4" s="106" t="s">
        <v>49</v>
      </c>
      <c r="P4" s="102" t="s">
        <v>219</v>
      </c>
      <c r="Q4" s="102"/>
      <c r="R4" s="102"/>
      <c r="S4" s="102"/>
      <c r="T4" s="106" t="s">
        <v>49</v>
      </c>
      <c r="U4" s="102" t="s">
        <v>217</v>
      </c>
      <c r="V4" s="102"/>
      <c r="W4" s="102"/>
      <c r="X4" s="102"/>
      <c r="Y4" s="106" t="s">
        <v>49</v>
      </c>
      <c r="Z4" s="102" t="s">
        <v>216</v>
      </c>
      <c r="AA4" s="102"/>
      <c r="AB4" s="102"/>
      <c r="AC4" s="102"/>
      <c r="AD4" s="106" t="s">
        <v>49</v>
      </c>
      <c r="AE4" s="102" t="s">
        <v>215</v>
      </c>
      <c r="AF4" s="102"/>
      <c r="AG4" s="102"/>
      <c r="AH4" s="102"/>
      <c r="AI4" s="106" t="s">
        <v>49</v>
      </c>
      <c r="AJ4" s="102" t="s">
        <v>214</v>
      </c>
      <c r="AK4" s="102"/>
      <c r="AL4" s="102"/>
      <c r="AM4" s="102"/>
      <c r="AN4" s="106" t="s">
        <v>49</v>
      </c>
      <c r="AO4" s="102" t="s">
        <v>403</v>
      </c>
      <c r="AP4" s="102"/>
      <c r="AQ4" s="102"/>
      <c r="AR4" s="102"/>
      <c r="AS4" s="106" t="s">
        <v>49</v>
      </c>
      <c r="AT4" s="102" t="s">
        <v>424</v>
      </c>
      <c r="AU4" s="102"/>
      <c r="AV4" s="102"/>
      <c r="AW4" s="102"/>
      <c r="AX4" s="106" t="s">
        <v>49</v>
      </c>
      <c r="AY4" s="102" t="s">
        <v>473</v>
      </c>
      <c r="AZ4" s="102"/>
      <c r="BA4" s="102"/>
      <c r="BB4" s="102"/>
      <c r="BC4" s="106" t="s">
        <v>49</v>
      </c>
      <c r="BD4" s="102" t="s">
        <v>511</v>
      </c>
      <c r="BE4" s="102"/>
      <c r="BF4" s="102"/>
      <c r="BG4" s="102"/>
      <c r="BH4" s="106" t="s">
        <v>49</v>
      </c>
      <c r="BI4" s="102" t="s">
        <v>531</v>
      </c>
      <c r="BJ4" s="102"/>
      <c r="BK4" s="102"/>
      <c r="BL4" s="102"/>
      <c r="BM4" s="106" t="s">
        <v>49</v>
      </c>
      <c r="BN4" s="102" t="s">
        <v>588</v>
      </c>
      <c r="BO4" s="102"/>
      <c r="BP4" s="102"/>
      <c r="BQ4" s="102"/>
      <c r="BR4" s="106" t="s">
        <v>49</v>
      </c>
      <c r="BS4" s="102" t="s">
        <v>678</v>
      </c>
      <c r="BT4" s="102"/>
      <c r="BU4" s="102"/>
      <c r="BV4" s="102"/>
      <c r="BW4" s="106" t="s">
        <v>49</v>
      </c>
      <c r="BX4" s="102" t="s">
        <v>715</v>
      </c>
      <c r="BY4" s="102"/>
      <c r="BZ4" s="102"/>
      <c r="CA4" s="102"/>
      <c r="CB4" s="106" t="s">
        <v>49</v>
      </c>
      <c r="CC4" s="102" t="s">
        <v>741</v>
      </c>
      <c r="CD4" s="102"/>
      <c r="CE4" s="102"/>
      <c r="CF4" s="102"/>
      <c r="CG4" s="106" t="s">
        <v>49</v>
      </c>
      <c r="CH4" s="102" t="s">
        <v>594</v>
      </c>
      <c r="CI4" s="102"/>
      <c r="CJ4" s="102"/>
      <c r="CK4" s="102"/>
      <c r="CL4" s="106" t="s">
        <v>49</v>
      </c>
      <c r="CM4" s="102" t="s">
        <v>720</v>
      </c>
      <c r="CN4" s="102"/>
      <c r="CO4" s="102"/>
      <c r="CP4" s="102"/>
      <c r="CQ4" s="106" t="s">
        <v>49</v>
      </c>
      <c r="CR4" s="102" t="s">
        <v>781</v>
      </c>
      <c r="CS4" s="102"/>
      <c r="CT4" s="102"/>
      <c r="CU4" s="102"/>
      <c r="CV4" s="106" t="s">
        <v>49</v>
      </c>
      <c r="CW4" s="6"/>
      <c r="CX4" s="717"/>
      <c r="CY4" s="6"/>
      <c r="CZ4" s="6"/>
      <c r="DA4" s="717"/>
      <c r="DB4" s="717"/>
    </row>
    <row r="5" spans="1:106" s="117" customFormat="1" ht="12" customHeight="1" x14ac:dyDescent="0.25">
      <c r="A5" s="115"/>
      <c r="B5" s="115"/>
      <c r="C5" s="115"/>
      <c r="D5" s="115"/>
      <c r="E5" s="112" t="s">
        <v>201</v>
      </c>
      <c r="F5" s="88" t="s">
        <v>228</v>
      </c>
      <c r="G5" s="88" t="s">
        <v>229</v>
      </c>
      <c r="H5" s="88" t="s">
        <v>230</v>
      </c>
      <c r="I5" s="88" t="s">
        <v>231</v>
      </c>
      <c r="J5" s="88" t="s">
        <v>232</v>
      </c>
      <c r="K5" s="88" t="s">
        <v>206</v>
      </c>
      <c r="L5" s="88" t="s">
        <v>207</v>
      </c>
      <c r="M5" s="88" t="s">
        <v>208</v>
      </c>
      <c r="N5" s="88" t="s">
        <v>209</v>
      </c>
      <c r="O5" s="88" t="str">
        <f>K4</f>
        <v>F2004A</v>
      </c>
      <c r="P5" s="88" t="s">
        <v>206</v>
      </c>
      <c r="Q5" s="88" t="s">
        <v>207</v>
      </c>
      <c r="R5" s="88" t="s">
        <v>208</v>
      </c>
      <c r="S5" s="88" t="s">
        <v>209</v>
      </c>
      <c r="T5" s="88" t="str">
        <f>P4</f>
        <v>F2005A</v>
      </c>
      <c r="U5" s="88" t="s">
        <v>206</v>
      </c>
      <c r="V5" s="88" t="s">
        <v>207</v>
      </c>
      <c r="W5" s="88" t="s">
        <v>208</v>
      </c>
      <c r="X5" s="88" t="s">
        <v>209</v>
      </c>
      <c r="Y5" s="88" t="str">
        <f>U4</f>
        <v>F2006A</v>
      </c>
      <c r="Z5" s="88" t="s">
        <v>206</v>
      </c>
      <c r="AA5" s="88" t="s">
        <v>207</v>
      </c>
      <c r="AB5" s="88" t="s">
        <v>208</v>
      </c>
      <c r="AC5" s="88" t="s">
        <v>209</v>
      </c>
      <c r="AD5" s="88" t="str">
        <f>Z4</f>
        <v>F2007A</v>
      </c>
      <c r="AE5" s="88" t="s">
        <v>206</v>
      </c>
      <c r="AF5" s="88" t="s">
        <v>207</v>
      </c>
      <c r="AG5" s="88" t="s">
        <v>208</v>
      </c>
      <c r="AH5" s="88" t="s">
        <v>209</v>
      </c>
      <c r="AI5" s="88" t="str">
        <f>AE4</f>
        <v>F2008A</v>
      </c>
      <c r="AJ5" s="88" t="s">
        <v>206</v>
      </c>
      <c r="AK5" s="88" t="s">
        <v>207</v>
      </c>
      <c r="AL5" s="88" t="s">
        <v>208</v>
      </c>
      <c r="AM5" s="88" t="s">
        <v>209</v>
      </c>
      <c r="AN5" s="88" t="str">
        <f>AJ4</f>
        <v>F2009A</v>
      </c>
      <c r="AO5" s="88" t="s">
        <v>206</v>
      </c>
      <c r="AP5" s="88" t="s">
        <v>207</v>
      </c>
      <c r="AQ5" s="88" t="s">
        <v>208</v>
      </c>
      <c r="AR5" s="88" t="s">
        <v>209</v>
      </c>
      <c r="AS5" s="88" t="str">
        <f>AO4</f>
        <v>F2010A</v>
      </c>
      <c r="AT5" s="88" t="s">
        <v>206</v>
      </c>
      <c r="AU5" s="88" t="s">
        <v>207</v>
      </c>
      <c r="AV5" s="88" t="s">
        <v>208</v>
      </c>
      <c r="AW5" s="88" t="s">
        <v>209</v>
      </c>
      <c r="AX5" s="88" t="str">
        <f>AT4</f>
        <v>F2011A</v>
      </c>
      <c r="AY5" s="88" t="s">
        <v>206</v>
      </c>
      <c r="AZ5" s="88" t="s">
        <v>207</v>
      </c>
      <c r="BA5" s="88" t="s">
        <v>208</v>
      </c>
      <c r="BB5" s="88" t="s">
        <v>209</v>
      </c>
      <c r="BC5" s="88" t="str">
        <f>AY4</f>
        <v>F2012A</v>
      </c>
      <c r="BD5" s="88" t="s">
        <v>206</v>
      </c>
      <c r="BE5" s="88" t="s">
        <v>207</v>
      </c>
      <c r="BF5" s="88" t="s">
        <v>208</v>
      </c>
      <c r="BG5" s="88" t="s">
        <v>209</v>
      </c>
      <c r="BH5" s="88" t="str">
        <f>BD4</f>
        <v>F2013A</v>
      </c>
      <c r="BI5" s="88" t="s">
        <v>206</v>
      </c>
      <c r="BJ5" s="88" t="s">
        <v>207</v>
      </c>
      <c r="BK5" s="88" t="s">
        <v>208</v>
      </c>
      <c r="BL5" s="88" t="s">
        <v>209</v>
      </c>
      <c r="BM5" s="88" t="str">
        <f>BI4</f>
        <v>F2014A</v>
      </c>
      <c r="BN5" s="88" t="s">
        <v>206</v>
      </c>
      <c r="BO5" s="88" t="s">
        <v>207</v>
      </c>
      <c r="BP5" s="88" t="s">
        <v>208</v>
      </c>
      <c r="BQ5" s="88" t="s">
        <v>209</v>
      </c>
      <c r="BR5" s="88" t="str">
        <f>BN4</f>
        <v>F2015A</v>
      </c>
      <c r="BS5" s="88" t="s">
        <v>206</v>
      </c>
      <c r="BT5" s="88" t="s">
        <v>207</v>
      </c>
      <c r="BU5" s="88" t="s">
        <v>208</v>
      </c>
      <c r="BV5" s="88" t="s">
        <v>209</v>
      </c>
      <c r="BW5" s="88" t="str">
        <f>BS4</f>
        <v>F2016A</v>
      </c>
      <c r="BX5" s="88" t="s">
        <v>206</v>
      </c>
      <c r="BY5" s="88" t="s">
        <v>207</v>
      </c>
      <c r="BZ5" s="88" t="s">
        <v>208</v>
      </c>
      <c r="CA5" s="88" t="s">
        <v>209</v>
      </c>
      <c r="CB5" s="88" t="str">
        <f>BX4</f>
        <v>F2017A</v>
      </c>
      <c r="CC5" s="88" t="s">
        <v>206</v>
      </c>
      <c r="CD5" s="88" t="s">
        <v>207</v>
      </c>
      <c r="CE5" s="88" t="s">
        <v>208</v>
      </c>
      <c r="CF5" s="88" t="s">
        <v>209</v>
      </c>
      <c r="CG5" s="88" t="str">
        <f>CC4</f>
        <v>F2018A</v>
      </c>
      <c r="CH5" s="88" t="s">
        <v>206</v>
      </c>
      <c r="CI5" s="88" t="s">
        <v>207</v>
      </c>
      <c r="CJ5" s="88" t="s">
        <v>212</v>
      </c>
      <c r="CK5" s="88" t="s">
        <v>213</v>
      </c>
      <c r="CL5" s="88" t="str">
        <f>CH4</f>
        <v>F2019E</v>
      </c>
      <c r="CM5" s="88" t="s">
        <v>210</v>
      </c>
      <c r="CN5" s="88" t="s">
        <v>211</v>
      </c>
      <c r="CO5" s="88" t="s">
        <v>212</v>
      </c>
      <c r="CP5" s="88" t="s">
        <v>213</v>
      </c>
      <c r="CQ5" s="88" t="str">
        <f>CM4</f>
        <v>F2020E</v>
      </c>
      <c r="CR5" s="88" t="s">
        <v>210</v>
      </c>
      <c r="CS5" s="88" t="s">
        <v>211</v>
      </c>
      <c r="CT5" s="88" t="s">
        <v>212</v>
      </c>
      <c r="CU5" s="88" t="s">
        <v>213</v>
      </c>
      <c r="CV5" s="88" t="str">
        <f>CR4</f>
        <v>F2021E</v>
      </c>
      <c r="CW5" s="88">
        <v>2022</v>
      </c>
      <c r="CX5" s="88">
        <v>2023</v>
      </c>
      <c r="CY5" s="88">
        <v>2024</v>
      </c>
      <c r="CZ5" s="6"/>
      <c r="DA5" s="6"/>
      <c r="DB5" s="6"/>
    </row>
    <row r="6" spans="1:106" s="117" customFormat="1" ht="12" customHeight="1" x14ac:dyDescent="0.25">
      <c r="A6" s="115"/>
      <c r="B6" s="115"/>
      <c r="C6" s="115"/>
      <c r="D6" s="115"/>
      <c r="E6" s="112" t="s">
        <v>223</v>
      </c>
      <c r="F6" s="88"/>
      <c r="G6" s="88"/>
      <c r="H6" s="88"/>
      <c r="I6" s="88"/>
      <c r="J6" s="88"/>
      <c r="K6" s="88" t="s">
        <v>234</v>
      </c>
      <c r="L6" s="88" t="s">
        <v>236</v>
      </c>
      <c r="M6" s="88" t="s">
        <v>233</v>
      </c>
      <c r="N6" s="88" t="s">
        <v>237</v>
      </c>
      <c r="O6" s="88"/>
      <c r="P6" s="88" t="s">
        <v>238</v>
      </c>
      <c r="Q6" s="88" t="s">
        <v>239</v>
      </c>
      <c r="R6" s="88" t="s">
        <v>240</v>
      </c>
      <c r="S6" s="88" t="s">
        <v>241</v>
      </c>
      <c r="T6" s="88"/>
      <c r="U6" s="88" t="s">
        <v>242</v>
      </c>
      <c r="V6" s="88" t="s">
        <v>243</v>
      </c>
      <c r="W6" s="88" t="s">
        <v>244</v>
      </c>
      <c r="X6" s="88" t="s">
        <v>220</v>
      </c>
      <c r="Y6" s="88"/>
      <c r="Z6" s="88" t="s">
        <v>245</v>
      </c>
      <c r="AA6" s="88" t="s">
        <v>246</v>
      </c>
      <c r="AB6" s="88" t="s">
        <v>247</v>
      </c>
      <c r="AC6" s="88" t="s">
        <v>248</v>
      </c>
      <c r="AD6" s="88"/>
      <c r="AE6" s="88" t="s">
        <v>249</v>
      </c>
      <c r="AF6" s="88" t="s">
        <v>250</v>
      </c>
      <c r="AG6" s="88" t="s">
        <v>251</v>
      </c>
      <c r="AH6" s="88" t="s">
        <v>252</v>
      </c>
      <c r="AI6" s="88"/>
      <c r="AJ6" s="88" t="s">
        <v>253</v>
      </c>
      <c r="AK6" s="88" t="s">
        <v>254</v>
      </c>
      <c r="AL6" s="88" t="s">
        <v>227</v>
      </c>
      <c r="AM6" s="88" t="s">
        <v>226</v>
      </c>
      <c r="AN6" s="88"/>
      <c r="AO6" s="88" t="s">
        <v>225</v>
      </c>
      <c r="AP6" s="88" t="s">
        <v>224</v>
      </c>
      <c r="AQ6" s="88" t="s">
        <v>221</v>
      </c>
      <c r="AR6" s="88" t="s">
        <v>222</v>
      </c>
      <c r="AS6" s="88"/>
      <c r="AT6" s="88" t="s">
        <v>255</v>
      </c>
      <c r="AU6" s="88" t="s">
        <v>256</v>
      </c>
      <c r="AV6" s="88" t="s">
        <v>257</v>
      </c>
      <c r="AW6" s="88" t="s">
        <v>258</v>
      </c>
      <c r="AX6" s="88"/>
      <c r="AY6" s="88" t="s">
        <v>259</v>
      </c>
      <c r="AZ6" s="88" t="s">
        <v>260</v>
      </c>
      <c r="BA6" s="88" t="s">
        <v>261</v>
      </c>
      <c r="BB6" s="88" t="s">
        <v>262</v>
      </c>
      <c r="BC6" s="88"/>
      <c r="BD6" s="88" t="s">
        <v>263</v>
      </c>
      <c r="BE6" s="88" t="s">
        <v>264</v>
      </c>
      <c r="BF6" s="88" t="s">
        <v>265</v>
      </c>
      <c r="BG6" s="88" t="s">
        <v>266</v>
      </c>
      <c r="BH6" s="88"/>
      <c r="BI6" s="88" t="s">
        <v>267</v>
      </c>
      <c r="BJ6" s="88" t="s">
        <v>268</v>
      </c>
      <c r="BK6" s="88" t="s">
        <v>269</v>
      </c>
      <c r="BL6" s="88" t="s">
        <v>270</v>
      </c>
      <c r="BM6" s="88"/>
      <c r="BN6" s="88" t="s">
        <v>478</v>
      </c>
      <c r="BO6" s="88" t="s">
        <v>479</v>
      </c>
      <c r="BP6" s="88" t="s">
        <v>480</v>
      </c>
      <c r="BQ6" s="88" t="s">
        <v>481</v>
      </c>
      <c r="BR6" s="88"/>
      <c r="BS6" s="88" t="s">
        <v>482</v>
      </c>
      <c r="BT6" s="88" t="s">
        <v>483</v>
      </c>
      <c r="BU6" s="88" t="s">
        <v>484</v>
      </c>
      <c r="BV6" s="88" t="s">
        <v>485</v>
      </c>
      <c r="BW6" s="88"/>
      <c r="BX6" s="88" t="s">
        <v>486</v>
      </c>
      <c r="BY6" s="88" t="s">
        <v>487</v>
      </c>
      <c r="BZ6" s="88" t="s">
        <v>488</v>
      </c>
      <c r="CA6" s="88" t="s">
        <v>489</v>
      </c>
      <c r="CB6" s="88"/>
      <c r="CC6" s="88" t="s">
        <v>550</v>
      </c>
      <c r="CD6" s="88" t="s">
        <v>551</v>
      </c>
      <c r="CE6" s="88" t="s">
        <v>552</v>
      </c>
      <c r="CF6" s="88" t="s">
        <v>553</v>
      </c>
      <c r="CG6" s="88"/>
      <c r="CH6" s="88" t="s">
        <v>595</v>
      </c>
      <c r="CI6" s="88" t="s">
        <v>596</v>
      </c>
      <c r="CJ6" s="88" t="s">
        <v>597</v>
      </c>
      <c r="CK6" s="88" t="s">
        <v>598</v>
      </c>
      <c r="CL6" s="88"/>
      <c r="CM6" s="88" t="s">
        <v>716</v>
      </c>
      <c r="CN6" s="88" t="s">
        <v>717</v>
      </c>
      <c r="CO6" s="88" t="s">
        <v>718</v>
      </c>
      <c r="CP6" s="88" t="s">
        <v>719</v>
      </c>
      <c r="CQ6" s="88"/>
      <c r="CR6" s="88" t="s">
        <v>782</v>
      </c>
      <c r="CS6" s="88" t="s">
        <v>783</v>
      </c>
      <c r="CT6" s="88" t="s">
        <v>784</v>
      </c>
      <c r="CU6" s="88" t="s">
        <v>785</v>
      </c>
      <c r="CV6" s="88"/>
      <c r="CW6" s="6"/>
      <c r="CX6" s="717"/>
      <c r="CY6" s="6"/>
      <c r="CZ6" s="6"/>
      <c r="DA6" s="6"/>
      <c r="DB6" s="6"/>
    </row>
    <row r="7" spans="1:106" s="42" customFormat="1" ht="3.95" customHeight="1" x14ac:dyDescent="0.25">
      <c r="A7" s="115"/>
      <c r="B7" s="115"/>
      <c r="C7" s="115"/>
      <c r="D7" s="115"/>
      <c r="E7" s="40"/>
      <c r="F7" s="106"/>
      <c r="G7" s="106"/>
      <c r="H7" s="106"/>
      <c r="I7" s="106"/>
      <c r="J7" s="106"/>
      <c r="K7" s="41"/>
      <c r="L7" s="41"/>
      <c r="M7" s="41"/>
      <c r="N7" s="41"/>
      <c r="O7" s="106"/>
      <c r="P7" s="41"/>
      <c r="Q7" s="41"/>
      <c r="R7" s="41"/>
      <c r="S7" s="41"/>
      <c r="T7" s="106"/>
      <c r="U7" s="41"/>
      <c r="V7" s="41"/>
      <c r="W7" s="41"/>
      <c r="X7" s="41"/>
      <c r="Y7" s="106"/>
      <c r="Z7" s="41"/>
      <c r="AA7" s="41"/>
      <c r="AB7" s="41"/>
      <c r="AC7" s="41"/>
      <c r="AD7" s="106"/>
      <c r="AE7" s="41"/>
      <c r="AF7" s="41"/>
      <c r="AG7" s="41"/>
      <c r="AH7" s="41"/>
      <c r="AI7" s="106"/>
      <c r="AJ7" s="41"/>
      <c r="AK7" s="41"/>
      <c r="AL7" s="41"/>
      <c r="AM7" s="41"/>
      <c r="AN7" s="106"/>
      <c r="AO7" s="41"/>
      <c r="AP7" s="41"/>
      <c r="AQ7" s="41"/>
      <c r="AR7" s="41"/>
      <c r="AS7" s="106"/>
      <c r="AT7" s="41"/>
      <c r="AU7" s="41"/>
      <c r="AV7" s="41"/>
      <c r="AW7" s="41"/>
      <c r="AX7" s="106"/>
      <c r="AY7" s="41"/>
      <c r="AZ7" s="41"/>
      <c r="BA7" s="41"/>
      <c r="BB7" s="41"/>
      <c r="BC7" s="106"/>
      <c r="BD7" s="41"/>
      <c r="BE7" s="41"/>
      <c r="BF7" s="41"/>
      <c r="BG7" s="41"/>
      <c r="BH7" s="106"/>
      <c r="BI7" s="41"/>
      <c r="BJ7" s="41"/>
      <c r="BK7" s="41"/>
      <c r="BL7" s="41"/>
      <c r="BM7" s="106"/>
      <c r="BN7" s="41"/>
      <c r="BO7" s="41"/>
      <c r="BP7" s="41"/>
      <c r="BQ7" s="41"/>
      <c r="BR7" s="106"/>
      <c r="BS7" s="41"/>
      <c r="BT7" s="41"/>
      <c r="BU7" s="41"/>
      <c r="BV7" s="41"/>
      <c r="BW7" s="106"/>
      <c r="BX7" s="41"/>
      <c r="BY7" s="41"/>
      <c r="BZ7" s="41"/>
      <c r="CA7" s="41"/>
      <c r="CB7" s="106"/>
      <c r="CC7" s="41"/>
      <c r="CD7" s="41"/>
      <c r="CE7" s="41"/>
      <c r="CF7" s="41"/>
      <c r="CG7" s="106"/>
      <c r="CH7" s="41"/>
      <c r="CI7" s="41"/>
      <c r="CJ7" s="41"/>
      <c r="CK7" s="41"/>
      <c r="CL7" s="106"/>
      <c r="CM7" s="41"/>
      <c r="CN7" s="41"/>
      <c r="CO7" s="41"/>
      <c r="CP7" s="41"/>
      <c r="CQ7" s="106"/>
      <c r="CR7" s="41"/>
      <c r="CS7" s="41"/>
      <c r="CT7" s="41"/>
      <c r="CU7" s="41"/>
      <c r="CV7" s="106"/>
      <c r="CW7" s="6"/>
      <c r="CX7" s="717"/>
      <c r="CY7" s="6"/>
      <c r="CZ7" s="6"/>
      <c r="DA7" s="6"/>
      <c r="DB7" s="6"/>
    </row>
    <row r="8" spans="1:106" ht="12" customHeight="1" x14ac:dyDescent="0.25">
      <c r="A8" s="415" t="s">
        <v>383</v>
      </c>
      <c r="B8" s="415" t="s">
        <v>384</v>
      </c>
      <c r="C8" s="415" t="s">
        <v>381</v>
      </c>
      <c r="D8" s="415" t="s">
        <v>382</v>
      </c>
      <c r="E8" s="118" t="s">
        <v>5</v>
      </c>
      <c r="F8" s="137"/>
      <c r="G8" s="137"/>
      <c r="H8" s="137"/>
      <c r="I8" s="137"/>
      <c r="J8" s="137"/>
      <c r="K8" s="119"/>
      <c r="L8" s="120"/>
      <c r="M8" s="120"/>
      <c r="N8" s="121"/>
      <c r="O8" s="137"/>
      <c r="P8" s="119"/>
      <c r="Q8" s="120"/>
      <c r="R8" s="120"/>
      <c r="S8" s="121"/>
      <c r="T8" s="137"/>
      <c r="U8" s="119"/>
      <c r="V8" s="120"/>
      <c r="W8" s="120"/>
      <c r="X8" s="121"/>
      <c r="Y8" s="137"/>
      <c r="Z8" s="119"/>
      <c r="AA8" s="120"/>
      <c r="AB8" s="120"/>
      <c r="AC8" s="121"/>
      <c r="AD8" s="137"/>
      <c r="AE8" s="119"/>
      <c r="AF8" s="120"/>
      <c r="AG8" s="120"/>
      <c r="AH8" s="121"/>
      <c r="AI8" s="137"/>
      <c r="AJ8" s="119"/>
      <c r="AK8" s="120"/>
      <c r="AL8" s="120"/>
      <c r="AM8" s="121"/>
      <c r="AN8" s="137"/>
      <c r="AO8" s="119"/>
      <c r="AP8" s="120"/>
      <c r="AQ8" s="120"/>
      <c r="AR8" s="121"/>
      <c r="AS8" s="137"/>
      <c r="AT8" s="119"/>
      <c r="AU8" s="120"/>
      <c r="AV8" s="120"/>
      <c r="AW8" s="121"/>
      <c r="AX8" s="409"/>
      <c r="AY8" s="119"/>
      <c r="AZ8" s="120"/>
      <c r="BA8" s="120"/>
      <c r="BB8" s="121"/>
      <c r="BC8" s="137"/>
      <c r="BD8" s="119"/>
      <c r="BE8" s="120"/>
      <c r="BF8" s="120"/>
      <c r="BG8" s="121"/>
      <c r="BH8" s="137"/>
      <c r="BI8" s="119"/>
      <c r="BJ8" s="120"/>
      <c r="BK8" s="120"/>
      <c r="BL8" s="121"/>
      <c r="BM8" s="137"/>
      <c r="BN8" s="119"/>
      <c r="BO8" s="120"/>
      <c r="BP8" s="120"/>
      <c r="BQ8" s="121"/>
      <c r="BR8" s="137"/>
      <c r="BS8" s="119"/>
      <c r="BT8" s="120"/>
      <c r="BU8" s="120"/>
      <c r="BV8" s="121"/>
      <c r="BW8" s="137"/>
      <c r="BX8" s="119"/>
      <c r="BY8" s="120"/>
      <c r="BZ8" s="120"/>
      <c r="CA8" s="121"/>
      <c r="CB8" s="552"/>
      <c r="CC8" s="119"/>
      <c r="CD8" s="119"/>
      <c r="CE8" s="119"/>
      <c r="CF8" s="119"/>
      <c r="CG8" s="552"/>
      <c r="CH8" s="119"/>
      <c r="CI8" s="119"/>
      <c r="CJ8" s="804"/>
      <c r="CK8" s="119"/>
      <c r="CL8" s="137"/>
      <c r="CM8" s="119"/>
      <c r="CN8" s="119"/>
      <c r="CO8" s="119"/>
      <c r="CP8" s="119"/>
      <c r="CQ8" s="137"/>
      <c r="CR8" s="119"/>
      <c r="CS8" s="119"/>
      <c r="CT8" s="119"/>
      <c r="CU8" s="119"/>
      <c r="CV8" s="137"/>
    </row>
    <row r="9" spans="1:106" s="717" customFormat="1" ht="12" customHeight="1" x14ac:dyDescent="0.25">
      <c r="A9" s="415"/>
      <c r="B9" s="415"/>
      <c r="C9" s="415"/>
      <c r="D9" s="415"/>
      <c r="E9" s="720" t="s">
        <v>739</v>
      </c>
      <c r="F9" s="137"/>
      <c r="G9" s="137"/>
      <c r="H9" s="137"/>
      <c r="I9" s="137"/>
      <c r="J9" s="137"/>
      <c r="K9" s="119"/>
      <c r="L9" s="120"/>
      <c r="M9" s="120"/>
      <c r="N9" s="121"/>
      <c r="O9" s="137"/>
      <c r="P9" s="119"/>
      <c r="Q9" s="120"/>
      <c r="R9" s="120"/>
      <c r="S9" s="121"/>
      <c r="T9" s="137"/>
      <c r="U9" s="119"/>
      <c r="V9" s="120"/>
      <c r="W9" s="120"/>
      <c r="X9" s="121"/>
      <c r="Y9" s="137"/>
      <c r="Z9" s="119"/>
      <c r="AA9" s="120"/>
      <c r="AB9" s="120"/>
      <c r="AC9" s="121"/>
      <c r="AD9" s="137"/>
      <c r="AE9" s="119"/>
      <c r="AF9" s="120"/>
      <c r="AG9" s="120"/>
      <c r="AH9" s="121"/>
      <c r="AI9" s="137"/>
      <c r="AJ9" s="119"/>
      <c r="AK9" s="120"/>
      <c r="AL9" s="120"/>
      <c r="AM9" s="121"/>
      <c r="AN9" s="137"/>
      <c r="AO9" s="119"/>
      <c r="AP9" s="120"/>
      <c r="AQ9" s="120"/>
      <c r="AR9" s="121"/>
      <c r="AS9" s="137"/>
      <c r="AT9" s="119"/>
      <c r="AU9" s="120"/>
      <c r="AV9" s="120"/>
      <c r="AW9" s="121"/>
      <c r="AX9" s="409"/>
      <c r="AY9" s="119"/>
      <c r="AZ9" s="120"/>
      <c r="BA9" s="120"/>
      <c r="BB9" s="121"/>
      <c r="BC9" s="137"/>
      <c r="BD9" s="119"/>
      <c r="BE9" s="120"/>
      <c r="BF9" s="120"/>
      <c r="BG9" s="121"/>
      <c r="BH9" s="137"/>
      <c r="BI9" s="119"/>
      <c r="BJ9" s="120"/>
      <c r="BK9" s="120"/>
      <c r="BL9" s="121"/>
      <c r="BM9" s="137"/>
      <c r="BN9" s="119"/>
      <c r="BO9" s="120"/>
      <c r="BP9" s="120"/>
      <c r="BQ9" s="121"/>
      <c r="BR9" s="137"/>
      <c r="BS9" s="119"/>
      <c r="BT9" s="120"/>
      <c r="BU9" s="120"/>
      <c r="BV9" s="121"/>
      <c r="BW9" s="137"/>
      <c r="BX9" s="631">
        <f>LiveRamp!BX16</f>
        <v>33.1</v>
      </c>
      <c r="BY9" s="631">
        <f>LiveRamp!BY16</f>
        <v>34.6</v>
      </c>
      <c r="BZ9" s="631">
        <f>LiveRamp!BZ16</f>
        <v>41.2</v>
      </c>
      <c r="CA9" s="631">
        <f>LiveRamp!CA16</f>
        <v>45.5</v>
      </c>
      <c r="CB9" s="139">
        <f>SUM(BX9:CA9)</f>
        <v>154.4</v>
      </c>
      <c r="CC9" s="631">
        <f>LiveRamp!CC16</f>
        <v>46.756999999999998</v>
      </c>
      <c r="CD9" s="631">
        <f>LiveRamp!CD16</f>
        <v>54.012999999999998</v>
      </c>
      <c r="CE9" s="631">
        <f>LiveRamp!CE16</f>
        <v>59.121000000000002</v>
      </c>
      <c r="CF9" s="631">
        <f>LiveRamp!CF16</f>
        <v>60.21</v>
      </c>
      <c r="CG9" s="139">
        <f>SUM(CC9:CF9)</f>
        <v>220.101</v>
      </c>
      <c r="CH9" s="631">
        <f>LiveRamp!CH16</f>
        <v>62.470999999999997</v>
      </c>
      <c r="CI9" s="631">
        <f>LiveRamp!CI16</f>
        <v>64.811999999999998</v>
      </c>
      <c r="CJ9" s="631">
        <f>LiveRamp!CJ16</f>
        <v>75.326738000000006</v>
      </c>
      <c r="CK9" s="631">
        <f>LiveRamp!CK16</f>
        <v>79.440130000000011</v>
      </c>
      <c r="CL9" s="139">
        <f>SUM(CH9:CK9)</f>
        <v>282.049868</v>
      </c>
      <c r="CM9" s="631">
        <f>LiveRamp!CM16</f>
        <v>81.212299999999999</v>
      </c>
      <c r="CN9" s="631">
        <f>LiveRamp!CN16</f>
        <v>88.633079999999993</v>
      </c>
      <c r="CO9" s="631">
        <f>LiveRamp!CO16</f>
        <v>100.41313078000002</v>
      </c>
      <c r="CP9" s="631">
        <f>LiveRamp!CP16</f>
        <v>102.27331930000001</v>
      </c>
      <c r="CQ9" s="139">
        <f>SUM(CM9:CP9)</f>
        <v>372.53183008000002</v>
      </c>
      <c r="CR9" s="631">
        <f>LiveRamp!CR16</f>
        <v>106.95270300000001</v>
      </c>
      <c r="CS9" s="631">
        <f>LiveRamp!CS16</f>
        <v>116.26373279999999</v>
      </c>
      <c r="CT9" s="631">
        <f>LiveRamp!CT16</f>
        <v>132.11249005230002</v>
      </c>
      <c r="CU9" s="631">
        <f>LiveRamp!CU16</f>
        <v>134.40337045400003</v>
      </c>
      <c r="CV9" s="139">
        <f>SUM(CR9:CU9)</f>
        <v>489.73229630630004</v>
      </c>
    </row>
    <row r="10" spans="1:106" s="717" customFormat="1" ht="12" hidden="1" customHeight="1" x14ac:dyDescent="0.25">
      <c r="A10" s="415"/>
      <c r="B10" s="415"/>
      <c r="C10" s="415"/>
      <c r="D10" s="415"/>
      <c r="E10" s="720" t="s">
        <v>738</v>
      </c>
      <c r="F10" s="137"/>
      <c r="G10" s="137"/>
      <c r="H10" s="137"/>
      <c r="I10" s="137"/>
      <c r="J10" s="137"/>
      <c r="K10" s="119"/>
      <c r="L10" s="120"/>
      <c r="M10" s="120"/>
      <c r="N10" s="121"/>
      <c r="O10" s="137"/>
      <c r="P10" s="119"/>
      <c r="Q10" s="120"/>
      <c r="R10" s="120"/>
      <c r="S10" s="121"/>
      <c r="T10" s="137"/>
      <c r="U10" s="119"/>
      <c r="V10" s="120"/>
      <c r="W10" s="120"/>
      <c r="X10" s="121"/>
      <c r="Y10" s="137"/>
      <c r="Z10" s="119"/>
      <c r="AA10" s="120"/>
      <c r="AB10" s="120"/>
      <c r="AC10" s="121"/>
      <c r="AD10" s="137"/>
      <c r="AE10" s="119"/>
      <c r="AF10" s="120"/>
      <c r="AG10" s="120"/>
      <c r="AH10" s="121"/>
      <c r="AI10" s="137"/>
      <c r="AJ10" s="119"/>
      <c r="AK10" s="120"/>
      <c r="AL10" s="120"/>
      <c r="AM10" s="121"/>
      <c r="AN10" s="137"/>
      <c r="AO10" s="119"/>
      <c r="AP10" s="120"/>
      <c r="AQ10" s="120"/>
      <c r="AR10" s="121"/>
      <c r="AS10" s="137"/>
      <c r="AT10" s="119"/>
      <c r="AU10" s="120"/>
      <c r="AV10" s="120"/>
      <c r="AW10" s="121"/>
      <c r="AX10" s="409"/>
      <c r="AY10" s="119"/>
      <c r="AZ10" s="120"/>
      <c r="BA10" s="120"/>
      <c r="BB10" s="121"/>
      <c r="BC10" s="137"/>
      <c r="BD10" s="119"/>
      <c r="BE10" s="120"/>
      <c r="BF10" s="120"/>
      <c r="BG10" s="121"/>
      <c r="BH10" s="137"/>
      <c r="BI10" s="119"/>
      <c r="BJ10" s="120"/>
      <c r="BK10" s="120"/>
      <c r="BL10" s="121"/>
      <c r="BM10" s="137"/>
      <c r="BN10" s="119"/>
      <c r="BO10" s="120"/>
      <c r="BP10" s="120"/>
      <c r="BQ10" s="121"/>
      <c r="BR10" s="137"/>
      <c r="BS10" s="119"/>
      <c r="BT10" s="120"/>
      <c r="BU10" s="120"/>
      <c r="BV10" s="121"/>
      <c r="BW10" s="137"/>
      <c r="BX10" s="631">
        <f>'Acxiom Marketing Solutions'!BX17</f>
        <v>181.70099999999999</v>
      </c>
      <c r="BY10" s="631">
        <f>'Acxiom Marketing Solutions'!BY17</f>
        <v>182.667</v>
      </c>
      <c r="BZ10" s="631">
        <f>'Acxiom Marketing Solutions'!BZ17</f>
        <v>182.11200000000002</v>
      </c>
      <c r="CA10" s="631">
        <f>'Acxiom Marketing Solutions'!CA17</f>
        <v>179.36800000000002</v>
      </c>
      <c r="CB10" s="139">
        <f>SUM(BX10:CA10)</f>
        <v>725.84800000000007</v>
      </c>
      <c r="CC10" s="631">
        <f>'Acxiom Marketing Solutions'!CC17</f>
        <v>165.75699999999998</v>
      </c>
      <c r="CD10" s="631">
        <f>'Acxiom Marketing Solutions'!CD17</f>
        <v>171.227</v>
      </c>
      <c r="CE10" s="631">
        <f>'Acxiom Marketing Solutions'!CE17</f>
        <v>175.75</v>
      </c>
      <c r="CF10" s="631">
        <f>'Acxiom Marketing Solutions'!CF17</f>
        <v>184.57099999999997</v>
      </c>
      <c r="CG10" s="139">
        <f>SUM(CC10:CF10)</f>
        <v>697.30499999999984</v>
      </c>
      <c r="CH10" s="631">
        <f>'Acxiom Marketing Solutions'!CH17</f>
        <v>164.50200000000001</v>
      </c>
      <c r="CI10" s="631">
        <f>'Acxiom Marketing Solutions'!CI17</f>
        <v>166.42382000000001</v>
      </c>
      <c r="CJ10" s="748">
        <f>'Acxiom Marketing Solutions'!CJ17</f>
        <v>0</v>
      </c>
      <c r="CK10" s="748">
        <f>'Acxiom Marketing Solutions'!CK17</f>
        <v>0</v>
      </c>
      <c r="CL10" s="139">
        <f>SUM(CH10:CK10)</f>
        <v>330.92582000000004</v>
      </c>
      <c r="CM10" s="748">
        <f>'Acxiom Marketing Solutions'!CM17</f>
        <v>0</v>
      </c>
      <c r="CN10" s="748">
        <f>'Acxiom Marketing Solutions'!CN17</f>
        <v>0</v>
      </c>
      <c r="CO10" s="748">
        <f>'Acxiom Marketing Solutions'!CO17</f>
        <v>0</v>
      </c>
      <c r="CP10" s="748">
        <f>'Acxiom Marketing Solutions'!CP17</f>
        <v>0</v>
      </c>
      <c r="CQ10" s="139">
        <f>SUM(CM10:CP10)</f>
        <v>0</v>
      </c>
      <c r="CR10" s="748">
        <f>'Acxiom Marketing Solutions'!CR17</f>
        <v>0</v>
      </c>
      <c r="CS10" s="748">
        <f>'Acxiom Marketing Solutions'!CS17</f>
        <v>0</v>
      </c>
      <c r="CT10" s="748">
        <f>'Acxiom Marketing Solutions'!CT17</f>
        <v>0</v>
      </c>
      <c r="CU10" s="748">
        <f>'Acxiom Marketing Solutions'!CU17</f>
        <v>0</v>
      </c>
      <c r="CV10" s="139">
        <f>SUM(CR10:CU10)</f>
        <v>0</v>
      </c>
    </row>
    <row r="11" spans="1:106" ht="12" hidden="1" customHeight="1" x14ac:dyDescent="0.25">
      <c r="A11" s="415"/>
      <c r="B11" s="415"/>
      <c r="C11" s="415"/>
      <c r="D11" s="415"/>
      <c r="E11" s="47" t="s">
        <v>636</v>
      </c>
      <c r="F11" s="137"/>
      <c r="G11" s="137"/>
      <c r="H11" s="137"/>
      <c r="I11" s="137"/>
      <c r="J11" s="137"/>
      <c r="K11" s="119"/>
      <c r="L11" s="120"/>
      <c r="M11" s="120"/>
      <c r="N11" s="121"/>
      <c r="O11" s="137"/>
      <c r="P11" s="119"/>
      <c r="Q11" s="120"/>
      <c r="R11" s="120"/>
      <c r="S11" s="121"/>
      <c r="T11" s="137"/>
      <c r="U11" s="119"/>
      <c r="V11" s="120"/>
      <c r="W11" s="120"/>
      <c r="X11" s="121"/>
      <c r="Y11" s="137"/>
      <c r="Z11" s="119"/>
      <c r="AA11" s="120"/>
      <c r="AB11" s="120"/>
      <c r="AC11" s="121"/>
      <c r="AD11" s="137"/>
      <c r="AE11" s="119"/>
      <c r="AF11" s="120"/>
      <c r="AG11" s="120"/>
      <c r="AH11" s="121"/>
      <c r="AI11" s="137"/>
      <c r="AJ11" s="119"/>
      <c r="AK11" s="120"/>
      <c r="AL11" s="120"/>
      <c r="AM11" s="121"/>
      <c r="AN11" s="137"/>
      <c r="AO11" s="119"/>
      <c r="AP11" s="120"/>
      <c r="AQ11" s="120"/>
      <c r="AR11" s="121"/>
      <c r="AS11" s="137"/>
      <c r="AT11" s="119"/>
      <c r="AU11" s="120"/>
      <c r="AV11" s="120"/>
      <c r="AW11" s="121"/>
      <c r="AX11" s="409"/>
      <c r="AY11" s="119"/>
      <c r="AZ11" s="120"/>
      <c r="BA11" s="120"/>
      <c r="BB11" s="121"/>
      <c r="BC11" s="137"/>
      <c r="BD11" s="119"/>
      <c r="BE11" s="120"/>
      <c r="BF11" s="120"/>
      <c r="BG11" s="121"/>
      <c r="BH11" s="137"/>
      <c r="BI11" s="30"/>
      <c r="BJ11" s="30"/>
      <c r="BK11" s="30"/>
      <c r="BL11" s="30"/>
      <c r="BM11" s="551"/>
      <c r="BN11" s="30">
        <f>'Marketing Services'!BN14</f>
        <v>109.288</v>
      </c>
      <c r="BO11" s="30">
        <f>'Marketing Services'!BO14</f>
        <v>112.75</v>
      </c>
      <c r="BP11" s="30">
        <f>'Marketing Services'!BP14</f>
        <v>114.40299999999999</v>
      </c>
      <c r="BQ11" s="30">
        <f>'Marketing Services'!BQ14</f>
        <v>109.66200000000001</v>
      </c>
      <c r="BR11" s="551">
        <f>'Marketing Services'!BR14</f>
        <v>446.10300000000007</v>
      </c>
      <c r="BS11" s="30">
        <f>'Marketing Services'!BS14</f>
        <v>107.726</v>
      </c>
      <c r="BT11" s="30">
        <f>'Marketing Services'!BT14</f>
        <v>112.98</v>
      </c>
      <c r="BU11" s="30">
        <f>'Marketing Services'!BU14</f>
        <v>115.72499999999999</v>
      </c>
      <c r="BV11" s="30">
        <f>'Marketing Services'!BV14</f>
        <v>113.342</v>
      </c>
      <c r="BW11" s="551">
        <f>'Marketing Services'!BW14</f>
        <v>449.77300000000002</v>
      </c>
      <c r="BX11" s="30">
        <f>'Marketing Services'!BX14</f>
        <v>109.715</v>
      </c>
      <c r="BY11" s="30">
        <f>'Marketing Services'!BY14</f>
        <v>105.679</v>
      </c>
      <c r="BZ11" s="30">
        <f>'Marketing Services'!BZ14</f>
        <v>101.17700000000001</v>
      </c>
      <c r="CA11" s="30">
        <f>'Marketing Services'!CA14</f>
        <v>94.269000000000005</v>
      </c>
      <c r="CB11" s="551">
        <f>'Marketing Services'!CB14</f>
        <v>410.84000000000003</v>
      </c>
      <c r="CC11" s="30">
        <f>'Marketing Services'!CC14</f>
        <v>91.593999999999994</v>
      </c>
      <c r="CD11" s="30">
        <f>'Marketing Services'!CD14</f>
        <v>94.042000000000002</v>
      </c>
      <c r="CE11" s="30">
        <f>'Marketing Services'!CE14</f>
        <v>94.456999999999994</v>
      </c>
      <c r="CF11" s="30">
        <f>'Marketing Services'!CF14</f>
        <v>98.953999999999994</v>
      </c>
      <c r="CG11" s="551">
        <f>'Marketing Services'!CG14</f>
        <v>379.04699999999997</v>
      </c>
      <c r="CH11" s="30">
        <f>'Marketing Services'!CH14</f>
        <v>0</v>
      </c>
      <c r="CI11" s="30">
        <f>'Marketing Services'!CI14</f>
        <v>0</v>
      </c>
      <c r="CJ11" s="30">
        <f>'Marketing Services'!CJ14</f>
        <v>0</v>
      </c>
      <c r="CK11" s="30">
        <f>'Marketing Services'!CK14</f>
        <v>0</v>
      </c>
      <c r="CL11" s="551">
        <f>'Marketing Services'!CL14</f>
        <v>0</v>
      </c>
      <c r="CM11" s="30">
        <f>'Marketing Services'!CM14</f>
        <v>0</v>
      </c>
      <c r="CN11" s="30">
        <f>'Marketing Services'!CN14</f>
        <v>0</v>
      </c>
      <c r="CO11" s="30">
        <f>'Marketing Services'!CO14</f>
        <v>0</v>
      </c>
      <c r="CP11" s="30">
        <f>'Marketing Services'!CP14</f>
        <v>0</v>
      </c>
      <c r="CQ11" s="551">
        <f>'Marketing Services'!CQ14</f>
        <v>0</v>
      </c>
      <c r="CR11" s="30">
        <f>'Marketing Services'!CR14</f>
        <v>0</v>
      </c>
      <c r="CS11" s="30">
        <f>'Marketing Services'!CS14</f>
        <v>0</v>
      </c>
      <c r="CT11" s="30">
        <f>'Marketing Services'!CT14</f>
        <v>0</v>
      </c>
      <c r="CU11" s="30">
        <f>'Marketing Services'!CU14</f>
        <v>0</v>
      </c>
      <c r="CV11" s="551">
        <f>'Marketing Services'!CV14</f>
        <v>0</v>
      </c>
    </row>
    <row r="12" spans="1:106" ht="12" hidden="1" customHeight="1" x14ac:dyDescent="0.25">
      <c r="A12" s="415"/>
      <c r="B12" s="415"/>
      <c r="C12" s="415"/>
      <c r="D12" s="415"/>
      <c r="E12" s="47" t="s">
        <v>635</v>
      </c>
      <c r="F12" s="137"/>
      <c r="G12" s="137"/>
      <c r="H12" s="137"/>
      <c r="I12" s="137"/>
      <c r="J12" s="137"/>
      <c r="K12" s="119"/>
      <c r="L12" s="120"/>
      <c r="M12" s="120"/>
      <c r="N12" s="121"/>
      <c r="O12" s="137"/>
      <c r="P12" s="119"/>
      <c r="Q12" s="120"/>
      <c r="R12" s="120"/>
      <c r="S12" s="121"/>
      <c r="T12" s="137"/>
      <c r="U12" s="119"/>
      <c r="V12" s="120"/>
      <c r="W12" s="120"/>
      <c r="X12" s="121"/>
      <c r="Y12" s="137"/>
      <c r="Z12" s="119"/>
      <c r="AA12" s="120"/>
      <c r="AB12" s="120"/>
      <c r="AC12" s="121"/>
      <c r="AD12" s="137"/>
      <c r="AE12" s="119"/>
      <c r="AF12" s="120"/>
      <c r="AG12" s="120"/>
      <c r="AH12" s="121"/>
      <c r="AI12" s="137"/>
      <c r="AJ12" s="119"/>
      <c r="AK12" s="120"/>
      <c r="AL12" s="120"/>
      <c r="AM12" s="121"/>
      <c r="AN12" s="137"/>
      <c r="AO12" s="119"/>
      <c r="AP12" s="120"/>
      <c r="AQ12" s="120"/>
      <c r="AR12" s="121"/>
      <c r="AS12" s="137"/>
      <c r="AT12" s="119"/>
      <c r="AU12" s="120"/>
      <c r="AV12" s="120"/>
      <c r="AW12" s="121"/>
      <c r="AX12" s="409"/>
      <c r="AY12" s="119"/>
      <c r="AZ12" s="120"/>
      <c r="BA12" s="120"/>
      <c r="BB12" s="121"/>
      <c r="BC12" s="137"/>
      <c r="BD12" s="119"/>
      <c r="BE12" s="120"/>
      <c r="BF12" s="120"/>
      <c r="BG12" s="121"/>
      <c r="BH12" s="137"/>
      <c r="BI12" s="30"/>
      <c r="BJ12" s="30"/>
      <c r="BK12" s="30"/>
      <c r="BL12" s="30"/>
      <c r="BM12" s="551"/>
      <c r="BN12" s="30">
        <f>'Audience Solutions'!BN17</f>
        <v>73.060999999999993</v>
      </c>
      <c r="BO12" s="30">
        <f>'Audience Solutions'!BO17</f>
        <v>78.025999999999982</v>
      </c>
      <c r="BP12" s="30">
        <f>'Audience Solutions'!BP17</f>
        <v>75.933000000000021</v>
      </c>
      <c r="BQ12" s="30">
        <f>'Audience Solutions'!BQ17</f>
        <v>76.816000000000003</v>
      </c>
      <c r="BR12" s="551">
        <f>'Audience Solutions'!BR17</f>
        <v>303.83600000000001</v>
      </c>
      <c r="BS12" s="30">
        <f>'Audience Solutions'!BS17</f>
        <v>68.550000000000011</v>
      </c>
      <c r="BT12" s="30">
        <f>'Audience Solutions'!BT17</f>
        <v>72.120999999999995</v>
      </c>
      <c r="BU12" s="30">
        <f>'Audience Solutions'!BU17</f>
        <v>77.046000000000021</v>
      </c>
      <c r="BV12" s="30">
        <f>'Audience Solutions'!BV17</f>
        <v>80.128</v>
      </c>
      <c r="BW12" s="551">
        <f>'Audience Solutions'!BW17</f>
        <v>297.84500000000003</v>
      </c>
      <c r="BX12" s="30">
        <f>'Audience Solutions'!BX17</f>
        <v>73.744</v>
      </c>
      <c r="BY12" s="30">
        <f>'Audience Solutions'!BY17</f>
        <v>78.525999999999996</v>
      </c>
      <c r="BZ12" s="30">
        <f>'Audience Solutions'!BZ17</f>
        <v>83.399000000000001</v>
      </c>
      <c r="CA12" s="30">
        <f>'Audience Solutions'!CA17</f>
        <v>86.396000000000001</v>
      </c>
      <c r="CB12" s="551">
        <f>'Audience Solutions'!CB17</f>
        <v>322.065</v>
      </c>
      <c r="CC12" s="30">
        <f>'Audience Solutions'!CC17</f>
        <v>75.733999999999995</v>
      </c>
      <c r="CD12" s="30">
        <f>'Audience Solutions'!CD17</f>
        <v>78.813999999999993</v>
      </c>
      <c r="CE12" s="30">
        <f>'Audience Solutions'!CE17</f>
        <v>84.436000000000007</v>
      </c>
      <c r="CF12" s="30">
        <f>'Audience Solutions'!CF17</f>
        <v>88.373999999999995</v>
      </c>
      <c r="CG12" s="551">
        <f>'Audience Solutions'!CG17</f>
        <v>327.358</v>
      </c>
      <c r="CH12" s="30">
        <f>'Audience Solutions'!CH17</f>
        <v>0</v>
      </c>
      <c r="CI12" s="30">
        <f>'Audience Solutions'!CI17</f>
        <v>0</v>
      </c>
      <c r="CJ12" s="30">
        <f>'Audience Solutions'!CJ17</f>
        <v>0</v>
      </c>
      <c r="CK12" s="30">
        <f>'Audience Solutions'!CK17</f>
        <v>0</v>
      </c>
      <c r="CL12" s="551">
        <f>'Audience Solutions'!CL17</f>
        <v>0</v>
      </c>
      <c r="CM12" s="30">
        <f>'Audience Solutions'!CM17</f>
        <v>0</v>
      </c>
      <c r="CN12" s="30">
        <f>'Audience Solutions'!CN17</f>
        <v>0</v>
      </c>
      <c r="CO12" s="30">
        <f>'Audience Solutions'!CO17</f>
        <v>0</v>
      </c>
      <c r="CP12" s="30">
        <f>'Audience Solutions'!CP17</f>
        <v>0</v>
      </c>
      <c r="CQ12" s="551">
        <f>'Audience Solutions'!CQ17</f>
        <v>0</v>
      </c>
      <c r="CR12" s="30">
        <f>'Audience Solutions'!CR17</f>
        <v>0</v>
      </c>
      <c r="CS12" s="30">
        <f>'Audience Solutions'!CS17</f>
        <v>0</v>
      </c>
      <c r="CT12" s="30">
        <f>'Audience Solutions'!CT17</f>
        <v>0</v>
      </c>
      <c r="CU12" s="30">
        <f>'Audience Solutions'!CU17</f>
        <v>0</v>
      </c>
      <c r="CV12" s="551">
        <f>'Audience Solutions'!CV17</f>
        <v>0</v>
      </c>
    </row>
    <row r="13" spans="1:106" ht="12" hidden="1" customHeight="1" x14ac:dyDescent="0.25">
      <c r="A13" s="415"/>
      <c r="B13" s="415"/>
      <c r="C13" s="415"/>
      <c r="D13" s="415"/>
      <c r="E13" s="118"/>
      <c r="F13" s="137"/>
      <c r="G13" s="137"/>
      <c r="H13" s="137"/>
      <c r="I13" s="137"/>
      <c r="J13" s="137"/>
      <c r="K13" s="119"/>
      <c r="L13" s="120"/>
      <c r="M13" s="120"/>
      <c r="N13" s="121"/>
      <c r="O13" s="137"/>
      <c r="P13" s="119"/>
      <c r="Q13" s="120"/>
      <c r="R13" s="120"/>
      <c r="S13" s="121"/>
      <c r="T13" s="137"/>
      <c r="U13" s="119"/>
      <c r="V13" s="120"/>
      <c r="W13" s="120"/>
      <c r="X13" s="121"/>
      <c r="Y13" s="137"/>
      <c r="Z13" s="119"/>
      <c r="AA13" s="120"/>
      <c r="AB13" s="120"/>
      <c r="AC13" s="121"/>
      <c r="AD13" s="137"/>
      <c r="AE13" s="119"/>
      <c r="AF13" s="120"/>
      <c r="AG13" s="120"/>
      <c r="AH13" s="121"/>
      <c r="AI13" s="137"/>
      <c r="AJ13" s="119"/>
      <c r="AK13" s="120"/>
      <c r="AL13" s="120"/>
      <c r="AM13" s="121"/>
      <c r="AN13" s="137"/>
      <c r="AO13" s="119"/>
      <c r="AP13" s="120"/>
      <c r="AQ13" s="120"/>
      <c r="AR13" s="121"/>
      <c r="AS13" s="137"/>
      <c r="AT13" s="119"/>
      <c r="AU13" s="120"/>
      <c r="AV13" s="120"/>
      <c r="AW13" s="121"/>
      <c r="AX13" s="409"/>
      <c r="AY13" s="119"/>
      <c r="AZ13" s="120"/>
      <c r="BA13" s="120"/>
      <c r="BB13" s="121"/>
      <c r="BC13" s="137"/>
      <c r="BD13" s="119"/>
      <c r="BE13" s="120"/>
      <c r="BF13" s="120"/>
      <c r="BG13" s="121"/>
      <c r="BH13" s="137"/>
      <c r="BI13" s="119"/>
      <c r="BJ13" s="120"/>
      <c r="BK13" s="120"/>
      <c r="BL13" s="121"/>
      <c r="BM13" s="137"/>
      <c r="BN13" s="119"/>
      <c r="BO13" s="120"/>
      <c r="BP13" s="120"/>
      <c r="BQ13" s="121"/>
      <c r="BR13" s="552"/>
      <c r="BS13" s="119"/>
      <c r="BT13" s="119"/>
      <c r="BU13" s="119"/>
      <c r="BV13" s="119"/>
      <c r="BW13" s="552"/>
      <c r="BX13" s="119"/>
      <c r="BY13" s="120"/>
      <c r="BZ13" s="120"/>
      <c r="CA13" s="121"/>
      <c r="CB13" s="552"/>
      <c r="CC13" s="119"/>
      <c r="CD13" s="120"/>
      <c r="CE13" s="120"/>
      <c r="CF13" s="121"/>
      <c r="CG13" s="552"/>
      <c r="CH13" s="119"/>
      <c r="CI13" s="120"/>
      <c r="CJ13" s="120"/>
      <c r="CK13" s="121"/>
      <c r="CL13" s="552"/>
      <c r="CM13" s="119"/>
      <c r="CN13" s="120"/>
      <c r="CO13" s="120"/>
      <c r="CP13" s="121"/>
      <c r="CQ13" s="552"/>
      <c r="CR13" s="119"/>
      <c r="CS13" s="120"/>
      <c r="CT13" s="120"/>
      <c r="CU13" s="121"/>
      <c r="CV13" s="552"/>
    </row>
    <row r="14" spans="1:106" ht="12" hidden="1" customHeight="1" x14ac:dyDescent="0.25">
      <c r="A14" s="415"/>
      <c r="B14" s="415"/>
      <c r="C14" s="415"/>
      <c r="D14" s="415"/>
      <c r="E14" s="47" t="s">
        <v>608</v>
      </c>
      <c r="F14" s="137"/>
      <c r="G14" s="137"/>
      <c r="H14" s="137"/>
      <c r="I14" s="137"/>
      <c r="J14" s="137"/>
      <c r="K14" s="119"/>
      <c r="L14" s="120"/>
      <c r="M14" s="120"/>
      <c r="N14" s="121"/>
      <c r="O14" s="137"/>
      <c r="P14" s="119"/>
      <c r="Q14" s="120"/>
      <c r="R14" s="120"/>
      <c r="S14" s="121"/>
      <c r="T14" s="137"/>
      <c r="U14" s="119"/>
      <c r="V14" s="120"/>
      <c r="W14" s="120"/>
      <c r="X14" s="121"/>
      <c r="Y14" s="137"/>
      <c r="Z14" s="119"/>
      <c r="AA14" s="120"/>
      <c r="AB14" s="120"/>
      <c r="AC14" s="121"/>
      <c r="AD14" s="137"/>
      <c r="AE14" s="119"/>
      <c r="AF14" s="120"/>
      <c r="AG14" s="120"/>
      <c r="AH14" s="121"/>
      <c r="AI14" s="137"/>
      <c r="AJ14" s="119"/>
      <c r="AK14" s="120"/>
      <c r="AL14" s="120"/>
      <c r="AM14" s="121"/>
      <c r="AN14" s="137"/>
      <c r="AO14" s="119"/>
      <c r="AP14" s="120"/>
      <c r="AQ14" s="120"/>
      <c r="AR14" s="121"/>
      <c r="AS14" s="137"/>
      <c r="AT14" s="30"/>
      <c r="AU14" s="30"/>
      <c r="AV14" s="30"/>
      <c r="AW14" s="30"/>
      <c r="AX14" s="138"/>
      <c r="AY14" s="30"/>
      <c r="AZ14" s="30"/>
      <c r="BA14" s="30"/>
      <c r="BB14" s="30"/>
      <c r="BC14" s="138"/>
      <c r="BD14" s="30"/>
      <c r="BE14" s="30"/>
      <c r="BF14" s="30"/>
      <c r="BG14" s="30"/>
      <c r="BH14" s="138"/>
      <c r="BI14" s="30"/>
      <c r="BJ14" s="30"/>
      <c r="BK14" s="30"/>
      <c r="BL14" s="30"/>
      <c r="BM14" s="138">
        <f>'Audience Solutions'!BM61</f>
        <v>790.39400000000001</v>
      </c>
      <c r="BN14" s="30">
        <f>'Audience Solutions'!BN61</f>
        <v>182.34899999999999</v>
      </c>
      <c r="BO14" s="30">
        <f>'Audience Solutions'!BO61</f>
        <v>190.77599999999998</v>
      </c>
      <c r="BP14" s="30">
        <f>'Audience Solutions'!BP61</f>
        <v>190.33600000000001</v>
      </c>
      <c r="BQ14" s="30">
        <f>'Audience Solutions'!BQ61</f>
        <v>186.47800000000001</v>
      </c>
      <c r="BR14" s="551">
        <f>SUM(BN14:BQ14)</f>
        <v>749.93900000000008</v>
      </c>
      <c r="BS14" s="30">
        <f>'Audience Solutions'!BS61</f>
        <v>176.27600000000001</v>
      </c>
      <c r="BT14" s="30">
        <f>'Audience Solutions'!BT61</f>
        <v>185.101</v>
      </c>
      <c r="BU14" s="30">
        <f>'Audience Solutions'!BU61</f>
        <v>192.77100000000002</v>
      </c>
      <c r="BV14" s="30">
        <f>'Audience Solutions'!BV61</f>
        <v>193.47</v>
      </c>
      <c r="BW14" s="551">
        <f>SUM(BS14:BV14)</f>
        <v>747.61800000000005</v>
      </c>
      <c r="BX14" s="30">
        <f>'Audience Solutions'!BX61</f>
        <v>183.459</v>
      </c>
      <c r="BY14" s="30">
        <f>'Audience Solutions'!BY61</f>
        <v>184.20499999999998</v>
      </c>
      <c r="BZ14" s="30">
        <f>'Audience Solutions'!BZ61</f>
        <v>184.57600000000002</v>
      </c>
      <c r="CA14" s="30">
        <f>'Audience Solutions'!CA61</f>
        <v>180.66500000000002</v>
      </c>
      <c r="CB14" s="551">
        <f>SUM(BX14:CA14)</f>
        <v>732.90499999999997</v>
      </c>
      <c r="CC14" s="30">
        <f>'Audience Solutions'!CC61</f>
        <v>167.32799999999997</v>
      </c>
      <c r="CD14" s="30">
        <f>'Audience Solutions'!CD61</f>
        <v>172.85599999999999</v>
      </c>
      <c r="CE14" s="30">
        <f>'Audience Solutions'!CE61</f>
        <v>178.893</v>
      </c>
      <c r="CF14" s="30">
        <f>'Audience Solutions'!CF61</f>
        <v>187.32799999999997</v>
      </c>
      <c r="CG14" s="551">
        <f>SUM(CC14:CF14)</f>
        <v>706.40499999999997</v>
      </c>
      <c r="CH14" s="30">
        <f>'Audience Solutions'!CH61</f>
        <v>0</v>
      </c>
      <c r="CI14" s="30">
        <f>'Audience Solutions'!CI61</f>
        <v>0</v>
      </c>
      <c r="CJ14" s="30">
        <f>'Audience Solutions'!CJ61</f>
        <v>0</v>
      </c>
      <c r="CK14" s="30">
        <f>'Audience Solutions'!CK61</f>
        <v>0</v>
      </c>
      <c r="CL14" s="551">
        <f>SUM(CH14:CK14)</f>
        <v>0</v>
      </c>
      <c r="CM14" s="30">
        <f>'Audience Solutions'!CM61</f>
        <v>0</v>
      </c>
      <c r="CN14" s="30">
        <f>'Audience Solutions'!CN61</f>
        <v>0</v>
      </c>
      <c r="CO14" s="30">
        <f>'Audience Solutions'!CO61</f>
        <v>0</v>
      </c>
      <c r="CP14" s="30">
        <f>'Audience Solutions'!CP61</f>
        <v>0</v>
      </c>
      <c r="CQ14" s="551">
        <f>SUM(CM14:CP14)</f>
        <v>0</v>
      </c>
      <c r="CR14" s="30">
        <f>'Audience Solutions'!CR61</f>
        <v>0</v>
      </c>
      <c r="CS14" s="30">
        <f>'Audience Solutions'!CS61</f>
        <v>0</v>
      </c>
      <c r="CT14" s="30">
        <f>'Audience Solutions'!CT61</f>
        <v>0</v>
      </c>
      <c r="CU14" s="30">
        <f>'Audience Solutions'!CU61</f>
        <v>0</v>
      </c>
      <c r="CV14" s="551">
        <f>SUM(CR14:CU14)</f>
        <v>0</v>
      </c>
    </row>
    <row r="15" spans="1:106" ht="12" hidden="1" customHeight="1" x14ac:dyDescent="0.25">
      <c r="A15" s="415"/>
      <c r="B15" s="415"/>
      <c r="C15" s="415"/>
      <c r="D15" s="415"/>
      <c r="E15" s="47" t="s">
        <v>609</v>
      </c>
      <c r="F15" s="137"/>
      <c r="G15" s="137"/>
      <c r="H15" s="137"/>
      <c r="I15" s="137"/>
      <c r="J15" s="137"/>
      <c r="K15" s="119"/>
      <c r="L15" s="120"/>
      <c r="M15" s="120"/>
      <c r="N15" s="121"/>
      <c r="O15" s="137"/>
      <c r="P15" s="119"/>
      <c r="Q15" s="120"/>
      <c r="R15" s="120"/>
      <c r="S15" s="121"/>
      <c r="T15" s="137"/>
      <c r="U15" s="119"/>
      <c r="V15" s="120"/>
      <c r="W15" s="120"/>
      <c r="X15" s="121"/>
      <c r="Y15" s="137"/>
      <c r="Z15" s="119"/>
      <c r="AA15" s="120"/>
      <c r="AB15" s="120"/>
      <c r="AC15" s="121"/>
      <c r="AD15" s="137"/>
      <c r="AE15" s="119"/>
      <c r="AF15" s="120"/>
      <c r="AG15" s="120"/>
      <c r="AH15" s="121"/>
      <c r="AI15" s="137"/>
      <c r="AJ15" s="119"/>
      <c r="AK15" s="120"/>
      <c r="AL15" s="120"/>
      <c r="AM15" s="121"/>
      <c r="AN15" s="137"/>
      <c r="AO15" s="119"/>
      <c r="AP15" s="120"/>
      <c r="AQ15" s="120"/>
      <c r="AR15" s="121"/>
      <c r="AS15" s="137"/>
      <c r="AT15" s="30"/>
      <c r="AU15" s="30"/>
      <c r="AV15" s="30"/>
      <c r="AW15" s="30"/>
      <c r="AX15" s="138"/>
      <c r="AY15" s="30"/>
      <c r="AZ15" s="30"/>
      <c r="BA15" s="30"/>
      <c r="BB15" s="30"/>
      <c r="BC15" s="138"/>
      <c r="BD15" s="30"/>
      <c r="BE15" s="30"/>
      <c r="BF15" s="30"/>
      <c r="BG15" s="30"/>
      <c r="BH15" s="138"/>
      <c r="BI15" s="30"/>
      <c r="BJ15" s="30"/>
      <c r="BK15" s="30"/>
      <c r="BL15" s="30"/>
      <c r="BM15" s="138">
        <f>Connectivity!BM45</f>
        <v>14.759</v>
      </c>
      <c r="BN15" s="30">
        <f>Connectivity!BN45</f>
        <v>4.3339999999999996</v>
      </c>
      <c r="BO15" s="30">
        <f>Connectivity!BO45</f>
        <v>13.472</v>
      </c>
      <c r="BP15" s="30">
        <f>Connectivity!BP45</f>
        <v>17.91</v>
      </c>
      <c r="BQ15" s="30">
        <f>Connectivity!BQ45</f>
        <v>19.256</v>
      </c>
      <c r="BR15" s="551">
        <f>SUM(BN15:BQ15)</f>
        <v>54.971999999999994</v>
      </c>
      <c r="BS15" s="30">
        <f>Connectivity!BS45</f>
        <v>20.619</v>
      </c>
      <c r="BT15" s="30">
        <f>Connectivity!BT45</f>
        <v>22.244</v>
      </c>
      <c r="BU15" s="30">
        <f>Connectivity!BU45</f>
        <v>28.422000000000001</v>
      </c>
      <c r="BV15" s="30">
        <f>Connectivity!BV45</f>
        <v>31.184999999999999</v>
      </c>
      <c r="BW15" s="551">
        <f>SUM(BS15:BV15)</f>
        <v>102.47</v>
      </c>
      <c r="BX15" s="30">
        <f>Connectivity!BX45</f>
        <v>31.341999999999999</v>
      </c>
      <c r="BY15" s="30">
        <f>Connectivity!BY45</f>
        <v>33.061999999999998</v>
      </c>
      <c r="BZ15" s="30">
        <f>Connectivity!BZ45</f>
        <v>38.735999999999997</v>
      </c>
      <c r="CA15" s="30">
        <f>Connectivity!CA45</f>
        <v>44.203000000000003</v>
      </c>
      <c r="CB15" s="551">
        <f>SUM(BX15:CA15)</f>
        <v>147.34299999999999</v>
      </c>
      <c r="CC15" s="30">
        <f>Connectivity!CC45</f>
        <v>45.186</v>
      </c>
      <c r="CD15" s="30">
        <f>Connectivity!CD45</f>
        <v>52.384</v>
      </c>
      <c r="CE15" s="30">
        <f>Connectivity!CE45</f>
        <v>55.978000000000002</v>
      </c>
      <c r="CF15" s="30">
        <f>Connectivity!CF45</f>
        <v>57.453000000000003</v>
      </c>
      <c r="CG15" s="551">
        <f>SUM(CC15:CF15)</f>
        <v>211.001</v>
      </c>
      <c r="CH15" s="30">
        <f>Connectivity!CH45</f>
        <v>0</v>
      </c>
      <c r="CI15" s="30">
        <f>Connectivity!CI45</f>
        <v>0</v>
      </c>
      <c r="CJ15" s="30">
        <f>Connectivity!CJ45</f>
        <v>0</v>
      </c>
      <c r="CK15" s="30">
        <f>Connectivity!CK45</f>
        <v>0</v>
      </c>
      <c r="CL15" s="551">
        <f>SUM(CH15:CK15)</f>
        <v>0</v>
      </c>
      <c r="CM15" s="30">
        <f>Connectivity!CM45</f>
        <v>0</v>
      </c>
      <c r="CN15" s="30">
        <f>Connectivity!CN45</f>
        <v>0</v>
      </c>
      <c r="CO15" s="30">
        <f>Connectivity!CO45</f>
        <v>0</v>
      </c>
      <c r="CP15" s="30">
        <f>Connectivity!CP45</f>
        <v>0</v>
      </c>
      <c r="CQ15" s="551">
        <f>SUM(CM15:CP15)</f>
        <v>0</v>
      </c>
      <c r="CR15" s="30">
        <f>Connectivity!CR45</f>
        <v>0</v>
      </c>
      <c r="CS15" s="30">
        <f>Connectivity!CS45</f>
        <v>0</v>
      </c>
      <c r="CT15" s="30">
        <f>Connectivity!CT45</f>
        <v>0</v>
      </c>
      <c r="CU15" s="30">
        <f>Connectivity!CU45</f>
        <v>0</v>
      </c>
      <c r="CV15" s="551">
        <f>SUM(CR15:CU15)</f>
        <v>0</v>
      </c>
    </row>
    <row r="16" spans="1:106" ht="12" hidden="1" customHeight="1" x14ac:dyDescent="0.25">
      <c r="A16" s="415"/>
      <c r="B16" s="415"/>
      <c r="C16" s="415"/>
      <c r="D16" s="415"/>
      <c r="E16" s="47" t="s">
        <v>447</v>
      </c>
      <c r="F16" s="137"/>
      <c r="G16" s="137"/>
      <c r="H16" s="137"/>
      <c r="I16" s="137"/>
      <c r="J16" s="137"/>
      <c r="K16" s="119"/>
      <c r="L16" s="120"/>
      <c r="M16" s="120"/>
      <c r="N16" s="121"/>
      <c r="O16" s="137"/>
      <c r="P16" s="119"/>
      <c r="Q16" s="120"/>
      <c r="R16" s="120"/>
      <c r="S16" s="121"/>
      <c r="T16" s="137"/>
      <c r="U16" s="119"/>
      <c r="V16" s="120"/>
      <c r="W16" s="120"/>
      <c r="X16" s="121"/>
      <c r="Y16" s="137"/>
      <c r="Z16" s="119"/>
      <c r="AA16" s="120"/>
      <c r="AB16" s="120"/>
      <c r="AC16" s="121"/>
      <c r="AD16" s="137"/>
      <c r="AE16" s="119"/>
      <c r="AF16" s="120"/>
      <c r="AG16" s="120"/>
      <c r="AH16" s="121"/>
      <c r="AI16" s="137"/>
      <c r="AJ16" s="119"/>
      <c r="AK16" s="120"/>
      <c r="AL16" s="120"/>
      <c r="AM16" s="121"/>
      <c r="AN16" s="137"/>
      <c r="AO16" s="119"/>
      <c r="AP16" s="120"/>
      <c r="AQ16" s="120"/>
      <c r="AR16" s="121"/>
      <c r="AS16" s="137"/>
      <c r="AT16" s="30">
        <f>'Audience Solutions'!AT146</f>
        <v>168.62200000000001</v>
      </c>
      <c r="AU16" s="30">
        <f>'Audience Solutions'!AU146</f>
        <v>185.91499999999999</v>
      </c>
      <c r="AV16" s="30">
        <f>'Audience Solutions'!AV146</f>
        <v>188.66300000000001</v>
      </c>
      <c r="AW16" s="30">
        <f>'Audience Solutions'!AW146</f>
        <v>192.905</v>
      </c>
      <c r="AX16" s="138">
        <f>SUM(AT16:AW16)</f>
        <v>736.10500000000002</v>
      </c>
      <c r="AY16" s="30">
        <f>'Audience Solutions'!AY146</f>
        <v>184.99600000000001</v>
      </c>
      <c r="AZ16" s="30">
        <f>'Audience Solutions'!AZ146</f>
        <v>195.857</v>
      </c>
      <c r="BA16" s="30">
        <f>'Audience Solutions'!BA146</f>
        <v>187.46100000000001</v>
      </c>
      <c r="BB16" s="30">
        <f>'Audience Solutions'!BB146</f>
        <v>203.4</v>
      </c>
      <c r="BC16" s="138">
        <f>SUM(AY16:BB16)</f>
        <v>771.71400000000006</v>
      </c>
      <c r="BD16" s="30">
        <f>'Audience Solutions'!BD146</f>
        <v>192.482</v>
      </c>
      <c r="BE16" s="30">
        <f>'Audience Solutions'!BE146</f>
        <v>198.602</v>
      </c>
      <c r="BF16" s="30">
        <f>'Audience Solutions'!BF146</f>
        <v>195.14599999999999</v>
      </c>
      <c r="BG16" s="30">
        <f>'Audience Solutions'!BG146</f>
        <v>202.51</v>
      </c>
      <c r="BH16" s="138">
        <f>SUM(BD16:BG16)</f>
        <v>788.74</v>
      </c>
      <c r="BI16" s="30">
        <f>'Audience Solutions'!BI146</f>
        <v>187.79300000000001</v>
      </c>
      <c r="BJ16" s="30">
        <f>'Audience Solutions'!BJ146</f>
        <v>200.952</v>
      </c>
      <c r="BK16" s="30">
        <f>'Audience Solutions'!BK146</f>
        <v>206.66200000000001</v>
      </c>
      <c r="BL16" s="30">
        <f>'Audience Solutions'!BL146</f>
        <v>209.74600000000001</v>
      </c>
      <c r="BM16" s="138">
        <f>SUM(BI16:BL16)</f>
        <v>805.15300000000002</v>
      </c>
      <c r="BN16" s="30">
        <f>'Audience Solutions'!BN146</f>
        <v>186.68299999999999</v>
      </c>
      <c r="BO16" s="30">
        <f>'Audience Solutions'!BO146</f>
        <v>204.24799999999999</v>
      </c>
      <c r="BP16" s="30">
        <f>'Audience Solutions'!BP146</f>
        <v>208.24600000000001</v>
      </c>
      <c r="BQ16" s="30">
        <f>'Audience Solutions'!BQ146</f>
        <v>205.73400000000001</v>
      </c>
      <c r="BR16" s="138">
        <f>SUM(BN16:BQ16)</f>
        <v>804.91100000000006</v>
      </c>
      <c r="BS16" s="30"/>
      <c r="BT16" s="30"/>
      <c r="BU16" s="30"/>
      <c r="BV16" s="30"/>
      <c r="BW16" s="138"/>
      <c r="BX16" s="30"/>
      <c r="BY16" s="30"/>
      <c r="BZ16" s="30"/>
      <c r="CA16" s="30"/>
      <c r="CB16" s="138"/>
      <c r="CC16" s="30"/>
      <c r="CD16" s="30"/>
      <c r="CE16" s="30"/>
      <c r="CF16" s="30"/>
      <c r="CG16" s="138"/>
      <c r="CH16" s="30"/>
      <c r="CI16" s="30"/>
      <c r="CJ16" s="30"/>
      <c r="CK16" s="30"/>
      <c r="CL16" s="138"/>
      <c r="CM16" s="30"/>
      <c r="CN16" s="30"/>
      <c r="CO16" s="30"/>
      <c r="CP16" s="30"/>
      <c r="CQ16" s="138"/>
      <c r="CR16" s="30"/>
      <c r="CS16" s="30"/>
      <c r="CT16" s="30"/>
      <c r="CU16" s="30"/>
      <c r="CV16" s="138"/>
    </row>
    <row r="17" spans="1:106" ht="12" hidden="1" customHeight="1" x14ac:dyDescent="0.25">
      <c r="A17" s="415"/>
      <c r="B17" s="415"/>
      <c r="C17" s="415"/>
      <c r="D17" s="415"/>
      <c r="E17" s="47" t="s">
        <v>448</v>
      </c>
      <c r="F17" s="137"/>
      <c r="G17" s="137"/>
      <c r="H17" s="137"/>
      <c r="I17" s="137"/>
      <c r="J17" s="137"/>
      <c r="K17" s="119"/>
      <c r="L17" s="120"/>
      <c r="M17" s="120"/>
      <c r="N17" s="121"/>
      <c r="O17" s="137"/>
      <c r="P17" s="119"/>
      <c r="Q17" s="120"/>
      <c r="R17" s="120"/>
      <c r="S17" s="121"/>
      <c r="T17" s="137"/>
      <c r="U17" s="119"/>
      <c r="V17" s="120"/>
      <c r="W17" s="120"/>
      <c r="X17" s="121"/>
      <c r="Y17" s="137"/>
      <c r="Z17" s="119"/>
      <c r="AA17" s="120"/>
      <c r="AB17" s="120"/>
      <c r="AC17" s="121"/>
      <c r="AD17" s="137"/>
      <c r="AE17" s="119"/>
      <c r="AF17" s="120"/>
      <c r="AG17" s="120"/>
      <c r="AH17" s="121"/>
      <c r="AI17" s="137"/>
      <c r="AJ17" s="119"/>
      <c r="AK17" s="120"/>
      <c r="AL17" s="120"/>
      <c r="AM17" s="121"/>
      <c r="AN17" s="137"/>
      <c r="AO17" s="119"/>
      <c r="AP17" s="120"/>
      <c r="AQ17" s="120"/>
      <c r="AR17" s="121"/>
      <c r="AS17" s="137"/>
      <c r="AT17" s="30">
        <f>'Audience Solutions'!AT149</f>
        <v>73.138000000000005</v>
      </c>
      <c r="AU17" s="30">
        <f>'Audience Solutions'!AU149</f>
        <v>75.748999999999995</v>
      </c>
      <c r="AV17" s="30">
        <f>'Audience Solutions'!AV149</f>
        <v>78.994</v>
      </c>
      <c r="AW17" s="30">
        <f>'Audience Solutions'!AW149</f>
        <v>74.75</v>
      </c>
      <c r="AX17" s="138">
        <f>SUM(AT17:AW17)</f>
        <v>302.63099999999997</v>
      </c>
      <c r="AY17" s="30">
        <f>'Audience Solutions'!AY149</f>
        <v>73.05</v>
      </c>
      <c r="AZ17" s="30">
        <f>'Audience Solutions'!AZ149</f>
        <v>73.712000000000003</v>
      </c>
      <c r="BA17" s="30">
        <f>'Audience Solutions'!BA149</f>
        <v>77.173000000000002</v>
      </c>
      <c r="BB17" s="30">
        <f>'Audience Solutions'!BB149</f>
        <v>67.59</v>
      </c>
      <c r="BC17" s="138">
        <f>SUM(AY17:BB17)</f>
        <v>291.52499999999998</v>
      </c>
      <c r="BD17" s="30">
        <f>'Audience Solutions'!BD149</f>
        <v>70.290000000000006</v>
      </c>
      <c r="BE17" s="30">
        <f>'Audience Solutions'!BE149</f>
        <v>70.061000000000007</v>
      </c>
      <c r="BF17" s="30">
        <f>'Audience Solutions'!BF149</f>
        <v>69.915999999999997</v>
      </c>
      <c r="BG17" s="30">
        <f>'Audience Solutions'!BG149</f>
        <v>65.201999999999998</v>
      </c>
      <c r="BH17" s="138">
        <f>SUM(BD17:BG17)</f>
        <v>275.46899999999999</v>
      </c>
      <c r="BI17" s="30">
        <f>'Audience Solutions'!BI149</f>
        <v>69.385000000000005</v>
      </c>
      <c r="BJ17" s="30">
        <f>'Audience Solutions'!BJ149</f>
        <v>66.825000000000003</v>
      </c>
      <c r="BK17" s="30">
        <f>'Audience Solutions'!BK149</f>
        <v>62.098999999999997</v>
      </c>
      <c r="BL17" s="30">
        <f>'Audience Solutions'!BL149</f>
        <v>58.816000000000003</v>
      </c>
      <c r="BM17" s="138">
        <f>SUM(BI17:BL17)</f>
        <v>257.125</v>
      </c>
      <c r="BN17" s="30">
        <f>'Audience Solutions'!BN149</f>
        <v>55.531999999999996</v>
      </c>
      <c r="BO17" s="30">
        <f>'Audience Solutions'!BO149</f>
        <v>55.789000000000001</v>
      </c>
      <c r="BP17" s="30">
        <f>'Audience Solutions'!BP149</f>
        <v>52.194000000000003</v>
      </c>
      <c r="BQ17" s="30">
        <f>'Audience Solutions'!BQ149</f>
        <v>51.633000000000003</v>
      </c>
      <c r="BR17" s="138">
        <f>SUM(BN17:BQ17)</f>
        <v>215.148</v>
      </c>
      <c r="BS17" s="30"/>
      <c r="BT17" s="30"/>
      <c r="BU17" s="30"/>
      <c r="BV17" s="30"/>
      <c r="BW17" s="138"/>
      <c r="BX17" s="30"/>
      <c r="BY17" s="30"/>
      <c r="BZ17" s="30"/>
      <c r="CA17" s="30"/>
      <c r="CB17" s="138"/>
      <c r="CC17" s="30"/>
      <c r="CD17" s="30"/>
      <c r="CE17" s="30"/>
      <c r="CF17" s="30"/>
      <c r="CG17" s="138"/>
      <c r="CH17" s="30"/>
      <c r="CI17" s="30"/>
      <c r="CJ17" s="30"/>
      <c r="CK17" s="30"/>
      <c r="CL17" s="138"/>
      <c r="CM17" s="30"/>
      <c r="CN17" s="30"/>
      <c r="CO17" s="30"/>
      <c r="CP17" s="30"/>
      <c r="CQ17" s="138"/>
      <c r="CR17" s="30"/>
      <c r="CS17" s="30"/>
      <c r="CT17" s="30"/>
      <c r="CU17" s="30"/>
      <c r="CV17" s="138"/>
    </row>
    <row r="18" spans="1:106" ht="12" hidden="1" customHeight="1" x14ac:dyDescent="0.25">
      <c r="A18" s="415"/>
      <c r="B18" s="415"/>
      <c r="C18" s="415"/>
      <c r="D18" s="415"/>
      <c r="E18" s="47" t="s">
        <v>278</v>
      </c>
      <c r="F18" s="137"/>
      <c r="G18" s="137"/>
      <c r="H18" s="137"/>
      <c r="I18" s="137"/>
      <c r="J18" s="137"/>
      <c r="K18" s="119"/>
      <c r="L18" s="120"/>
      <c r="M18" s="120"/>
      <c r="N18" s="121"/>
      <c r="O18" s="137"/>
      <c r="P18" s="119"/>
      <c r="Q18" s="120"/>
      <c r="R18" s="120"/>
      <c r="S18" s="121"/>
      <c r="T18" s="137"/>
      <c r="U18" s="119"/>
      <c r="V18" s="120"/>
      <c r="W18" s="120"/>
      <c r="X18" s="121"/>
      <c r="Y18" s="137"/>
      <c r="Z18" s="119"/>
      <c r="AA18" s="120"/>
      <c r="AB18" s="120"/>
      <c r="AC18" s="121"/>
      <c r="AD18" s="137"/>
      <c r="AE18" s="119"/>
      <c r="AF18" s="120"/>
      <c r="AG18" s="120"/>
      <c r="AH18" s="121"/>
      <c r="AI18" s="137"/>
      <c r="AJ18" s="119"/>
      <c r="AK18" s="120"/>
      <c r="AL18" s="120"/>
      <c r="AM18" s="121"/>
      <c r="AN18" s="137"/>
      <c r="AO18" s="119"/>
      <c r="AP18" s="120"/>
      <c r="AQ18" s="120"/>
      <c r="AR18" s="121"/>
      <c r="AS18" s="137"/>
      <c r="AT18" s="30">
        <f>'Audience Solutions'!AT156</f>
        <v>17.419</v>
      </c>
      <c r="AU18" s="30">
        <f>'Audience Solutions'!AU156</f>
        <v>17.780999999999999</v>
      </c>
      <c r="AV18" s="30">
        <f>'Audience Solutions'!AV156</f>
        <v>20.248000000000001</v>
      </c>
      <c r="AW18" s="30">
        <f>'Audience Solutions'!AW156</f>
        <v>19.57</v>
      </c>
      <c r="AX18" s="138">
        <f>SUM(AT18:AW18)</f>
        <v>75.018000000000001</v>
      </c>
      <c r="AY18" s="30">
        <f>'Audience Solutions'!AY156</f>
        <v>17.998000000000001</v>
      </c>
      <c r="AZ18" s="30">
        <f>'Audience Solutions'!AZ156</f>
        <v>16.863</v>
      </c>
      <c r="BA18" s="30">
        <f>'Audience Solutions'!BA156</f>
        <v>16.259</v>
      </c>
      <c r="BB18" s="30">
        <f>'Audience Solutions'!BB156</f>
        <v>16.265000000000001</v>
      </c>
      <c r="BC18" s="138">
        <f>SUM(AY18:BB18)</f>
        <v>67.385000000000005</v>
      </c>
      <c r="BD18" s="30">
        <f>'Audience Solutions'!BD156</f>
        <v>8.8870000000000005</v>
      </c>
      <c r="BE18" s="30">
        <f>'Audience Solutions'!BE156</f>
        <v>8.8040000000000003</v>
      </c>
      <c r="BF18" s="30">
        <f>'Audience Solutions'!BF156</f>
        <v>8.0399999999999991</v>
      </c>
      <c r="BG18" s="30">
        <f>'Audience Solutions'!BG156</f>
        <v>9.4190000000000005</v>
      </c>
      <c r="BH18" s="138">
        <f>SUM(BD18:BG18)</f>
        <v>35.150000000000006</v>
      </c>
      <c r="BI18" s="30">
        <f>'Audience Solutions'!BI156</f>
        <v>9.0150000000000006</v>
      </c>
      <c r="BJ18" s="30">
        <f>'Audience Solutions'!BJ156</f>
        <v>8.4939999999999998</v>
      </c>
      <c r="BK18" s="30">
        <f>'Audience Solutions'!BK156</f>
        <v>9.1120000000000001</v>
      </c>
      <c r="BL18" s="30">
        <f>'Audience Solutions'!BL156</f>
        <v>8.6460000000000008</v>
      </c>
      <c r="BM18" s="138">
        <f>SUM(BI18:BL18)</f>
        <v>35.267000000000003</v>
      </c>
      <c r="BN18" s="30"/>
      <c r="BO18" s="30"/>
      <c r="BP18" s="30"/>
      <c r="BQ18" s="30"/>
      <c r="BR18" s="138"/>
      <c r="BS18" s="30"/>
      <c r="BT18" s="30"/>
      <c r="BU18" s="30"/>
      <c r="BV18" s="30"/>
      <c r="BW18" s="138"/>
      <c r="BX18" s="30"/>
      <c r="BY18" s="30"/>
      <c r="BZ18" s="30"/>
      <c r="CA18" s="30"/>
      <c r="CB18" s="138"/>
      <c r="CC18" s="30"/>
      <c r="CD18" s="30"/>
      <c r="CE18" s="30"/>
      <c r="CF18" s="30"/>
      <c r="CG18" s="138"/>
      <c r="CH18" s="30"/>
      <c r="CI18" s="30"/>
      <c r="CJ18" s="30"/>
      <c r="CK18" s="30"/>
      <c r="CL18" s="138"/>
      <c r="CM18" s="30"/>
      <c r="CN18" s="30"/>
      <c r="CO18" s="30"/>
      <c r="CP18" s="30"/>
      <c r="CQ18" s="138"/>
      <c r="CR18" s="30"/>
      <c r="CS18" s="30"/>
      <c r="CT18" s="30"/>
      <c r="CU18" s="30"/>
      <c r="CV18" s="138"/>
    </row>
    <row r="19" spans="1:106" s="27" customFormat="1" ht="12" hidden="1" customHeight="1" x14ac:dyDescent="0.25">
      <c r="A19" s="122"/>
      <c r="B19" s="122"/>
      <c r="C19" s="122"/>
      <c r="D19" s="122"/>
      <c r="E19" s="27" t="s">
        <v>202</v>
      </c>
      <c r="F19" s="138"/>
      <c r="G19" s="138"/>
      <c r="H19" s="138"/>
      <c r="I19" s="138"/>
      <c r="J19" s="138"/>
      <c r="K19" s="30"/>
      <c r="L19" s="30"/>
      <c r="M19" s="30"/>
      <c r="N19" s="30"/>
      <c r="O19" s="138"/>
      <c r="P19" s="30"/>
      <c r="Q19" s="30"/>
      <c r="R19" s="30"/>
      <c r="S19" s="30"/>
      <c r="T19" s="377">
        <v>889.67499999999995</v>
      </c>
      <c r="U19" s="30"/>
      <c r="V19" s="30"/>
      <c r="W19" s="30"/>
      <c r="X19" s="30"/>
      <c r="Y19" s="377">
        <v>1012.549</v>
      </c>
      <c r="Z19" s="30"/>
      <c r="AA19" s="30"/>
      <c r="AB19" s="30"/>
      <c r="AC19" s="30"/>
      <c r="AD19" s="377">
        <v>1061.1030000000001</v>
      </c>
      <c r="AE19" s="30" t="e">
        <f>#REF!</f>
        <v>#REF!</v>
      </c>
      <c r="AF19" s="30" t="e">
        <f>#REF!</f>
        <v>#REF!</v>
      </c>
      <c r="AG19" s="30" t="e">
        <f>#REF!</f>
        <v>#REF!</v>
      </c>
      <c r="AH19" s="30" t="e">
        <f>#REF!</f>
        <v>#REF!</v>
      </c>
      <c r="AI19" s="138" t="e">
        <f>SUM(AE19:AH19)</f>
        <v>#REF!</v>
      </c>
      <c r="AJ19" s="30" t="e">
        <f>#REF!</f>
        <v>#REF!</v>
      </c>
      <c r="AK19" s="30" t="e">
        <f>#REF!</f>
        <v>#REF!</v>
      </c>
      <c r="AL19" s="30" t="e">
        <f>#REF!</f>
        <v>#REF!</v>
      </c>
      <c r="AM19" s="30" t="e">
        <f>#REF!</f>
        <v>#REF!</v>
      </c>
      <c r="AN19" s="138" t="e">
        <f>SUM(AJ19:AM19)</f>
        <v>#REF!</v>
      </c>
      <c r="AO19" s="30" t="e">
        <f>#REF!</f>
        <v>#REF!</v>
      </c>
      <c r="AP19" s="30" t="e">
        <f>#REF!</f>
        <v>#REF!</v>
      </c>
      <c r="AQ19" s="30" t="e">
        <f>#REF!</f>
        <v>#REF!</v>
      </c>
      <c r="AR19" s="30" t="e">
        <f>#REF!</f>
        <v>#REF!</v>
      </c>
      <c r="AS19" s="138" t="e">
        <f>SUM(AO19:AR19)</f>
        <v>#REF!</v>
      </c>
      <c r="AT19" s="30" t="e">
        <f>#REF!</f>
        <v>#REF!</v>
      </c>
      <c r="AU19" s="30" t="e">
        <f>#REF!</f>
        <v>#REF!</v>
      </c>
      <c r="AV19" s="30" t="e">
        <f>#REF!</f>
        <v>#REF!</v>
      </c>
      <c r="AW19" s="30" t="e">
        <f>#REF!</f>
        <v>#REF!</v>
      </c>
      <c r="AX19" s="138" t="e">
        <f>SUM(AT19:AW19)</f>
        <v>#REF!</v>
      </c>
      <c r="AY19" s="30" t="e">
        <f>#REF!</f>
        <v>#REF!</v>
      </c>
      <c r="AZ19" s="30" t="e">
        <f>#REF!</f>
        <v>#REF!</v>
      </c>
      <c r="BA19" s="30" t="e">
        <f>#REF!</f>
        <v>#REF!</v>
      </c>
      <c r="BB19" s="30"/>
      <c r="BC19" s="138"/>
      <c r="BD19" s="30"/>
      <c r="BE19" s="30"/>
      <c r="BF19" s="30"/>
      <c r="BG19" s="30"/>
      <c r="BH19" s="138"/>
      <c r="BI19" s="30"/>
      <c r="BJ19" s="30"/>
      <c r="BK19" s="30"/>
      <c r="BL19" s="30"/>
      <c r="BM19" s="138"/>
      <c r="BN19" s="30"/>
      <c r="BO19" s="30"/>
      <c r="BP19" s="30"/>
      <c r="BQ19" s="30"/>
      <c r="BR19" s="138"/>
      <c r="BS19" s="30"/>
      <c r="BT19" s="30"/>
      <c r="BU19" s="30"/>
      <c r="BV19" s="30"/>
      <c r="BW19" s="138"/>
      <c r="BX19" s="30"/>
      <c r="BY19" s="30"/>
      <c r="BZ19" s="30"/>
      <c r="CA19" s="30"/>
      <c r="CB19" s="138"/>
      <c r="CC19" s="30"/>
      <c r="CD19" s="30"/>
      <c r="CE19" s="30"/>
      <c r="CF19" s="30"/>
      <c r="CG19" s="138"/>
      <c r="CH19" s="30"/>
      <c r="CI19" s="30"/>
      <c r="CJ19" s="30"/>
      <c r="CK19" s="30"/>
      <c r="CL19" s="138"/>
      <c r="CM19" s="30"/>
      <c r="CN19" s="30"/>
      <c r="CO19" s="30"/>
      <c r="CP19" s="30"/>
      <c r="CQ19" s="138"/>
      <c r="CR19" s="30"/>
      <c r="CS19" s="30"/>
      <c r="CT19" s="30"/>
      <c r="CU19" s="30"/>
      <c r="CV19" s="138"/>
    </row>
    <row r="20" spans="1:106" s="27" customFormat="1" ht="12" hidden="1" customHeight="1" x14ac:dyDescent="0.25">
      <c r="A20" s="122"/>
      <c r="B20" s="122"/>
      <c r="C20" s="122"/>
      <c r="D20" s="122"/>
      <c r="E20" s="27" t="s">
        <v>203</v>
      </c>
      <c r="F20" s="138"/>
      <c r="G20" s="138"/>
      <c r="H20" s="138"/>
      <c r="I20" s="138"/>
      <c r="J20" s="138"/>
      <c r="K20" s="30"/>
      <c r="L20" s="30"/>
      <c r="M20" s="30"/>
      <c r="N20" s="30"/>
      <c r="O20" s="138"/>
      <c r="P20" s="30"/>
      <c r="Q20" s="30"/>
      <c r="R20" s="30"/>
      <c r="S20" s="30"/>
      <c r="T20" s="377">
        <v>333.36700000000002</v>
      </c>
      <c r="U20" s="30"/>
      <c r="V20" s="30"/>
      <c r="W20" s="30"/>
      <c r="X20" s="30"/>
      <c r="Y20" s="377">
        <v>320.01900000000001</v>
      </c>
      <c r="Z20" s="30"/>
      <c r="AA20" s="30"/>
      <c r="AB20" s="30"/>
      <c r="AC20" s="30"/>
      <c r="AD20" s="377">
        <v>334.03300000000002</v>
      </c>
      <c r="AE20" s="30" t="e">
        <f>#REF!</f>
        <v>#REF!</v>
      </c>
      <c r="AF20" s="30" t="e">
        <f>#REF!</f>
        <v>#REF!</v>
      </c>
      <c r="AG20" s="30" t="e">
        <f>#REF!</f>
        <v>#REF!</v>
      </c>
      <c r="AH20" s="30" t="e">
        <f>#REF!</f>
        <v>#REF!</v>
      </c>
      <c r="AI20" s="138" t="e">
        <f>SUM(AE20:AH20)</f>
        <v>#REF!</v>
      </c>
      <c r="AJ20" s="30" t="e">
        <f>#REF!</f>
        <v>#REF!</v>
      </c>
      <c r="AK20" s="30" t="e">
        <f>#REF!</f>
        <v>#REF!</v>
      </c>
      <c r="AL20" s="30" t="e">
        <f>#REF!</f>
        <v>#REF!</v>
      </c>
      <c r="AM20" s="30" t="e">
        <f>#REF!</f>
        <v>#REF!</v>
      </c>
      <c r="AN20" s="138" t="e">
        <f>SUM(AJ20:AM20)</f>
        <v>#REF!</v>
      </c>
      <c r="AO20" s="30" t="e">
        <f>#REF!</f>
        <v>#REF!</v>
      </c>
      <c r="AP20" s="30" t="e">
        <f>#REF!</f>
        <v>#REF!</v>
      </c>
      <c r="AQ20" s="30" t="e">
        <f>#REF!</f>
        <v>#REF!</v>
      </c>
      <c r="AR20" s="30" t="e">
        <f>#REF!</f>
        <v>#REF!</v>
      </c>
      <c r="AS20" s="138" t="e">
        <f>SUM(AO20:AR20)</f>
        <v>#REF!</v>
      </c>
      <c r="AT20" s="30" t="e">
        <f>#REF!</f>
        <v>#REF!</v>
      </c>
      <c r="AU20" s="30" t="e">
        <f>#REF!</f>
        <v>#REF!</v>
      </c>
      <c r="AV20" s="30" t="e">
        <f>#REF!</f>
        <v>#REF!</v>
      </c>
      <c r="AW20" s="30" t="e">
        <f>#REF!</f>
        <v>#REF!</v>
      </c>
      <c r="AX20" s="138" t="e">
        <f>SUM(AT20:AW20)</f>
        <v>#REF!</v>
      </c>
      <c r="AY20" s="30" t="e">
        <f>#REF!</f>
        <v>#REF!</v>
      </c>
      <c r="AZ20" s="30" t="e">
        <f>#REF!</f>
        <v>#REF!</v>
      </c>
      <c r="BA20" s="30" t="e">
        <f>#REF!</f>
        <v>#REF!</v>
      </c>
      <c r="BB20" s="30"/>
      <c r="BC20" s="138"/>
      <c r="BD20" s="30"/>
      <c r="BE20" s="30"/>
      <c r="BF20" s="30"/>
      <c r="BG20" s="30"/>
      <c r="BH20" s="138"/>
      <c r="BI20" s="30"/>
      <c r="BJ20" s="30"/>
      <c r="BK20" s="30"/>
      <c r="BL20" s="30"/>
      <c r="BM20" s="138"/>
      <c r="BN20" s="30"/>
      <c r="BO20" s="30"/>
      <c r="BP20" s="30"/>
      <c r="BQ20" s="30"/>
      <c r="BR20" s="138"/>
      <c r="BS20" s="30"/>
      <c r="BT20" s="30"/>
      <c r="BU20" s="30"/>
      <c r="BV20" s="30"/>
      <c r="BW20" s="138"/>
      <c r="BX20" s="30"/>
      <c r="BY20" s="30"/>
      <c r="BZ20" s="30"/>
      <c r="CA20" s="30"/>
      <c r="CB20" s="138"/>
      <c r="CC20" s="30"/>
      <c r="CD20" s="30"/>
      <c r="CE20" s="30"/>
      <c r="CF20" s="30"/>
      <c r="CG20" s="138"/>
      <c r="CH20" s="30"/>
      <c r="CI20" s="30"/>
      <c r="CJ20" s="30"/>
      <c r="CK20" s="30"/>
      <c r="CL20" s="138"/>
      <c r="CM20" s="30"/>
      <c r="CN20" s="30"/>
      <c r="CO20" s="30"/>
      <c r="CP20" s="30"/>
      <c r="CQ20" s="138"/>
      <c r="CR20" s="30"/>
      <c r="CS20" s="30"/>
      <c r="CT20" s="30"/>
      <c r="CU20" s="30"/>
      <c r="CV20" s="138"/>
    </row>
    <row r="21" spans="1:106" s="27" customFormat="1" ht="3.75" customHeight="1" x14ac:dyDescent="0.25">
      <c r="C21" s="122"/>
      <c r="D21" s="122"/>
      <c r="F21" s="139"/>
      <c r="G21" s="139"/>
      <c r="H21" s="139"/>
      <c r="I21" s="139"/>
      <c r="J21" s="139"/>
      <c r="O21" s="139"/>
      <c r="T21" s="139"/>
      <c r="Y21" s="139"/>
      <c r="AD21" s="139"/>
      <c r="AI21" s="139"/>
      <c r="AN21" s="139"/>
      <c r="AS21" s="139"/>
      <c r="AX21" s="139"/>
      <c r="BC21" s="139"/>
      <c r="BH21" s="139"/>
      <c r="BM21" s="139"/>
      <c r="BR21" s="139"/>
      <c r="BW21" s="139"/>
      <c r="CB21" s="139"/>
      <c r="CG21" s="139"/>
      <c r="CL21" s="139"/>
      <c r="CQ21" s="139"/>
      <c r="CV21" s="139"/>
    </row>
    <row r="22" spans="1:106" s="35" customFormat="1" ht="12" customHeight="1" x14ac:dyDescent="0.25">
      <c r="A22" s="27"/>
      <c r="B22" s="27"/>
      <c r="C22" s="122"/>
      <c r="D22" s="122"/>
      <c r="E22" s="35" t="s">
        <v>174</v>
      </c>
      <c r="T22" s="35">
        <f>SUM(T19:T20)</f>
        <v>1223.0419999999999</v>
      </c>
      <c r="Y22" s="35">
        <f>SUM(Y19:Y20)</f>
        <v>1332.568</v>
      </c>
      <c r="AC22" s="374">
        <v>355.85</v>
      </c>
      <c r="AD22" s="35">
        <f>SUM(AD19:AD20)</f>
        <v>1395.136</v>
      </c>
      <c r="AE22" s="35">
        <f>'Audience Solutions'!AE219</f>
        <v>334.66899999999998</v>
      </c>
      <c r="AF22" s="35">
        <f>'Audience Solutions'!AF219</f>
        <v>348.85399999999998</v>
      </c>
      <c r="AG22" s="35">
        <f>'Audience Solutions'!AG219</f>
        <v>350.75900000000001</v>
      </c>
      <c r="AH22" s="35">
        <f>'Audience Solutions'!AH219</f>
        <v>349.79699999999997</v>
      </c>
      <c r="AI22" s="35">
        <f>'Audience Solutions'!AI219</f>
        <v>1383.771</v>
      </c>
      <c r="AJ22" s="35">
        <f>'Audience Solutions'!AJ219</f>
        <v>331.07299999999998</v>
      </c>
      <c r="AK22" s="35">
        <f>'Audience Solutions'!AK219</f>
        <v>328.935</v>
      </c>
      <c r="AL22" s="35">
        <f>'Audience Solutions'!AL219</f>
        <v>321.05599999999998</v>
      </c>
      <c r="AM22" s="35">
        <f>'Audience Solutions'!AM219</f>
        <v>295.50900000000001</v>
      </c>
      <c r="AN22" s="35">
        <f>'Audience Solutions'!AN219</f>
        <v>1277.2619999999999</v>
      </c>
      <c r="AO22" s="35">
        <f>'Audience Solutions'!AO219</f>
        <v>255.98099999999999</v>
      </c>
      <c r="AP22" s="35">
        <f>'Audience Solutions'!AP219</f>
        <v>271.10500000000002</v>
      </c>
      <c r="AQ22" s="35">
        <f>'Audience Solutions'!AQ219</f>
        <v>283.80700000000002</v>
      </c>
      <c r="AR22" s="35">
        <f>'Audience Solutions'!AR219</f>
        <v>288.34199999999998</v>
      </c>
      <c r="AS22" s="35">
        <f>'Audience Solutions'!AS219</f>
        <v>1099.2350000000001</v>
      </c>
      <c r="AT22" s="35">
        <f>SUM(AT16:AT18)</f>
        <v>259.17900000000003</v>
      </c>
      <c r="AU22" s="35">
        <f>SUM(AU16:AU18)</f>
        <v>279.44499999999999</v>
      </c>
      <c r="AV22" s="35">
        <f>SUM(AV16:AV18)</f>
        <v>287.90500000000003</v>
      </c>
      <c r="AW22" s="35">
        <f>SUM(AW16:AW18)</f>
        <v>287.22499999999997</v>
      </c>
      <c r="AX22" s="35">
        <f>SUM(AT22:AW22)</f>
        <v>1113.7539999999999</v>
      </c>
      <c r="AY22" s="35">
        <f>SUM(AY16:AY18)</f>
        <v>276.04399999999998</v>
      </c>
      <c r="AZ22" s="35">
        <f>SUM(AZ16:AZ18)</f>
        <v>286.43200000000002</v>
      </c>
      <c r="BA22" s="35">
        <f>SUM(BA16:BA18)</f>
        <v>280.89300000000003</v>
      </c>
      <c r="BB22" s="35">
        <f>SUM(BB16:BB18)</f>
        <v>287.255</v>
      </c>
      <c r="BC22" s="35">
        <f>SUM(AY22:BB22)</f>
        <v>1130.624</v>
      </c>
      <c r="BD22" s="35">
        <f>SUM(BD16:BD18)</f>
        <v>271.65899999999999</v>
      </c>
      <c r="BE22" s="35">
        <f>SUM(BE16:BE18)</f>
        <v>277.46699999999998</v>
      </c>
      <c r="BF22" s="35">
        <f>SUM(BF16:BF18)</f>
        <v>273.10200000000003</v>
      </c>
      <c r="BG22" s="35">
        <f>SUM(BG16:BG18)</f>
        <v>277.13099999999997</v>
      </c>
      <c r="BH22" s="35">
        <f>SUM(BD22:BG22)</f>
        <v>1099.3589999999999</v>
      </c>
      <c r="BI22" s="35">
        <f>SUM(BI16:BI18)</f>
        <v>266.19299999999998</v>
      </c>
      <c r="BJ22" s="35">
        <f>SUM(BJ16:BJ18)</f>
        <v>276.27099999999996</v>
      </c>
      <c r="BK22" s="35">
        <f>SUM(BK16:BK18)</f>
        <v>277.87300000000005</v>
      </c>
      <c r="BL22" s="35">
        <f>SUM(BL16:BL18)</f>
        <v>277.20800000000003</v>
      </c>
      <c r="BM22" s="35">
        <f>SUM(BM14:BM15)</f>
        <v>805.15300000000002</v>
      </c>
      <c r="BN22" s="35">
        <f>SUM(BN14:BN15)</f>
        <v>186.68299999999999</v>
      </c>
      <c r="BO22" s="35">
        <f>SUM(BO14:BO15)</f>
        <v>204.24799999999999</v>
      </c>
      <c r="BP22" s="35">
        <f>SUM(BP14:BP15)</f>
        <v>208.24600000000001</v>
      </c>
      <c r="BQ22" s="35">
        <f>SUM(BQ14:BQ15)</f>
        <v>205.73400000000001</v>
      </c>
      <c r="BR22" s="35">
        <f>SUM(BN22:BQ22)</f>
        <v>804.91100000000006</v>
      </c>
      <c r="BS22" s="35">
        <f>BS11+BS12+BS15</f>
        <v>196.89500000000001</v>
      </c>
      <c r="BT22" s="35">
        <f>BT11+BT12+BT15</f>
        <v>207.345</v>
      </c>
      <c r="BU22" s="35">
        <f>BU11+BU12+BU15</f>
        <v>221.19300000000001</v>
      </c>
      <c r="BV22" s="35">
        <f>BV11+BV12+BV15</f>
        <v>224.655</v>
      </c>
      <c r="BW22" s="35">
        <f>SUM(BS22:BV22)</f>
        <v>850.08799999999997</v>
      </c>
      <c r="BX22" s="35">
        <f>BX11+BX12+BX15</f>
        <v>214.80099999999999</v>
      </c>
      <c r="BY22" s="35">
        <f>BY11+BY12+BY15</f>
        <v>217.267</v>
      </c>
      <c r="BZ22" s="35">
        <f>BZ11+BZ12+BZ15</f>
        <v>223.31200000000001</v>
      </c>
      <c r="CA22" s="35">
        <f>CA11+CA12+CA15</f>
        <v>224.86800000000002</v>
      </c>
      <c r="CB22" s="35">
        <f>SUM(BX22:CA22)</f>
        <v>880.24800000000005</v>
      </c>
      <c r="CC22" s="35">
        <f>CC9</f>
        <v>46.756999999999998</v>
      </c>
      <c r="CD22" s="35">
        <f>CD9</f>
        <v>54.012999999999998</v>
      </c>
      <c r="CE22" s="35">
        <f>CE9</f>
        <v>59.121000000000002</v>
      </c>
      <c r="CF22" s="35">
        <f>CF9</f>
        <v>60.21</v>
      </c>
      <c r="CG22" s="35">
        <f>SUM(CC22:CF22)</f>
        <v>220.101</v>
      </c>
      <c r="CH22" s="35">
        <f>CH9</f>
        <v>62.470999999999997</v>
      </c>
      <c r="CI22" s="35">
        <f>CI9</f>
        <v>64.811999999999998</v>
      </c>
      <c r="CJ22" s="35">
        <f>CJ9</f>
        <v>75.326738000000006</v>
      </c>
      <c r="CK22" s="35">
        <f>CK9</f>
        <v>79.440130000000011</v>
      </c>
      <c r="CL22" s="35">
        <f>SUM(CH22:CK22)</f>
        <v>282.049868</v>
      </c>
      <c r="CM22" s="35">
        <f>CM9</f>
        <v>81.212299999999999</v>
      </c>
      <c r="CN22" s="35">
        <f>CN9</f>
        <v>88.633079999999993</v>
      </c>
      <c r="CO22" s="35">
        <f>CO9</f>
        <v>100.41313078000002</v>
      </c>
      <c r="CP22" s="35">
        <f>CP9</f>
        <v>102.27331930000001</v>
      </c>
      <c r="CQ22" s="35">
        <f>SUM(CM22:CP22)</f>
        <v>372.53183008000002</v>
      </c>
      <c r="CR22" s="35">
        <f>CR9</f>
        <v>106.95270300000001</v>
      </c>
      <c r="CS22" s="35">
        <f>CS9</f>
        <v>116.26373279999999</v>
      </c>
      <c r="CT22" s="35">
        <f>CT9</f>
        <v>132.11249005230002</v>
      </c>
      <c r="CU22" s="35">
        <f>CU9</f>
        <v>134.40337045400003</v>
      </c>
      <c r="CV22" s="35">
        <f>SUM(CR22:CU22)</f>
        <v>489.73229630630004</v>
      </c>
      <c r="CW22" s="27">
        <f>+CV22*1.3</f>
        <v>636.65198519819012</v>
      </c>
      <c r="CX22" s="27">
        <f>+CW22*1.3</f>
        <v>827.64758075764723</v>
      </c>
      <c r="CY22" s="27">
        <f>+CX22*1.3</f>
        <v>1075.9418549849415</v>
      </c>
      <c r="CZ22" s="27">
        <f>SUM(CH22:CI22)</f>
        <v>127.28299999999999</v>
      </c>
      <c r="DA22" s="27">
        <f>DB22-CZ22</f>
        <v>155.56811111111111</v>
      </c>
      <c r="DB22" s="27">
        <f>CZ22/0.45</f>
        <v>282.85111111111109</v>
      </c>
    </row>
    <row r="23" spans="1:106" s="33" customFormat="1" ht="12" customHeight="1" x14ac:dyDescent="0.25">
      <c r="A23" s="47"/>
      <c r="B23" s="47"/>
      <c r="C23" s="2"/>
      <c r="D23" s="2"/>
      <c r="E23" s="31" t="s">
        <v>2</v>
      </c>
      <c r="F23" s="31"/>
      <c r="G23" s="32"/>
      <c r="H23" s="32"/>
      <c r="I23" s="32"/>
      <c r="J23" s="32"/>
      <c r="K23" s="31"/>
      <c r="L23" s="31"/>
      <c r="M23" s="31"/>
      <c r="N23" s="31"/>
      <c r="O23" s="32"/>
      <c r="P23" s="32"/>
      <c r="Q23" s="32"/>
      <c r="R23" s="32"/>
      <c r="S23" s="32"/>
      <c r="T23" s="32"/>
      <c r="U23" s="32"/>
      <c r="V23" s="32"/>
      <c r="W23" s="32"/>
      <c r="X23" s="32"/>
      <c r="Y23" s="32"/>
      <c r="Z23" s="32"/>
      <c r="AA23" s="32"/>
      <c r="AB23" s="32"/>
      <c r="AC23" s="32"/>
      <c r="AD23" s="32"/>
      <c r="AE23" s="32"/>
      <c r="AF23" s="32"/>
      <c r="AG23" s="32"/>
      <c r="AH23" s="32"/>
      <c r="AI23" s="32"/>
      <c r="AJ23" s="32">
        <f t="shared" ref="AJ23:BC23" si="0">(AJ22-AE22)/ABS(AE22)</f>
        <v>-1.0744945005363519E-2</v>
      </c>
      <c r="AK23" s="32">
        <f t="shared" si="0"/>
        <v>-5.7098384997735396E-2</v>
      </c>
      <c r="AL23" s="32">
        <f t="shared" si="0"/>
        <v>-8.4682075157016728E-2</v>
      </c>
      <c r="AM23" s="32">
        <f t="shared" si="0"/>
        <v>-0.15519858660880442</v>
      </c>
      <c r="AN23" s="32">
        <f t="shared" si="0"/>
        <v>-7.6970105602733416E-2</v>
      </c>
      <c r="AO23" s="32">
        <f t="shared" si="0"/>
        <v>-0.2268140259096936</v>
      </c>
      <c r="AP23" s="32">
        <f t="shared" si="0"/>
        <v>-0.17580981044887284</v>
      </c>
      <c r="AQ23" s="32">
        <f t="shared" si="0"/>
        <v>-0.11602025814811114</v>
      </c>
      <c r="AR23" s="32">
        <f t="shared" si="0"/>
        <v>-2.4253068434464026E-2</v>
      </c>
      <c r="AS23" s="32">
        <f t="shared" si="0"/>
        <v>-0.13938174000322551</v>
      </c>
      <c r="AT23" s="32">
        <f>(AT22-AO22)/ABS(AO22)</f>
        <v>1.2493114723358515E-2</v>
      </c>
      <c r="AU23" s="32">
        <f t="shared" si="0"/>
        <v>3.0762988509986811E-2</v>
      </c>
      <c r="AV23" s="32">
        <f t="shared" si="0"/>
        <v>1.443939014893929E-2</v>
      </c>
      <c r="AW23" s="32">
        <f t="shared" si="0"/>
        <v>-3.8738719992232095E-3</v>
      </c>
      <c r="AX23" s="32">
        <f t="shared" si="0"/>
        <v>1.3208276665135096E-2</v>
      </c>
      <c r="AY23" s="32">
        <f t="shared" si="0"/>
        <v>6.5070858364296297E-2</v>
      </c>
      <c r="AZ23" s="32">
        <f t="shared" si="0"/>
        <v>2.5003131206498681E-2</v>
      </c>
      <c r="BA23" s="32">
        <f t="shared" si="0"/>
        <v>-2.4355256074052204E-2</v>
      </c>
      <c r="BB23" s="32">
        <f t="shared" si="0"/>
        <v>1.0444773261390743E-4</v>
      </c>
      <c r="BC23" s="32">
        <f t="shared" si="0"/>
        <v>1.5146971413795254E-2</v>
      </c>
      <c r="BD23" s="32">
        <f t="shared" ref="BD23:BM23" si="1">(BD22-AY22)/ABS(AY22)</f>
        <v>-1.5885148744403034E-2</v>
      </c>
      <c r="BE23" s="32">
        <f t="shared" si="1"/>
        <v>-3.1298877220422405E-2</v>
      </c>
      <c r="BF23" s="32">
        <f t="shared" si="1"/>
        <v>-2.7736540248421981E-2</v>
      </c>
      <c r="BG23" s="32">
        <f t="shared" si="1"/>
        <v>-3.5243947015717828E-2</v>
      </c>
      <c r="BH23" s="32">
        <f t="shared" si="1"/>
        <v>-2.7652871334767438E-2</v>
      </c>
      <c r="BI23" s="32">
        <f t="shared" si="1"/>
        <v>-2.0120813225403936E-2</v>
      </c>
      <c r="BJ23" s="32">
        <f t="shared" si="1"/>
        <v>-4.3104225006938713E-3</v>
      </c>
      <c r="BK23" s="32">
        <f t="shared" si="1"/>
        <v>1.7469663349224885E-2</v>
      </c>
      <c r="BL23" s="32">
        <f t="shared" si="1"/>
        <v>2.7784693881252923E-4</v>
      </c>
      <c r="BM23" s="32">
        <f t="shared" si="1"/>
        <v>-0.26761594711099823</v>
      </c>
      <c r="BN23" s="32">
        <f t="shared" ref="BN23:BW23" si="2">(BN22-BI22)/ABS(BI22)</f>
        <v>-0.2986930535363439</v>
      </c>
      <c r="BO23" s="32">
        <f t="shared" si="2"/>
        <v>-0.26069692439669739</v>
      </c>
      <c r="BP23" s="32">
        <f t="shared" si="2"/>
        <v>-0.25057130415693507</v>
      </c>
      <c r="BQ23" s="32">
        <f t="shared" si="2"/>
        <v>-0.25783527170933024</v>
      </c>
      <c r="BR23" s="32">
        <f t="shared" si="2"/>
        <v>-3.0056399218528874E-4</v>
      </c>
      <c r="BS23" s="32">
        <f>(BS22-BN22)/ABS(BN22)</f>
        <v>5.4702356400957872E-2</v>
      </c>
      <c r="BT23" s="32">
        <f t="shared" si="2"/>
        <v>1.5162939171987038E-2</v>
      </c>
      <c r="BU23" s="32">
        <f t="shared" si="2"/>
        <v>6.2171662360861683E-2</v>
      </c>
      <c r="BV23" s="32">
        <f t="shared" si="2"/>
        <v>9.1968269707486325E-2</v>
      </c>
      <c r="BW23" s="32">
        <f t="shared" si="2"/>
        <v>5.6126702206827715E-2</v>
      </c>
      <c r="BX23" s="32">
        <f t="shared" ref="BX23:CB23" si="3">(BX22-BS22)/ABS(BS22)</f>
        <v>9.0941872571675145E-2</v>
      </c>
      <c r="BY23" s="32">
        <f t="shared" si="3"/>
        <v>4.785261279509994E-2</v>
      </c>
      <c r="BZ23" s="32">
        <f t="shared" si="3"/>
        <v>9.5798691640332188E-3</v>
      </c>
      <c r="CA23" s="32">
        <f t="shared" si="3"/>
        <v>9.4812045135884927E-4</v>
      </c>
      <c r="CB23" s="32">
        <f t="shared" si="3"/>
        <v>3.5478679854321064E-2</v>
      </c>
      <c r="CC23" s="471" t="s">
        <v>490</v>
      </c>
      <c r="CD23" s="471" t="s">
        <v>490</v>
      </c>
      <c r="CE23" s="471" t="s">
        <v>490</v>
      </c>
      <c r="CF23" s="471" t="s">
        <v>490</v>
      </c>
      <c r="CG23" s="471" t="s">
        <v>490</v>
      </c>
      <c r="CH23" s="32">
        <f t="shared" ref="CH23:CQ23" si="4">(CH22-CC22)/ABS(CC22)</f>
        <v>0.33607802040336204</v>
      </c>
      <c r="CI23" s="32">
        <f>(CI22-CD22)/ABS(CD22)</f>
        <v>0.19993334937885324</v>
      </c>
      <c r="CJ23" s="32">
        <f t="shared" si="4"/>
        <v>0.27411136482806453</v>
      </c>
      <c r="CK23" s="32">
        <f t="shared" si="4"/>
        <v>0.31938432154127239</v>
      </c>
      <c r="CL23" s="32">
        <f t="shared" si="4"/>
        <v>0.28145654949318721</v>
      </c>
      <c r="CM23" s="32">
        <f t="shared" si="4"/>
        <v>0.30000000000000004</v>
      </c>
      <c r="CN23" s="32">
        <f t="shared" si="4"/>
        <v>0.3675411960748009</v>
      </c>
      <c r="CO23" s="32">
        <f t="shared" si="4"/>
        <v>0.33303437061087138</v>
      </c>
      <c r="CP23" s="32">
        <f t="shared" si="4"/>
        <v>0.28742638386921066</v>
      </c>
      <c r="CQ23" s="32">
        <f t="shared" si="4"/>
        <v>0.32080129206087776</v>
      </c>
      <c r="CR23" s="32">
        <f t="shared" ref="CR23" si="5">(CR22-CM22)/ABS(CM22)</f>
        <v>0.31695202573994352</v>
      </c>
      <c r="CS23" s="32">
        <f t="shared" ref="CS23" si="6">(CS22-CN22)/ABS(CN22)</f>
        <v>0.31174199068790115</v>
      </c>
      <c r="CT23" s="32">
        <f t="shared" ref="CT23" si="7">(CT22-CO22)/ABS(CO22)</f>
        <v>0.31568938271381719</v>
      </c>
      <c r="CU23" s="32">
        <f t="shared" ref="CU23" si="8">(CU22-CP22)/ABS(CP22)</f>
        <v>0.31415868159859373</v>
      </c>
      <c r="CV23" s="32">
        <f t="shared" ref="CV23" si="9">(CV22-CQ22)/ABS(CQ22)</f>
        <v>0.31460524111760219</v>
      </c>
      <c r="CW23" s="6"/>
      <c r="CX23" s="717"/>
      <c r="CY23" s="6"/>
      <c r="CZ23" s="6">
        <f>SUM(CH112:CI112)</f>
        <v>90.173999999999992</v>
      </c>
      <c r="DA23" s="6">
        <f>DA22*0.57</f>
        <v>88.673823333333317</v>
      </c>
      <c r="DB23" s="6">
        <f>CZ23+DA23</f>
        <v>178.84782333333331</v>
      </c>
    </row>
    <row r="24" spans="1:106" s="33" customFormat="1" ht="12" customHeight="1" x14ac:dyDescent="0.25">
      <c r="A24" s="47"/>
      <c r="B24" s="47"/>
      <c r="C24" s="2"/>
      <c r="D24" s="2"/>
      <c r="E24" s="31" t="s">
        <v>589</v>
      </c>
      <c r="F24" s="31"/>
      <c r="G24" s="32"/>
      <c r="H24" s="32"/>
      <c r="I24" s="32"/>
      <c r="J24" s="32"/>
      <c r="K24" s="31"/>
      <c r="L24" s="31"/>
      <c r="M24" s="31"/>
      <c r="N24" s="31"/>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f t="shared" ref="BI24:BN24" si="10">(BI22-BI18)/(BD22-BD18)-1</f>
        <v>-2.1288417335180276E-2</v>
      </c>
      <c r="BJ24" s="32">
        <f t="shared" si="10"/>
        <v>-3.2978117567364906E-3</v>
      </c>
      <c r="BK24" s="32">
        <f t="shared" si="10"/>
        <v>1.3955225569866725E-2</v>
      </c>
      <c r="BL24" s="32">
        <f t="shared" si="10"/>
        <v>3.1750537891466202E-3</v>
      </c>
      <c r="BM24" s="32">
        <f t="shared" si="10"/>
        <v>-0.2765650356274002</v>
      </c>
      <c r="BN24" s="32">
        <f t="shared" si="10"/>
        <v>-0.2741097605549464</v>
      </c>
      <c r="BO24" s="32">
        <f>(BO22-BO18)/(BJ22-BJ18)-1</f>
        <v>-0.2372459173117929</v>
      </c>
      <c r="BP24" s="32">
        <f>(BP22-BP18)/(BK22-BK18)-1</f>
        <v>-0.22516287705433458</v>
      </c>
      <c r="BQ24" s="32">
        <f>(BQ22-BQ18)/(BL22-BL18)-1</f>
        <v>-0.23394225541960512</v>
      </c>
      <c r="BR24" s="32">
        <f>(BR22-BR18)/(BM22-BM18)-1</f>
        <v>4.5493748425091685E-2</v>
      </c>
      <c r="BS24" s="32"/>
      <c r="BT24" s="32"/>
      <c r="BU24" s="32"/>
      <c r="BV24" s="32"/>
      <c r="BW24" s="32"/>
      <c r="BX24" s="32"/>
      <c r="BY24" s="32"/>
      <c r="BZ24" s="32"/>
      <c r="CA24" s="32"/>
      <c r="CB24" s="32"/>
      <c r="CC24" s="32"/>
      <c r="CD24" s="32"/>
      <c r="CE24" s="32"/>
      <c r="CF24" s="32"/>
      <c r="CG24" s="32"/>
      <c r="CH24" s="32">
        <f t="shared" ref="CH24:CQ24" si="11">(CH22-CH17)/(CC22-CC17)-1</f>
        <v>0.33607802040336199</v>
      </c>
      <c r="CI24" s="32">
        <f t="shared" si="11"/>
        <v>0.19993334937885332</v>
      </c>
      <c r="CJ24" s="32">
        <f t="shared" si="11"/>
        <v>0.27411136482806464</v>
      </c>
      <c r="CK24" s="32">
        <f t="shared" si="11"/>
        <v>0.31938432154127239</v>
      </c>
      <c r="CL24" s="32">
        <f t="shared" si="11"/>
        <v>0.28145654949318732</v>
      </c>
      <c r="CM24" s="32">
        <f t="shared" si="11"/>
        <v>0.30000000000000004</v>
      </c>
      <c r="CN24" s="32">
        <f t="shared" si="11"/>
        <v>0.36754119607480096</v>
      </c>
      <c r="CO24" s="32">
        <f t="shared" si="11"/>
        <v>0.33303437061087138</v>
      </c>
      <c r="CP24" s="32">
        <f t="shared" si="11"/>
        <v>0.2874263838692106</v>
      </c>
      <c r="CQ24" s="32">
        <f t="shared" si="11"/>
        <v>0.32080129206087782</v>
      </c>
      <c r="CR24" s="32">
        <f t="shared" ref="CR24" si="12">(CR22-CR17)/(CM22-CM17)-1</f>
        <v>0.31695202573994341</v>
      </c>
      <c r="CS24" s="32">
        <f t="shared" ref="CS24" si="13">(CS22-CS17)/(CN22-CN17)-1</f>
        <v>0.31174199068790109</v>
      </c>
      <c r="CT24" s="32">
        <f t="shared" ref="CT24" si="14">(CT22-CT17)/(CO22-CO17)-1</f>
        <v>0.31568938271381719</v>
      </c>
      <c r="CU24" s="32">
        <f t="shared" ref="CU24" si="15">(CU22-CU17)/(CP22-CP17)-1</f>
        <v>0.31415868159859373</v>
      </c>
      <c r="CV24" s="32">
        <f t="shared" ref="CV24" si="16">(CV22-CV17)/(CQ22-CQ17)-1</f>
        <v>0.31460524111760213</v>
      </c>
      <c r="CW24" s="6"/>
      <c r="CX24" s="717"/>
      <c r="CY24" s="6"/>
      <c r="CZ24" s="62">
        <f>+CZ23/CZ22</f>
        <v>0.70845281773685409</v>
      </c>
      <c r="DA24" s="6"/>
      <c r="DB24" s="723">
        <f>DB23/DB22</f>
        <v>0.63230376798158427</v>
      </c>
    </row>
    <row r="25" spans="1:106" ht="3.95" customHeight="1" x14ac:dyDescent="0.25">
      <c r="A25" s="47"/>
      <c r="B25" s="47"/>
      <c r="F25" s="33"/>
      <c r="G25" s="33"/>
      <c r="H25" s="33"/>
      <c r="I25" s="33"/>
      <c r="J25" s="33"/>
      <c r="O25" s="33"/>
      <c r="T25" s="33"/>
      <c r="Y25" s="33"/>
      <c r="AD25" s="33"/>
      <c r="AI25" s="33"/>
      <c r="AN25" s="33"/>
      <c r="AS25" s="33"/>
      <c r="AX25" s="33"/>
      <c r="BC25" s="33"/>
      <c r="BH25" s="33"/>
      <c r="BM25" s="33"/>
      <c r="BR25" s="33"/>
      <c r="BW25" s="33"/>
      <c r="CB25" s="33"/>
      <c r="CG25" s="33"/>
      <c r="CL25" s="33"/>
      <c r="CQ25" s="33"/>
      <c r="CR25" s="717"/>
      <c r="CS25" s="717"/>
      <c r="CT25" s="717"/>
      <c r="CU25" s="717"/>
      <c r="CV25" s="33"/>
    </row>
    <row r="26" spans="1:106" ht="12" hidden="1" customHeight="1" x14ac:dyDescent="0.25">
      <c r="A26" s="183">
        <f>CB26/CB22</f>
        <v>0</v>
      </c>
      <c r="B26" s="154">
        <v>-0.77</v>
      </c>
      <c r="C26" s="183">
        <f>BR26/BR22</f>
        <v>-1.0031779911070913</v>
      </c>
      <c r="D26" s="183">
        <f>BW26/BW22</f>
        <v>0</v>
      </c>
      <c r="E26" s="6" t="s">
        <v>610</v>
      </c>
      <c r="F26" s="33"/>
      <c r="G26" s="33"/>
      <c r="H26" s="33"/>
      <c r="I26" s="33"/>
      <c r="J26" s="33"/>
      <c r="O26" s="33"/>
      <c r="T26" s="33"/>
      <c r="Y26" s="33"/>
      <c r="AD26" s="33"/>
      <c r="AE26" s="27">
        <f>'Audience Solutions'!AE228</f>
        <v>-276.60500000000002</v>
      </c>
      <c r="AF26" s="27">
        <f>'Audience Solutions'!AF228</f>
        <v>-278.13499999999999</v>
      </c>
      <c r="AG26" s="27">
        <f>'Audience Solutions'!AG228</f>
        <v>-270.75</v>
      </c>
      <c r="AH26" s="27">
        <f>'Audience Solutions'!AH228</f>
        <v>-304.74</v>
      </c>
      <c r="AI26" s="139">
        <f>'Audience Solutions'!AI228</f>
        <v>-1130.23</v>
      </c>
      <c r="AJ26" s="27">
        <f>'Audience Solutions'!AJ228</f>
        <v>-256.57799999999997</v>
      </c>
      <c r="AK26" s="27">
        <f>'Audience Solutions'!AK228</f>
        <v>-258.024</v>
      </c>
      <c r="AL26" s="27">
        <f>'Audience Solutions'!AL228</f>
        <v>-243.92</v>
      </c>
      <c r="AM26" s="27">
        <f>'Audience Solutions'!AM228</f>
        <v>-216.66399999999999</v>
      </c>
      <c r="AN26" s="139">
        <f>'Audience Solutions'!AN228</f>
        <v>-975.18599999999992</v>
      </c>
      <c r="AO26" s="27">
        <f>'Audience Solutions'!AO228</f>
        <v>-205.495</v>
      </c>
      <c r="AP26" s="27">
        <f>'Audience Solutions'!AP228</f>
        <v>-211.92099999999999</v>
      </c>
      <c r="AQ26" s="27">
        <f>'Audience Solutions'!AQ228</f>
        <v>-209.93299999999999</v>
      </c>
      <c r="AR26" s="27">
        <f>'Audience Solutions'!AR228</f>
        <v>-211.92000000000002</v>
      </c>
      <c r="AS26" s="139">
        <f>'Audience Solutions'!AS228</f>
        <v>-839.26900000000001</v>
      </c>
      <c r="AT26" s="124">
        <v>-202.8</v>
      </c>
      <c r="AU26" s="124">
        <v>-216.27099999999999</v>
      </c>
      <c r="AV26" s="124">
        <v>-218.47399999999999</v>
      </c>
      <c r="AW26" s="124">
        <v>-215.619</v>
      </c>
      <c r="AX26" s="139">
        <f>SUM(AT26:AW26)</f>
        <v>-853.1640000000001</v>
      </c>
      <c r="AY26" s="124">
        <v>-218.28899999999999</v>
      </c>
      <c r="AZ26" s="124">
        <v>-217.48699999999999</v>
      </c>
      <c r="BA26" s="124">
        <v>-213.92500000000001</v>
      </c>
      <c r="BB26" s="124">
        <v>-213.78800000000001</v>
      </c>
      <c r="BC26" s="139">
        <f>SUM(AY26:BB26)</f>
        <v>-863.48900000000003</v>
      </c>
      <c r="BD26" s="124">
        <v>-209.32599999999999</v>
      </c>
      <c r="BE26" s="124">
        <v>-209.886</v>
      </c>
      <c r="BF26" s="124">
        <v>-209.02699999999999</v>
      </c>
      <c r="BG26" s="124">
        <v>-213.58699999999999</v>
      </c>
      <c r="BH26" s="139">
        <f>SUM(BD26:BG26)</f>
        <v>-841.82600000000002</v>
      </c>
      <c r="BI26" s="124">
        <v>-202.41200000000001</v>
      </c>
      <c r="BJ26" s="124">
        <v>-207.39400000000001</v>
      </c>
      <c r="BK26" s="124">
        <v>-210.053</v>
      </c>
      <c r="BL26" s="124">
        <v>-207.00200000000001</v>
      </c>
      <c r="BM26" s="139">
        <f>SUM(BI26:BL26)</f>
        <v>-826.8610000000001</v>
      </c>
      <c r="BN26" s="124">
        <v>-192.303</v>
      </c>
      <c r="BO26" s="124">
        <v>-205.31800000000001</v>
      </c>
      <c r="BP26" s="124">
        <v>-203.72800000000001</v>
      </c>
      <c r="BQ26" s="124">
        <v>-206.12</v>
      </c>
      <c r="BR26" s="139">
        <f>SUM(BN26:BQ26)</f>
        <v>-807.46899999999994</v>
      </c>
      <c r="BS26" s="124"/>
      <c r="BT26" s="166"/>
      <c r="BU26" s="166"/>
      <c r="BV26" s="166"/>
      <c r="BW26" s="139"/>
      <c r="BX26" s="166"/>
      <c r="BY26" s="166"/>
      <c r="BZ26" s="166"/>
      <c r="CA26" s="166"/>
      <c r="CB26" s="139"/>
      <c r="CC26" s="27"/>
      <c r="CD26" s="27"/>
      <c r="CE26" s="27"/>
      <c r="CF26" s="27"/>
      <c r="CG26" s="139"/>
      <c r="CH26" s="27">
        <f>CH22*$B26</f>
        <v>-48.102669999999996</v>
      </c>
      <c r="CI26" s="27">
        <f>CI22*$B26</f>
        <v>-49.905239999999999</v>
      </c>
      <c r="CJ26" s="27">
        <f>CJ22*$B26</f>
        <v>-58.001588260000005</v>
      </c>
      <c r="CK26" s="27">
        <f>CK22*$B26</f>
        <v>-61.168900100000009</v>
      </c>
      <c r="CL26" s="139">
        <f t="shared" ref="CL26" si="17">SUM(CH26:CK26)</f>
        <v>-217.17839835999999</v>
      </c>
      <c r="CM26" s="27">
        <f>CM22*$B26</f>
        <v>-62.533470999999999</v>
      </c>
      <c r="CN26" s="27">
        <f>CN22*$B26</f>
        <v>-68.247471599999997</v>
      </c>
      <c r="CO26" s="27">
        <f>CO22*$B26</f>
        <v>-77.318110700600016</v>
      </c>
      <c r="CP26" s="27">
        <f>CP22*$B26</f>
        <v>-78.750455861000006</v>
      </c>
      <c r="CQ26" s="139">
        <f t="shared" ref="CQ26:CQ32" si="18">SUM(CM26:CP26)</f>
        <v>-286.84950916160005</v>
      </c>
      <c r="CR26" s="27">
        <f>CR22*$B26</f>
        <v>-82.35358131000001</v>
      </c>
      <c r="CS26" s="27">
        <f>CS22*$B26</f>
        <v>-89.523074255999987</v>
      </c>
      <c r="CT26" s="27">
        <f>CT22*$B26</f>
        <v>-101.72661734027102</v>
      </c>
      <c r="CU26" s="27">
        <f>CU22*$B26</f>
        <v>-103.49059524958002</v>
      </c>
      <c r="CV26" s="139">
        <f t="shared" ref="CV26" si="19">SUM(CR26:CU26)</f>
        <v>-377.09386815585106</v>
      </c>
    </row>
    <row r="27" spans="1:106" ht="12" hidden="1" customHeight="1" x14ac:dyDescent="0.25">
      <c r="A27" s="183"/>
      <c r="B27" s="154"/>
      <c r="C27" s="183"/>
      <c r="D27" s="183"/>
      <c r="E27" s="6" t="s">
        <v>731</v>
      </c>
      <c r="F27" s="33"/>
      <c r="G27" s="33"/>
      <c r="H27" s="33"/>
      <c r="I27" s="33"/>
      <c r="J27" s="33"/>
      <c r="O27" s="33"/>
      <c r="T27" s="33"/>
      <c r="Y27" s="33"/>
      <c r="AD27" s="33"/>
      <c r="AE27" s="27"/>
      <c r="AF27" s="27"/>
      <c r="AG27" s="27"/>
      <c r="AH27" s="27"/>
      <c r="AI27" s="139"/>
      <c r="AJ27" s="27"/>
      <c r="AK27" s="27"/>
      <c r="AL27" s="27"/>
      <c r="AM27" s="27"/>
      <c r="AN27" s="139"/>
      <c r="AO27" s="27"/>
      <c r="AP27" s="27"/>
      <c r="AQ27" s="27"/>
      <c r="AR27" s="27"/>
      <c r="AS27" s="139"/>
      <c r="AT27" s="124"/>
      <c r="AU27" s="124"/>
      <c r="AV27" s="124"/>
      <c r="AW27" s="124"/>
      <c r="AX27" s="139"/>
      <c r="AY27" s="124"/>
      <c r="AZ27" s="124"/>
      <c r="BA27" s="124"/>
      <c r="BB27" s="124"/>
      <c r="BC27" s="139"/>
      <c r="BD27" s="124"/>
      <c r="BE27" s="124"/>
      <c r="BF27" s="124"/>
      <c r="BG27" s="124"/>
      <c r="BH27" s="139"/>
      <c r="BI27" s="124"/>
      <c r="BJ27" s="124"/>
      <c r="BK27" s="124"/>
      <c r="BL27" s="124"/>
      <c r="BM27" s="139"/>
      <c r="BN27" s="124"/>
      <c r="BO27" s="124"/>
      <c r="BP27" s="124"/>
      <c r="BQ27" s="124"/>
      <c r="BR27" s="139"/>
      <c r="BS27" s="631"/>
      <c r="BT27" s="631"/>
      <c r="BU27" s="631"/>
      <c r="BV27" s="631"/>
      <c r="BW27" s="630"/>
      <c r="BX27" s="631">
        <f>LiveRamp!BX55-LiveRamp!BX16+'Acxiom Marketing Solutions'!BX39-'Acxiom Marketing Solutions'!BX17</f>
        <v>-117.84800000000001</v>
      </c>
      <c r="BY27" s="631">
        <f>LiveRamp!BY55-LiveRamp!BY16+'Acxiom Marketing Solutions'!BY39-'Acxiom Marketing Solutions'!BY17</f>
        <v>-114.946</v>
      </c>
      <c r="BZ27" s="631">
        <f>LiveRamp!BZ55-LiveRamp!BZ16+'Acxiom Marketing Solutions'!BZ39-'Acxiom Marketing Solutions'!BZ17</f>
        <v>-109.60700000000003</v>
      </c>
      <c r="CA27" s="631">
        <f>LiveRamp!CA55-LiveRamp!CA16+'Acxiom Marketing Solutions'!CA39-'Acxiom Marketing Solutions'!CA17</f>
        <v>-110.76300000000001</v>
      </c>
      <c r="CB27" s="630">
        <f>SUM(BX27:CA27)</f>
        <v>-453.1640000000001</v>
      </c>
      <c r="CC27" s="631">
        <f>LiveRamp!CC55-LiveRamp!CC16</f>
        <v>-18.527999999999999</v>
      </c>
      <c r="CD27" s="631">
        <f>LiveRamp!CD55-LiveRamp!CD16</f>
        <v>-17.908000000000001</v>
      </c>
      <c r="CE27" s="631">
        <f>LiveRamp!CE55-LiveRamp!CE16</f>
        <v>-18.568000000000005</v>
      </c>
      <c r="CF27" s="631">
        <f>LiveRamp!CF55-LiveRamp!CF16</f>
        <v>-17.530999999999999</v>
      </c>
      <c r="CG27" s="630">
        <f t="shared" ref="CG27:CG32" si="20">SUM(CC27:CF27)</f>
        <v>-72.534999999999997</v>
      </c>
      <c r="CH27" s="631">
        <f>LiveRamp!CH55-LiveRamp!CH16</f>
        <v>-18.270999999999994</v>
      </c>
      <c r="CI27" s="631">
        <f>LiveRamp!CI55-LiveRamp!CI16</f>
        <v>-18.950076729556713</v>
      </c>
      <c r="CJ27" s="631">
        <f>LiveRamp!CJ55-LiveRamp!CJ16+'Acxiom Marketing Solutions'!CJ39-'Acxiom Marketing Solutions'!CJ17</f>
        <v>-21.910360792000013</v>
      </c>
      <c r="CK27" s="631">
        <f>LiveRamp!CK55-LiveRamp!CK16+'Acxiom Marketing Solutions'!CK39-'Acxiom Marketing Solutions'!CK17</f>
        <v>-22.804879999999997</v>
      </c>
      <c r="CL27" s="630">
        <f t="shared" ref="CL27:CL32" si="21">SUM(CH27:CK27)</f>
        <v>-81.936317521556717</v>
      </c>
      <c r="CM27" s="631">
        <f>LiveRamp!CM55-LiveRamp!CM16+'Acxiom Marketing Solutions'!CM39-'Acxiom Marketing Solutions'!CM17</f>
        <v>-24.443109599999993</v>
      </c>
      <c r="CN27" s="631">
        <f>LiveRamp!CN55-LiveRamp!CN16+'Acxiom Marketing Solutions'!CN39-'Acxiom Marketing Solutions'!CN17</f>
        <v>-25.428182588075138</v>
      </c>
      <c r="CO27" s="631">
        <f>LiveRamp!CO55-LiveRamp!CO16+'Acxiom Marketing Solutions'!CO39-'Acxiom Marketing Solutions'!CO17</f>
        <v>-25.397439281780009</v>
      </c>
      <c r="CP27" s="631">
        <f>LiveRamp!CP55-LiveRamp!CP16+'Acxiom Marketing Solutions'!CP39-'Acxiom Marketing Solutions'!CP17</f>
        <v>-26.96862653238</v>
      </c>
      <c r="CQ27" s="630">
        <f>SUM(CM27:CP27)</f>
        <v>-102.23735800223514</v>
      </c>
      <c r="CR27" s="631">
        <f>LiveRamp!CR55-LiveRamp!CR16+'Acxiom Marketing Solutions'!CR39-'Acxiom Marketing Solutions'!CR17</f>
        <v>-30.622394360999991</v>
      </c>
      <c r="CS27" s="631">
        <f>LiveRamp!CS55-LiveRamp!CS16+'Acxiom Marketing Solutions'!CS39-'Acxiom Marketing Solutions'!CS17</f>
        <v>-31.652921088412342</v>
      </c>
      <c r="CT27" s="631">
        <f>LiveRamp!CT55-LiveRamp!CT16+'Acxiom Marketing Solutions'!CT39-'Acxiom Marketing Solutions'!CT17</f>
        <v>-31.244155145302813</v>
      </c>
      <c r="CU27" s="631">
        <f>LiveRamp!CU55-LiveRamp!CU16+'Acxiom Marketing Solutions'!CU39-'Acxiom Marketing Solutions'!CU17</f>
        <v>-34.117399087156414</v>
      </c>
      <c r="CV27" s="630">
        <f>SUM(CR27:CU27)</f>
        <v>-127.63686968187156</v>
      </c>
    </row>
    <row r="28" spans="1:106" ht="12" customHeight="1" x14ac:dyDescent="0.25">
      <c r="A28" s="183"/>
      <c r="B28" s="154"/>
      <c r="C28" s="183"/>
      <c r="D28" s="183"/>
      <c r="E28" s="54" t="s">
        <v>689</v>
      </c>
      <c r="F28" s="185"/>
      <c r="G28" s="185"/>
      <c r="H28" s="185"/>
      <c r="I28" s="185"/>
      <c r="J28" s="185"/>
      <c r="K28" s="122"/>
      <c r="L28" s="122"/>
      <c r="M28" s="122"/>
      <c r="N28" s="122"/>
      <c r="O28" s="161"/>
      <c r="P28" s="122"/>
      <c r="Q28" s="122"/>
      <c r="R28" s="122"/>
      <c r="S28" s="122"/>
      <c r="T28" s="161"/>
      <c r="U28" s="122"/>
      <c r="V28" s="122"/>
      <c r="W28" s="122"/>
      <c r="X28" s="122"/>
      <c r="Y28" s="161"/>
      <c r="Z28" s="128"/>
      <c r="AA28" s="128"/>
      <c r="AB28" s="128"/>
      <c r="AC28" s="128"/>
      <c r="AD28" s="161"/>
      <c r="AE28" s="128"/>
      <c r="AF28" s="128"/>
      <c r="AG28" s="128"/>
      <c r="AH28" s="128"/>
      <c r="AI28" s="140"/>
      <c r="AJ28" s="85"/>
      <c r="AK28" s="85"/>
      <c r="AL28" s="85"/>
      <c r="AM28" s="85"/>
      <c r="AN28" s="140"/>
      <c r="AO28" s="85"/>
      <c r="AP28" s="85"/>
      <c r="AQ28" s="85"/>
      <c r="AR28" s="364"/>
      <c r="AS28" s="161"/>
      <c r="AT28" s="439"/>
      <c r="AU28" s="439"/>
      <c r="AV28" s="439"/>
      <c r="AW28" s="439"/>
      <c r="AX28" s="161"/>
      <c r="AY28" s="439"/>
      <c r="AZ28" s="439"/>
      <c r="BA28" s="439"/>
      <c r="BB28" s="439"/>
      <c r="BC28" s="161"/>
      <c r="BD28" s="439"/>
      <c r="BE28" s="439"/>
      <c r="BF28" s="439"/>
      <c r="BG28" s="439"/>
      <c r="BH28" s="161"/>
      <c r="BI28" s="439"/>
      <c r="BJ28" s="439"/>
      <c r="BK28" s="439"/>
      <c r="BL28" s="439"/>
      <c r="BM28" s="161"/>
      <c r="BN28" s="352"/>
      <c r="BO28" s="352"/>
      <c r="BP28" s="352"/>
      <c r="BQ28" s="352"/>
      <c r="BR28" s="560"/>
      <c r="BS28" s="631">
        <f>-Income!BS117</f>
        <v>-3.754</v>
      </c>
      <c r="BT28" s="631">
        <f>-Income!BT117</f>
        <v>-3.754</v>
      </c>
      <c r="BU28" s="631">
        <f>-Income!BU117</f>
        <v>-3.754</v>
      </c>
      <c r="BV28" s="631">
        <f>-Income!BV117</f>
        <v>-4.2039999999999997</v>
      </c>
      <c r="BW28" s="630">
        <f>SUM(BS28:BV28)</f>
        <v>-15.466000000000001</v>
      </c>
      <c r="BX28" s="631">
        <f>-Income!BX117</f>
        <v>-4.077</v>
      </c>
      <c r="BY28" s="631">
        <f>-Income!BY117</f>
        <v>-3.89</v>
      </c>
      <c r="BZ28" s="631">
        <f>-Income!BZ117</f>
        <v>-4.6210000000000004</v>
      </c>
      <c r="CA28" s="631">
        <f>-Income!CA117</f>
        <v>-6.056</v>
      </c>
      <c r="CB28" s="630">
        <f>SUM(BX28:CA28)</f>
        <v>-18.644000000000002</v>
      </c>
      <c r="CC28" s="748">
        <f>-Income!CC117</f>
        <v>-5.9589999999999996</v>
      </c>
      <c r="CD28" s="748">
        <f>-Income!CD117</f>
        <v>-6.0149999999999997</v>
      </c>
      <c r="CE28" s="631">
        <f>-Income!CE117</f>
        <v>-5.9649999999999999</v>
      </c>
      <c r="CF28" s="631">
        <f>-Income!CF117</f>
        <v>-5.9560000000000004</v>
      </c>
      <c r="CG28" s="630">
        <f t="shared" si="20"/>
        <v>-23.895</v>
      </c>
      <c r="CH28" s="631">
        <f>-Income!CH117</f>
        <v>-5.97</v>
      </c>
      <c r="CI28" s="631">
        <f>-Income!CI117</f>
        <v>-3.548</v>
      </c>
      <c r="CJ28" s="631">
        <f>-Income!CJ117</f>
        <v>-3.54</v>
      </c>
      <c r="CK28" s="631">
        <f>-Income!CK117</f>
        <v>-3.54</v>
      </c>
      <c r="CL28" s="630">
        <f t="shared" si="21"/>
        <v>-16.597999999999999</v>
      </c>
      <c r="CM28" s="631">
        <f>-Income!CM117</f>
        <v>-3.5</v>
      </c>
      <c r="CN28" s="748">
        <f>-Income!CN117</f>
        <v>-3.5</v>
      </c>
      <c r="CO28" s="748">
        <f>-Income!CO117</f>
        <v>-3.5</v>
      </c>
      <c r="CP28" s="748">
        <f>-Income!CP117</f>
        <v>-3.5</v>
      </c>
      <c r="CQ28" s="632">
        <f t="shared" si="18"/>
        <v>-14</v>
      </c>
      <c r="CR28" s="748">
        <f>-Income!CR117</f>
        <v>-3.5</v>
      </c>
      <c r="CS28" s="748">
        <f>-Income!CS117</f>
        <v>-3.5</v>
      </c>
      <c r="CT28" s="748">
        <f>-Income!CT117</f>
        <v>-3.5</v>
      </c>
      <c r="CU28" s="748">
        <f>-Income!CU117</f>
        <v>-3.5</v>
      </c>
      <c r="CV28" s="632">
        <f t="shared" ref="CV28:CV32" si="22">SUM(CR28:CU28)</f>
        <v>-14</v>
      </c>
    </row>
    <row r="29" spans="1:106" ht="12" customHeight="1" x14ac:dyDescent="0.25">
      <c r="A29" s="183"/>
      <c r="B29" s="154"/>
      <c r="C29" s="183"/>
      <c r="D29" s="183"/>
      <c r="E29" s="54" t="s">
        <v>690</v>
      </c>
      <c r="F29" s="185"/>
      <c r="G29" s="185"/>
      <c r="H29" s="185"/>
      <c r="I29" s="185"/>
      <c r="J29" s="185"/>
      <c r="K29" s="122"/>
      <c r="L29" s="122"/>
      <c r="M29" s="122"/>
      <c r="N29" s="122"/>
      <c r="O29" s="161"/>
      <c r="P29" s="122"/>
      <c r="Q29" s="122"/>
      <c r="R29" s="122"/>
      <c r="S29" s="122"/>
      <c r="T29" s="161"/>
      <c r="U29" s="122"/>
      <c r="V29" s="122"/>
      <c r="W29" s="122"/>
      <c r="X29" s="122"/>
      <c r="Y29" s="161"/>
      <c r="Z29" s="128"/>
      <c r="AA29" s="128"/>
      <c r="AB29" s="128"/>
      <c r="AC29" s="128"/>
      <c r="AD29" s="161"/>
      <c r="AE29" s="128"/>
      <c r="AF29" s="128"/>
      <c r="AG29" s="128"/>
      <c r="AH29" s="128"/>
      <c r="AI29" s="140"/>
      <c r="AJ29" s="85"/>
      <c r="AK29" s="85"/>
      <c r="AL29" s="85"/>
      <c r="AM29" s="85"/>
      <c r="AN29" s="140"/>
      <c r="AO29" s="85"/>
      <c r="AP29" s="85"/>
      <c r="AQ29" s="85"/>
      <c r="AR29" s="364"/>
      <c r="AS29" s="161"/>
      <c r="AT29" s="439"/>
      <c r="AU29" s="439"/>
      <c r="AV29" s="439"/>
      <c r="AW29" s="439"/>
      <c r="AX29" s="161"/>
      <c r="AY29" s="439"/>
      <c r="AZ29" s="439"/>
      <c r="BA29" s="439"/>
      <c r="BB29" s="439"/>
      <c r="BC29" s="161"/>
      <c r="BD29" s="439"/>
      <c r="BE29" s="439"/>
      <c r="BF29" s="439"/>
      <c r="BG29" s="439"/>
      <c r="BH29" s="161"/>
      <c r="BI29" s="439"/>
      <c r="BJ29" s="439"/>
      <c r="BK29" s="439"/>
      <c r="BL29" s="439"/>
      <c r="BM29" s="161"/>
      <c r="BN29" s="352"/>
      <c r="BO29" s="352"/>
      <c r="BP29" s="352"/>
      <c r="BQ29" s="352"/>
      <c r="BR29" s="560"/>
      <c r="BS29" s="417">
        <v>-0.42899999999999999</v>
      </c>
      <c r="BT29" s="417">
        <v>-0.34799999999999998</v>
      </c>
      <c r="BU29" s="417">
        <v>-0.66600000000000004</v>
      </c>
      <c r="BV29" s="417">
        <v>-0.70600000000000018</v>
      </c>
      <c r="BW29" s="630">
        <f>SUM(BS29:BV29)</f>
        <v>-2.149</v>
      </c>
      <c r="BX29" s="417">
        <v>-0.89400000000000002</v>
      </c>
      <c r="BY29" s="417">
        <v>-1.2689999999999999</v>
      </c>
      <c r="BZ29" s="417">
        <v>-2.2400000000000002</v>
      </c>
      <c r="CA29" s="417">
        <v>-1.4750000000000001</v>
      </c>
      <c r="CB29" s="630">
        <f>SUM(BX29:CA29)</f>
        <v>-5.8780000000000001</v>
      </c>
      <c r="CC29" s="417">
        <v>-0.63700000000000001</v>
      </c>
      <c r="CD29" s="417">
        <v>-0.65400000000000003</v>
      </c>
      <c r="CE29" s="417">
        <v>-0.67300000000000004</v>
      </c>
      <c r="CF29" s="417">
        <v>-0.68700000000000006</v>
      </c>
      <c r="CG29" s="630">
        <f t="shared" si="20"/>
        <v>-2.6509999999999998</v>
      </c>
      <c r="CH29" s="417">
        <v>-0.71099999999999997</v>
      </c>
      <c r="CI29" s="417">
        <v>-0.78200000000000003</v>
      </c>
      <c r="CJ29" s="589">
        <v>-0.8</v>
      </c>
      <c r="CK29" s="589">
        <v>-0.8</v>
      </c>
      <c r="CL29" s="630">
        <f t="shared" si="21"/>
        <v>-3.093</v>
      </c>
      <c r="CM29" s="589">
        <v>-0.8</v>
      </c>
      <c r="CN29" s="589">
        <v>-0.8</v>
      </c>
      <c r="CO29" s="589">
        <v>-0.8</v>
      </c>
      <c r="CP29" s="589">
        <v>-0.8</v>
      </c>
      <c r="CQ29" s="630">
        <f t="shared" si="18"/>
        <v>-3.2</v>
      </c>
      <c r="CR29" s="589">
        <v>-0.8</v>
      </c>
      <c r="CS29" s="589">
        <v>-0.8</v>
      </c>
      <c r="CT29" s="589">
        <v>-0.8</v>
      </c>
      <c r="CU29" s="589">
        <v>-0.8</v>
      </c>
      <c r="CV29" s="630">
        <f t="shared" si="22"/>
        <v>-3.2</v>
      </c>
    </row>
    <row r="30" spans="1:106" ht="12" customHeight="1" x14ac:dyDescent="0.25">
      <c r="A30" s="183"/>
      <c r="B30" s="154"/>
      <c r="C30" s="183"/>
      <c r="D30" s="183"/>
      <c r="E30" s="54" t="s">
        <v>814</v>
      </c>
      <c r="F30" s="185"/>
      <c r="G30" s="185"/>
      <c r="H30" s="185"/>
      <c r="I30" s="185"/>
      <c r="J30" s="185"/>
      <c r="K30" s="122"/>
      <c r="L30" s="122"/>
      <c r="M30" s="122"/>
      <c r="N30" s="122"/>
      <c r="O30" s="161"/>
      <c r="P30" s="122"/>
      <c r="Q30" s="122"/>
      <c r="R30" s="122"/>
      <c r="S30" s="122"/>
      <c r="T30" s="161"/>
      <c r="U30" s="122"/>
      <c r="V30" s="122"/>
      <c r="W30" s="122"/>
      <c r="X30" s="122"/>
      <c r="Y30" s="161"/>
      <c r="Z30" s="128"/>
      <c r="AA30" s="128"/>
      <c r="AB30" s="128"/>
      <c r="AC30" s="128"/>
      <c r="AD30" s="161"/>
      <c r="AE30" s="128"/>
      <c r="AF30" s="128"/>
      <c r="AG30" s="128"/>
      <c r="AH30" s="128"/>
      <c r="AI30" s="140"/>
      <c r="AJ30" s="85"/>
      <c r="AK30" s="85"/>
      <c r="AL30" s="85"/>
      <c r="AM30" s="85"/>
      <c r="AN30" s="140"/>
      <c r="AO30" s="85"/>
      <c r="AP30" s="85"/>
      <c r="AQ30" s="85"/>
      <c r="AR30" s="364"/>
      <c r="AS30" s="161"/>
      <c r="AT30" s="439"/>
      <c r="AU30" s="439"/>
      <c r="AV30" s="439"/>
      <c r="AW30" s="439"/>
      <c r="AX30" s="161"/>
      <c r="AY30" s="439"/>
      <c r="AZ30" s="439"/>
      <c r="BA30" s="439"/>
      <c r="BB30" s="439"/>
      <c r="BC30" s="161"/>
      <c r="BD30" s="439"/>
      <c r="BE30" s="439"/>
      <c r="BF30" s="439"/>
      <c r="BG30" s="439"/>
      <c r="BH30" s="161"/>
      <c r="BI30" s="439"/>
      <c r="BJ30" s="439"/>
      <c r="BK30" s="439"/>
      <c r="BL30" s="439"/>
      <c r="BM30" s="161"/>
      <c r="BN30" s="352"/>
      <c r="BO30" s="352"/>
      <c r="BP30" s="352"/>
      <c r="BQ30" s="352"/>
      <c r="BR30" s="560"/>
      <c r="BS30" s="417">
        <v>-1.4419999999999999</v>
      </c>
      <c r="BT30" s="631">
        <f>-4.181-BT29-BT28</f>
        <v>-7.9000000000000181E-2</v>
      </c>
      <c r="BU30" s="417">
        <v>-7.8E-2</v>
      </c>
      <c r="BV30" s="417">
        <v>-0.252</v>
      </c>
      <c r="BW30" s="630">
        <f>SUM(BS30:BV30)</f>
        <v>-1.8510000000000002</v>
      </c>
      <c r="BX30" s="417">
        <v>0</v>
      </c>
      <c r="BY30" s="417">
        <v>0</v>
      </c>
      <c r="BZ30" s="417">
        <v>0</v>
      </c>
      <c r="CA30" s="417">
        <v>0</v>
      </c>
      <c r="CB30" s="632">
        <f>SUM(BX30:CA30)</f>
        <v>0</v>
      </c>
      <c r="CC30" s="417">
        <v>0</v>
      </c>
      <c r="CD30" s="417">
        <v>0</v>
      </c>
      <c r="CE30" s="417">
        <v>0</v>
      </c>
      <c r="CF30" s="417">
        <v>0</v>
      </c>
      <c r="CG30" s="632">
        <f t="shared" si="20"/>
        <v>0</v>
      </c>
      <c r="CH30" s="417">
        <v>0</v>
      </c>
      <c r="CI30" s="417">
        <v>0</v>
      </c>
      <c r="CJ30" s="634">
        <f>-CJ121</f>
        <v>-1.74</v>
      </c>
      <c r="CK30" s="634">
        <f>-CK121</f>
        <v>-1.74</v>
      </c>
      <c r="CL30" s="632">
        <f t="shared" si="21"/>
        <v>-3.48</v>
      </c>
      <c r="CM30" s="634">
        <f>-CM121</f>
        <v>-1.7</v>
      </c>
      <c r="CN30" s="634">
        <f>-CN121</f>
        <v>-1.7</v>
      </c>
      <c r="CO30" s="634">
        <f>-CO121</f>
        <v>-1.7</v>
      </c>
      <c r="CP30" s="634">
        <f>-CP121</f>
        <v>-1.7</v>
      </c>
      <c r="CQ30" s="632">
        <f t="shared" si="18"/>
        <v>-6.8</v>
      </c>
      <c r="CR30" s="634">
        <f>-CR121</f>
        <v>-1.7</v>
      </c>
      <c r="CS30" s="634">
        <f>-CS121</f>
        <v>-1.7</v>
      </c>
      <c r="CT30" s="634">
        <f>-CT121</f>
        <v>-1.7</v>
      </c>
      <c r="CU30" s="634">
        <f>-CU121</f>
        <v>-1.7</v>
      </c>
      <c r="CV30" s="632">
        <f t="shared" si="22"/>
        <v>-6.8</v>
      </c>
    </row>
    <row r="31" spans="1:106" s="717" customFormat="1" ht="12" customHeight="1" x14ac:dyDescent="0.25">
      <c r="A31" s="183"/>
      <c r="B31" s="154"/>
      <c r="C31" s="183"/>
      <c r="D31" s="183"/>
      <c r="E31" s="54" t="s">
        <v>810</v>
      </c>
      <c r="F31" s="185"/>
      <c r="G31" s="185"/>
      <c r="H31" s="185"/>
      <c r="I31" s="185"/>
      <c r="J31" s="185"/>
      <c r="K31" s="122"/>
      <c r="L31" s="122"/>
      <c r="M31" s="122"/>
      <c r="N31" s="122"/>
      <c r="O31" s="161"/>
      <c r="P31" s="122"/>
      <c r="Q31" s="122"/>
      <c r="R31" s="122"/>
      <c r="S31" s="122"/>
      <c r="T31" s="161"/>
      <c r="U31" s="122"/>
      <c r="V31" s="122"/>
      <c r="W31" s="122"/>
      <c r="X31" s="122"/>
      <c r="Y31" s="161"/>
      <c r="Z31" s="128"/>
      <c r="AA31" s="128"/>
      <c r="AB31" s="128"/>
      <c r="AC31" s="128"/>
      <c r="AD31" s="161"/>
      <c r="AE31" s="128"/>
      <c r="AF31" s="128"/>
      <c r="AG31" s="128"/>
      <c r="AH31" s="128"/>
      <c r="AI31" s="140"/>
      <c r="AJ31" s="721"/>
      <c r="AK31" s="721"/>
      <c r="AL31" s="721"/>
      <c r="AM31" s="721"/>
      <c r="AN31" s="140"/>
      <c r="AO31" s="721"/>
      <c r="AP31" s="721"/>
      <c r="AQ31" s="721"/>
      <c r="AR31" s="726"/>
      <c r="AS31" s="161"/>
      <c r="AT31" s="439"/>
      <c r="AU31" s="439"/>
      <c r="AV31" s="439"/>
      <c r="AW31" s="439"/>
      <c r="AX31" s="161"/>
      <c r="AY31" s="439"/>
      <c r="AZ31" s="439"/>
      <c r="BA31" s="439"/>
      <c r="BB31" s="439"/>
      <c r="BC31" s="161"/>
      <c r="BD31" s="439"/>
      <c r="BE31" s="439"/>
      <c r="BF31" s="439"/>
      <c r="BG31" s="439"/>
      <c r="BH31" s="161"/>
      <c r="BI31" s="439"/>
      <c r="BJ31" s="439"/>
      <c r="BK31" s="439"/>
      <c r="BL31" s="439"/>
      <c r="BM31" s="161"/>
      <c r="BN31" s="352"/>
      <c r="BO31" s="352"/>
      <c r="BP31" s="352"/>
      <c r="BQ31" s="352"/>
      <c r="BR31" s="643"/>
      <c r="BS31" s="417"/>
      <c r="BT31" s="631"/>
      <c r="BU31" s="417"/>
      <c r="BV31" s="417"/>
      <c r="BW31" s="630"/>
      <c r="BX31" s="417"/>
      <c r="BY31" s="417"/>
      <c r="BZ31" s="417"/>
      <c r="CA31" s="417"/>
      <c r="CB31" s="632"/>
      <c r="CC31" s="721">
        <f>CC32-CC29-CC28</f>
        <v>-17.465</v>
      </c>
      <c r="CD31" s="721">
        <f>CD32-CD29-CD28</f>
        <v>-17.34</v>
      </c>
      <c r="CE31" s="721">
        <f>CE32-CE29-CE28</f>
        <v>-17.888000000000002</v>
      </c>
      <c r="CF31" s="721">
        <f>CF32-CF29-CF28</f>
        <v>-17.157</v>
      </c>
      <c r="CG31" s="630">
        <f t="shared" si="20"/>
        <v>-69.849999999999994</v>
      </c>
      <c r="CH31" s="721">
        <f>CH32-CH29-CH28</f>
        <v>-16.973000000000003</v>
      </c>
      <c r="CI31" s="721">
        <f>CI32-CI29-CI28</f>
        <v>-20.136000000000003</v>
      </c>
      <c r="CJ31" s="721">
        <f>CJ32-CJ29-CJ28-CJ30</f>
        <v>-31.920000000000005</v>
      </c>
      <c r="CK31" s="721">
        <f>CK32-CK29-CK28-CK30</f>
        <v>-31.420000000000005</v>
      </c>
      <c r="CL31" s="630">
        <f t="shared" si="21"/>
        <v>-100.44900000000001</v>
      </c>
      <c r="CM31" s="721">
        <f>CM32-CM29-CM28-CM30</f>
        <v>-30.8</v>
      </c>
      <c r="CN31" s="721">
        <f>CN32-CN29-CN28-CN30</f>
        <v>-32</v>
      </c>
      <c r="CO31" s="721">
        <f>CO32-CO29-CO28-CO30</f>
        <v>-33.700000000000003</v>
      </c>
      <c r="CP31" s="721">
        <f>CP32-CP29-CP28-CP30</f>
        <v>-35.1</v>
      </c>
      <c r="CQ31" s="630">
        <f>SUM(CM31:CP31)</f>
        <v>-131.6</v>
      </c>
      <c r="CR31" s="721">
        <f>CR32-CR29-CR28-CR30</f>
        <v>-36.200000000000003</v>
      </c>
      <c r="CS31" s="721">
        <f>CS32-CS29-CS28-CS30</f>
        <v>-37.799999999999997</v>
      </c>
      <c r="CT31" s="721">
        <f>CT32-CT29-CT28-CT30</f>
        <v>-41.3</v>
      </c>
      <c r="CU31" s="721">
        <f>CU32-CU29-CU28-CU30</f>
        <v>-41.8</v>
      </c>
      <c r="CV31" s="630">
        <f>SUM(CR31:CU31)</f>
        <v>-157.1</v>
      </c>
    </row>
    <row r="32" spans="1:106" ht="12" customHeight="1" x14ac:dyDescent="0.25">
      <c r="A32" s="183">
        <f>CB32/CB22</f>
        <v>-0.54267206514527722</v>
      </c>
      <c r="B32" s="183">
        <f>CG32/CG22</f>
        <v>-0.43796257172843378</v>
      </c>
      <c r="C32" s="183"/>
      <c r="D32" s="183">
        <f>BW32/BW22</f>
        <v>-0.57450758039167715</v>
      </c>
      <c r="E32" s="15" t="s">
        <v>732</v>
      </c>
      <c r="F32" s="33"/>
      <c r="G32" s="33"/>
      <c r="H32" s="33"/>
      <c r="I32" s="33"/>
      <c r="J32" s="33"/>
      <c r="O32" s="33"/>
      <c r="T32" s="33"/>
      <c r="Y32" s="33"/>
      <c r="AD32" s="33"/>
      <c r="AE32" s="27"/>
      <c r="AF32" s="27"/>
      <c r="AG32" s="27"/>
      <c r="AH32" s="27"/>
      <c r="AI32" s="139"/>
      <c r="AJ32" s="27"/>
      <c r="AK32" s="27"/>
      <c r="AL32" s="27"/>
      <c r="AM32" s="27"/>
      <c r="AN32" s="139"/>
      <c r="AO32" s="27"/>
      <c r="AP32" s="27"/>
      <c r="AQ32" s="27"/>
      <c r="AR32" s="27"/>
      <c r="AS32" s="139"/>
      <c r="AT32" s="124"/>
      <c r="AU32" s="124"/>
      <c r="AV32" s="124"/>
      <c r="AW32" s="124"/>
      <c r="AX32" s="139"/>
      <c r="AY32" s="124"/>
      <c r="AZ32" s="124"/>
      <c r="BA32" s="124"/>
      <c r="BB32" s="124"/>
      <c r="BC32" s="139"/>
      <c r="BD32" s="124"/>
      <c r="BE32" s="124"/>
      <c r="BF32" s="124"/>
      <c r="BG32" s="124"/>
      <c r="BH32" s="139"/>
      <c r="BI32" s="124"/>
      <c r="BJ32" s="124"/>
      <c r="BK32" s="124"/>
      <c r="BL32" s="124"/>
      <c r="BM32" s="513">
        <v>-472.49200000000002</v>
      </c>
      <c r="BN32" s="124">
        <v>-113.09</v>
      </c>
      <c r="BO32" s="124">
        <v>-122.08799999999999</v>
      </c>
      <c r="BP32" s="124">
        <v>-125.807</v>
      </c>
      <c r="BQ32" s="124">
        <v>-123.05500000000001</v>
      </c>
      <c r="BR32" s="139">
        <f>SUM(BN32:BQ32)</f>
        <v>-484.04</v>
      </c>
      <c r="BS32" s="124">
        <v>-117.709</v>
      </c>
      <c r="BT32" s="124">
        <v>-121.312</v>
      </c>
      <c r="BU32" s="124">
        <v>-125.735</v>
      </c>
      <c r="BV32" s="124">
        <v>-123.626</v>
      </c>
      <c r="BW32" s="139">
        <f>SUM(BS32:BV32)</f>
        <v>-488.38200000000006</v>
      </c>
      <c r="BX32" s="124">
        <v>-122.819</v>
      </c>
      <c r="BY32" s="124">
        <v>-120.105</v>
      </c>
      <c r="BZ32" s="124">
        <v>-116.468</v>
      </c>
      <c r="CA32" s="124">
        <v>-118.294</v>
      </c>
      <c r="CB32" s="139">
        <f>SUM(BX32:CA32)</f>
        <v>-477.68599999999998</v>
      </c>
      <c r="CC32" s="124">
        <v>-24.061</v>
      </c>
      <c r="CD32" s="124">
        <v>-24.009</v>
      </c>
      <c r="CE32" s="124">
        <v>-24.526</v>
      </c>
      <c r="CF32" s="124">
        <v>-23.8</v>
      </c>
      <c r="CG32" s="139">
        <f t="shared" si="20"/>
        <v>-96.396000000000001</v>
      </c>
      <c r="CH32" s="124">
        <v>-23.654</v>
      </c>
      <c r="CI32" s="124">
        <v>-24.466000000000001</v>
      </c>
      <c r="CJ32" s="724">
        <v>-38</v>
      </c>
      <c r="CK32" s="724">
        <v>-37.5</v>
      </c>
      <c r="CL32" s="139">
        <f t="shared" si="21"/>
        <v>-123.62</v>
      </c>
      <c r="CM32" s="724">
        <v>-36.799999999999997</v>
      </c>
      <c r="CN32" s="724">
        <v>-38</v>
      </c>
      <c r="CO32" s="724">
        <v>-39.700000000000003</v>
      </c>
      <c r="CP32" s="724">
        <v>-41.1</v>
      </c>
      <c r="CQ32" s="139">
        <f t="shared" si="18"/>
        <v>-155.6</v>
      </c>
      <c r="CR32" s="724">
        <v>-42.2</v>
      </c>
      <c r="CS32" s="724">
        <v>-43.8</v>
      </c>
      <c r="CT32" s="724">
        <v>-47.3</v>
      </c>
      <c r="CU32" s="724">
        <v>-47.8</v>
      </c>
      <c r="CV32" s="139">
        <f t="shared" si="22"/>
        <v>-181.10000000000002</v>
      </c>
      <c r="CY32" s="723"/>
      <c r="CZ32" s="723"/>
      <c r="DA32" s="723"/>
      <c r="DB32" s="723"/>
    </row>
    <row r="33" spans="1:106" s="27" customFormat="1" ht="12" hidden="1" customHeight="1" x14ac:dyDescent="0.25">
      <c r="A33" s="154"/>
      <c r="B33" s="154"/>
      <c r="C33" s="154"/>
      <c r="D33" s="154"/>
      <c r="E33" s="27" t="s">
        <v>204</v>
      </c>
      <c r="F33" s="140"/>
      <c r="G33" s="140"/>
      <c r="H33" s="140"/>
      <c r="I33" s="140"/>
      <c r="J33" s="140"/>
      <c r="K33" s="124"/>
      <c r="L33" s="124"/>
      <c r="M33" s="124"/>
      <c r="N33" s="124"/>
      <c r="O33" s="138"/>
      <c r="P33" s="124"/>
      <c r="Q33" s="124"/>
      <c r="R33" s="124"/>
      <c r="S33" s="124"/>
      <c r="T33" s="377">
        <v>-697.32299999999998</v>
      </c>
      <c r="U33" s="124"/>
      <c r="V33" s="124"/>
      <c r="W33" s="124"/>
      <c r="X33" s="124"/>
      <c r="Y33" s="377">
        <v>-778.49</v>
      </c>
      <c r="AD33" s="377">
        <v>-806.99099999999999</v>
      </c>
      <c r="AI33" s="139"/>
      <c r="AN33" s="139"/>
      <c r="AS33" s="139"/>
      <c r="AX33" s="139"/>
      <c r="BC33" s="139"/>
      <c r="BH33" s="139"/>
      <c r="BM33" s="139"/>
      <c r="BR33" s="139"/>
      <c r="BW33" s="139"/>
      <c r="CB33" s="139"/>
      <c r="CG33" s="139"/>
      <c r="CL33" s="139"/>
      <c r="CQ33" s="139"/>
      <c r="CV33" s="139"/>
    </row>
    <row r="34" spans="1:106" s="27" customFormat="1" ht="12" hidden="1" customHeight="1" x14ac:dyDescent="0.25">
      <c r="A34" s="154"/>
      <c r="B34" s="154"/>
      <c r="C34" s="154"/>
      <c r="D34" s="154"/>
      <c r="E34" s="27" t="s">
        <v>205</v>
      </c>
      <c r="F34" s="140"/>
      <c r="G34" s="140"/>
      <c r="H34" s="140"/>
      <c r="I34" s="140"/>
      <c r="J34" s="140"/>
      <c r="K34" s="124"/>
      <c r="L34" s="124"/>
      <c r="M34" s="124"/>
      <c r="N34" s="124"/>
      <c r="O34" s="138"/>
      <c r="P34" s="124"/>
      <c r="Q34" s="124"/>
      <c r="R34" s="124"/>
      <c r="S34" s="124"/>
      <c r="T34" s="377">
        <v>-208.38800000000001</v>
      </c>
      <c r="U34" s="124"/>
      <c r="V34" s="124"/>
      <c r="W34" s="124"/>
      <c r="X34" s="124"/>
      <c r="Y34" s="377">
        <v>-201.95</v>
      </c>
      <c r="AD34" s="377">
        <v>-206.62899999999999</v>
      </c>
      <c r="AI34" s="139"/>
      <c r="AN34" s="139"/>
      <c r="AS34" s="139"/>
      <c r="AX34" s="139"/>
      <c r="BC34" s="139"/>
      <c r="BH34" s="139"/>
      <c r="BM34" s="139"/>
      <c r="BR34" s="139"/>
      <c r="BW34" s="139"/>
      <c r="CB34" s="139"/>
      <c r="CG34" s="139"/>
      <c r="CL34" s="139"/>
      <c r="CQ34" s="139"/>
      <c r="CV34" s="139"/>
    </row>
    <row r="35" spans="1:106" s="27" customFormat="1" ht="3.95" customHeight="1" x14ac:dyDescent="0.25">
      <c r="F35" s="139"/>
      <c r="G35" s="139"/>
      <c r="H35" s="139"/>
      <c r="I35" s="139"/>
      <c r="J35" s="139"/>
      <c r="O35" s="139"/>
      <c r="T35" s="139"/>
      <c r="Y35" s="139"/>
      <c r="AD35" s="139"/>
      <c r="AI35" s="139"/>
      <c r="AN35" s="139"/>
      <c r="AS35" s="139"/>
      <c r="AX35" s="139"/>
      <c r="BC35" s="139"/>
      <c r="BH35" s="139"/>
      <c r="BM35" s="139"/>
      <c r="BR35" s="139"/>
      <c r="BW35" s="139"/>
      <c r="CB35" s="139"/>
      <c r="CG35" s="139"/>
      <c r="CL35" s="139"/>
      <c r="CQ35" s="139"/>
      <c r="CV35" s="139"/>
    </row>
    <row r="36" spans="1:106" s="35" customFormat="1" ht="12" customHeight="1" x14ac:dyDescent="0.25">
      <c r="A36" s="27"/>
      <c r="B36" s="27"/>
      <c r="C36" s="27"/>
      <c r="D36" s="27"/>
      <c r="E36" s="35" t="s">
        <v>643</v>
      </c>
      <c r="T36" s="35">
        <f>T22+T33+T34</f>
        <v>317.3309999999999</v>
      </c>
      <c r="Y36" s="35">
        <f>Y22+Y33+Y34</f>
        <v>352.12799999999999</v>
      </c>
      <c r="AD36" s="35">
        <f>AD22+AD33+AD34</f>
        <v>381.51599999999996</v>
      </c>
      <c r="AE36" s="35">
        <f t="shared" ref="AE36:AR36" si="23">AE22+AE26</f>
        <v>58.063999999999965</v>
      </c>
      <c r="AF36" s="35">
        <f t="shared" si="23"/>
        <v>70.718999999999994</v>
      </c>
      <c r="AG36" s="35">
        <f t="shared" si="23"/>
        <v>80.009000000000015</v>
      </c>
      <c r="AH36" s="35">
        <f t="shared" si="23"/>
        <v>45.05699999999996</v>
      </c>
      <c r="AI36" s="35">
        <f t="shared" si="23"/>
        <v>253.54099999999994</v>
      </c>
      <c r="AJ36" s="35">
        <f t="shared" si="23"/>
        <v>74.495000000000005</v>
      </c>
      <c r="AK36" s="35">
        <f t="shared" si="23"/>
        <v>70.911000000000001</v>
      </c>
      <c r="AL36" s="35">
        <f t="shared" si="23"/>
        <v>77.135999999999996</v>
      </c>
      <c r="AM36" s="35">
        <f>AM22+AM26</f>
        <v>78.845000000000027</v>
      </c>
      <c r="AN36" s="35">
        <f t="shared" si="23"/>
        <v>302.07600000000002</v>
      </c>
      <c r="AO36" s="35">
        <f t="shared" si="23"/>
        <v>50.48599999999999</v>
      </c>
      <c r="AP36" s="35">
        <f t="shared" si="23"/>
        <v>59.184000000000026</v>
      </c>
      <c r="AQ36" s="35">
        <f t="shared" si="23"/>
        <v>73.874000000000024</v>
      </c>
      <c r="AR36" s="35">
        <f t="shared" si="23"/>
        <v>76.421999999999969</v>
      </c>
      <c r="AS36" s="35">
        <f t="shared" ref="AS36:BB36" si="24">AS22+AS26</f>
        <v>259.96600000000012</v>
      </c>
      <c r="AT36" s="35">
        <f t="shared" si="24"/>
        <v>56.379000000000019</v>
      </c>
      <c r="AU36" s="35">
        <f t="shared" si="24"/>
        <v>63.174000000000007</v>
      </c>
      <c r="AV36" s="35">
        <f t="shared" si="24"/>
        <v>69.43100000000004</v>
      </c>
      <c r="AW36" s="35">
        <f t="shared" si="24"/>
        <v>71.605999999999966</v>
      </c>
      <c r="AX36" s="35">
        <f t="shared" si="24"/>
        <v>260.5899999999998</v>
      </c>
      <c r="AY36" s="35">
        <f t="shared" si="24"/>
        <v>57.754999999999995</v>
      </c>
      <c r="AZ36" s="35">
        <f t="shared" si="24"/>
        <v>68.945000000000022</v>
      </c>
      <c r="BA36" s="35">
        <f t="shared" si="24"/>
        <v>66.968000000000018</v>
      </c>
      <c r="BB36" s="35">
        <f t="shared" si="24"/>
        <v>73.466999999999985</v>
      </c>
      <c r="BC36" s="35">
        <f t="shared" ref="BC36:BL36" si="25">BC22+BC26</f>
        <v>267.13499999999999</v>
      </c>
      <c r="BD36" s="35">
        <f t="shared" si="25"/>
        <v>62.332999999999998</v>
      </c>
      <c r="BE36" s="35">
        <f t="shared" si="25"/>
        <v>67.580999999999989</v>
      </c>
      <c r="BF36" s="35">
        <f t="shared" si="25"/>
        <v>64.075000000000045</v>
      </c>
      <c r="BG36" s="35">
        <f t="shared" si="25"/>
        <v>63.543999999999983</v>
      </c>
      <c r="BH36" s="35">
        <f t="shared" si="25"/>
        <v>257.5329999999999</v>
      </c>
      <c r="BI36" s="35">
        <f t="shared" si="25"/>
        <v>63.780999999999977</v>
      </c>
      <c r="BJ36" s="35">
        <f t="shared" si="25"/>
        <v>68.876999999999953</v>
      </c>
      <c r="BK36" s="35">
        <f t="shared" si="25"/>
        <v>67.82000000000005</v>
      </c>
      <c r="BL36" s="35">
        <f t="shared" si="25"/>
        <v>70.206000000000017</v>
      </c>
      <c r="BM36" s="35">
        <f t="shared" ref="BM36:BR36" si="26">BM22+BM32</f>
        <v>332.661</v>
      </c>
      <c r="BN36" s="35">
        <f t="shared" si="26"/>
        <v>73.592999999999989</v>
      </c>
      <c r="BO36" s="35">
        <f t="shared" si="26"/>
        <v>82.16</v>
      </c>
      <c r="BP36" s="35">
        <f t="shared" si="26"/>
        <v>82.439000000000007</v>
      </c>
      <c r="BQ36" s="35">
        <f t="shared" si="26"/>
        <v>82.679000000000002</v>
      </c>
      <c r="BR36" s="35">
        <f t="shared" si="26"/>
        <v>320.87100000000004</v>
      </c>
      <c r="BS36" s="35">
        <f t="shared" ref="BS36:CL36" si="27">BS22+BS32</f>
        <v>79.186000000000007</v>
      </c>
      <c r="BT36" s="35">
        <f t="shared" si="27"/>
        <v>86.033000000000001</v>
      </c>
      <c r="BU36" s="35">
        <f t="shared" si="27"/>
        <v>95.458000000000013</v>
      </c>
      <c r="BV36" s="35">
        <f t="shared" si="27"/>
        <v>101.029</v>
      </c>
      <c r="BW36" s="35">
        <f t="shared" si="27"/>
        <v>361.7059999999999</v>
      </c>
      <c r="BX36" s="35">
        <f t="shared" si="27"/>
        <v>91.981999999999985</v>
      </c>
      <c r="BY36" s="35">
        <f t="shared" si="27"/>
        <v>97.161999999999992</v>
      </c>
      <c r="BZ36" s="35">
        <f t="shared" si="27"/>
        <v>106.84400000000001</v>
      </c>
      <c r="CA36" s="35">
        <f t="shared" si="27"/>
        <v>106.57400000000003</v>
      </c>
      <c r="CB36" s="35">
        <f t="shared" si="27"/>
        <v>402.56200000000007</v>
      </c>
      <c r="CC36" s="35">
        <f t="shared" si="27"/>
        <v>22.695999999999998</v>
      </c>
      <c r="CD36" s="35">
        <f t="shared" si="27"/>
        <v>30.003999999999998</v>
      </c>
      <c r="CE36" s="35">
        <f t="shared" si="27"/>
        <v>34.594999999999999</v>
      </c>
      <c r="CF36" s="35">
        <f t="shared" si="27"/>
        <v>36.409999999999997</v>
      </c>
      <c r="CG36" s="35">
        <f t="shared" si="27"/>
        <v>123.705</v>
      </c>
      <c r="CH36" s="35">
        <f t="shared" si="27"/>
        <v>38.816999999999993</v>
      </c>
      <c r="CI36" s="35">
        <f t="shared" si="27"/>
        <v>40.345999999999997</v>
      </c>
      <c r="CJ36" s="35">
        <f t="shared" si="27"/>
        <v>37.326738000000006</v>
      </c>
      <c r="CK36" s="35">
        <f t="shared" si="27"/>
        <v>41.940130000000011</v>
      </c>
      <c r="CL36" s="35">
        <f t="shared" si="27"/>
        <v>158.429868</v>
      </c>
      <c r="CM36" s="35">
        <f t="shared" ref="CM36:CQ36" si="28">CM22+CM32</f>
        <v>44.412300000000002</v>
      </c>
      <c r="CN36" s="35">
        <f t="shared" si="28"/>
        <v>50.633079999999993</v>
      </c>
      <c r="CO36" s="35">
        <f t="shared" si="28"/>
        <v>60.713130780000014</v>
      </c>
      <c r="CP36" s="35">
        <f>CP22+CP32</f>
        <v>61.17331930000001</v>
      </c>
      <c r="CQ36" s="35">
        <f t="shared" si="28"/>
        <v>216.93183008000003</v>
      </c>
      <c r="CR36" s="35">
        <f t="shared" ref="CR36:CT36" si="29">CR22+CR32</f>
        <v>64.752703000000011</v>
      </c>
      <c r="CS36" s="35">
        <f t="shared" si="29"/>
        <v>72.463732799999988</v>
      </c>
      <c r="CT36" s="35">
        <f t="shared" si="29"/>
        <v>84.812490052300021</v>
      </c>
      <c r="CU36" s="35">
        <f>CU22+CU32</f>
        <v>86.603370454000029</v>
      </c>
      <c r="CV36" s="35">
        <f t="shared" ref="CV36" si="30">CV22+CV32</f>
        <v>308.63229630630002</v>
      </c>
      <c r="CW36" s="27"/>
      <c r="CX36" s="27"/>
      <c r="CY36" s="27"/>
      <c r="CZ36" s="27"/>
      <c r="DA36" s="27"/>
      <c r="DB36" s="27"/>
    </row>
    <row r="37" spans="1:106" s="24" customFormat="1" ht="12" customHeight="1" x14ac:dyDescent="0.25">
      <c r="A37" s="47"/>
      <c r="B37" s="47"/>
      <c r="C37" s="47"/>
      <c r="D37" s="47"/>
      <c r="E37" s="31" t="s">
        <v>2</v>
      </c>
      <c r="F37" s="31"/>
      <c r="G37" s="32"/>
      <c r="H37" s="32"/>
      <c r="I37" s="32"/>
      <c r="J37" s="32"/>
      <c r="K37" s="31"/>
      <c r="L37" s="31"/>
      <c r="M37" s="31"/>
      <c r="N37" s="31"/>
      <c r="O37" s="32"/>
      <c r="P37" s="32"/>
      <c r="Q37" s="32"/>
      <c r="R37" s="32"/>
      <c r="S37" s="32"/>
      <c r="T37" s="32"/>
      <c r="U37" s="32"/>
      <c r="V37" s="32"/>
      <c r="W37" s="32"/>
      <c r="X37" s="32"/>
      <c r="Y37" s="32"/>
      <c r="Z37" s="32"/>
      <c r="AA37" s="32"/>
      <c r="AB37" s="32"/>
      <c r="AC37" s="32"/>
      <c r="AD37" s="32"/>
      <c r="AE37" s="32"/>
      <c r="AF37" s="32"/>
      <c r="AG37" s="32"/>
      <c r="AH37" s="32"/>
      <c r="AI37" s="32"/>
      <c r="AJ37" s="32">
        <f t="shared" ref="AJ37:BC37" si="31">(AJ36-AE36)/ABS(AE36)</f>
        <v>0.28298084871865614</v>
      </c>
      <c r="AK37" s="32">
        <f t="shared" si="31"/>
        <v>2.714970517117144E-3</v>
      </c>
      <c r="AL37" s="32">
        <f t="shared" si="31"/>
        <v>-3.5908460298216677E-2</v>
      </c>
      <c r="AM37" s="32">
        <f t="shared" si="31"/>
        <v>0.7498945779790066</v>
      </c>
      <c r="AN37" s="32">
        <f t="shared" si="31"/>
        <v>0.19142860523544553</v>
      </c>
      <c r="AO37" s="32">
        <f t="shared" si="31"/>
        <v>-0.3222900865829923</v>
      </c>
      <c r="AP37" s="32">
        <f t="shared" si="31"/>
        <v>-0.16537631679147066</v>
      </c>
      <c r="AQ37" s="32">
        <f t="shared" si="31"/>
        <v>-4.2288944202447262E-2</v>
      </c>
      <c r="AR37" s="32">
        <f t="shared" si="31"/>
        <v>-3.0731181431924128E-2</v>
      </c>
      <c r="AS37" s="32">
        <f t="shared" si="31"/>
        <v>-0.13940200479349535</v>
      </c>
      <c r="AT37" s="32">
        <f t="shared" si="31"/>
        <v>0.11672542883175593</v>
      </c>
      <c r="AU37" s="32">
        <f t="shared" si="31"/>
        <v>6.7416869424168344E-2</v>
      </c>
      <c r="AV37" s="32">
        <f t="shared" si="31"/>
        <v>-6.0142946097408861E-2</v>
      </c>
      <c r="AW37" s="32">
        <f t="shared" si="31"/>
        <v>-6.301850252545084E-2</v>
      </c>
      <c r="AX37" s="32">
        <f t="shared" si="31"/>
        <v>2.4003138871994119E-3</v>
      </c>
      <c r="AY37" s="32">
        <f t="shared" si="31"/>
        <v>2.440625055428397E-2</v>
      </c>
      <c r="AZ37" s="32">
        <f t="shared" si="31"/>
        <v>9.135087219425736E-2</v>
      </c>
      <c r="BA37" s="32">
        <f t="shared" si="31"/>
        <v>-3.5474067779522417E-2</v>
      </c>
      <c r="BB37" s="32">
        <f t="shared" si="31"/>
        <v>2.5989442225512097E-2</v>
      </c>
      <c r="BC37" s="32">
        <f t="shared" si="31"/>
        <v>2.5116082735332099E-2</v>
      </c>
      <c r="BD37" s="32">
        <f t="shared" ref="BD37:BM37" si="32">(BD36-AY36)/ABS(AY36)</f>
        <v>7.9265864427322363E-2</v>
      </c>
      <c r="BE37" s="32">
        <f t="shared" si="32"/>
        <v>-1.9783885705998004E-2</v>
      </c>
      <c r="BF37" s="32">
        <f t="shared" si="32"/>
        <v>-4.3199737187910217E-2</v>
      </c>
      <c r="BG37" s="32">
        <f t="shared" si="32"/>
        <v>-0.13506744524752615</v>
      </c>
      <c r="BH37" s="32">
        <f t="shared" si="32"/>
        <v>-3.5944372695453947E-2</v>
      </c>
      <c r="BI37" s="32">
        <f t="shared" si="32"/>
        <v>2.3230070749041105E-2</v>
      </c>
      <c r="BJ37" s="32">
        <f t="shared" si="32"/>
        <v>1.9176987614861633E-2</v>
      </c>
      <c r="BK37" s="32">
        <f t="shared" si="32"/>
        <v>5.8447132266874785E-2</v>
      </c>
      <c r="BL37" s="32">
        <f t="shared" si="32"/>
        <v>0.10484074027445607</v>
      </c>
      <c r="BM37" s="32">
        <f t="shared" si="32"/>
        <v>0.29172183758974629</v>
      </c>
      <c r="BN37" s="32">
        <f t="shared" ref="BN37:BW37" si="33">(BN36-BI36)/ABS(BI36)</f>
        <v>0.15383891754597789</v>
      </c>
      <c r="BO37" s="32">
        <f t="shared" si="33"/>
        <v>0.19285102428967657</v>
      </c>
      <c r="BP37" s="32">
        <f t="shared" si="33"/>
        <v>0.21555588322028821</v>
      </c>
      <c r="BQ37" s="32">
        <f t="shared" si="33"/>
        <v>0.17766287781671056</v>
      </c>
      <c r="BR37" s="32">
        <f t="shared" si="33"/>
        <v>-3.5441485476205396E-2</v>
      </c>
      <c r="BS37" s="32">
        <f>(BS36-BN36)/ABS(BN36)</f>
        <v>7.5999075999076252E-2</v>
      </c>
      <c r="BT37" s="32">
        <f t="shared" si="33"/>
        <v>4.7139727361246407E-2</v>
      </c>
      <c r="BU37" s="32">
        <f t="shared" si="33"/>
        <v>0.15792282778781894</v>
      </c>
      <c r="BV37" s="32">
        <f t="shared" si="33"/>
        <v>0.22194269403355138</v>
      </c>
      <c r="BW37" s="32">
        <f t="shared" si="33"/>
        <v>0.12726298107339043</v>
      </c>
      <c r="BX37" s="32">
        <f t="shared" ref="BX37:CD37" si="34">(BX36-BS36)/ABS(BS36)</f>
        <v>0.16159422120071701</v>
      </c>
      <c r="BY37" s="32">
        <f t="shared" si="34"/>
        <v>0.12935733962549242</v>
      </c>
      <c r="BZ37" s="32">
        <f>(BZ36-BU36)/ABS(BU36)</f>
        <v>0.11927758804919435</v>
      </c>
      <c r="CA37" s="32">
        <f>(CA36-BV36)/ABS(BV36)</f>
        <v>5.4885230973285196E-2</v>
      </c>
      <c r="CB37" s="32">
        <f t="shared" si="34"/>
        <v>0.11295361426130664</v>
      </c>
      <c r="CC37" s="32">
        <f t="shared" si="34"/>
        <v>-0.75325607184014265</v>
      </c>
      <c r="CD37" s="32">
        <f t="shared" si="34"/>
        <v>-0.69119614664169116</v>
      </c>
      <c r="CE37" s="32">
        <f>(CE36-BZ36)/ABS(BZ36)</f>
        <v>-0.67621017558309315</v>
      </c>
      <c r="CF37" s="32">
        <f>(CF36-CA36)/ABS(CA36)</f>
        <v>-0.65835944977198957</v>
      </c>
      <c r="CG37" s="471" t="s">
        <v>490</v>
      </c>
      <c r="CH37" s="32">
        <f t="shared" ref="CH37:CQ37" si="35">(CH36-CC36)/ABS(CC36)</f>
        <v>0.7103013746915755</v>
      </c>
      <c r="CI37" s="32">
        <f t="shared" si="35"/>
        <v>0.34468737501666441</v>
      </c>
      <c r="CJ37" s="32">
        <f>(CJ36-CE36)/ABS(CE36)</f>
        <v>7.896337621043524E-2</v>
      </c>
      <c r="CK37" s="32">
        <f>(CK36-CF36)/ABS(CF36)</f>
        <v>0.15188492172480128</v>
      </c>
      <c r="CL37" s="32">
        <f t="shared" si="35"/>
        <v>0.28070706923729843</v>
      </c>
      <c r="CM37" s="32">
        <f t="shared" si="35"/>
        <v>0.14414560630651543</v>
      </c>
      <c r="CN37" s="32">
        <f t="shared" si="35"/>
        <v>0.25497149655480089</v>
      </c>
      <c r="CO37" s="32">
        <f t="shared" si="35"/>
        <v>0.62653191875486158</v>
      </c>
      <c r="CP37" s="32">
        <f t="shared" si="35"/>
        <v>0.45858678311202172</v>
      </c>
      <c r="CQ37" s="32">
        <f t="shared" si="35"/>
        <v>0.369260940620111</v>
      </c>
      <c r="CR37" s="32">
        <f t="shared" ref="CR37" si="36">(CR36-CM36)/ABS(CM36)</f>
        <v>0.45799030899097792</v>
      </c>
      <c r="CS37" s="32">
        <f t="shared" ref="CS37" si="37">(CS36-CN36)/ABS(CN36)</f>
        <v>0.43115395705732296</v>
      </c>
      <c r="CT37" s="32">
        <f t="shared" ref="CT37" si="38">(CT36-CO36)/ABS(CO36)</f>
        <v>0.39693817404387199</v>
      </c>
      <c r="CU37" s="32">
        <f t="shared" ref="CU37" si="39">(CU36-CP36)/ABS(CP36)</f>
        <v>0.41570494203998531</v>
      </c>
      <c r="CV37" s="32">
        <f t="shared" ref="CV37" si="40">(CV36-CQ36)/ABS(CQ36)</f>
        <v>0.4227155885444876</v>
      </c>
      <c r="CW37" s="6"/>
      <c r="CX37" s="717"/>
      <c r="CY37" s="6"/>
      <c r="CZ37" s="6"/>
      <c r="DA37" s="6"/>
      <c r="DB37" s="6"/>
    </row>
    <row r="38" spans="1:106" s="24" customFormat="1" ht="12" hidden="1" customHeight="1" x14ac:dyDescent="0.25">
      <c r="A38" s="47"/>
      <c r="B38" s="47"/>
      <c r="C38" s="47"/>
      <c r="D38" s="47"/>
      <c r="E38" s="31" t="s">
        <v>290</v>
      </c>
      <c r="F38" s="31"/>
      <c r="G38" s="32"/>
      <c r="H38" s="32"/>
      <c r="I38" s="32"/>
      <c r="J38" s="32"/>
      <c r="K38" s="31"/>
      <c r="L38" s="31"/>
      <c r="M38" s="31"/>
      <c r="N38" s="31"/>
      <c r="O38" s="32"/>
      <c r="P38" s="32"/>
      <c r="Q38" s="32"/>
      <c r="R38" s="32"/>
      <c r="S38" s="32"/>
      <c r="T38" s="32"/>
      <c r="U38" s="32"/>
      <c r="V38" s="32"/>
      <c r="W38" s="32"/>
      <c r="X38" s="32"/>
      <c r="Y38" s="32"/>
      <c r="Z38" s="32"/>
      <c r="AA38" s="32"/>
      <c r="AB38" s="32"/>
      <c r="AC38" s="32"/>
      <c r="AD38" s="32"/>
      <c r="AE38" s="32" t="e">
        <f t="shared" ref="AE38:AP38" si="41">(AE19+AE33)/AE19</f>
        <v>#REF!</v>
      </c>
      <c r="AF38" s="32" t="e">
        <f t="shared" si="41"/>
        <v>#REF!</v>
      </c>
      <c r="AG38" s="32" t="e">
        <f t="shared" si="41"/>
        <v>#REF!</v>
      </c>
      <c r="AH38" s="32" t="e">
        <f t="shared" si="41"/>
        <v>#REF!</v>
      </c>
      <c r="AI38" s="32" t="e">
        <f t="shared" si="41"/>
        <v>#REF!</v>
      </c>
      <c r="AJ38" s="32" t="e">
        <f t="shared" si="41"/>
        <v>#REF!</v>
      </c>
      <c r="AK38" s="32" t="e">
        <f t="shared" si="41"/>
        <v>#REF!</v>
      </c>
      <c r="AL38" s="32" t="e">
        <f t="shared" si="41"/>
        <v>#REF!</v>
      </c>
      <c r="AM38" s="32" t="e">
        <f t="shared" si="41"/>
        <v>#REF!</v>
      </c>
      <c r="AN38" s="32" t="e">
        <f t="shared" si="41"/>
        <v>#REF!</v>
      </c>
      <c r="AO38" s="32" t="e">
        <f t="shared" si="41"/>
        <v>#REF!</v>
      </c>
      <c r="AP38" s="32" t="e">
        <f t="shared" si="41"/>
        <v>#REF!</v>
      </c>
      <c r="AQ38" s="32" t="e">
        <f>(AQ19+AQ33)/AQ19</f>
        <v>#REF!</v>
      </c>
      <c r="AR38" s="32" t="e">
        <f>(AR19+AR33)/AR19</f>
        <v>#REF!</v>
      </c>
      <c r="AS38" s="32" t="e">
        <f t="shared" ref="AS38:BM38" si="42">(AS19+AS33)/AS19</f>
        <v>#REF!</v>
      </c>
      <c r="AT38" s="32" t="e">
        <f>(AT19+AT33)/AT19</f>
        <v>#REF!</v>
      </c>
      <c r="AU38" s="32" t="e">
        <f t="shared" si="42"/>
        <v>#REF!</v>
      </c>
      <c r="AV38" s="32" t="e">
        <f t="shared" si="42"/>
        <v>#REF!</v>
      </c>
      <c r="AW38" s="32" t="e">
        <f t="shared" si="42"/>
        <v>#REF!</v>
      </c>
      <c r="AX38" s="32" t="e">
        <f t="shared" si="42"/>
        <v>#REF!</v>
      </c>
      <c r="AY38" s="32" t="e">
        <f t="shared" si="42"/>
        <v>#REF!</v>
      </c>
      <c r="AZ38" s="32" t="e">
        <f t="shared" si="42"/>
        <v>#REF!</v>
      </c>
      <c r="BA38" s="32" t="e">
        <f t="shared" si="42"/>
        <v>#REF!</v>
      </c>
      <c r="BB38" s="32" t="e">
        <f t="shared" si="42"/>
        <v>#DIV/0!</v>
      </c>
      <c r="BC38" s="32" t="e">
        <f t="shared" si="42"/>
        <v>#DIV/0!</v>
      </c>
      <c r="BD38" s="32" t="e">
        <f t="shared" si="42"/>
        <v>#DIV/0!</v>
      </c>
      <c r="BE38" s="32" t="e">
        <f t="shared" si="42"/>
        <v>#DIV/0!</v>
      </c>
      <c r="BF38" s="32" t="e">
        <f t="shared" si="42"/>
        <v>#DIV/0!</v>
      </c>
      <c r="BG38" s="32" t="e">
        <f t="shared" si="42"/>
        <v>#DIV/0!</v>
      </c>
      <c r="BH38" s="32" t="e">
        <f>(BH19+BH33)/BH19</f>
        <v>#DIV/0!</v>
      </c>
      <c r="BI38" s="32" t="e">
        <f t="shared" si="42"/>
        <v>#DIV/0!</v>
      </c>
      <c r="BJ38" s="32" t="e">
        <f t="shared" si="42"/>
        <v>#DIV/0!</v>
      </c>
      <c r="BK38" s="32" t="e">
        <f t="shared" si="42"/>
        <v>#DIV/0!</v>
      </c>
      <c r="BL38" s="32" t="e">
        <f t="shared" si="42"/>
        <v>#DIV/0!</v>
      </c>
      <c r="BM38" s="32" t="e">
        <f t="shared" si="42"/>
        <v>#DIV/0!</v>
      </c>
      <c r="BN38" s="32" t="e">
        <f t="shared" ref="BN38:BW38" si="43">(BN19+BN33)/BN19</f>
        <v>#DIV/0!</v>
      </c>
      <c r="BO38" s="32" t="e">
        <f t="shared" si="43"/>
        <v>#DIV/0!</v>
      </c>
      <c r="BP38" s="32" t="e">
        <f t="shared" si="43"/>
        <v>#DIV/0!</v>
      </c>
      <c r="BQ38" s="32" t="e">
        <f t="shared" si="43"/>
        <v>#DIV/0!</v>
      </c>
      <c r="BR38" s="32" t="e">
        <f t="shared" si="43"/>
        <v>#DIV/0!</v>
      </c>
      <c r="BS38" s="32" t="e">
        <f t="shared" si="43"/>
        <v>#DIV/0!</v>
      </c>
      <c r="BT38" s="32" t="e">
        <f t="shared" si="43"/>
        <v>#DIV/0!</v>
      </c>
      <c r="BU38" s="32" t="e">
        <f t="shared" si="43"/>
        <v>#DIV/0!</v>
      </c>
      <c r="BV38" s="32" t="e">
        <f t="shared" si="43"/>
        <v>#DIV/0!</v>
      </c>
      <c r="BW38" s="32" t="e">
        <f t="shared" si="43"/>
        <v>#DIV/0!</v>
      </c>
      <c r="BX38" s="32" t="e">
        <f t="shared" ref="BX38:CG38" si="44">(BX19+BX33)/BX19</f>
        <v>#DIV/0!</v>
      </c>
      <c r="BY38" s="32" t="e">
        <f t="shared" si="44"/>
        <v>#DIV/0!</v>
      </c>
      <c r="BZ38" s="32" t="e">
        <f t="shared" si="44"/>
        <v>#DIV/0!</v>
      </c>
      <c r="CA38" s="32" t="e">
        <f t="shared" si="44"/>
        <v>#DIV/0!</v>
      </c>
      <c r="CB38" s="32" t="e">
        <f t="shared" si="44"/>
        <v>#DIV/0!</v>
      </c>
      <c r="CC38" s="32" t="e">
        <f t="shared" si="44"/>
        <v>#DIV/0!</v>
      </c>
      <c r="CD38" s="32" t="e">
        <f t="shared" si="44"/>
        <v>#DIV/0!</v>
      </c>
      <c r="CE38" s="32" t="e">
        <f t="shared" si="44"/>
        <v>#DIV/0!</v>
      </c>
      <c r="CF38" s="32" t="e">
        <f t="shared" si="44"/>
        <v>#DIV/0!</v>
      </c>
      <c r="CG38" s="32" t="e">
        <f t="shared" si="44"/>
        <v>#DIV/0!</v>
      </c>
      <c r="CH38" s="32" t="e">
        <f t="shared" ref="CH38:CL39" si="45">(CH19+CH33)/CH19</f>
        <v>#DIV/0!</v>
      </c>
      <c r="CI38" s="32" t="e">
        <f t="shared" si="45"/>
        <v>#DIV/0!</v>
      </c>
      <c r="CJ38" s="32" t="e">
        <f t="shared" si="45"/>
        <v>#DIV/0!</v>
      </c>
      <c r="CK38" s="32" t="e">
        <f t="shared" si="45"/>
        <v>#DIV/0!</v>
      </c>
      <c r="CL38" s="32" t="e">
        <f t="shared" si="45"/>
        <v>#DIV/0!</v>
      </c>
      <c r="CM38" s="32" t="e">
        <f t="shared" ref="CM38:CQ38" si="46">(CM19+CM33)/CM19</f>
        <v>#DIV/0!</v>
      </c>
      <c r="CN38" s="32" t="e">
        <f t="shared" si="46"/>
        <v>#DIV/0!</v>
      </c>
      <c r="CO38" s="32" t="e">
        <f t="shared" si="46"/>
        <v>#DIV/0!</v>
      </c>
      <c r="CP38" s="32" t="e">
        <f t="shared" si="46"/>
        <v>#DIV/0!</v>
      </c>
      <c r="CQ38" s="32" t="e">
        <f t="shared" si="46"/>
        <v>#DIV/0!</v>
      </c>
      <c r="CR38" s="32" t="e">
        <f t="shared" ref="CR38:CV38" si="47">(CR19+CR33)/CR19</f>
        <v>#DIV/0!</v>
      </c>
      <c r="CS38" s="32" t="e">
        <f t="shared" si="47"/>
        <v>#DIV/0!</v>
      </c>
      <c r="CT38" s="32" t="e">
        <f t="shared" si="47"/>
        <v>#DIV/0!</v>
      </c>
      <c r="CU38" s="32" t="e">
        <f t="shared" si="47"/>
        <v>#DIV/0!</v>
      </c>
      <c r="CV38" s="32" t="e">
        <f t="shared" si="47"/>
        <v>#DIV/0!</v>
      </c>
      <c r="CW38" s="6"/>
      <c r="CX38" s="717"/>
      <c r="CY38" s="6"/>
      <c r="CZ38" s="6"/>
      <c r="DA38" s="6"/>
      <c r="DB38" s="6"/>
    </row>
    <row r="39" spans="1:106" s="24" customFormat="1" ht="12" hidden="1" customHeight="1" x14ac:dyDescent="0.25">
      <c r="A39" s="47"/>
      <c r="B39" s="47"/>
      <c r="C39" s="47"/>
      <c r="D39" s="47"/>
      <c r="E39" s="31" t="s">
        <v>291</v>
      </c>
      <c r="F39" s="31"/>
      <c r="G39" s="32"/>
      <c r="H39" s="32"/>
      <c r="I39" s="32"/>
      <c r="J39" s="32"/>
      <c r="K39" s="31"/>
      <c r="L39" s="31"/>
      <c r="M39" s="31"/>
      <c r="N39" s="31"/>
      <c r="O39" s="32"/>
      <c r="P39" s="32"/>
      <c r="Q39" s="32"/>
      <c r="R39" s="32"/>
      <c r="S39" s="32"/>
      <c r="T39" s="32"/>
      <c r="U39" s="32"/>
      <c r="V39" s="32"/>
      <c r="W39" s="32"/>
      <c r="X39" s="32"/>
      <c r="Y39" s="32"/>
      <c r="Z39" s="32"/>
      <c r="AA39" s="32"/>
      <c r="AB39" s="32"/>
      <c r="AC39" s="32"/>
      <c r="AD39" s="32"/>
      <c r="AE39" s="32" t="e">
        <f t="shared" ref="AE39:AP39" si="48">(AE20+AE34)/AE20</f>
        <v>#REF!</v>
      </c>
      <c r="AF39" s="32" t="e">
        <f t="shared" si="48"/>
        <v>#REF!</v>
      </c>
      <c r="AG39" s="32" t="e">
        <f t="shared" si="48"/>
        <v>#REF!</v>
      </c>
      <c r="AH39" s="32" t="e">
        <f t="shared" si="48"/>
        <v>#REF!</v>
      </c>
      <c r="AI39" s="32" t="e">
        <f t="shared" si="48"/>
        <v>#REF!</v>
      </c>
      <c r="AJ39" s="32" t="e">
        <f t="shared" si="48"/>
        <v>#REF!</v>
      </c>
      <c r="AK39" s="32" t="e">
        <f t="shared" si="48"/>
        <v>#REF!</v>
      </c>
      <c r="AL39" s="32" t="e">
        <f t="shared" si="48"/>
        <v>#REF!</v>
      </c>
      <c r="AM39" s="32" t="e">
        <f t="shared" si="48"/>
        <v>#REF!</v>
      </c>
      <c r="AN39" s="32" t="e">
        <f t="shared" si="48"/>
        <v>#REF!</v>
      </c>
      <c r="AO39" s="32" t="e">
        <f t="shared" si="48"/>
        <v>#REF!</v>
      </c>
      <c r="AP39" s="32" t="e">
        <f t="shared" si="48"/>
        <v>#REF!</v>
      </c>
      <c r="AQ39" s="32" t="e">
        <f>(AQ20+AQ34)/AQ20</f>
        <v>#REF!</v>
      </c>
      <c r="AR39" s="32" t="e">
        <f t="shared" ref="AR39:BM39" si="49">(AR20+AR34)/AR20</f>
        <v>#REF!</v>
      </c>
      <c r="AS39" s="32" t="e">
        <f t="shared" si="49"/>
        <v>#REF!</v>
      </c>
      <c r="AT39" s="32" t="e">
        <f t="shared" si="49"/>
        <v>#REF!</v>
      </c>
      <c r="AU39" s="32" t="e">
        <f t="shared" si="49"/>
        <v>#REF!</v>
      </c>
      <c r="AV39" s="32" t="e">
        <f>(AV20+AV34)/AV20</f>
        <v>#REF!</v>
      </c>
      <c r="AW39" s="32" t="e">
        <f t="shared" si="49"/>
        <v>#REF!</v>
      </c>
      <c r="AX39" s="32" t="e">
        <f t="shared" si="49"/>
        <v>#REF!</v>
      </c>
      <c r="AY39" s="32" t="e">
        <f t="shared" si="49"/>
        <v>#REF!</v>
      </c>
      <c r="AZ39" s="32" t="e">
        <f t="shared" si="49"/>
        <v>#REF!</v>
      </c>
      <c r="BA39" s="32" t="e">
        <f t="shared" si="49"/>
        <v>#REF!</v>
      </c>
      <c r="BB39" s="32" t="e">
        <f t="shared" si="49"/>
        <v>#DIV/0!</v>
      </c>
      <c r="BC39" s="32" t="e">
        <f t="shared" si="49"/>
        <v>#DIV/0!</v>
      </c>
      <c r="BD39" s="32" t="e">
        <f t="shared" si="49"/>
        <v>#DIV/0!</v>
      </c>
      <c r="BE39" s="32" t="e">
        <f t="shared" si="49"/>
        <v>#DIV/0!</v>
      </c>
      <c r="BF39" s="32" t="e">
        <f t="shared" si="49"/>
        <v>#DIV/0!</v>
      </c>
      <c r="BG39" s="32" t="e">
        <f t="shared" si="49"/>
        <v>#DIV/0!</v>
      </c>
      <c r="BH39" s="32" t="e">
        <f t="shared" si="49"/>
        <v>#DIV/0!</v>
      </c>
      <c r="BI39" s="32" t="e">
        <f t="shared" si="49"/>
        <v>#DIV/0!</v>
      </c>
      <c r="BJ39" s="32" t="e">
        <f t="shared" si="49"/>
        <v>#DIV/0!</v>
      </c>
      <c r="BK39" s="32" t="e">
        <f t="shared" si="49"/>
        <v>#DIV/0!</v>
      </c>
      <c r="BL39" s="32" t="e">
        <f t="shared" si="49"/>
        <v>#DIV/0!</v>
      </c>
      <c r="BM39" s="32" t="e">
        <f t="shared" si="49"/>
        <v>#DIV/0!</v>
      </c>
      <c r="BN39" s="32" t="e">
        <f t="shared" ref="BN39:BW39" si="50">(BN20+BN34)/BN20</f>
        <v>#DIV/0!</v>
      </c>
      <c r="BO39" s="32" t="e">
        <f t="shared" si="50"/>
        <v>#DIV/0!</v>
      </c>
      <c r="BP39" s="32" t="e">
        <f t="shared" si="50"/>
        <v>#DIV/0!</v>
      </c>
      <c r="BQ39" s="32" t="e">
        <f t="shared" si="50"/>
        <v>#DIV/0!</v>
      </c>
      <c r="BR39" s="32" t="e">
        <f t="shared" si="50"/>
        <v>#DIV/0!</v>
      </c>
      <c r="BS39" s="32" t="e">
        <f t="shared" si="50"/>
        <v>#DIV/0!</v>
      </c>
      <c r="BT39" s="32" t="e">
        <f t="shared" si="50"/>
        <v>#DIV/0!</v>
      </c>
      <c r="BU39" s="32" t="e">
        <f t="shared" si="50"/>
        <v>#DIV/0!</v>
      </c>
      <c r="BV39" s="32" t="e">
        <f t="shared" si="50"/>
        <v>#DIV/0!</v>
      </c>
      <c r="BW39" s="32" t="e">
        <f t="shared" si="50"/>
        <v>#DIV/0!</v>
      </c>
      <c r="BX39" s="32" t="e">
        <f t="shared" ref="BX39:CG39" si="51">(BX20+BX34)/BX20</f>
        <v>#DIV/0!</v>
      </c>
      <c r="BY39" s="32" t="e">
        <f t="shared" si="51"/>
        <v>#DIV/0!</v>
      </c>
      <c r="BZ39" s="32" t="e">
        <f t="shared" si="51"/>
        <v>#DIV/0!</v>
      </c>
      <c r="CA39" s="32" t="e">
        <f t="shared" si="51"/>
        <v>#DIV/0!</v>
      </c>
      <c r="CB39" s="32" t="e">
        <f t="shared" si="51"/>
        <v>#DIV/0!</v>
      </c>
      <c r="CC39" s="32" t="e">
        <f t="shared" si="51"/>
        <v>#DIV/0!</v>
      </c>
      <c r="CD39" s="32" t="e">
        <f t="shared" si="51"/>
        <v>#DIV/0!</v>
      </c>
      <c r="CE39" s="32" t="e">
        <f t="shared" si="51"/>
        <v>#DIV/0!</v>
      </c>
      <c r="CF39" s="32" t="e">
        <f t="shared" si="51"/>
        <v>#DIV/0!</v>
      </c>
      <c r="CG39" s="32" t="e">
        <f t="shared" si="51"/>
        <v>#DIV/0!</v>
      </c>
      <c r="CH39" s="32" t="e">
        <f t="shared" si="45"/>
        <v>#DIV/0!</v>
      </c>
      <c r="CI39" s="32" t="e">
        <f t="shared" si="45"/>
        <v>#DIV/0!</v>
      </c>
      <c r="CJ39" s="32" t="e">
        <f t="shared" si="45"/>
        <v>#DIV/0!</v>
      </c>
      <c r="CK39" s="32" t="e">
        <f t="shared" si="45"/>
        <v>#DIV/0!</v>
      </c>
      <c r="CL39" s="32" t="e">
        <f t="shared" si="45"/>
        <v>#DIV/0!</v>
      </c>
      <c r="CM39" s="32" t="e">
        <f t="shared" ref="CM39:CQ39" si="52">(CM20+CM34)/CM20</f>
        <v>#DIV/0!</v>
      </c>
      <c r="CN39" s="32" t="e">
        <f t="shared" si="52"/>
        <v>#DIV/0!</v>
      </c>
      <c r="CO39" s="32" t="e">
        <f t="shared" si="52"/>
        <v>#DIV/0!</v>
      </c>
      <c r="CP39" s="32" t="e">
        <f t="shared" si="52"/>
        <v>#DIV/0!</v>
      </c>
      <c r="CQ39" s="32" t="e">
        <f t="shared" si="52"/>
        <v>#DIV/0!</v>
      </c>
      <c r="CR39" s="32" t="e">
        <f t="shared" ref="CR39:CV39" si="53">(CR20+CR34)/CR20</f>
        <v>#DIV/0!</v>
      </c>
      <c r="CS39" s="32" t="e">
        <f t="shared" si="53"/>
        <v>#DIV/0!</v>
      </c>
      <c r="CT39" s="32" t="e">
        <f t="shared" si="53"/>
        <v>#DIV/0!</v>
      </c>
      <c r="CU39" s="32" t="e">
        <f t="shared" si="53"/>
        <v>#DIV/0!</v>
      </c>
      <c r="CV39" s="32" t="e">
        <f t="shared" si="53"/>
        <v>#DIV/0!</v>
      </c>
      <c r="CW39" s="6"/>
      <c r="CX39" s="717"/>
      <c r="CY39" s="6"/>
      <c r="CZ39" s="6"/>
      <c r="DA39" s="6"/>
      <c r="DB39" s="6"/>
    </row>
    <row r="40" spans="1:106" s="31" customFormat="1" ht="12" customHeight="1" x14ac:dyDescent="0.25">
      <c r="A40" s="47"/>
      <c r="B40" s="47"/>
      <c r="C40" s="47"/>
      <c r="D40" s="47"/>
      <c r="E40" s="31" t="s">
        <v>527</v>
      </c>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f t="shared" ref="AE40:AP40" si="54">AE36/AE22</f>
        <v>0.17349679832909523</v>
      </c>
      <c r="AF40" s="32">
        <f t="shared" si="54"/>
        <v>0.20271804250488742</v>
      </c>
      <c r="AG40" s="32">
        <f t="shared" si="54"/>
        <v>0.22810248632251778</v>
      </c>
      <c r="AH40" s="32">
        <f t="shared" si="54"/>
        <v>0.12880899493134579</v>
      </c>
      <c r="AI40" s="32">
        <f t="shared" si="54"/>
        <v>0.18322468096238465</v>
      </c>
      <c r="AJ40" s="32">
        <f t="shared" si="54"/>
        <v>0.2250107982227485</v>
      </c>
      <c r="AK40" s="32">
        <f t="shared" si="54"/>
        <v>0.21557754571571891</v>
      </c>
      <c r="AL40" s="32">
        <f t="shared" si="54"/>
        <v>0.24025715140037876</v>
      </c>
      <c r="AM40" s="32">
        <f t="shared" si="54"/>
        <v>0.26681082471261458</v>
      </c>
      <c r="AN40" s="32">
        <f t="shared" si="54"/>
        <v>0.23650276920475208</v>
      </c>
      <c r="AO40" s="32">
        <f t="shared" si="54"/>
        <v>0.19722557533566942</v>
      </c>
      <c r="AP40" s="32">
        <f t="shared" si="54"/>
        <v>0.2183065601888568</v>
      </c>
      <c r="AQ40" s="32">
        <f>AQ36/AQ22</f>
        <v>0.26029661002018983</v>
      </c>
      <c r="AR40" s="32">
        <f t="shared" ref="AR40:BM40" si="55">AR36/AR22</f>
        <v>0.26503943234076194</v>
      </c>
      <c r="AS40" s="32">
        <f t="shared" si="55"/>
        <v>0.23649720032568111</v>
      </c>
      <c r="AT40" s="32">
        <f t="shared" si="55"/>
        <v>0.21752919796742798</v>
      </c>
      <c r="AU40" s="32">
        <f t="shared" si="55"/>
        <v>0.22606953067687741</v>
      </c>
      <c r="AV40" s="32">
        <f t="shared" si="55"/>
        <v>0.24115941022212201</v>
      </c>
      <c r="AW40" s="32">
        <f t="shared" si="55"/>
        <v>0.24930281138480276</v>
      </c>
      <c r="AX40" s="32">
        <f t="shared" si="55"/>
        <v>0.23397446832963098</v>
      </c>
      <c r="AY40" s="32">
        <f t="shared" si="55"/>
        <v>0.20922389184332932</v>
      </c>
      <c r="AZ40" s="32">
        <f t="shared" si="55"/>
        <v>0.24070285442967274</v>
      </c>
      <c r="BA40" s="32">
        <f t="shared" si="55"/>
        <v>0.2384110675595334</v>
      </c>
      <c r="BB40" s="32">
        <f t="shared" si="55"/>
        <v>0.25575533933264866</v>
      </c>
      <c r="BC40" s="32">
        <f t="shared" si="55"/>
        <v>0.2362721824408468</v>
      </c>
      <c r="BD40" s="32">
        <f t="shared" si="55"/>
        <v>0.22945310113046136</v>
      </c>
      <c r="BE40" s="32">
        <f t="shared" si="55"/>
        <v>0.24356409951453684</v>
      </c>
      <c r="BF40" s="32">
        <f t="shared" si="55"/>
        <v>0.23461929974881193</v>
      </c>
      <c r="BG40" s="32">
        <f t="shared" si="55"/>
        <v>0.22929228415442512</v>
      </c>
      <c r="BH40" s="32">
        <f t="shared" si="55"/>
        <v>0.23425741727679486</v>
      </c>
      <c r="BI40" s="32">
        <f t="shared" si="55"/>
        <v>0.23960434722175256</v>
      </c>
      <c r="BJ40" s="32">
        <f t="shared" si="55"/>
        <v>0.24930955474877914</v>
      </c>
      <c r="BK40" s="32">
        <f t="shared" si="55"/>
        <v>0.24406833337531908</v>
      </c>
      <c r="BL40" s="32">
        <f t="shared" si="55"/>
        <v>0.25326108914605644</v>
      </c>
      <c r="BM40" s="32">
        <f t="shared" si="55"/>
        <v>0.41316495125771124</v>
      </c>
      <c r="BN40" s="32">
        <f t="shared" ref="BN40:BW40" si="56">BN36/BN22</f>
        <v>0.39421372058516302</v>
      </c>
      <c r="BO40" s="32">
        <f t="shared" si="56"/>
        <v>0.40225608084289688</v>
      </c>
      <c r="BP40" s="32">
        <f t="shared" si="56"/>
        <v>0.39587315002449031</v>
      </c>
      <c r="BQ40" s="32">
        <f t="shared" si="56"/>
        <v>0.4018732926983386</v>
      </c>
      <c r="BR40" s="32">
        <f t="shared" si="56"/>
        <v>0.3986415889458586</v>
      </c>
      <c r="BS40" s="32">
        <f>BS36/BS22</f>
        <v>0.40217374742883266</v>
      </c>
      <c r="BT40" s="32">
        <f t="shared" si="56"/>
        <v>0.41492681279992283</v>
      </c>
      <c r="BU40" s="32">
        <f t="shared" si="56"/>
        <v>0.43155976907044979</v>
      </c>
      <c r="BV40" s="32">
        <f t="shared" si="56"/>
        <v>0.44970732901560168</v>
      </c>
      <c r="BW40" s="32">
        <f t="shared" si="56"/>
        <v>0.42549241960832279</v>
      </c>
      <c r="BX40" s="32">
        <f t="shared" ref="BX40:CG40" si="57">BX36/BX22</f>
        <v>0.4282196079161642</v>
      </c>
      <c r="BY40" s="32">
        <f t="shared" si="57"/>
        <v>0.44720090948004065</v>
      </c>
      <c r="BZ40" s="32">
        <f t="shared" si="57"/>
        <v>0.47845167299562946</v>
      </c>
      <c r="CA40" s="32">
        <f t="shared" si="57"/>
        <v>0.47394026717896731</v>
      </c>
      <c r="CB40" s="32">
        <f t="shared" si="57"/>
        <v>0.45732793485472284</v>
      </c>
      <c r="CC40" s="32">
        <f t="shared" si="57"/>
        <v>0.48540325512757448</v>
      </c>
      <c r="CD40" s="32">
        <f t="shared" si="57"/>
        <v>0.55549589913539332</v>
      </c>
      <c r="CE40" s="32">
        <f>CE36/CE22</f>
        <v>0.58515586678168496</v>
      </c>
      <c r="CF40" s="32">
        <f t="shared" si="57"/>
        <v>0.60471682444776609</v>
      </c>
      <c r="CG40" s="32">
        <f t="shared" si="57"/>
        <v>0.56203742827156622</v>
      </c>
      <c r="CH40" s="32">
        <f t="shared" ref="CH40:CM40" si="58">CH36/CH22</f>
        <v>0.6213603111843895</v>
      </c>
      <c r="CI40" s="32">
        <f t="shared" si="58"/>
        <v>0.62250817749799414</v>
      </c>
      <c r="CJ40" s="32">
        <f t="shared" si="58"/>
        <v>0.49553105565250949</v>
      </c>
      <c r="CK40" s="32">
        <f t="shared" si="58"/>
        <v>0.52794639182992276</v>
      </c>
      <c r="CL40" s="32">
        <f t="shared" si="58"/>
        <v>0.56170871173745773</v>
      </c>
      <c r="CM40" s="32">
        <f t="shared" si="58"/>
        <v>0.54686666921143723</v>
      </c>
      <c r="CN40" s="32">
        <f t="shared" ref="CN40:CQ40" si="59">CN36/CN22</f>
        <v>0.57126616834256461</v>
      </c>
      <c r="CO40" s="32">
        <f t="shared" si="59"/>
        <v>0.60463338119612409</v>
      </c>
      <c r="CP40" s="32">
        <f>CP36/CP22</f>
        <v>0.59813565960990578</v>
      </c>
      <c r="CQ40" s="32">
        <f t="shared" si="59"/>
        <v>0.58231757010780694</v>
      </c>
      <c r="CR40" s="32">
        <f t="shared" ref="CR40:CT40" si="60">CR36/CR22</f>
        <v>0.60543306698849864</v>
      </c>
      <c r="CS40" s="32">
        <f t="shared" si="60"/>
        <v>0.62327031013750489</v>
      </c>
      <c r="CT40" s="32">
        <f t="shared" si="60"/>
        <v>0.64197177737490896</v>
      </c>
      <c r="CU40" s="32">
        <f>CU36/CU22</f>
        <v>0.64435415690442299</v>
      </c>
      <c r="CV40" s="32">
        <f t="shared" ref="CV40" si="61">CV36/CV22</f>
        <v>0.63020613227694477</v>
      </c>
      <c r="CW40" s="6"/>
      <c r="CX40" s="717"/>
      <c r="CY40" s="6"/>
      <c r="CZ40" s="6"/>
      <c r="DA40" s="6"/>
      <c r="DB40" s="6"/>
    </row>
    <row r="41" spans="1:106" ht="3.95" customHeight="1" x14ac:dyDescent="0.25">
      <c r="A41" s="47"/>
      <c r="B41" s="47"/>
      <c r="C41" s="47"/>
      <c r="D41" s="47"/>
      <c r="F41" s="33"/>
      <c r="G41" s="33"/>
      <c r="H41" s="33"/>
      <c r="I41" s="33"/>
      <c r="J41" s="33"/>
      <c r="O41" s="33"/>
      <c r="T41" s="33"/>
      <c r="Y41" s="33"/>
      <c r="AD41" s="33"/>
      <c r="AI41" s="33"/>
      <c r="AN41" s="33"/>
      <c r="AS41" s="33"/>
      <c r="AX41" s="33"/>
      <c r="BC41" s="33"/>
      <c r="BH41" s="33"/>
      <c r="BM41" s="33"/>
      <c r="BR41" s="33"/>
      <c r="BW41" s="33"/>
      <c r="CB41" s="33"/>
      <c r="CG41" s="33"/>
      <c r="CL41" s="33"/>
      <c r="CQ41" s="33"/>
      <c r="CR41" s="717"/>
      <c r="CS41" s="717"/>
      <c r="CT41" s="717"/>
      <c r="CU41" s="717"/>
      <c r="CV41" s="33"/>
    </row>
    <row r="42" spans="1:106" ht="12" customHeight="1" x14ac:dyDescent="0.25">
      <c r="A42" s="6"/>
      <c r="B42" s="6"/>
      <c r="C42" s="6"/>
      <c r="D42" s="6"/>
      <c r="E42" s="93" t="s">
        <v>6</v>
      </c>
      <c r="F42" s="33"/>
      <c r="G42" s="33"/>
      <c r="H42" s="33"/>
      <c r="I42" s="33"/>
      <c r="J42" s="33"/>
      <c r="O42" s="146"/>
      <c r="T42" s="146"/>
      <c r="Y42" s="146"/>
      <c r="AD42" s="146"/>
      <c r="AI42" s="146"/>
      <c r="AN42" s="146"/>
      <c r="AS42" s="146"/>
      <c r="AX42" s="146"/>
      <c r="BC42" s="146"/>
      <c r="BH42" s="146"/>
      <c r="BM42" s="146"/>
      <c r="BR42" s="146"/>
      <c r="BW42" s="146"/>
      <c r="CB42" s="146"/>
      <c r="CG42" s="146"/>
      <c r="CH42" s="62"/>
      <c r="CI42" s="62"/>
      <c r="CJ42" s="62"/>
      <c r="CK42" s="62"/>
      <c r="CL42" s="146"/>
      <c r="CM42" s="62"/>
      <c r="CN42" s="62"/>
      <c r="CO42" s="62"/>
      <c r="CP42" s="62"/>
      <c r="CQ42" s="146"/>
      <c r="CR42" s="62"/>
      <c r="CS42" s="62"/>
      <c r="CT42" s="62"/>
      <c r="CU42" s="62"/>
      <c r="CV42" s="146"/>
      <c r="DB42" s="717"/>
    </row>
    <row r="43" spans="1:106" ht="12" customHeight="1" x14ac:dyDescent="0.25">
      <c r="A43" s="183">
        <f>CB43/CB22</f>
        <v>-9.3279393988966744E-2</v>
      </c>
      <c r="B43" s="183">
        <f>CG43/CG22</f>
        <v>-0.27584154547230588</v>
      </c>
      <c r="C43" s="183"/>
      <c r="D43" s="183">
        <f>BW43/BW22</f>
        <v>-8.7340369467631587E-2</v>
      </c>
      <c r="E43" s="27" t="s">
        <v>600</v>
      </c>
      <c r="F43" s="33"/>
      <c r="G43" s="33"/>
      <c r="H43" s="33"/>
      <c r="I43" s="33"/>
      <c r="J43" s="33"/>
      <c r="O43" s="146"/>
      <c r="T43" s="146"/>
      <c r="Y43" s="146"/>
      <c r="AD43" s="146"/>
      <c r="AI43" s="146"/>
      <c r="AN43" s="146"/>
      <c r="AS43" s="146"/>
      <c r="AX43" s="146"/>
      <c r="BC43" s="146"/>
      <c r="BH43" s="146"/>
      <c r="BM43" s="513">
        <v>-65.269000000000005</v>
      </c>
      <c r="BN43" s="124">
        <v>-16.350000000000001</v>
      </c>
      <c r="BO43" s="124">
        <v>-20.555</v>
      </c>
      <c r="BP43" s="124">
        <v>-18.972999999999999</v>
      </c>
      <c r="BQ43" s="124">
        <v>-19.736999999999998</v>
      </c>
      <c r="BR43" s="139">
        <f t="shared" ref="BR43:BR49" si="62">SUM(BN43:BQ43)</f>
        <v>-75.614999999999995</v>
      </c>
      <c r="BS43" s="124">
        <v>-20.010999999999999</v>
      </c>
      <c r="BT43" s="124">
        <v>-19.077999999999999</v>
      </c>
      <c r="BU43" s="124">
        <v>-18.399999999999999</v>
      </c>
      <c r="BV43" s="124">
        <v>-16.757999999999999</v>
      </c>
      <c r="BW43" s="139">
        <f>SUM(BS43:BV43)</f>
        <v>-74.247</v>
      </c>
      <c r="BX43" s="124">
        <v>-18.652000000000001</v>
      </c>
      <c r="BY43" s="124">
        <v>-19.029</v>
      </c>
      <c r="BZ43" s="124">
        <v>-20.95</v>
      </c>
      <c r="CA43" s="124">
        <v>-23.478000000000002</v>
      </c>
      <c r="CB43" s="139">
        <f>SUM(BX43:CA43)</f>
        <v>-82.109000000000009</v>
      </c>
      <c r="CC43" s="124">
        <v>-14.84</v>
      </c>
      <c r="CD43" s="124">
        <v>-15.599</v>
      </c>
      <c r="CE43" s="124">
        <v>-14.311</v>
      </c>
      <c r="CF43" s="124">
        <v>-15.962999999999999</v>
      </c>
      <c r="CG43" s="139">
        <f>SUM(CC43:CF43)</f>
        <v>-60.713000000000001</v>
      </c>
      <c r="CH43" s="124">
        <v>-16.97</v>
      </c>
      <c r="CI43" s="124">
        <v>-16.940000000000001</v>
      </c>
      <c r="CJ43" s="166">
        <v>-18.3</v>
      </c>
      <c r="CK43" s="724">
        <v>-19</v>
      </c>
      <c r="CL43" s="139">
        <f>SUM(CH43:CK43)</f>
        <v>-71.209999999999994</v>
      </c>
      <c r="CM43" s="724">
        <v>-19.5</v>
      </c>
      <c r="CN43" s="724">
        <v>-19.5</v>
      </c>
      <c r="CO43" s="724">
        <v>-21</v>
      </c>
      <c r="CP43" s="724">
        <v>-21.4</v>
      </c>
      <c r="CQ43" s="139">
        <f>SUM(CM43:CP43)</f>
        <v>-81.400000000000006</v>
      </c>
      <c r="CR43" s="724">
        <f>CM43-2.5</f>
        <v>-22</v>
      </c>
      <c r="CS43" s="724">
        <f>CN43-2.5</f>
        <v>-22</v>
      </c>
      <c r="CT43" s="724">
        <f>CO43-2</f>
        <v>-23</v>
      </c>
      <c r="CU43" s="724">
        <f>CP43-2</f>
        <v>-23.4</v>
      </c>
      <c r="CV43" s="139">
        <f>SUM(CR43:CU43)</f>
        <v>-90.4</v>
      </c>
      <c r="CY43" s="723"/>
      <c r="CZ43" s="723"/>
      <c r="DA43" s="723"/>
      <c r="DB43" s="723"/>
    </row>
    <row r="44" spans="1:106" ht="12" customHeight="1" x14ac:dyDescent="0.25">
      <c r="A44" s="183">
        <f>CB44/CB22</f>
        <v>-0.18935118284846994</v>
      </c>
      <c r="B44" s="183">
        <f>CG44/CG22</f>
        <v>-0.49358703504300294</v>
      </c>
      <c r="C44" s="183"/>
      <c r="D44" s="183">
        <f>BW44/BW22</f>
        <v>-0.17195396241330307</v>
      </c>
      <c r="E44" s="27" t="s">
        <v>601</v>
      </c>
      <c r="F44" s="33"/>
      <c r="G44" s="33"/>
      <c r="H44" s="33"/>
      <c r="I44" s="33"/>
      <c r="J44" s="33"/>
      <c r="O44" s="146"/>
      <c r="T44" s="146"/>
      <c r="Y44" s="146"/>
      <c r="AD44" s="146"/>
      <c r="AI44" s="146"/>
      <c r="AN44" s="146"/>
      <c r="AS44" s="146"/>
      <c r="AX44" s="146"/>
      <c r="BC44" s="146"/>
      <c r="BH44" s="146"/>
      <c r="BM44" s="513">
        <v>-115.077</v>
      </c>
      <c r="BN44" s="124">
        <v>-26.5</v>
      </c>
      <c r="BO44" s="124">
        <v>-28.841999999999999</v>
      </c>
      <c r="BP44" s="124">
        <v>-30.553999999999998</v>
      </c>
      <c r="BQ44" s="124">
        <v>-32.319000000000003</v>
      </c>
      <c r="BR44" s="139">
        <f t="shared" si="62"/>
        <v>-118.215</v>
      </c>
      <c r="BS44" s="124">
        <v>-29.494</v>
      </c>
      <c r="BT44" s="124">
        <v>-34.259</v>
      </c>
      <c r="BU44" s="124">
        <v>-36.581000000000003</v>
      </c>
      <c r="BV44" s="124">
        <v>-45.841999999999999</v>
      </c>
      <c r="BW44" s="139">
        <f>SUM(BS44:BV44)</f>
        <v>-146.17599999999999</v>
      </c>
      <c r="BX44" s="124">
        <v>-37.347999999999999</v>
      </c>
      <c r="BY44" s="124">
        <v>-37.847000000000001</v>
      </c>
      <c r="BZ44" s="124">
        <v>-43.048000000000002</v>
      </c>
      <c r="CA44" s="124">
        <v>-48.433</v>
      </c>
      <c r="CB44" s="139">
        <f>SUM(BX44:CA44)</f>
        <v>-166.67599999999999</v>
      </c>
      <c r="CC44" s="124">
        <v>-24.091000000000001</v>
      </c>
      <c r="CD44" s="124">
        <v>-25.981000000000002</v>
      </c>
      <c r="CE44" s="124">
        <v>-27.832000000000001</v>
      </c>
      <c r="CF44" s="124">
        <v>-30.734999999999999</v>
      </c>
      <c r="CG44" s="139">
        <f>SUM(CC44:CF44)</f>
        <v>-108.639</v>
      </c>
      <c r="CH44" s="124">
        <v>-33.323</v>
      </c>
      <c r="CI44" s="124">
        <v>-35.94</v>
      </c>
      <c r="CJ44" s="724">
        <v>-37.200000000000003</v>
      </c>
      <c r="CK44" s="724">
        <v>-39</v>
      </c>
      <c r="CL44" s="139">
        <f>SUM(CH44:CK44)</f>
        <v>-145.46300000000002</v>
      </c>
      <c r="CM44" s="724">
        <v>-40.5</v>
      </c>
      <c r="CN44" s="724">
        <v>-42.5</v>
      </c>
      <c r="CO44" s="724">
        <v>-43.5</v>
      </c>
      <c r="CP44" s="724">
        <v>-44.5</v>
      </c>
      <c r="CQ44" s="139">
        <f>SUM(CM44:CP44)</f>
        <v>-171</v>
      </c>
      <c r="CR44" s="724">
        <f>CM44-6.7</f>
        <v>-47.2</v>
      </c>
      <c r="CS44" s="724">
        <f>CN44-6.7</f>
        <v>-49.2</v>
      </c>
      <c r="CT44" s="724">
        <f>CO44-6.5</f>
        <v>-50</v>
      </c>
      <c r="CU44" s="724">
        <f>CP44-6.5</f>
        <v>-51</v>
      </c>
      <c r="CV44" s="139">
        <f>SUM(CR44:CU44)</f>
        <v>-197.4</v>
      </c>
      <c r="CY44" s="723"/>
      <c r="CZ44" s="723"/>
      <c r="DA44" s="723"/>
      <c r="DB44" s="723"/>
    </row>
    <row r="45" spans="1:106" ht="12" customHeight="1" x14ac:dyDescent="0.25">
      <c r="A45" s="183">
        <f>CB45/CB22</f>
        <v>-0.14735960774690768</v>
      </c>
      <c r="B45" s="183">
        <f>CG45/CG22</f>
        <v>-0.38688602050876642</v>
      </c>
      <c r="C45" s="183"/>
      <c r="D45" s="183">
        <f>BW45/BW22</f>
        <v>-0.15925998249592982</v>
      </c>
      <c r="E45" s="27" t="s">
        <v>602</v>
      </c>
      <c r="F45" s="33"/>
      <c r="G45" s="33"/>
      <c r="H45" s="33"/>
      <c r="I45" s="33"/>
      <c r="J45" s="33"/>
      <c r="O45" s="146"/>
      <c r="T45" s="146"/>
      <c r="Y45" s="146"/>
      <c r="AD45" s="146"/>
      <c r="AI45" s="146"/>
      <c r="AN45" s="146"/>
      <c r="AS45" s="146"/>
      <c r="AX45" s="146"/>
      <c r="BC45" s="146"/>
      <c r="BH45" s="146"/>
      <c r="BM45" s="513">
        <v>-108.637</v>
      </c>
      <c r="BN45" s="124">
        <v>-36.701000000000001</v>
      </c>
      <c r="BO45" s="124">
        <v>-38.372999999999998</v>
      </c>
      <c r="BP45" s="124">
        <v>-31.821000000000002</v>
      </c>
      <c r="BQ45" s="124">
        <v>-30.23</v>
      </c>
      <c r="BR45" s="139">
        <f t="shared" si="62"/>
        <v>-137.125</v>
      </c>
      <c r="BS45" s="124">
        <v>-31.742999999999999</v>
      </c>
      <c r="BT45" s="124">
        <v>-31.518999999999998</v>
      </c>
      <c r="BU45" s="124">
        <v>-36.792999999999999</v>
      </c>
      <c r="BV45" s="124">
        <v>-35.33</v>
      </c>
      <c r="BW45" s="139">
        <f>SUM(BS45:BV45)</f>
        <v>-135.38499999999999</v>
      </c>
      <c r="BX45" s="124">
        <v>-27.506</v>
      </c>
      <c r="BY45" s="124">
        <v>-32.866</v>
      </c>
      <c r="BZ45" s="124">
        <v>-31.62</v>
      </c>
      <c r="CA45" s="124">
        <v>-37.720999999999997</v>
      </c>
      <c r="CB45" s="139">
        <f>SUM(BX45:CA45)</f>
        <v>-129.71299999999999</v>
      </c>
      <c r="CC45" s="124">
        <v>-23.587</v>
      </c>
      <c r="CD45" s="124">
        <v>-23.724</v>
      </c>
      <c r="CE45" s="124">
        <v>-20.928999999999998</v>
      </c>
      <c r="CF45" s="124">
        <v>-16.914000000000001</v>
      </c>
      <c r="CG45" s="139">
        <f>SUM(CC45:CF45)</f>
        <v>-85.153999999999996</v>
      </c>
      <c r="CH45" s="124">
        <v>-18.123999999999999</v>
      </c>
      <c r="CI45" s="124">
        <v>-25.175999999999998</v>
      </c>
      <c r="CJ45" s="724">
        <v>-29.3</v>
      </c>
      <c r="CK45" s="724">
        <v>-28.1</v>
      </c>
      <c r="CL45" s="139">
        <f>SUM(CH45:CK45)</f>
        <v>-100.69999999999999</v>
      </c>
      <c r="CM45" s="724">
        <v>-24</v>
      </c>
      <c r="CN45" s="724">
        <v>-23.5</v>
      </c>
      <c r="CO45" s="724">
        <v>-23.5</v>
      </c>
      <c r="CP45" s="724">
        <v>-23</v>
      </c>
      <c r="CQ45" s="139">
        <f>SUM(CM45:CP45)</f>
        <v>-94</v>
      </c>
      <c r="CR45" s="724">
        <v>-23.4</v>
      </c>
      <c r="CS45" s="724">
        <v>-23.4</v>
      </c>
      <c r="CT45" s="724">
        <v>-24.2</v>
      </c>
      <c r="CU45" s="724">
        <v>-24.2</v>
      </c>
      <c r="CV45" s="139">
        <f>SUM(CR45:CU45)</f>
        <v>-95.2</v>
      </c>
      <c r="CW45" s="723"/>
      <c r="CX45" s="723"/>
      <c r="CY45" s="723"/>
      <c r="CZ45" s="723"/>
      <c r="DA45" s="723"/>
      <c r="DB45" s="723"/>
    </row>
    <row r="46" spans="1:106" ht="12" customHeight="1" x14ac:dyDescent="0.25">
      <c r="A46" s="6"/>
      <c r="B46" s="6"/>
      <c r="C46" s="6"/>
      <c r="D46" s="6"/>
      <c r="E46" s="29" t="s">
        <v>311</v>
      </c>
      <c r="F46" s="33"/>
      <c r="G46" s="33"/>
      <c r="H46" s="33"/>
      <c r="I46" s="33"/>
      <c r="J46" s="33"/>
      <c r="O46" s="146"/>
      <c r="T46" s="146"/>
      <c r="Y46" s="146"/>
      <c r="AD46" s="146"/>
      <c r="AI46" s="146"/>
      <c r="AN46" s="146"/>
      <c r="AS46" s="146"/>
      <c r="AX46" s="146"/>
      <c r="BC46" s="146"/>
      <c r="BH46" s="146"/>
      <c r="BM46" s="546">
        <v>-42.121000000000002</v>
      </c>
      <c r="BN46" s="373">
        <v>-7.1280000000000001</v>
      </c>
      <c r="BO46" s="373">
        <v>-0.83299999999999996</v>
      </c>
      <c r="BP46" s="373">
        <v>-3.3809999999999998</v>
      </c>
      <c r="BQ46" s="373">
        <v>-11.257999999999999</v>
      </c>
      <c r="BR46" s="149">
        <f>SUM(BN46:BQ46)</f>
        <v>-22.6</v>
      </c>
      <c r="BS46" s="373">
        <v>-0.80700000000000005</v>
      </c>
      <c r="BT46" s="373">
        <v>-3.2330000000000001</v>
      </c>
      <c r="BU46" s="373">
        <v>-4.0579999999999998</v>
      </c>
      <c r="BV46" s="373">
        <f>-6.1+-4.763</f>
        <v>-10.863</v>
      </c>
      <c r="BW46" s="149">
        <f>SUM(BS46:BV46)</f>
        <v>-18.960999999999999</v>
      </c>
      <c r="BX46" s="373">
        <v>-0.314</v>
      </c>
      <c r="BY46" s="373">
        <v>-0.3</v>
      </c>
      <c r="BZ46" s="373">
        <v>-2.1110000000000002</v>
      </c>
      <c r="CA46" s="373">
        <f>-4.335-1.315</f>
        <v>-5.65</v>
      </c>
      <c r="CB46" s="149">
        <f>SUM(BX46:CA46)</f>
        <v>-8.375</v>
      </c>
      <c r="CC46" s="373">
        <v>3.0000000000000001E-3</v>
      </c>
      <c r="CD46" s="373">
        <v>-2.8330000000000002</v>
      </c>
      <c r="CE46" s="373">
        <v>0.78800000000000003</v>
      </c>
      <c r="CF46" s="373">
        <v>-0.68100000000000005</v>
      </c>
      <c r="CG46" s="149">
        <f>SUM(CC46:CF46)</f>
        <v>-2.7229999999999999</v>
      </c>
      <c r="CH46" s="373">
        <v>-2E-3</v>
      </c>
      <c r="CI46" s="373">
        <v>-0.48899999999999999</v>
      </c>
      <c r="CJ46" s="172">
        <v>-2.1</v>
      </c>
      <c r="CK46" s="172">
        <v>-1.5</v>
      </c>
      <c r="CL46" s="149">
        <f>SUM(CH46:CK46)</f>
        <v>-4.0910000000000002</v>
      </c>
      <c r="CM46" s="172">
        <v>0</v>
      </c>
      <c r="CN46" s="172">
        <v>0</v>
      </c>
      <c r="CO46" s="172">
        <v>0</v>
      </c>
      <c r="CP46" s="172">
        <v>0</v>
      </c>
      <c r="CQ46" s="149">
        <f>SUM(CM46:CP46)</f>
        <v>0</v>
      </c>
      <c r="CR46" s="172">
        <v>0</v>
      </c>
      <c r="CS46" s="172">
        <v>0</v>
      </c>
      <c r="CT46" s="172">
        <v>0</v>
      </c>
      <c r="CU46" s="172">
        <v>0</v>
      </c>
      <c r="CV46" s="149">
        <f>SUM(CR46:CU46)</f>
        <v>0</v>
      </c>
      <c r="CY46" s="723"/>
      <c r="CZ46" s="723"/>
      <c r="DA46" s="723"/>
    </row>
    <row r="47" spans="1:106" s="27" customFormat="1" ht="12" hidden="1" customHeight="1" x14ac:dyDescent="0.25">
      <c r="A47" s="154">
        <v>-0.152</v>
      </c>
      <c r="B47" s="154">
        <v>-0.16</v>
      </c>
      <c r="C47" s="183">
        <f>BR47/BR22</f>
        <v>-0.18893144707924225</v>
      </c>
      <c r="D47" s="154"/>
      <c r="E47" s="27" t="s">
        <v>611</v>
      </c>
      <c r="F47" s="140"/>
      <c r="G47" s="140"/>
      <c r="H47" s="140"/>
      <c r="I47" s="140"/>
      <c r="J47" s="140"/>
      <c r="K47" s="124"/>
      <c r="L47" s="124"/>
      <c r="M47" s="124"/>
      <c r="N47" s="124"/>
      <c r="O47" s="138"/>
      <c r="P47" s="124"/>
      <c r="Q47" s="124"/>
      <c r="R47" s="124"/>
      <c r="S47" s="124"/>
      <c r="T47" s="377">
        <v>-196.12299999999999</v>
      </c>
      <c r="U47" s="124"/>
      <c r="V47" s="124"/>
      <c r="W47" s="124"/>
      <c r="X47" s="124"/>
      <c r="Y47" s="377">
        <v>-211.541</v>
      </c>
      <c r="Z47" s="124"/>
      <c r="AA47" s="124"/>
      <c r="AB47" s="124"/>
      <c r="AC47" s="124"/>
      <c r="AD47" s="377">
        <v>-213.84899999999999</v>
      </c>
      <c r="AE47" s="124">
        <v>-42.034999999999997</v>
      </c>
      <c r="AF47" s="124">
        <v>-42.601999999999997</v>
      </c>
      <c r="AG47" s="124">
        <v>-46.118000000000002</v>
      </c>
      <c r="AH47" s="124">
        <v>-46.496000000000002</v>
      </c>
      <c r="AI47" s="139">
        <f>SUM(AE47:AH47)</f>
        <v>-177.251</v>
      </c>
      <c r="AJ47" s="124">
        <v>-49.481999999999999</v>
      </c>
      <c r="AK47" s="124">
        <v>-38.988</v>
      </c>
      <c r="AL47" s="124">
        <v>-42.56</v>
      </c>
      <c r="AM47" s="124">
        <v>-38.93</v>
      </c>
      <c r="AN47" s="139">
        <f>SUM(AJ47:AM47)</f>
        <v>-169.96</v>
      </c>
      <c r="AO47" s="124">
        <v>-37.643000000000001</v>
      </c>
      <c r="AP47" s="124">
        <v>-37.963999999999999</v>
      </c>
      <c r="AQ47" s="124">
        <v>-43.476999999999997</v>
      </c>
      <c r="AR47" s="124">
        <v>-43.012999999999998</v>
      </c>
      <c r="AS47" s="139">
        <f>SUM(AO47:AR47)</f>
        <v>-162.09700000000001</v>
      </c>
      <c r="AT47" s="124">
        <v>-35.798000000000002</v>
      </c>
      <c r="AU47" s="124">
        <v>-38.097999999999999</v>
      </c>
      <c r="AV47" s="124">
        <v>-39.228999999999999</v>
      </c>
      <c r="AW47" s="124">
        <v>-38.017000000000003</v>
      </c>
      <c r="AX47" s="139">
        <f>SUM(AT47:AW47)</f>
        <v>-151.142</v>
      </c>
      <c r="AY47" s="124">
        <v>-36.807000000000002</v>
      </c>
      <c r="AZ47" s="124">
        <v>-39.429000000000002</v>
      </c>
      <c r="BA47" s="124">
        <v>-36.317999999999998</v>
      </c>
      <c r="BB47" s="124">
        <v>-38.576999999999998</v>
      </c>
      <c r="BC47" s="139">
        <f>SUM(AY47:BB47)</f>
        <v>-151.131</v>
      </c>
      <c r="BD47" s="124">
        <v>-36.749000000000002</v>
      </c>
      <c r="BE47" s="124">
        <v>-37.341000000000001</v>
      </c>
      <c r="BF47" s="124">
        <v>-37.302999999999997</v>
      </c>
      <c r="BG47" s="124">
        <v>-41.411000000000001</v>
      </c>
      <c r="BH47" s="139">
        <f>SUM(BD47:BG47)</f>
        <v>-152.804</v>
      </c>
      <c r="BI47" s="124">
        <v>-39.709000000000003</v>
      </c>
      <c r="BJ47" s="124">
        <f>-42.859+2.186</f>
        <v>-40.673000000000002</v>
      </c>
      <c r="BK47" s="124">
        <f>-43.383+4.897</f>
        <v>-38.486000000000004</v>
      </c>
      <c r="BL47" s="124">
        <f>-45.519+6.924</f>
        <v>-38.594999999999999</v>
      </c>
      <c r="BM47" s="139">
        <f>SUM(BI47:BL47)</f>
        <v>-157.46300000000002</v>
      </c>
      <c r="BN47" s="124">
        <f>-46.938+12.037</f>
        <v>-34.901000000000003</v>
      </c>
      <c r="BO47" s="124">
        <f>-50.483+9.291</f>
        <v>-41.191999999999993</v>
      </c>
      <c r="BP47" s="417">
        <f>-47.345+8.116</f>
        <v>-39.228999999999999</v>
      </c>
      <c r="BQ47" s="417">
        <f>-43.795+7.044</f>
        <v>-36.751000000000005</v>
      </c>
      <c r="BR47" s="139">
        <f t="shared" si="62"/>
        <v>-152.07299999999998</v>
      </c>
      <c r="BS47" s="124"/>
      <c r="BT47" s="166"/>
      <c r="BU47" s="166"/>
      <c r="BV47" s="166"/>
      <c r="BW47" s="139"/>
      <c r="BX47" s="166"/>
      <c r="BY47" s="166"/>
      <c r="BZ47" s="166"/>
      <c r="CA47" s="166"/>
      <c r="CB47" s="139"/>
      <c r="CG47" s="139"/>
      <c r="CL47" s="139"/>
      <c r="CQ47" s="139"/>
      <c r="CV47" s="139"/>
    </row>
    <row r="48" spans="1:106" s="27" customFormat="1" ht="12" hidden="1" customHeight="1" x14ac:dyDescent="0.25">
      <c r="A48" s="154"/>
      <c r="B48" s="154"/>
      <c r="C48" s="154"/>
      <c r="D48" s="500"/>
      <c r="E48" s="29" t="s">
        <v>612</v>
      </c>
      <c r="F48" s="141"/>
      <c r="G48" s="141"/>
      <c r="H48" s="141"/>
      <c r="I48" s="141"/>
      <c r="J48" s="141"/>
      <c r="K48" s="125"/>
      <c r="L48" s="125"/>
      <c r="M48" s="125"/>
      <c r="N48" s="125"/>
      <c r="O48" s="147"/>
      <c r="P48" s="125"/>
      <c r="Q48" s="125"/>
      <c r="R48" s="125"/>
      <c r="S48" s="125"/>
      <c r="T48" s="378">
        <v>0.98399999999999999</v>
      </c>
      <c r="U48" s="125"/>
      <c r="V48" s="125"/>
      <c r="W48" s="125"/>
      <c r="X48" s="125"/>
      <c r="Y48" s="378">
        <v>-9.5039999999999996</v>
      </c>
      <c r="Z48" s="125"/>
      <c r="AA48" s="125"/>
      <c r="AB48" s="125"/>
      <c r="AC48" s="125"/>
      <c r="AD48" s="378">
        <v>-8.8970000000000002</v>
      </c>
      <c r="AE48" s="125">
        <v>-15.39</v>
      </c>
      <c r="AF48" s="125">
        <v>-9.9320000000000004</v>
      </c>
      <c r="AG48" s="125">
        <v>63.488999999999997</v>
      </c>
      <c r="AH48" s="125">
        <v>-74.519000000000005</v>
      </c>
      <c r="AI48" s="149">
        <f>SUM(AE48:AH48)</f>
        <v>-36.352000000000011</v>
      </c>
      <c r="AJ48" s="125">
        <v>0.54500000000000004</v>
      </c>
      <c r="AK48" s="125">
        <v>2.37</v>
      </c>
      <c r="AL48" s="125">
        <v>-43.174999999999997</v>
      </c>
      <c r="AM48" s="125">
        <v>1.694</v>
      </c>
      <c r="AN48" s="149">
        <f>SUM(AJ48:AM48)</f>
        <v>-38.565999999999995</v>
      </c>
      <c r="AO48" s="125">
        <v>-0.34699999999999998</v>
      </c>
      <c r="AP48" s="125">
        <v>2.7E-2</v>
      </c>
      <c r="AQ48" s="125">
        <v>-0.53800000000000003</v>
      </c>
      <c r="AR48" s="125">
        <v>1.802</v>
      </c>
      <c r="AS48" s="149">
        <f>SUM(AO48:AR48)</f>
        <v>0.94400000000000006</v>
      </c>
      <c r="AT48" s="125">
        <v>5.7000000000000002E-2</v>
      </c>
      <c r="AU48" s="125">
        <v>-7.8E-2</v>
      </c>
      <c r="AV48" s="125">
        <v>3.64</v>
      </c>
      <c r="AW48" s="125">
        <f>-79.674-8.219</f>
        <v>-87.893000000000001</v>
      </c>
      <c r="AX48" s="149">
        <f>SUM(AT48:AW48)</f>
        <v>-84.274000000000001</v>
      </c>
      <c r="AY48" s="125">
        <v>-0.24399999999999999</v>
      </c>
      <c r="AZ48" s="125">
        <v>-2.4649999999999999</v>
      </c>
      <c r="BA48" s="125">
        <f>2.671-17.803</f>
        <v>-15.132000000000001</v>
      </c>
      <c r="BB48" s="125">
        <v>-12.6</v>
      </c>
      <c r="BC48" s="149">
        <f>SUM(AY48:BB48)</f>
        <v>-30.441000000000003</v>
      </c>
      <c r="BD48" s="125">
        <v>-0.16</v>
      </c>
      <c r="BE48" s="125">
        <v>-3.2000000000000001E-2</v>
      </c>
      <c r="BF48" s="125">
        <v>0.126</v>
      </c>
      <c r="BG48" s="125">
        <v>-1.944</v>
      </c>
      <c r="BH48" s="149">
        <f>SUM(BD48:BG48)</f>
        <v>-2.0099999999999998</v>
      </c>
      <c r="BI48" s="125">
        <v>0</v>
      </c>
      <c r="BJ48" s="125">
        <f>-6.387-2.186</f>
        <v>-8.5730000000000004</v>
      </c>
      <c r="BK48" s="125">
        <f>-4.657-4.897</f>
        <v>-9.5540000000000003</v>
      </c>
      <c r="BL48" s="125">
        <f>-28.834-11.052-6.924</f>
        <v>-46.809999999999995</v>
      </c>
      <c r="BM48" s="149">
        <f>SUM(BI48:BL48)</f>
        <v>-64.936999999999998</v>
      </c>
      <c r="BN48" s="125">
        <f>-7.452-12.037</f>
        <v>-19.489000000000001</v>
      </c>
      <c r="BO48" s="125">
        <f>-0.929-9.291</f>
        <v>-10.220000000000001</v>
      </c>
      <c r="BP48" s="373">
        <f>-4.175-8.116</f>
        <v>-12.291</v>
      </c>
      <c r="BQ48" s="373">
        <f>-12.077-7.044</f>
        <v>-19.120999999999999</v>
      </c>
      <c r="BR48" s="149">
        <f t="shared" si="62"/>
        <v>-61.120999999999995</v>
      </c>
      <c r="BS48" s="373"/>
      <c r="BT48" s="29"/>
      <c r="BU48" s="29"/>
      <c r="BV48" s="29"/>
      <c r="BW48" s="149"/>
      <c r="BX48" s="29"/>
      <c r="BY48" s="29"/>
      <c r="BZ48" s="29"/>
      <c r="CA48" s="29"/>
      <c r="CB48" s="149"/>
      <c r="CC48" s="29"/>
      <c r="CD48" s="29"/>
      <c r="CE48" s="29"/>
      <c r="CF48" s="29"/>
      <c r="CG48" s="149"/>
      <c r="CH48" s="29"/>
      <c r="CI48" s="29"/>
      <c r="CJ48" s="29"/>
      <c r="CK48" s="29"/>
      <c r="CL48" s="149"/>
      <c r="CM48" s="29"/>
      <c r="CN48" s="29"/>
      <c r="CO48" s="29"/>
      <c r="CP48" s="29"/>
      <c r="CQ48" s="149"/>
      <c r="CR48" s="29"/>
      <c r="CS48" s="29"/>
      <c r="CT48" s="29"/>
      <c r="CU48" s="29"/>
      <c r="CV48" s="149"/>
    </row>
    <row r="49" spans="1:106" s="27" customFormat="1" ht="12" customHeight="1" x14ac:dyDescent="0.25">
      <c r="C49" s="122"/>
      <c r="D49" s="122"/>
      <c r="E49" s="27" t="s">
        <v>312</v>
      </c>
      <c r="F49" s="139"/>
      <c r="G49" s="139"/>
      <c r="H49" s="139"/>
      <c r="I49" s="139"/>
      <c r="J49" s="139"/>
      <c r="O49" s="138"/>
      <c r="T49" s="139">
        <f>SUM(T47:T48)</f>
        <v>-195.13899999999998</v>
      </c>
      <c r="Y49" s="139">
        <f>SUM(Y47:Y48)</f>
        <v>-221.04499999999999</v>
      </c>
      <c r="AD49" s="139">
        <f>SUM(AD47:AD48)</f>
        <v>-222.74599999999998</v>
      </c>
      <c r="AE49" s="27">
        <f>SUM(AE47:AE48)</f>
        <v>-57.424999999999997</v>
      </c>
      <c r="AF49" s="27">
        <f>SUM(AF47:AF48)</f>
        <v>-52.533999999999999</v>
      </c>
      <c r="AG49" s="27">
        <f>SUM(AG47:AG48)</f>
        <v>17.370999999999995</v>
      </c>
      <c r="AH49" s="27">
        <f>SUM(AH47:AH48)</f>
        <v>-121.01500000000001</v>
      </c>
      <c r="AI49" s="138">
        <f>SUM(AE49:AH49)</f>
        <v>-213.60300000000001</v>
      </c>
      <c r="AJ49" s="27">
        <f>SUM(AJ47:AJ48)</f>
        <v>-48.936999999999998</v>
      </c>
      <c r="AK49" s="27">
        <f>SUM(AK47:AK48)</f>
        <v>-36.618000000000002</v>
      </c>
      <c r="AL49" s="27">
        <f>SUM(AL47:AL48)</f>
        <v>-85.734999999999999</v>
      </c>
      <c r="AM49" s="27">
        <f>SUM(AM47:AM48)</f>
        <v>-37.235999999999997</v>
      </c>
      <c r="AN49" s="138">
        <f>SUM(AJ49:AM49)</f>
        <v>-208.52600000000001</v>
      </c>
      <c r="AO49" s="27">
        <f>SUM(AO47:AO48)</f>
        <v>-37.99</v>
      </c>
      <c r="AP49" s="27">
        <f>SUM(AP47:AP48)</f>
        <v>-37.936999999999998</v>
      </c>
      <c r="AQ49" s="27">
        <f>SUM(AQ47:AQ48)</f>
        <v>-44.014999999999993</v>
      </c>
      <c r="AR49" s="27">
        <f>SUM(AR47:AR48)</f>
        <v>-41.210999999999999</v>
      </c>
      <c r="AS49" s="138">
        <f>SUM(AO49:AR49)</f>
        <v>-161.15299999999996</v>
      </c>
      <c r="AT49" s="27">
        <f>SUM(AT47:AT48)</f>
        <v>-35.741</v>
      </c>
      <c r="AU49" s="27">
        <f>SUM(AU47:AU48)</f>
        <v>-38.176000000000002</v>
      </c>
      <c r="AV49" s="27">
        <f>SUM(AV47:AV48)</f>
        <v>-35.588999999999999</v>
      </c>
      <c r="AW49" s="27">
        <f>SUM(AW47:AW48)</f>
        <v>-125.91</v>
      </c>
      <c r="AX49" s="138">
        <f>SUM(AT49:AW49)</f>
        <v>-235.416</v>
      </c>
      <c r="AY49" s="27">
        <f>SUM(AY47:AY48)</f>
        <v>-37.051000000000002</v>
      </c>
      <c r="AZ49" s="27">
        <f>SUM(AZ47:AZ48)</f>
        <v>-41.894000000000005</v>
      </c>
      <c r="BA49" s="27">
        <f>SUM(BA47:BA48)</f>
        <v>-51.45</v>
      </c>
      <c r="BB49" s="27">
        <f>SUM(BB47:BB48)</f>
        <v>-51.177</v>
      </c>
      <c r="BC49" s="138">
        <f>SUM(AY49:BB49)</f>
        <v>-181.572</v>
      </c>
      <c r="BD49" s="27">
        <f>SUM(BD47:BD48)</f>
        <v>-36.908999999999999</v>
      </c>
      <c r="BE49" s="27">
        <f>SUM(BE47:BE48)</f>
        <v>-37.372999999999998</v>
      </c>
      <c r="BF49" s="27">
        <f>SUM(BF47:BF48)</f>
        <v>-37.177</v>
      </c>
      <c r="BG49" s="27">
        <f>SUM(BG47:BG48)</f>
        <v>-43.355000000000004</v>
      </c>
      <c r="BH49" s="138">
        <f>SUM(BD49:BG49)</f>
        <v>-154.81400000000002</v>
      </c>
      <c r="BI49" s="27">
        <f>SUM(BI47:BI48)</f>
        <v>-39.709000000000003</v>
      </c>
      <c r="BJ49" s="27">
        <f>SUM(BJ47:BJ48)</f>
        <v>-49.246000000000002</v>
      </c>
      <c r="BK49" s="27">
        <f>SUM(BK47:BK48)</f>
        <v>-48.040000000000006</v>
      </c>
      <c r="BL49" s="27">
        <f>SUM(BL47:BL48)</f>
        <v>-85.405000000000001</v>
      </c>
      <c r="BM49" s="138">
        <f>SUM(BM43:BM46)</f>
        <v>-331.10399999999998</v>
      </c>
      <c r="BN49" s="27">
        <f>SUM(BN43:BN46)</f>
        <v>-86.679000000000002</v>
      </c>
      <c r="BO49" s="27">
        <f>SUM(BO43:BO46)</f>
        <v>-88.602999999999994</v>
      </c>
      <c r="BP49" s="27">
        <f>SUM(BP43:BP46)</f>
        <v>-84.728999999999999</v>
      </c>
      <c r="BQ49" s="27">
        <f>SUM(BQ43:BQ46)</f>
        <v>-93.543999999999997</v>
      </c>
      <c r="BR49" s="138">
        <f t="shared" si="62"/>
        <v>-353.55499999999995</v>
      </c>
      <c r="BS49" s="27">
        <f>SUM(BS43:BS46)</f>
        <v>-82.054999999999993</v>
      </c>
      <c r="BT49" s="27">
        <f>SUM(BT43:BT46)</f>
        <v>-88.088999999999999</v>
      </c>
      <c r="BU49" s="27">
        <f>SUM(BU43:BU46)</f>
        <v>-95.831999999999994</v>
      </c>
      <c r="BV49" s="27">
        <f>SUM(BV43:BV46)</f>
        <v>-108.79299999999999</v>
      </c>
      <c r="BW49" s="138">
        <f>SUM(BS49:BV49)</f>
        <v>-374.76900000000001</v>
      </c>
      <c r="BX49" s="27">
        <f>SUM(BX43:BX46)</f>
        <v>-83.82</v>
      </c>
      <c r="BY49" s="27">
        <f>SUM(BY43:BY46)</f>
        <v>-90.042000000000002</v>
      </c>
      <c r="BZ49" s="27">
        <f>SUM(BZ43:BZ46)</f>
        <v>-97.729000000000013</v>
      </c>
      <c r="CA49" s="27">
        <f>SUM(CA43:CA46)</f>
        <v>-115.28200000000001</v>
      </c>
      <c r="CB49" s="138">
        <f>SUM(BX49:CA49)</f>
        <v>-386.87300000000005</v>
      </c>
      <c r="CC49" s="27">
        <f>SUM(CC43:CC46)</f>
        <v>-62.515000000000001</v>
      </c>
      <c r="CD49" s="27">
        <f>SUM(CD43:CD46)</f>
        <v>-68.137</v>
      </c>
      <c r="CE49" s="27">
        <f>SUM(CE43:CE46)</f>
        <v>-62.284000000000006</v>
      </c>
      <c r="CF49" s="27">
        <f>SUM(CF43:CF46)</f>
        <v>-64.293000000000006</v>
      </c>
      <c r="CG49" s="138">
        <f>SUM(CC49:CF49)</f>
        <v>-257.22899999999998</v>
      </c>
      <c r="CH49" s="27">
        <f>SUM(CH43:CH46)</f>
        <v>-68.418999999999997</v>
      </c>
      <c r="CI49" s="27">
        <f>SUM(CI43:CI46)</f>
        <v>-78.545000000000002</v>
      </c>
      <c r="CJ49" s="27">
        <f>SUM(CJ43:CJ46)</f>
        <v>-86.899999999999991</v>
      </c>
      <c r="CK49" s="27">
        <f>SUM(CK43:CK46)</f>
        <v>-87.6</v>
      </c>
      <c r="CL49" s="138">
        <f>SUM(CH49:CK49)</f>
        <v>-321.46399999999994</v>
      </c>
      <c r="CM49" s="27">
        <f>SUM(CM43:CM46)</f>
        <v>-84</v>
      </c>
      <c r="CN49" s="27">
        <f>SUM(CN43:CN46)</f>
        <v>-85.5</v>
      </c>
      <c r="CO49" s="27">
        <f>SUM(CO43:CO46)</f>
        <v>-88</v>
      </c>
      <c r="CP49" s="27">
        <f>SUM(CP43:CP46)</f>
        <v>-88.9</v>
      </c>
      <c r="CQ49" s="138">
        <f>SUM(CM49:CP49)</f>
        <v>-346.4</v>
      </c>
      <c r="CR49" s="27">
        <f>SUM(CR43:CR46)</f>
        <v>-92.6</v>
      </c>
      <c r="CS49" s="27">
        <f>SUM(CS43:CS46)</f>
        <v>-94.6</v>
      </c>
      <c r="CT49" s="27">
        <f>SUM(CT43:CT46)</f>
        <v>-97.2</v>
      </c>
      <c r="CU49" s="27">
        <f>SUM(CU43:CU46)</f>
        <v>-98.600000000000009</v>
      </c>
      <c r="CV49" s="138">
        <f>SUM(CR49:CU49)</f>
        <v>-383</v>
      </c>
    </row>
    <row r="50" spans="1:106" s="27" customFormat="1" ht="3.95" customHeight="1" x14ac:dyDescent="0.25">
      <c r="C50" s="122"/>
      <c r="D50" s="122"/>
      <c r="F50" s="139"/>
      <c r="G50" s="139"/>
      <c r="H50" s="139"/>
      <c r="I50" s="139"/>
      <c r="J50" s="139"/>
      <c r="O50" s="138"/>
      <c r="T50" s="138"/>
      <c r="Y50" s="138"/>
      <c r="AD50" s="138"/>
      <c r="AI50" s="138"/>
      <c r="AN50" s="138"/>
      <c r="AS50" s="138"/>
      <c r="AX50" s="138"/>
      <c r="BC50" s="138"/>
      <c r="BH50" s="138"/>
      <c r="BM50" s="138"/>
      <c r="BR50" s="138"/>
      <c r="BW50" s="138"/>
      <c r="CB50" s="138"/>
      <c r="CG50" s="138"/>
      <c r="CL50" s="138"/>
      <c r="CQ50" s="138"/>
      <c r="CV50" s="138"/>
    </row>
    <row r="51" spans="1:106" s="27" customFormat="1" ht="12" hidden="1" customHeight="1" x14ac:dyDescent="0.25">
      <c r="C51" s="122"/>
      <c r="D51" s="122"/>
      <c r="E51" s="27" t="s">
        <v>733</v>
      </c>
      <c r="F51" s="139"/>
      <c r="G51" s="139"/>
      <c r="H51" s="139"/>
      <c r="I51" s="139"/>
      <c r="J51" s="139"/>
      <c r="O51" s="138"/>
      <c r="T51" s="138"/>
      <c r="Y51" s="138"/>
      <c r="AD51" s="138"/>
      <c r="AI51" s="138"/>
      <c r="AN51" s="138"/>
      <c r="AS51" s="138"/>
      <c r="AX51" s="138"/>
      <c r="BC51" s="138"/>
      <c r="BH51" s="138"/>
      <c r="BM51" s="138"/>
      <c r="BR51" s="138"/>
      <c r="BW51" s="139"/>
      <c r="BX51" s="27">
        <f>LiveRamp!BX67-LiveRamp!BX55+'Acxiom Marketing Solutions'!BX52-'Acxiom Marketing Solutions'!BX39</f>
        <v>-51.420999999999985</v>
      </c>
      <c r="BY51" s="27">
        <f>LiveRamp!BY67-LiveRamp!BY55+'Acxiom Marketing Solutions'!BY52-'Acxiom Marketing Solutions'!BY39</f>
        <v>-50.849000000000004</v>
      </c>
      <c r="BZ51" s="27">
        <f>LiveRamp!BZ67-LiveRamp!BZ55+'Acxiom Marketing Solutions'!BZ52-'Acxiom Marketing Solutions'!BZ39</f>
        <v>-56.128999999999991</v>
      </c>
      <c r="CA51" s="27">
        <f>LiveRamp!CA67-LiveRamp!CA55+'Acxiom Marketing Solutions'!CA52-'Acxiom Marketing Solutions'!CA39</f>
        <v>-59.492000000000019</v>
      </c>
      <c r="CB51" s="139">
        <f>SUM(BX51:CA51)</f>
        <v>-217.89099999999999</v>
      </c>
      <c r="CC51" s="27">
        <f>LiveRamp!CC67-LiveRamp!CC55+'Acxiom Marketing Solutions'!CC52-'Acxiom Marketing Solutions'!CC39</f>
        <v>-57.814999999999969</v>
      </c>
      <c r="CD51" s="27">
        <f>LiveRamp!CD67-LiveRamp!CD55+'Acxiom Marketing Solutions'!CD52-'Acxiom Marketing Solutions'!CD39</f>
        <v>-60.847000000000008</v>
      </c>
      <c r="CE51" s="27">
        <f>LiveRamp!CE67-LiveRamp!CE55+'Acxiom Marketing Solutions'!CE52-'Acxiom Marketing Solutions'!CE39</f>
        <v>-64.551000000000002</v>
      </c>
      <c r="CF51" s="27">
        <f>LiveRamp!CF67-LiveRamp!CF55+'Acxiom Marketing Solutions'!CF52-'Acxiom Marketing Solutions'!CF39</f>
        <v>-73.197999999999979</v>
      </c>
      <c r="CG51" s="139">
        <f>SUM(CC51:CF51)</f>
        <v>-256.41099999999994</v>
      </c>
      <c r="CH51" s="27">
        <f>LiveRamp!CH67-LiveRamp!CH55+'Acxiom Marketing Solutions'!CH52-'Acxiom Marketing Solutions'!CH39</f>
        <v>-60.713000000000008</v>
      </c>
      <c r="CI51" s="27">
        <f>LiveRamp!CI67-LiveRamp!CI55+'Acxiom Marketing Solutions'!CI52-'Acxiom Marketing Solutions'!CI39</f>
        <v>-67.028712113805852</v>
      </c>
      <c r="CJ51" s="27">
        <f>LiveRamp!CJ67-LiveRamp!CJ55+'Acxiom Marketing Solutions'!CJ52-'Acxiom Marketing Solutions'!CJ39</f>
        <v>-39.593950309999997</v>
      </c>
      <c r="CK51" s="27">
        <f>LiveRamp!CK67-LiveRamp!CK55+'Acxiom Marketing Solutions'!CK52-'Acxiom Marketing Solutions'!CK39</f>
        <v>-42.196378640000013</v>
      </c>
      <c r="CL51" s="139">
        <f>SUM(CH51:CK51)</f>
        <v>-209.53204106380585</v>
      </c>
      <c r="CM51" s="27">
        <f>LiveRamp!CM67-LiveRamp!CM55+'Acxiom Marketing Solutions'!CM52-'Acxiom Marketing Solutions'!CM39</f>
        <v>-44.193510400000008</v>
      </c>
      <c r="CN51" s="27">
        <f>LiveRamp!CN67-LiveRamp!CN55+'Acxiom Marketing Solutions'!CN52-'Acxiom Marketing Solutions'!CN39</f>
        <v>-49.512390418030691</v>
      </c>
      <c r="CO51" s="27">
        <f>LiveRamp!CO67-LiveRamp!CO55+'Acxiom Marketing Solutions'!CO52-'Acxiom Marketing Solutions'!CO39</f>
        <v>-52.320841603120002</v>
      </c>
      <c r="CP51" s="27">
        <f>LiveRamp!CP67-LiveRamp!CP55+'Acxiom Marketing Solutions'!CP52-'Acxiom Marketing Solutions'!CP39</f>
        <v>-55.49685085202001</v>
      </c>
      <c r="CQ51" s="139">
        <f>SUM(CM51:CP51)</f>
        <v>-201.52359327317069</v>
      </c>
      <c r="CR51" s="27">
        <f>LiveRamp!CR67-LiveRamp!CR55+'Acxiom Marketing Solutions'!CR52-'Acxiom Marketing Solutions'!CR39</f>
        <v>-58.131805134000018</v>
      </c>
      <c r="CS51" s="27">
        <f>LiveRamp!CS67-LiveRamp!CS55+'Acxiom Marketing Solutions'!CS52-'Acxiom Marketing Solutions'!CS39</f>
        <v>-63.179754868433648</v>
      </c>
      <c r="CT51" s="27">
        <f>LiveRamp!CT67-LiveRamp!CT55+'Acxiom Marketing Solutions'!CT52-'Acxiom Marketing Solutions'!CT39</f>
        <v>-69.219296064000005</v>
      </c>
      <c r="CU51" s="27">
        <f>LiveRamp!CU67-LiveRamp!CU55+'Acxiom Marketing Solutions'!CU52-'Acxiom Marketing Solutions'!CU39</f>
        <v>-73.25737228937561</v>
      </c>
      <c r="CV51" s="139">
        <f>SUM(CR51:CU51)</f>
        <v>-263.78822835580928</v>
      </c>
    </row>
    <row r="52" spans="1:106" s="27" customFormat="1" ht="12" hidden="1" customHeight="1" x14ac:dyDescent="0.25">
      <c r="C52" s="122"/>
      <c r="D52" s="122"/>
      <c r="E52" s="27" t="s">
        <v>734</v>
      </c>
      <c r="F52" s="139"/>
      <c r="G52" s="139"/>
      <c r="H52" s="139"/>
      <c r="I52" s="139"/>
      <c r="J52" s="139"/>
      <c r="O52" s="138"/>
      <c r="T52" s="138"/>
      <c r="Y52" s="138"/>
      <c r="AD52" s="138"/>
      <c r="AI52" s="138"/>
      <c r="AN52" s="138"/>
      <c r="AS52" s="138"/>
      <c r="AX52" s="138"/>
      <c r="BC52" s="138"/>
      <c r="BH52" s="138"/>
      <c r="BM52" s="138"/>
      <c r="BR52" s="138"/>
      <c r="BS52" s="27">
        <f>BS173-BS28-BS29-BS30</f>
        <v>-37.393000000000008</v>
      </c>
      <c r="BT52" s="27">
        <f>BT173-BT28-BT29-BT30</f>
        <v>-39.905999999999999</v>
      </c>
      <c r="BU52" s="27">
        <f>BU173-BU28-BU29-BU30</f>
        <v>-45.893000000000008</v>
      </c>
      <c r="BV52" s="27">
        <f>BV173-BV28-BV29-BV30</f>
        <v>-51.076999999999991</v>
      </c>
      <c r="BW52" s="139">
        <f>SUM(BS52:BV52)</f>
        <v>-174.26900000000001</v>
      </c>
      <c r="BX52" s="27">
        <f>BX173-BX28-BX29-BX30</f>
        <v>-32.399000000000001</v>
      </c>
      <c r="BY52" s="27">
        <f>BY173-BY28-BY29-BY30</f>
        <v>-39.192999999999998</v>
      </c>
      <c r="BZ52" s="27">
        <f>BZ173-BZ28-BZ29-BZ30</f>
        <v>-41.599999999999994</v>
      </c>
      <c r="CA52" s="27">
        <f>CA173-CA28-CA29-CA30</f>
        <v>-55.790000000000006</v>
      </c>
      <c r="CB52" s="139">
        <f>SUM(BX52:CA52)</f>
        <v>-168.982</v>
      </c>
      <c r="CC52" s="27">
        <f>CC173-CC28-CC29-CC30</f>
        <v>-44.845999999999989</v>
      </c>
      <c r="CD52" s="27">
        <f>CD173-CD28-CD29-CD30</f>
        <v>-46.538999999999994</v>
      </c>
      <c r="CE52" s="27">
        <f>CE173-CE28-CE29-CE30</f>
        <v>-40.905000000000001</v>
      </c>
      <c r="CF52" s="27">
        <f>CF173-CF28-CF29-CF30</f>
        <v>-38.359000000000002</v>
      </c>
      <c r="CG52" s="139">
        <f>SUM(CC52:CF52)</f>
        <v>-170.649</v>
      </c>
      <c r="CH52" s="27">
        <f>CH173-CH28-CH29-CH30</f>
        <v>-44.928000000000004</v>
      </c>
      <c r="CI52" s="27">
        <f>CI173-CI28-CI29-CI30</f>
        <v>-46.495999999999995</v>
      </c>
      <c r="CJ52" s="27">
        <f>CJ173-CJ28-CJ29-CJ30</f>
        <v>-45.699999999999996</v>
      </c>
      <c r="CK52" s="27">
        <f>CK173-CK28-CK29-CK30</f>
        <v>-41.000000000000007</v>
      </c>
      <c r="CL52" s="139">
        <f>SUM(CH52:CK52)</f>
        <v>-178.124</v>
      </c>
      <c r="CM52" s="27">
        <f>CM173-CM28-CM29-CM30</f>
        <v>-37.200000000000003</v>
      </c>
      <c r="CN52" s="27">
        <f>CN173-CN28-CN29-CN30</f>
        <v>-37.200000000000003</v>
      </c>
      <c r="CO52" s="27">
        <f>CO173-CO28-CO29-CO30</f>
        <v>-37.700000000000003</v>
      </c>
      <c r="CP52" s="27">
        <f>CP173-CP28-CP29-CP30</f>
        <v>-37.1</v>
      </c>
      <c r="CQ52" s="139">
        <f>SUM(CM52:CP52)</f>
        <v>-149.20000000000002</v>
      </c>
      <c r="CR52" s="27">
        <f>CR173-CR28-CR29-CR30</f>
        <v>-36.700000000000003</v>
      </c>
      <c r="CS52" s="27">
        <f>CS173-CS28-CS29-CS30</f>
        <v>-36.700000000000003</v>
      </c>
      <c r="CT52" s="27">
        <f>CT173-CT28-CT29-CT30</f>
        <v>-36.700000000000003</v>
      </c>
      <c r="CU52" s="27">
        <f>CU173-CU28-CU29-CU30</f>
        <v>-37.200000000000003</v>
      </c>
      <c r="CV52" s="139">
        <f>SUM(CR52:CU52)</f>
        <v>-147.30000000000001</v>
      </c>
    </row>
    <row r="53" spans="1:106" s="27" customFormat="1" ht="3.75" hidden="1" customHeight="1" x14ac:dyDescent="0.25">
      <c r="C53" s="122"/>
      <c r="D53" s="122"/>
      <c r="F53" s="139"/>
      <c r="G53" s="139"/>
      <c r="H53" s="139"/>
      <c r="I53" s="139"/>
      <c r="J53" s="139"/>
      <c r="O53" s="138"/>
      <c r="T53" s="138"/>
      <c r="Y53" s="138"/>
      <c r="AD53" s="138"/>
      <c r="AI53" s="138"/>
      <c r="AN53" s="138"/>
      <c r="AS53" s="138"/>
      <c r="AX53" s="138"/>
      <c r="BC53" s="138"/>
      <c r="BH53" s="138"/>
      <c r="BM53" s="138"/>
      <c r="BR53" s="138"/>
      <c r="BW53" s="138"/>
      <c r="CB53" s="138"/>
      <c r="CG53" s="138"/>
      <c r="CL53" s="138"/>
      <c r="CQ53" s="138"/>
      <c r="CV53" s="138"/>
    </row>
    <row r="54" spans="1:106" s="127" customFormat="1" ht="12" customHeight="1" x14ac:dyDescent="0.25">
      <c r="A54" s="27"/>
      <c r="B54" s="27"/>
      <c r="C54" s="122"/>
      <c r="D54" s="122"/>
      <c r="E54" s="35" t="s">
        <v>613</v>
      </c>
      <c r="F54" s="35"/>
      <c r="G54" s="35"/>
      <c r="H54" s="35"/>
      <c r="I54" s="35"/>
      <c r="J54" s="35"/>
      <c r="K54" s="35"/>
      <c r="L54" s="35"/>
      <c r="M54" s="35"/>
      <c r="N54" s="35"/>
      <c r="O54" s="35"/>
      <c r="P54" s="35"/>
      <c r="Q54" s="35"/>
      <c r="R54" s="35"/>
      <c r="S54" s="35"/>
      <c r="T54" s="35">
        <f>T36+SUM(T47)</f>
        <v>121.20799999999991</v>
      </c>
      <c r="U54" s="35"/>
      <c r="V54" s="35"/>
      <c r="W54" s="35"/>
      <c r="X54" s="35"/>
      <c r="Y54" s="35">
        <f>Y36+SUM(Y47)</f>
        <v>140.58699999999999</v>
      </c>
      <c r="Z54" s="35"/>
      <c r="AA54" s="35"/>
      <c r="AB54" s="35"/>
      <c r="AC54" s="35"/>
      <c r="AD54" s="35">
        <f t="shared" ref="AD54:AX54" si="63">AD36+SUM(AD47)</f>
        <v>167.66699999999997</v>
      </c>
      <c r="AE54" s="35">
        <f t="shared" si="63"/>
        <v>16.028999999999968</v>
      </c>
      <c r="AF54" s="35">
        <f t="shared" si="63"/>
        <v>28.116999999999997</v>
      </c>
      <c r="AG54" s="35">
        <f t="shared" si="63"/>
        <v>33.891000000000012</v>
      </c>
      <c r="AH54" s="35">
        <f t="shared" si="63"/>
        <v>-1.4390000000000427</v>
      </c>
      <c r="AI54" s="35">
        <f t="shared" si="63"/>
        <v>76.289999999999935</v>
      </c>
      <c r="AJ54" s="35">
        <f t="shared" si="63"/>
        <v>25.013000000000005</v>
      </c>
      <c r="AK54" s="35">
        <f t="shared" si="63"/>
        <v>31.923000000000002</v>
      </c>
      <c r="AL54" s="35">
        <f t="shared" si="63"/>
        <v>34.575999999999993</v>
      </c>
      <c r="AM54" s="35">
        <f t="shared" si="63"/>
        <v>39.915000000000028</v>
      </c>
      <c r="AN54" s="35">
        <f t="shared" si="63"/>
        <v>132.11600000000001</v>
      </c>
      <c r="AO54" s="35">
        <f t="shared" si="63"/>
        <v>12.842999999999989</v>
      </c>
      <c r="AP54" s="35">
        <f t="shared" si="63"/>
        <v>21.220000000000027</v>
      </c>
      <c r="AQ54" s="35">
        <f t="shared" si="63"/>
        <v>30.397000000000027</v>
      </c>
      <c r="AR54" s="35">
        <f t="shared" si="63"/>
        <v>33.40899999999997</v>
      </c>
      <c r="AS54" s="35">
        <f t="shared" si="63"/>
        <v>97.869000000000113</v>
      </c>
      <c r="AT54" s="35">
        <f t="shared" si="63"/>
        <v>20.581000000000017</v>
      </c>
      <c r="AU54" s="35">
        <f t="shared" si="63"/>
        <v>25.076000000000008</v>
      </c>
      <c r="AV54" s="35">
        <f t="shared" si="63"/>
        <v>30.202000000000041</v>
      </c>
      <c r="AW54" s="35">
        <f t="shared" si="63"/>
        <v>33.588999999999963</v>
      </c>
      <c r="AX54" s="35">
        <f t="shared" si="63"/>
        <v>109.44799999999981</v>
      </c>
      <c r="AY54" s="35">
        <f>AY36+SUM(AY47)+AY48</f>
        <v>20.703999999999994</v>
      </c>
      <c r="AZ54" s="35">
        <f t="shared" ref="AZ54:BL54" si="64">AZ36+SUM(AZ47)</f>
        <v>29.51600000000002</v>
      </c>
      <c r="BA54" s="35">
        <f t="shared" si="64"/>
        <v>30.65000000000002</v>
      </c>
      <c r="BB54" s="35">
        <f t="shared" si="64"/>
        <v>34.889999999999986</v>
      </c>
      <c r="BC54" s="35">
        <f t="shared" si="64"/>
        <v>116.00399999999999</v>
      </c>
      <c r="BD54" s="35">
        <f t="shared" si="64"/>
        <v>25.583999999999996</v>
      </c>
      <c r="BE54" s="501">
        <f t="shared" si="64"/>
        <v>30.239999999999988</v>
      </c>
      <c r="BF54" s="35">
        <f t="shared" si="64"/>
        <v>26.772000000000048</v>
      </c>
      <c r="BG54" s="35">
        <f t="shared" si="64"/>
        <v>22.132999999999981</v>
      </c>
      <c r="BH54" s="35">
        <f t="shared" si="64"/>
        <v>104.7289999999999</v>
      </c>
      <c r="BI54" s="35">
        <f t="shared" si="64"/>
        <v>24.071999999999974</v>
      </c>
      <c r="BJ54" s="35">
        <f t="shared" si="64"/>
        <v>28.203999999999951</v>
      </c>
      <c r="BK54" s="35">
        <f t="shared" si="64"/>
        <v>29.334000000000046</v>
      </c>
      <c r="BL54" s="35">
        <f t="shared" si="64"/>
        <v>31.611000000000018</v>
      </c>
      <c r="BM54" s="35">
        <f>BM36+SUM(BM43:BM45)</f>
        <v>43.677999999999997</v>
      </c>
      <c r="BN54" s="35">
        <f>BN36+SUM(BN43:BN45)</f>
        <v>-5.9580000000000126</v>
      </c>
      <c r="BO54" s="35">
        <f>BO36+SUM(BO43:BO45)</f>
        <v>-5.6099999999999994</v>
      </c>
      <c r="BP54" s="35">
        <f>BP36+SUM(BP43:BP45)</f>
        <v>1.0910000000000082</v>
      </c>
      <c r="BQ54" s="35">
        <f>BQ36+SUM(BQ43:BQ45)</f>
        <v>0.39300000000000068</v>
      </c>
      <c r="BR54" s="35">
        <f>SUM(BN54:BQ54)</f>
        <v>-10.084000000000003</v>
      </c>
      <c r="BS54" s="35">
        <f>BS36+SUM(BS43:BS45)</f>
        <v>-2.0619999999999834</v>
      </c>
      <c r="BT54" s="35">
        <f>BT36+SUM(BT43:BT45)</f>
        <v>1.1770000000000067</v>
      </c>
      <c r="BU54" s="35">
        <f>BU36+SUM(BU43:BU45)</f>
        <v>3.6840000000000117</v>
      </c>
      <c r="BV54" s="35">
        <f>BV36+SUM(BV43:BV45)</f>
        <v>3.0990000000000038</v>
      </c>
      <c r="BW54" s="35">
        <f>SUM(BS54:BV54)</f>
        <v>5.8980000000000388</v>
      </c>
      <c r="BX54" s="35">
        <f>BX36+SUM(BX43:BX45)</f>
        <v>8.4759999999999849</v>
      </c>
      <c r="BY54" s="35">
        <f>BY36+SUM(BY43:BY45)</f>
        <v>7.4199999999999875</v>
      </c>
      <c r="BZ54" s="35">
        <f>BZ36+SUM(BZ43:BZ45)</f>
        <v>11.225999999999999</v>
      </c>
      <c r="CA54" s="35">
        <f>CA36+SUM(CA43:CA45)</f>
        <v>-3.0579999999999785</v>
      </c>
      <c r="CB54" s="35">
        <f>SUM(BX54:CA54)</f>
        <v>24.063999999999993</v>
      </c>
      <c r="CC54" s="35">
        <f>CC36+SUM(CC43:CC45)</f>
        <v>-39.822000000000003</v>
      </c>
      <c r="CD54" s="35">
        <f>CD36+SUM(CD43:CD45)</f>
        <v>-35.300000000000004</v>
      </c>
      <c r="CE54" s="35">
        <f>CE36+SUM(CE43:CE45)</f>
        <v>-28.477000000000004</v>
      </c>
      <c r="CF54" s="35">
        <f>CF36+SUM(CF43:CF45)</f>
        <v>-27.202000000000005</v>
      </c>
      <c r="CG54" s="35">
        <f>SUM(CC54:CF54)</f>
        <v>-130.80100000000002</v>
      </c>
      <c r="CH54" s="35">
        <f t="shared" ref="CH54:CQ54" si="65">CH36+SUM(CH43:CH45)</f>
        <v>-29.600000000000009</v>
      </c>
      <c r="CI54" s="35">
        <f t="shared" si="65"/>
        <v>-37.71</v>
      </c>
      <c r="CJ54" s="35">
        <f t="shared" si="65"/>
        <v>-47.473261999999991</v>
      </c>
      <c r="CK54" s="35">
        <f t="shared" si="65"/>
        <v>-44.159869999999984</v>
      </c>
      <c r="CL54" s="35">
        <f>CL36+SUM(CL43:CL45)</f>
        <v>-158.94313199999999</v>
      </c>
      <c r="CM54" s="35">
        <f t="shared" si="65"/>
        <v>-39.587699999999998</v>
      </c>
      <c r="CN54" s="35">
        <f t="shared" si="65"/>
        <v>-34.866920000000007</v>
      </c>
      <c r="CO54" s="35">
        <f t="shared" si="65"/>
        <v>-27.286869219999986</v>
      </c>
      <c r="CP54" s="35">
        <f>CP36+SUM(CP43:CP45)</f>
        <v>-27.726680699999996</v>
      </c>
      <c r="CQ54" s="35">
        <f t="shared" si="65"/>
        <v>-129.46816991999995</v>
      </c>
      <c r="CR54" s="35">
        <f t="shared" ref="CR54:CT54" si="66">CR36+SUM(CR43:CR45)</f>
        <v>-27.847296999999983</v>
      </c>
      <c r="CS54" s="35">
        <f t="shared" si="66"/>
        <v>-22.136267200000006</v>
      </c>
      <c r="CT54" s="35">
        <f t="shared" si="66"/>
        <v>-12.387509947699982</v>
      </c>
      <c r="CU54" s="35">
        <f>CU36+SUM(CU43:CU45)</f>
        <v>-11.99662954599998</v>
      </c>
      <c r="CV54" s="35">
        <f t="shared" ref="CV54" si="67">CV36+SUM(CV43:CV45)</f>
        <v>-74.36770369369998</v>
      </c>
      <c r="CW54" s="27"/>
      <c r="CX54" s="27"/>
      <c r="CY54" s="27"/>
      <c r="CZ54" s="27"/>
      <c r="DA54" s="27"/>
      <c r="DB54" s="27"/>
    </row>
    <row r="55" spans="1:106" s="34" customFormat="1" ht="12" customHeight="1" x14ac:dyDescent="0.25">
      <c r="A55" s="123"/>
      <c r="B55" s="123"/>
      <c r="C55" s="99"/>
      <c r="D55" s="99"/>
      <c r="E55" s="31" t="s">
        <v>2</v>
      </c>
      <c r="G55" s="32"/>
      <c r="H55" s="32"/>
      <c r="I55" s="32"/>
      <c r="J55" s="32"/>
      <c r="K55" s="31"/>
      <c r="L55" s="31"/>
      <c r="M55" s="31"/>
      <c r="N55" s="31"/>
      <c r="O55" s="32"/>
      <c r="P55" s="32"/>
      <c r="Q55" s="32"/>
      <c r="R55" s="32"/>
      <c r="S55" s="32"/>
      <c r="T55" s="32"/>
      <c r="U55" s="32"/>
      <c r="V55" s="32"/>
      <c r="W55" s="32"/>
      <c r="X55" s="32"/>
      <c r="Y55" s="32"/>
      <c r="Z55" s="32"/>
      <c r="AA55" s="32"/>
      <c r="AB55" s="32"/>
      <c r="AC55" s="32"/>
      <c r="AD55" s="32"/>
      <c r="AE55" s="32"/>
      <c r="AF55" s="32"/>
      <c r="AG55" s="32"/>
      <c r="AH55" s="32"/>
      <c r="AI55" s="32"/>
      <c r="AJ55" s="32">
        <f t="shared" ref="AJ55:BM55" si="68">(AJ54-AE54)/ABS(AE54)</f>
        <v>0.56048412252792157</v>
      </c>
      <c r="AK55" s="32">
        <f t="shared" si="68"/>
        <v>0.13536294768289664</v>
      </c>
      <c r="AL55" s="32">
        <f t="shared" si="68"/>
        <v>2.0211855654893061E-2</v>
      </c>
      <c r="AM55" s="32">
        <f t="shared" si="68"/>
        <v>28.738012508685784</v>
      </c>
      <c r="AN55" s="32">
        <f t="shared" si="68"/>
        <v>0.73176038799318555</v>
      </c>
      <c r="AO55" s="32">
        <f t="shared" si="68"/>
        <v>-0.48654699556230813</v>
      </c>
      <c r="AP55" s="32">
        <f t="shared" si="68"/>
        <v>-0.33527550668796713</v>
      </c>
      <c r="AQ55" s="32">
        <f t="shared" si="68"/>
        <v>-0.12086418324849513</v>
      </c>
      <c r="AR55" s="32">
        <f t="shared" si="68"/>
        <v>-0.16299636728047232</v>
      </c>
      <c r="AS55" s="32">
        <f t="shared" si="68"/>
        <v>-0.25921917103151698</v>
      </c>
      <c r="AT55" s="32">
        <f t="shared" si="68"/>
        <v>0.60250720236705091</v>
      </c>
      <c r="AU55" s="32">
        <f t="shared" si="68"/>
        <v>0.18171536286522033</v>
      </c>
      <c r="AV55" s="32">
        <f t="shared" si="68"/>
        <v>-6.415106753955519E-3</v>
      </c>
      <c r="AW55" s="32">
        <f t="shared" si="68"/>
        <v>5.3877697626385935E-3</v>
      </c>
      <c r="AX55" s="32">
        <f t="shared" si="68"/>
        <v>0.11831121192614293</v>
      </c>
      <c r="AY55" s="32">
        <f t="shared" si="68"/>
        <v>5.976385987074298E-3</v>
      </c>
      <c r="AZ55" s="32">
        <f t="shared" si="68"/>
        <v>0.17706173233370595</v>
      </c>
      <c r="BA55" s="32">
        <f t="shared" si="68"/>
        <v>1.4833454738096103E-2</v>
      </c>
      <c r="BB55" s="32">
        <f t="shared" si="68"/>
        <v>3.8732918514990763E-2</v>
      </c>
      <c r="BC55" s="32">
        <f t="shared" si="68"/>
        <v>5.9900592061985544E-2</v>
      </c>
      <c r="BD55" s="32">
        <f t="shared" si="68"/>
        <v>0.23570324574961379</v>
      </c>
      <c r="BE55" s="32">
        <f t="shared" si="68"/>
        <v>2.452906897953543E-2</v>
      </c>
      <c r="BF55" s="32">
        <f t="shared" si="68"/>
        <v>-0.12652528548123879</v>
      </c>
      <c r="BG55" s="32">
        <f t="shared" si="68"/>
        <v>-0.36563485239323618</v>
      </c>
      <c r="BH55" s="32">
        <f t="shared" si="68"/>
        <v>-9.7194924312955511E-2</v>
      </c>
      <c r="BI55" s="32">
        <f t="shared" si="68"/>
        <v>-5.9099437148218498E-2</v>
      </c>
      <c r="BJ55" s="32">
        <f t="shared" si="68"/>
        <v>-6.7328042328043569E-2</v>
      </c>
      <c r="BK55" s="32">
        <f t="shared" si="68"/>
        <v>9.5696996862393288E-2</v>
      </c>
      <c r="BL55" s="32">
        <f t="shared" si="68"/>
        <v>0.42822934080332736</v>
      </c>
      <c r="BM55" s="32">
        <f t="shared" si="68"/>
        <v>-0.58294264243905658</v>
      </c>
      <c r="BN55" s="32">
        <f t="shared" ref="BN55:BW55" si="69">(BN54-BI54)/ABS(BI54)</f>
        <v>-1.247507477567299</v>
      </c>
      <c r="BO55" s="32">
        <f t="shared" si="69"/>
        <v>-1.198907956318253</v>
      </c>
      <c r="BP55" s="32">
        <f t="shared" si="69"/>
        <v>-0.96280766346219382</v>
      </c>
      <c r="BQ55" s="32">
        <f t="shared" si="69"/>
        <v>-0.98756761886685018</v>
      </c>
      <c r="BR55" s="32">
        <f t="shared" si="69"/>
        <v>-1.2308713768945465</v>
      </c>
      <c r="BS55" s="32">
        <f>(BS54-BN54)/ABS(BN54)</f>
        <v>0.65391070829137643</v>
      </c>
      <c r="BT55" s="32">
        <f>(BT54-BO54)/ABS(BO54)</f>
        <v>1.2098039215686287</v>
      </c>
      <c r="BU55" s="32">
        <f>(BU54-BP54)/ABS(BP54)</f>
        <v>2.3767186067827537</v>
      </c>
      <c r="BV55" s="32">
        <f>(BV54-BQ54)/ABS(BQ54)</f>
        <v>6.8854961832061026</v>
      </c>
      <c r="BW55" s="32">
        <f t="shared" si="69"/>
        <v>1.584886949623169</v>
      </c>
      <c r="BX55" s="32">
        <f>(BX54-BS54)/ABS(BS54)</f>
        <v>5.1105722599418302</v>
      </c>
      <c r="BY55" s="32">
        <f>(BY54-BT54)/ABS(BT54)</f>
        <v>5.3041631265929867</v>
      </c>
      <c r="BZ55" s="32">
        <f>(BZ54-BU54)/ABS(BU54)</f>
        <v>2.0472312703582962</v>
      </c>
      <c r="CA55" s="32">
        <f t="shared" ref="CA55:CF55" si="70">(CA54-BV54)/ABS(BV54)</f>
        <v>-1.9867699257825024</v>
      </c>
      <c r="CB55" s="32">
        <f t="shared" si="70"/>
        <v>3.0800271278399176</v>
      </c>
      <c r="CC55" s="32">
        <f>(CC54-BX54)/ABS(BX54)</f>
        <v>-5.698206701274195</v>
      </c>
      <c r="CD55" s="32">
        <f>(CD54-BY54)/ABS(BY54)</f>
        <v>-5.7574123989218418</v>
      </c>
      <c r="CE55" s="32">
        <f t="shared" si="70"/>
        <v>-3.5367005166577594</v>
      </c>
      <c r="CF55" s="32">
        <f t="shared" si="70"/>
        <v>-7.8953564421190965</v>
      </c>
      <c r="CG55" s="471" t="s">
        <v>490</v>
      </c>
      <c r="CH55" s="32">
        <f t="shared" ref="CH55:CQ55" si="71">(CH54-CC54)/ABS(CC54)</f>
        <v>0.25669228064888738</v>
      </c>
      <c r="CI55" s="32">
        <f t="shared" si="71"/>
        <v>-6.8271954674220856E-2</v>
      </c>
      <c r="CJ55" s="32">
        <f t="shared" si="71"/>
        <v>-0.66707384907117973</v>
      </c>
      <c r="CK55" s="32">
        <f t="shared" si="71"/>
        <v>-0.62340526431879917</v>
      </c>
      <c r="CL55" s="32">
        <f t="shared" si="71"/>
        <v>-0.21515226947806187</v>
      </c>
      <c r="CM55" s="32">
        <f t="shared" si="71"/>
        <v>-0.33742229729729684</v>
      </c>
      <c r="CN55" s="32">
        <f t="shared" si="71"/>
        <v>7.5393264386104303E-2</v>
      </c>
      <c r="CO55" s="32">
        <f t="shared" si="71"/>
        <v>0.42521604645579253</v>
      </c>
      <c r="CP55" s="32">
        <f t="shared" si="71"/>
        <v>0.37212947637753452</v>
      </c>
      <c r="CQ55" s="32">
        <f t="shared" si="71"/>
        <v>0.18544344577279401</v>
      </c>
      <c r="CR55" s="32">
        <f t="shared" ref="CR55" si="72">(CR54-CM54)/ABS(CM54)</f>
        <v>0.2965669387208657</v>
      </c>
      <c r="CS55" s="32">
        <f t="shared" ref="CS55" si="73">(CS54-CN54)/ABS(CN54)</f>
        <v>0.36512123238875127</v>
      </c>
      <c r="CT55" s="32">
        <f t="shared" ref="CT55" si="74">(CT54-CO54)/ABS(CO54)</f>
        <v>0.54602670435271028</v>
      </c>
      <c r="CU55" s="32">
        <f t="shared" ref="CU55" si="75">(CU54-CP54)/ABS(CP54)</f>
        <v>0.56732543372925337</v>
      </c>
      <c r="CV55" s="32">
        <f t="shared" ref="CV55" si="76">(CV54-CQ54)/ABS(CQ54)</f>
        <v>0.42559083256021352</v>
      </c>
      <c r="CW55" s="94"/>
      <c r="CX55" s="722"/>
      <c r="CY55" s="94"/>
      <c r="CZ55" s="94"/>
      <c r="DA55" s="94"/>
      <c r="DB55" s="94"/>
    </row>
    <row r="56" spans="1:106" s="31" customFormat="1" ht="12" customHeight="1" x14ac:dyDescent="0.25">
      <c r="A56" s="123"/>
      <c r="B56" s="123"/>
      <c r="C56" s="99"/>
      <c r="D56" s="99"/>
      <c r="E56" s="31" t="s">
        <v>91</v>
      </c>
      <c r="F56" s="32"/>
      <c r="G56" s="32"/>
      <c r="H56" s="32"/>
      <c r="I56" s="32"/>
      <c r="J56" s="32"/>
      <c r="K56" s="32"/>
      <c r="L56" s="32"/>
      <c r="M56" s="32"/>
      <c r="N56" s="32"/>
      <c r="O56" s="32"/>
      <c r="P56" s="32"/>
      <c r="Q56" s="32"/>
      <c r="R56" s="32"/>
      <c r="S56" s="32"/>
      <c r="T56" s="32"/>
      <c r="U56" s="32"/>
      <c r="V56" s="32"/>
      <c r="W56" s="32"/>
      <c r="X56" s="32"/>
      <c r="Y56" s="32"/>
      <c r="Z56" s="32"/>
      <c r="AA56" s="32"/>
      <c r="AB56" s="32"/>
      <c r="AC56" s="32"/>
      <c r="AD56" s="32"/>
      <c r="AE56" s="32">
        <f t="shared" ref="AE56:BJ56" si="77">AE54/AE22</f>
        <v>4.7895084396821844E-2</v>
      </c>
      <c r="AF56" s="32">
        <f t="shared" si="77"/>
        <v>8.0598187207255756E-2</v>
      </c>
      <c r="AG56" s="32">
        <f t="shared" si="77"/>
        <v>9.6621897086033456E-2</v>
      </c>
      <c r="AH56" s="32">
        <f t="shared" si="77"/>
        <v>-4.1138145838873486E-3</v>
      </c>
      <c r="AI56" s="32">
        <f t="shared" si="77"/>
        <v>5.5131954637002753E-2</v>
      </c>
      <c r="AJ56" s="32">
        <f t="shared" si="77"/>
        <v>7.5551313456548877E-2</v>
      </c>
      <c r="AK56" s="32">
        <f t="shared" si="77"/>
        <v>9.7049569063796803E-2</v>
      </c>
      <c r="AL56" s="32">
        <f t="shared" si="77"/>
        <v>0.10769460779427886</v>
      </c>
      <c r="AM56" s="32">
        <f t="shared" si="77"/>
        <v>0.13507202826309866</v>
      </c>
      <c r="AN56" s="32">
        <f t="shared" si="77"/>
        <v>0.10343688295745118</v>
      </c>
      <c r="AO56" s="32">
        <f t="shared" si="77"/>
        <v>5.0171692430297524E-2</v>
      </c>
      <c r="AP56" s="32">
        <f t="shared" si="77"/>
        <v>7.8272256136921209E-2</v>
      </c>
      <c r="AQ56" s="32">
        <f t="shared" si="77"/>
        <v>0.10710447592906455</v>
      </c>
      <c r="AR56" s="32">
        <f t="shared" si="77"/>
        <v>0.11586588148795518</v>
      </c>
      <c r="AS56" s="32">
        <f t="shared" si="77"/>
        <v>8.9033737098982574E-2</v>
      </c>
      <c r="AT56" s="32">
        <f t="shared" si="77"/>
        <v>7.9408439726984109E-2</v>
      </c>
      <c r="AU56" s="32">
        <f t="shared" si="77"/>
        <v>8.9735010467176038E-2</v>
      </c>
      <c r="AV56" s="32">
        <f t="shared" si="77"/>
        <v>0.1049026588631668</v>
      </c>
      <c r="AW56" s="32">
        <f t="shared" si="77"/>
        <v>0.11694316302550253</v>
      </c>
      <c r="AX56" s="32">
        <f t="shared" si="77"/>
        <v>9.8269456271312894E-2</v>
      </c>
      <c r="AY56" s="32">
        <f t="shared" si="77"/>
        <v>7.5002535827621661E-2</v>
      </c>
      <c r="AZ56" s="32">
        <f t="shared" si="77"/>
        <v>0.1030471455703274</v>
      </c>
      <c r="BA56" s="32">
        <f t="shared" si="77"/>
        <v>0.1091162827126344</v>
      </c>
      <c r="BB56" s="32">
        <f t="shared" si="77"/>
        <v>0.12146002680545155</v>
      </c>
      <c r="BC56" s="32">
        <f t="shared" si="77"/>
        <v>0.10260174912260839</v>
      </c>
      <c r="BD56" s="32">
        <f t="shared" si="77"/>
        <v>9.4176890881583153E-2</v>
      </c>
      <c r="BE56" s="32">
        <f t="shared" si="77"/>
        <v>0.10898593346235765</v>
      </c>
      <c r="BF56" s="32">
        <f t="shared" si="77"/>
        <v>9.8029307731177531E-2</v>
      </c>
      <c r="BG56" s="32">
        <f t="shared" si="77"/>
        <v>7.9864757100432587E-2</v>
      </c>
      <c r="BH56" s="32">
        <f t="shared" si="77"/>
        <v>9.5263694571109087E-2</v>
      </c>
      <c r="BI56" s="32">
        <f t="shared" si="77"/>
        <v>9.0430627401922578E-2</v>
      </c>
      <c r="BJ56" s="32">
        <f t="shared" si="77"/>
        <v>0.10208816705336411</v>
      </c>
      <c r="BK56" s="32">
        <f t="shared" ref="BK56:CQ56" si="78">BK54/BK22</f>
        <v>0.10556621190255995</v>
      </c>
      <c r="BL56" s="32">
        <f t="shared" si="78"/>
        <v>0.11403350552653609</v>
      </c>
      <c r="BM56" s="32">
        <f t="shared" si="78"/>
        <v>5.4248074589550055E-2</v>
      </c>
      <c r="BN56" s="32">
        <f t="shared" si="78"/>
        <v>-3.1915064574706928E-2</v>
      </c>
      <c r="BO56" s="32">
        <f t="shared" si="78"/>
        <v>-2.746660922016372E-2</v>
      </c>
      <c r="BP56" s="32">
        <f t="shared" si="78"/>
        <v>5.2389961872017143E-3</v>
      </c>
      <c r="BQ56" s="32">
        <f t="shared" si="78"/>
        <v>1.9102336026130861E-3</v>
      </c>
      <c r="BR56" s="32">
        <f t="shared" si="78"/>
        <v>-1.2528093168064547E-2</v>
      </c>
      <c r="BS56" s="32">
        <f t="shared" si="78"/>
        <v>-1.0472586911805699E-2</v>
      </c>
      <c r="BT56" s="32">
        <f t="shared" si="78"/>
        <v>5.6765294557380537E-3</v>
      </c>
      <c r="BU56" s="32">
        <f t="shared" si="78"/>
        <v>1.6655138272911041E-2</v>
      </c>
      <c r="BV56" s="32">
        <f t="shared" si="78"/>
        <v>1.3794484876811126E-2</v>
      </c>
      <c r="BW56" s="32">
        <f t="shared" si="78"/>
        <v>6.9381052314584357E-3</v>
      </c>
      <c r="BX56" s="32">
        <f t="shared" si="78"/>
        <v>3.9459779051307889E-2</v>
      </c>
      <c r="BY56" s="32">
        <f t="shared" si="78"/>
        <v>3.4151527843620924E-2</v>
      </c>
      <c r="BZ56" s="32">
        <f t="shared" si="78"/>
        <v>5.0270473597477959E-2</v>
      </c>
      <c r="CA56" s="32">
        <f t="shared" si="78"/>
        <v>-1.3599089243467182E-2</v>
      </c>
      <c r="CB56" s="32">
        <f t="shared" si="78"/>
        <v>2.7337750270378339E-2</v>
      </c>
      <c r="CC56" s="32">
        <f t="shared" si="78"/>
        <v>-0.85167996235857746</v>
      </c>
      <c r="CD56" s="32">
        <f t="shared" si="78"/>
        <v>-0.65354636846685066</v>
      </c>
      <c r="CE56" s="32">
        <f t="shared" si="78"/>
        <v>-0.48167317873513649</v>
      </c>
      <c r="CF56" s="32">
        <f t="shared" si="78"/>
        <v>-0.45178541770470032</v>
      </c>
      <c r="CG56" s="32">
        <f t="shared" si="78"/>
        <v>-0.59427717275250913</v>
      </c>
      <c r="CH56" s="32">
        <f t="shared" si="78"/>
        <v>-0.47381985241151908</v>
      </c>
      <c r="CI56" s="32">
        <f t="shared" si="78"/>
        <v>-0.58183669690798001</v>
      </c>
      <c r="CJ56" s="32">
        <f t="shared" si="78"/>
        <v>-0.63023122015452182</v>
      </c>
      <c r="CK56" s="32">
        <f t="shared" si="78"/>
        <v>-0.55588869252857442</v>
      </c>
      <c r="CL56" s="32">
        <f t="shared" si="78"/>
        <v>-0.56352847504257653</v>
      </c>
      <c r="CM56" s="32">
        <f t="shared" si="78"/>
        <v>-0.48745941193636921</v>
      </c>
      <c r="CN56" s="32">
        <f t="shared" si="78"/>
        <v>-0.39338495288666503</v>
      </c>
      <c r="CO56" s="32">
        <f t="shared" si="78"/>
        <v>-0.27174602572430601</v>
      </c>
      <c r="CP56" s="32">
        <f t="shared" si="78"/>
        <v>-0.27110375305869233</v>
      </c>
      <c r="CQ56" s="32">
        <f t="shared" si="78"/>
        <v>-0.34753585993496738</v>
      </c>
      <c r="CR56" s="32">
        <f t="shared" ref="CR56:CV56" si="79">CR54/CR22</f>
        <v>-0.26037020307939274</v>
      </c>
      <c r="CS56" s="32">
        <f t="shared" si="79"/>
        <v>-0.19039701088971064</v>
      </c>
      <c r="CT56" s="32">
        <f t="shared" si="79"/>
        <v>-9.3764866159104857E-2</v>
      </c>
      <c r="CU56" s="32">
        <f t="shared" si="79"/>
        <v>-8.9258398100260913E-2</v>
      </c>
      <c r="CV56" s="32">
        <f t="shared" si="79"/>
        <v>-0.15185378676187442</v>
      </c>
      <c r="CW56" s="94"/>
      <c r="CX56" s="722"/>
      <c r="CY56" s="94"/>
      <c r="CZ56" s="94"/>
      <c r="DA56" s="94"/>
      <c r="DB56" s="94"/>
    </row>
    <row r="57" spans="1:106" s="127" customFormat="1" ht="12" customHeight="1" x14ac:dyDescent="0.25">
      <c r="A57" s="27"/>
      <c r="B57" s="27"/>
      <c r="C57" s="122"/>
      <c r="D57" s="122"/>
      <c r="E57" s="35" t="s">
        <v>36</v>
      </c>
      <c r="F57" s="35"/>
      <c r="G57" s="35"/>
      <c r="H57" s="35"/>
      <c r="I57" s="35"/>
      <c r="J57" s="35"/>
      <c r="K57" s="35"/>
      <c r="L57" s="35"/>
      <c r="M57" s="35"/>
      <c r="N57" s="35"/>
      <c r="O57" s="35"/>
      <c r="P57" s="35"/>
      <c r="Q57" s="35"/>
      <c r="R57" s="35"/>
      <c r="S57" s="35"/>
      <c r="T57" s="35">
        <f>T54+T48</f>
        <v>122.19199999999991</v>
      </c>
      <c r="U57" s="35"/>
      <c r="V57" s="35"/>
      <c r="W57" s="35"/>
      <c r="X57" s="35"/>
      <c r="Y57" s="35">
        <f>Y54+Y48</f>
        <v>131.083</v>
      </c>
      <c r="Z57" s="35"/>
      <c r="AA57" s="35"/>
      <c r="AB57" s="35"/>
      <c r="AC57" s="35"/>
      <c r="AD57" s="35">
        <f t="shared" ref="AD57:AX57" si="80">AD54+AD48</f>
        <v>158.76999999999998</v>
      </c>
      <c r="AE57" s="35">
        <f t="shared" si="80"/>
        <v>0.63899999999996737</v>
      </c>
      <c r="AF57" s="35">
        <f t="shared" si="80"/>
        <v>18.184999999999995</v>
      </c>
      <c r="AG57" s="35">
        <f t="shared" si="80"/>
        <v>97.38000000000001</v>
      </c>
      <c r="AH57" s="35">
        <f t="shared" si="80"/>
        <v>-75.958000000000055</v>
      </c>
      <c r="AI57" s="35">
        <f t="shared" si="80"/>
        <v>39.937999999999924</v>
      </c>
      <c r="AJ57" s="35">
        <f t="shared" si="80"/>
        <v>25.558000000000007</v>
      </c>
      <c r="AK57" s="35">
        <f t="shared" si="80"/>
        <v>34.292999999999999</v>
      </c>
      <c r="AL57" s="35">
        <f t="shared" si="80"/>
        <v>-8.5990000000000038</v>
      </c>
      <c r="AM57" s="35">
        <f t="shared" si="80"/>
        <v>41.60900000000003</v>
      </c>
      <c r="AN57" s="35">
        <f t="shared" si="80"/>
        <v>93.550000000000011</v>
      </c>
      <c r="AO57" s="35">
        <f t="shared" si="80"/>
        <v>12.49599999999999</v>
      </c>
      <c r="AP57" s="35">
        <f t="shared" si="80"/>
        <v>21.247000000000028</v>
      </c>
      <c r="AQ57" s="35">
        <f t="shared" si="80"/>
        <v>29.859000000000027</v>
      </c>
      <c r="AR57" s="35">
        <f t="shared" si="80"/>
        <v>35.21099999999997</v>
      </c>
      <c r="AS57" s="35">
        <f t="shared" si="80"/>
        <v>98.813000000000116</v>
      </c>
      <c r="AT57" s="35">
        <f t="shared" si="80"/>
        <v>20.638000000000016</v>
      </c>
      <c r="AU57" s="35">
        <f t="shared" si="80"/>
        <v>24.998000000000008</v>
      </c>
      <c r="AV57" s="35">
        <f t="shared" si="80"/>
        <v>33.842000000000041</v>
      </c>
      <c r="AW57" s="35">
        <f t="shared" si="80"/>
        <v>-54.304000000000038</v>
      </c>
      <c r="AX57" s="35">
        <f t="shared" si="80"/>
        <v>25.173999999999808</v>
      </c>
      <c r="AY57" s="35">
        <f>AY54</f>
        <v>20.703999999999994</v>
      </c>
      <c r="AZ57" s="35">
        <f t="shared" ref="AZ57:BL57" si="81">AZ54+AZ48</f>
        <v>27.05100000000002</v>
      </c>
      <c r="BA57" s="35">
        <f t="shared" si="81"/>
        <v>15.518000000000018</v>
      </c>
      <c r="BB57" s="35">
        <f t="shared" si="81"/>
        <v>22.289999999999985</v>
      </c>
      <c r="BC57" s="35">
        <f t="shared" si="81"/>
        <v>85.562999999999988</v>
      </c>
      <c r="BD57" s="35">
        <f t="shared" si="81"/>
        <v>25.423999999999996</v>
      </c>
      <c r="BE57" s="35">
        <f t="shared" si="81"/>
        <v>30.207999999999988</v>
      </c>
      <c r="BF57" s="35">
        <f t="shared" si="81"/>
        <v>26.898000000000049</v>
      </c>
      <c r="BG57" s="35">
        <f t="shared" si="81"/>
        <v>20.188999999999982</v>
      </c>
      <c r="BH57" s="35">
        <f t="shared" si="81"/>
        <v>102.71899999999989</v>
      </c>
      <c r="BI57" s="35">
        <f t="shared" si="81"/>
        <v>24.071999999999974</v>
      </c>
      <c r="BJ57" s="35">
        <f t="shared" si="81"/>
        <v>19.63099999999995</v>
      </c>
      <c r="BK57" s="35">
        <f t="shared" si="81"/>
        <v>19.780000000000044</v>
      </c>
      <c r="BL57" s="35">
        <f t="shared" si="81"/>
        <v>-15.198999999999977</v>
      </c>
      <c r="BM57" s="35">
        <f>BM54+BM46</f>
        <v>1.5569999999999951</v>
      </c>
      <c r="BN57" s="35">
        <f>BN54+BN46</f>
        <v>-13.086000000000013</v>
      </c>
      <c r="BO57" s="35">
        <f>BO54+BO46</f>
        <v>-6.4429999999999996</v>
      </c>
      <c r="BP57" s="536">
        <f>BP54+BP46</f>
        <v>-2.2899999999999916</v>
      </c>
      <c r="BQ57" s="35">
        <f>BQ54+BQ46</f>
        <v>-10.864999999999998</v>
      </c>
      <c r="BR57" s="35">
        <f>SUM(BN57:BQ57)</f>
        <v>-32.683999999999997</v>
      </c>
      <c r="BS57" s="35">
        <f>BS54+BS46</f>
        <v>-2.8689999999999833</v>
      </c>
      <c r="BT57" s="35">
        <f>BT54+BT46</f>
        <v>-2.0559999999999934</v>
      </c>
      <c r="BU57" s="35">
        <f>BU54+BU46</f>
        <v>-0.37399999999998812</v>
      </c>
      <c r="BV57" s="35">
        <f>BV54+BV46</f>
        <v>-7.7639999999999958</v>
      </c>
      <c r="BW57" s="35">
        <f>SUM(BS57:BV57)</f>
        <v>-13.06299999999996</v>
      </c>
      <c r="BX57" s="35">
        <f>BX54+BX46</f>
        <v>8.1619999999999848</v>
      </c>
      <c r="BY57" s="35">
        <f>BY54+BY46</f>
        <v>7.1199999999999877</v>
      </c>
      <c r="BZ57" s="35">
        <f>BZ54+BZ46</f>
        <v>9.1149999999999984</v>
      </c>
      <c r="CA57" s="35">
        <f>CA54+CA46</f>
        <v>-8.7079999999999789</v>
      </c>
      <c r="CB57" s="35">
        <f>SUM(BX57:CA57)</f>
        <v>15.688999999999991</v>
      </c>
      <c r="CC57" s="35">
        <f>CC54+CC46</f>
        <v>-39.819000000000003</v>
      </c>
      <c r="CD57" s="35">
        <f>CD54+CD46</f>
        <v>-38.133000000000003</v>
      </c>
      <c r="CE57" s="35">
        <f>CE54+CE46</f>
        <v>-27.689000000000004</v>
      </c>
      <c r="CF57" s="35">
        <f>CF54+CF46</f>
        <v>-27.883000000000006</v>
      </c>
      <c r="CG57" s="35">
        <f>SUM(CC57:CF57)</f>
        <v>-133.524</v>
      </c>
      <c r="CH57" s="35">
        <f t="shared" ref="CH57:CQ57" si="82">CH54+CH46</f>
        <v>-29.602000000000007</v>
      </c>
      <c r="CI57" s="35">
        <f t="shared" si="82"/>
        <v>-38.198999999999998</v>
      </c>
      <c r="CJ57" s="35">
        <f t="shared" si="82"/>
        <v>-49.573261999999993</v>
      </c>
      <c r="CK57" s="35">
        <f t="shared" si="82"/>
        <v>-45.659869999999984</v>
      </c>
      <c r="CL57" s="35">
        <f>CL54+CL46</f>
        <v>-163.034132</v>
      </c>
      <c r="CM57" s="35">
        <f t="shared" si="82"/>
        <v>-39.587699999999998</v>
      </c>
      <c r="CN57" s="35">
        <f t="shared" si="82"/>
        <v>-34.866920000000007</v>
      </c>
      <c r="CO57" s="35">
        <f t="shared" si="82"/>
        <v>-27.286869219999986</v>
      </c>
      <c r="CP57" s="35">
        <f t="shared" si="82"/>
        <v>-27.726680699999996</v>
      </c>
      <c r="CQ57" s="35">
        <f t="shared" si="82"/>
        <v>-129.46816991999995</v>
      </c>
      <c r="CR57" s="35">
        <f t="shared" ref="CR57:CV57" si="83">CR54+CR46</f>
        <v>-27.847296999999983</v>
      </c>
      <c r="CS57" s="35">
        <f t="shared" si="83"/>
        <v>-22.136267200000006</v>
      </c>
      <c r="CT57" s="35">
        <f t="shared" si="83"/>
        <v>-12.387509947699982</v>
      </c>
      <c r="CU57" s="35">
        <f t="shared" si="83"/>
        <v>-11.99662954599998</v>
      </c>
      <c r="CV57" s="35">
        <f t="shared" si="83"/>
        <v>-74.36770369369998</v>
      </c>
      <c r="CW57" s="27"/>
      <c r="CX57" s="27"/>
      <c r="CY57" s="27"/>
      <c r="CZ57" s="27"/>
      <c r="DA57" s="27"/>
      <c r="DB57" s="27"/>
    </row>
    <row r="58" spans="1:106" s="31" customFormat="1" ht="12" customHeight="1" x14ac:dyDescent="0.25">
      <c r="A58" s="123"/>
      <c r="B58" s="123"/>
      <c r="C58" s="99"/>
      <c r="D58" s="99"/>
      <c r="E58" s="31" t="s">
        <v>91</v>
      </c>
      <c r="F58" s="32"/>
      <c r="G58" s="32"/>
      <c r="H58" s="32"/>
      <c r="I58" s="32"/>
      <c r="J58" s="32"/>
      <c r="K58" s="32"/>
      <c r="L58" s="32"/>
      <c r="M58" s="32"/>
      <c r="N58" s="32"/>
      <c r="O58" s="32"/>
      <c r="P58" s="32"/>
      <c r="Q58" s="32"/>
      <c r="R58" s="32"/>
      <c r="S58" s="32"/>
      <c r="T58" s="32">
        <f>T57/T22</f>
        <v>9.9908261531492723E-2</v>
      </c>
      <c r="U58" s="32"/>
      <c r="V58" s="32"/>
      <c r="W58" s="32"/>
      <c r="X58" s="32"/>
      <c r="Y58" s="32">
        <f>Y57/Y22</f>
        <v>9.8368713641630301E-2</v>
      </c>
      <c r="Z58" s="32"/>
      <c r="AA58" s="32"/>
      <c r="AB58" s="32"/>
      <c r="AC58" s="32"/>
      <c r="AD58" s="32">
        <f t="shared" ref="AD58:BI58" si="84">AD57/AD22</f>
        <v>0.11380252534519932</v>
      </c>
      <c r="AE58" s="32">
        <f t="shared" si="84"/>
        <v>1.9093492376048198E-3</v>
      </c>
      <c r="AF58" s="32">
        <f t="shared" si="84"/>
        <v>5.212782424739288E-2</v>
      </c>
      <c r="AG58" s="32">
        <f t="shared" si="84"/>
        <v>0.27762651849275433</v>
      </c>
      <c r="AH58" s="32">
        <f t="shared" si="84"/>
        <v>-0.21714880344885765</v>
      </c>
      <c r="AI58" s="32">
        <f t="shared" si="84"/>
        <v>2.8861711945112251E-2</v>
      </c>
      <c r="AJ58" s="32">
        <f t="shared" si="84"/>
        <v>7.7197476085334685E-2</v>
      </c>
      <c r="AK58" s="32">
        <f t="shared" si="84"/>
        <v>0.10425463997446303</v>
      </c>
      <c r="AL58" s="32">
        <f t="shared" si="84"/>
        <v>-2.6783489484700503E-2</v>
      </c>
      <c r="AM58" s="32">
        <f t="shared" si="84"/>
        <v>0.14080451018412307</v>
      </c>
      <c r="AN58" s="32">
        <f t="shared" si="84"/>
        <v>7.3242608016209687E-2</v>
      </c>
      <c r="AO58" s="32">
        <f t="shared" si="84"/>
        <v>4.8816123071634181E-2</v>
      </c>
      <c r="AP58" s="32">
        <f t="shared" si="84"/>
        <v>7.8371848545766495E-2</v>
      </c>
      <c r="AQ58" s="32">
        <f t="shared" si="84"/>
        <v>0.10520882148784218</v>
      </c>
      <c r="AR58" s="32">
        <f t="shared" si="84"/>
        <v>0.12211540462367595</v>
      </c>
      <c r="AS58" s="32">
        <f t="shared" si="84"/>
        <v>8.9892516158965194E-2</v>
      </c>
      <c r="AT58" s="32">
        <f t="shared" si="84"/>
        <v>7.9628364952407465E-2</v>
      </c>
      <c r="AU58" s="32">
        <f t="shared" si="84"/>
        <v>8.9455885773586957E-2</v>
      </c>
      <c r="AV58" s="32">
        <f t="shared" si="84"/>
        <v>0.11754571820565825</v>
      </c>
      <c r="AW58" s="32">
        <f t="shared" si="84"/>
        <v>-0.18906432239533483</v>
      </c>
      <c r="AX58" s="32">
        <f t="shared" si="84"/>
        <v>2.2602836892168118E-2</v>
      </c>
      <c r="AY58" s="32">
        <f t="shared" si="84"/>
        <v>7.5002535827621661E-2</v>
      </c>
      <c r="AZ58" s="32">
        <f t="shared" si="84"/>
        <v>9.4441263545972584E-2</v>
      </c>
      <c r="BA58" s="32">
        <f t="shared" si="84"/>
        <v>5.5245235730331542E-2</v>
      </c>
      <c r="BB58" s="32">
        <f t="shared" si="84"/>
        <v>7.7596560547248908E-2</v>
      </c>
      <c r="BC58" s="32">
        <f t="shared" si="84"/>
        <v>7.5677678874674498E-2</v>
      </c>
      <c r="BD58" s="32">
        <f t="shared" si="84"/>
        <v>9.3587917205025406E-2</v>
      </c>
      <c r="BE58" s="32">
        <f t="shared" si="84"/>
        <v>0.10887060443223875</v>
      </c>
      <c r="BF58" s="32">
        <f t="shared" si="84"/>
        <v>9.8490673814179489E-2</v>
      </c>
      <c r="BG58" s="32">
        <f t="shared" si="84"/>
        <v>7.2850023995871926E-2</v>
      </c>
      <c r="BH58" s="32">
        <f t="shared" si="84"/>
        <v>9.3435356421332702E-2</v>
      </c>
      <c r="BI58" s="32">
        <f t="shared" si="84"/>
        <v>9.0430627401922578E-2</v>
      </c>
      <c r="BJ58" s="32">
        <f t="shared" ref="BJ58:CO58" si="85">BJ57/BJ22</f>
        <v>7.1057041817635419E-2</v>
      </c>
      <c r="BK58" s="32">
        <f t="shared" si="85"/>
        <v>7.118359826251576E-2</v>
      </c>
      <c r="BL58" s="32">
        <f t="shared" si="85"/>
        <v>-5.4828864967821904E-2</v>
      </c>
      <c r="BM58" s="32">
        <f t="shared" si="85"/>
        <v>1.9337939497213511E-3</v>
      </c>
      <c r="BN58" s="32">
        <f t="shared" si="85"/>
        <v>-7.0097437902755008E-2</v>
      </c>
      <c r="BO58" s="32">
        <f t="shared" si="85"/>
        <v>-3.1544984528612277E-2</v>
      </c>
      <c r="BP58" s="32">
        <f t="shared" si="85"/>
        <v>-1.0996609778819241E-2</v>
      </c>
      <c r="BQ58" s="32">
        <f t="shared" si="85"/>
        <v>-5.281091117656779E-2</v>
      </c>
      <c r="BR58" s="32">
        <f t="shared" si="85"/>
        <v>-4.060573156535318E-2</v>
      </c>
      <c r="BS58" s="32">
        <f t="shared" si="85"/>
        <v>-1.4571218161964413E-2</v>
      </c>
      <c r="BT58" s="32">
        <f t="shared" si="85"/>
        <v>-9.9158407485109047E-3</v>
      </c>
      <c r="BU58" s="32">
        <f t="shared" si="85"/>
        <v>-1.6908310841662626E-3</v>
      </c>
      <c r="BV58" s="32">
        <f t="shared" si="85"/>
        <v>-3.4559658142485128E-2</v>
      </c>
      <c r="BW58" s="32">
        <f t="shared" si="85"/>
        <v>-1.5366644394462644E-2</v>
      </c>
      <c r="BX58" s="32">
        <f t="shared" si="85"/>
        <v>3.7997960903347679E-2</v>
      </c>
      <c r="BY58" s="32">
        <f t="shared" si="85"/>
        <v>3.277073830816455E-2</v>
      </c>
      <c r="BZ58" s="32">
        <f t="shared" si="85"/>
        <v>4.0817331804829111E-2</v>
      </c>
      <c r="CA58" s="32">
        <f t="shared" si="85"/>
        <v>-3.8724940854189913E-2</v>
      </c>
      <c r="CB58" s="32">
        <f t="shared" si="85"/>
        <v>1.7823386136634211E-2</v>
      </c>
      <c r="CC58" s="32">
        <f t="shared" si="85"/>
        <v>-0.85161580084265465</v>
      </c>
      <c r="CD58" s="32">
        <f t="shared" si="85"/>
        <v>-0.70599670449706564</v>
      </c>
      <c r="CE58" s="32">
        <f t="shared" si="85"/>
        <v>-0.4683445814515993</v>
      </c>
      <c r="CF58" s="32">
        <f t="shared" si="85"/>
        <v>-0.46309583125726633</v>
      </c>
      <c r="CG58" s="32">
        <f t="shared" si="85"/>
        <v>-0.60664876579388549</v>
      </c>
      <c r="CH58" s="32">
        <f t="shared" si="85"/>
        <v>-0.47385186726641176</v>
      </c>
      <c r="CI58" s="32">
        <f t="shared" si="85"/>
        <v>-0.58938159600074058</v>
      </c>
      <c r="CJ58" s="32">
        <f t="shared" si="85"/>
        <v>-0.65810976707898849</v>
      </c>
      <c r="CK58" s="32">
        <f t="shared" si="85"/>
        <v>-0.57477083685537744</v>
      </c>
      <c r="CL58" s="32">
        <f>CL57/CL22</f>
        <v>-0.57803300230581922</v>
      </c>
      <c r="CM58" s="32">
        <f t="shared" si="85"/>
        <v>-0.48745941193636921</v>
      </c>
      <c r="CN58" s="32">
        <f t="shared" si="85"/>
        <v>-0.39338495288666503</v>
      </c>
      <c r="CO58" s="32">
        <f t="shared" si="85"/>
        <v>-0.27174602572430601</v>
      </c>
      <c r="CP58" s="32">
        <f t="shared" ref="CP58:CT58" si="86">CP57/CP22</f>
        <v>-0.27110375305869233</v>
      </c>
      <c r="CQ58" s="32">
        <f t="shared" si="86"/>
        <v>-0.34753585993496738</v>
      </c>
      <c r="CR58" s="32">
        <f t="shared" si="86"/>
        <v>-0.26037020307939274</v>
      </c>
      <c r="CS58" s="32">
        <f t="shared" si="86"/>
        <v>-0.19039701088971064</v>
      </c>
      <c r="CT58" s="32">
        <f t="shared" si="86"/>
        <v>-9.3764866159104857E-2</v>
      </c>
      <c r="CU58" s="32">
        <f t="shared" ref="CU58:CV58" si="87">CU57/CU22</f>
        <v>-8.9258398100260913E-2</v>
      </c>
      <c r="CV58" s="32">
        <f t="shared" si="87"/>
        <v>-0.15185378676187442</v>
      </c>
      <c r="CW58" s="27"/>
      <c r="CX58" s="27"/>
      <c r="CY58" s="94"/>
      <c r="CZ58" s="94"/>
      <c r="DA58" s="94"/>
      <c r="DB58" s="94"/>
    </row>
    <row r="59" spans="1:106" s="27" customFormat="1" ht="3.95" customHeight="1" x14ac:dyDescent="0.25">
      <c r="C59" s="122"/>
      <c r="D59" s="122"/>
      <c r="F59" s="139"/>
      <c r="G59" s="139"/>
      <c r="H59" s="139"/>
      <c r="I59" s="139"/>
      <c r="J59" s="139"/>
      <c r="O59" s="138"/>
      <c r="T59" s="138"/>
      <c r="Y59" s="138"/>
      <c r="AD59" s="138"/>
      <c r="AI59" s="138"/>
      <c r="AN59" s="138"/>
      <c r="AS59" s="138"/>
      <c r="AX59" s="138"/>
      <c r="BC59" s="138"/>
      <c r="BH59" s="138"/>
      <c r="BM59" s="138"/>
      <c r="BR59" s="138"/>
      <c r="BW59" s="138"/>
      <c r="CB59" s="138"/>
      <c r="CG59" s="138"/>
      <c r="CL59" s="138"/>
      <c r="CQ59" s="138"/>
      <c r="CV59" s="138"/>
    </row>
    <row r="60" spans="1:106" ht="12" customHeight="1" x14ac:dyDescent="0.25">
      <c r="A60" s="47"/>
      <c r="B60" s="47"/>
      <c r="E60" s="93" t="s">
        <v>84</v>
      </c>
      <c r="F60" s="33"/>
      <c r="G60" s="33"/>
      <c r="H60" s="33"/>
      <c r="I60" s="33"/>
      <c r="J60" s="33"/>
      <c r="O60" s="33"/>
      <c r="T60" s="33"/>
      <c r="Y60" s="33"/>
      <c r="AD60" s="33"/>
      <c r="AI60" s="33"/>
      <c r="AN60" s="33"/>
      <c r="AS60" s="33"/>
      <c r="AX60" s="33"/>
      <c r="AZ60" s="423"/>
      <c r="BC60" s="33"/>
      <c r="BH60" s="33"/>
      <c r="BM60" s="33"/>
      <c r="BR60" s="33"/>
      <c r="BW60" s="33"/>
      <c r="CB60" s="33"/>
      <c r="CG60" s="33"/>
      <c r="CL60" s="33"/>
      <c r="CQ60" s="33"/>
      <c r="CR60" s="717"/>
      <c r="CS60" s="717"/>
      <c r="CT60" s="717"/>
      <c r="CU60" s="717"/>
      <c r="CV60" s="33"/>
    </row>
    <row r="61" spans="1:106" s="27" customFormat="1" ht="12" customHeight="1" x14ac:dyDescent="0.25">
      <c r="A61" s="122"/>
      <c r="B61" s="122"/>
      <c r="C61" s="122"/>
      <c r="D61" s="122"/>
      <c r="E61" s="27" t="s">
        <v>790</v>
      </c>
      <c r="F61" s="139"/>
      <c r="G61" s="139"/>
      <c r="H61" s="139"/>
      <c r="I61" s="139"/>
      <c r="J61" s="139"/>
      <c r="O61" s="139"/>
      <c r="T61" s="139">
        <f>Debt!T55</f>
        <v>-19.190999999999999</v>
      </c>
      <c r="Y61" s="139">
        <f>Debt!Y55</f>
        <v>-28.744</v>
      </c>
      <c r="AD61" s="139">
        <f>Debt!AD55</f>
        <v>-46.631999999999998</v>
      </c>
      <c r="AE61" s="27">
        <f>Debt!AE55</f>
        <v>-13.574999999999999</v>
      </c>
      <c r="AF61" s="27">
        <f>Debt!AF55</f>
        <v>-13.842000000000001</v>
      </c>
      <c r="AG61" s="27">
        <f>Debt!AG55</f>
        <v>-12.797000000000001</v>
      </c>
      <c r="AH61" s="27">
        <f>Debt!AH55</f>
        <v>-11.016000000000002</v>
      </c>
      <c r="AI61" s="139">
        <f>Debt!AI55</f>
        <v>-51.230000000000004</v>
      </c>
      <c r="AJ61" s="27">
        <f>Debt!AJ55</f>
        <v>-9.4590000000000014</v>
      </c>
      <c r="AK61" s="27">
        <f>Debt!AK55</f>
        <v>-8.5909999999999975</v>
      </c>
      <c r="AL61" s="27">
        <f>Debt!AL55</f>
        <v>-8.1050000000000004</v>
      </c>
      <c r="AM61" s="27">
        <f>Debt!AM55</f>
        <v>-6.4409999999999989</v>
      </c>
      <c r="AN61" s="139">
        <f>Debt!AN55</f>
        <v>-32.595999999999997</v>
      </c>
      <c r="AO61" s="27">
        <f>Debt!AO55</f>
        <v>-5.5049999999999999</v>
      </c>
      <c r="AP61" s="27">
        <f>Debt!AP55</f>
        <v>-5.4230000000000009</v>
      </c>
      <c r="AQ61" s="27">
        <f>Debt!AQ55</f>
        <v>-5.6870000000000003</v>
      </c>
      <c r="AR61" s="27">
        <f>Debt!AR55</f>
        <v>-5.8649999999999993</v>
      </c>
      <c r="AS61" s="139">
        <f>Debt!AS55</f>
        <v>-22.479999999999997</v>
      </c>
      <c r="AT61" s="27">
        <f>Debt!AT55</f>
        <v>-5.8979999999999997</v>
      </c>
      <c r="AU61" s="27">
        <f>Debt!AU55</f>
        <v>-6.26</v>
      </c>
      <c r="AV61" s="27">
        <f>Debt!AV55</f>
        <v>-6.0060000000000002</v>
      </c>
      <c r="AW61" s="27">
        <f>Debt!AW55</f>
        <v>-5.6589999999999989</v>
      </c>
      <c r="AX61" s="139">
        <f>Debt!AX55</f>
        <v>-23.823</v>
      </c>
      <c r="AY61" s="85">
        <f>Debt!AY55</f>
        <v>-5.4549999999999992</v>
      </c>
      <c r="AZ61" s="85">
        <f>Debt!AZ55</f>
        <v>-4.7189999999999994</v>
      </c>
      <c r="BA61" s="85">
        <f>Debt!BA55</f>
        <v>-3.8830000000000005</v>
      </c>
      <c r="BB61" s="27">
        <f>Debt!BB55</f>
        <v>-3.3909999999999996</v>
      </c>
      <c r="BC61" s="139">
        <f>Debt!BC55</f>
        <v>-17.448</v>
      </c>
      <c r="BD61" s="27">
        <f>Debt!BD55</f>
        <v>-3.24</v>
      </c>
      <c r="BE61" s="27">
        <f>Debt!BE55</f>
        <v>-3.3169999999999993</v>
      </c>
      <c r="BF61" s="27">
        <f>Debt!BF55</f>
        <v>-3.1779999999999999</v>
      </c>
      <c r="BG61" s="27">
        <f>Debt!BG55</f>
        <v>-2.9590000000000001</v>
      </c>
      <c r="BH61" s="139">
        <f>Debt!BH55</f>
        <v>-12.693999999999999</v>
      </c>
      <c r="BI61" s="27">
        <f>Debt!BI55</f>
        <v>-3.0190000000000006</v>
      </c>
      <c r="BJ61" s="27">
        <f>Debt!BJ55</f>
        <v>-2.98</v>
      </c>
      <c r="BK61" s="27">
        <f>Debt!BK55</f>
        <v>-3.1139999999999994</v>
      </c>
      <c r="BL61" s="27">
        <f>Debt!BL55</f>
        <v>-2.5580000000000007</v>
      </c>
      <c r="BM61" s="139">
        <f>Debt!BM55</f>
        <v>-8.6710000000000012</v>
      </c>
      <c r="BN61" s="27">
        <f>Debt!BN55</f>
        <v>-1.9479999999999995</v>
      </c>
      <c r="BO61" s="27">
        <f>Debt!BO55</f>
        <v>-1.8210000000000002</v>
      </c>
      <c r="BP61" s="27">
        <f>Debt!BP55</f>
        <v>-2.0049999999999999</v>
      </c>
      <c r="BQ61" s="27">
        <f>Debt!BQ55</f>
        <v>-1.8979999999999997</v>
      </c>
      <c r="BR61" s="139">
        <f>Debt!BR55</f>
        <v>-7.6719999999999988</v>
      </c>
      <c r="BS61" s="27">
        <f>Debt!BS55</f>
        <v>-1.8850000000000002</v>
      </c>
      <c r="BT61" s="85">
        <f>Debt!BT55</f>
        <v>-1.956</v>
      </c>
      <c r="BU61" s="27">
        <f>Debt!BU55</f>
        <v>-1.9480000000000004</v>
      </c>
      <c r="BV61" s="27">
        <f>Debt!BV55</f>
        <v>-1.88</v>
      </c>
      <c r="BW61" s="139">
        <f>SUM(BS61:BV61)</f>
        <v>-7.6690000000000005</v>
      </c>
      <c r="BX61" s="27">
        <f>Debt!BX55</f>
        <v>-1.8120000000000003</v>
      </c>
      <c r="BY61" s="27">
        <f>Debt!BY55</f>
        <v>-1.6889999999999998</v>
      </c>
      <c r="BZ61" s="27">
        <f>Debt!BZ55</f>
        <v>-1.7430000000000001</v>
      </c>
      <c r="CA61" s="27">
        <f>Debt!CA55</f>
        <v>-2.1369999999999996</v>
      </c>
      <c r="CB61" s="139">
        <f>SUM(BX61:CA61)</f>
        <v>-7.3810000000000002</v>
      </c>
      <c r="CC61" s="124">
        <v>0</v>
      </c>
      <c r="CD61" s="124">
        <v>0</v>
      </c>
      <c r="CE61" s="124">
        <v>0</v>
      </c>
      <c r="CF61" s="124">
        <v>0</v>
      </c>
      <c r="CG61" s="139">
        <f>SUM(CC61:CF61)</f>
        <v>0</v>
      </c>
      <c r="CH61" s="124">
        <v>0.3</v>
      </c>
      <c r="CI61" s="124">
        <v>0.3</v>
      </c>
      <c r="CJ61" s="27">
        <f>Debt!CJ55</f>
        <v>9</v>
      </c>
      <c r="CK61" s="27">
        <f>Debt!CK55</f>
        <v>7.0162388537500018</v>
      </c>
      <c r="CL61" s="139">
        <f>SUM(CH61:CK61)</f>
        <v>16.616238853750001</v>
      </c>
      <c r="CM61" s="27">
        <f>Debt!CM55</f>
        <v>4.507506480841875</v>
      </c>
      <c r="CN61" s="27">
        <f>Debt!CN55</f>
        <v>4.1994860962537377</v>
      </c>
      <c r="CO61" s="27">
        <f>Debt!CO55</f>
        <v>3.8521624816340174</v>
      </c>
      <c r="CP61" s="27">
        <f>Debt!CP55</f>
        <v>3.569000663435268</v>
      </c>
      <c r="CQ61" s="139">
        <f>SUM(CM61:CP61)</f>
        <v>16.128155722164898</v>
      </c>
      <c r="CR61" s="27">
        <f>Debt!CR55</f>
        <v>3.3052601548811755</v>
      </c>
      <c r="CS61" s="27">
        <f>Debt!CS55</f>
        <v>3.2638395289552209</v>
      </c>
      <c r="CT61" s="27">
        <f>Debt!CT55</f>
        <v>3.2096978192142753</v>
      </c>
      <c r="CU61" s="27">
        <f>Debt!CU55</f>
        <v>3.1899048868978195</v>
      </c>
      <c r="CV61" s="139">
        <f>SUM(CR61:CU61)</f>
        <v>12.968702389948492</v>
      </c>
    </row>
    <row r="62" spans="1:106" s="29" customFormat="1" ht="12" customHeight="1" x14ac:dyDescent="0.25">
      <c r="A62" s="122">
        <v>0</v>
      </c>
      <c r="B62" s="122">
        <v>0</v>
      </c>
      <c r="C62" s="122">
        <v>0</v>
      </c>
      <c r="D62" s="122">
        <v>0</v>
      </c>
      <c r="E62" s="27" t="s">
        <v>461</v>
      </c>
      <c r="F62" s="140"/>
      <c r="G62" s="140"/>
      <c r="H62" s="140"/>
      <c r="I62" s="140"/>
      <c r="J62" s="140"/>
      <c r="K62" s="124"/>
      <c r="L62" s="124"/>
      <c r="M62" s="124"/>
      <c r="N62" s="124"/>
      <c r="O62" s="138"/>
      <c r="P62" s="124"/>
      <c r="Q62" s="124"/>
      <c r="R62" s="124"/>
      <c r="S62" s="124"/>
      <c r="T62" s="377">
        <v>3.2</v>
      </c>
      <c r="U62" s="124"/>
      <c r="V62" s="124"/>
      <c r="W62" s="124"/>
      <c r="X62" s="124"/>
      <c r="Y62" s="377">
        <v>2.0049999999999999</v>
      </c>
      <c r="Z62" s="124"/>
      <c r="AA62" s="124"/>
      <c r="AB62" s="124"/>
      <c r="AC62" s="124"/>
      <c r="AD62" s="377">
        <v>5.9329999999999998</v>
      </c>
      <c r="AE62" s="124">
        <v>0.183</v>
      </c>
      <c r="AF62" s="124">
        <v>1.331</v>
      </c>
      <c r="AG62" s="124">
        <v>1.3939999999999999</v>
      </c>
      <c r="AH62" s="124">
        <v>-1.6850000000000001</v>
      </c>
      <c r="AI62" s="139">
        <f>SUM(AE62:AH62)</f>
        <v>1.2229999999999999</v>
      </c>
      <c r="AJ62" s="124">
        <v>1.359</v>
      </c>
      <c r="AK62" s="124">
        <v>0.28699999999999998</v>
      </c>
      <c r="AL62" s="124">
        <v>0.14000000000000001</v>
      </c>
      <c r="AM62" s="124">
        <v>0.16300000000000001</v>
      </c>
      <c r="AN62" s="139">
        <f>SUM(AJ62:AM62)</f>
        <v>1.9490000000000001</v>
      </c>
      <c r="AO62" s="124">
        <v>-0.11799999999999999</v>
      </c>
      <c r="AP62" s="124">
        <v>0.223</v>
      </c>
      <c r="AQ62" s="124">
        <v>0.19800000000000001</v>
      </c>
      <c r="AR62" s="124">
        <v>0.122</v>
      </c>
      <c r="AS62" s="139">
        <f>SUM(AO62:AR62)</f>
        <v>0.42500000000000004</v>
      </c>
      <c r="AT62" s="124">
        <v>-0.45100000000000001</v>
      </c>
      <c r="AU62" s="124">
        <v>0.111</v>
      </c>
      <c r="AV62" s="124">
        <v>-0.29899999999999999</v>
      </c>
      <c r="AW62" s="124">
        <f>-0.827+1.556</f>
        <v>0.72900000000000009</v>
      </c>
      <c r="AX62" s="139">
        <f>SUM(AT62:AW62)</f>
        <v>9.000000000000008E-2</v>
      </c>
      <c r="AY62" s="124">
        <v>-8.6999999999999994E-2</v>
      </c>
      <c r="AZ62" s="124">
        <v>-0.96499999999999997</v>
      </c>
      <c r="BA62" s="124">
        <v>-9.8000000000000004E-2</v>
      </c>
      <c r="BB62" s="124">
        <v>-0.219</v>
      </c>
      <c r="BC62" s="139">
        <f>SUM(AY62:BB62)</f>
        <v>-1.3690000000000002</v>
      </c>
      <c r="BD62" s="124">
        <v>-0.54700000000000004</v>
      </c>
      <c r="BE62" s="124">
        <v>-5.3999999999999999E-2</v>
      </c>
      <c r="BF62" s="124">
        <v>0.56499999999999995</v>
      </c>
      <c r="BG62" s="124">
        <v>0.188</v>
      </c>
      <c r="BH62" s="139">
        <f>SUM(BD62:BG62)</f>
        <v>0.15199999999999986</v>
      </c>
      <c r="BI62" s="124">
        <v>0.104</v>
      </c>
      <c r="BJ62" s="124">
        <v>-0.35</v>
      </c>
      <c r="BK62" s="124">
        <f>1.484-2.567</f>
        <v>-1.0830000000000002</v>
      </c>
      <c r="BL62" s="124">
        <v>0.57899999999999996</v>
      </c>
      <c r="BM62" s="513">
        <v>1.8140000000000001</v>
      </c>
      <c r="BN62" s="124">
        <v>-0.106</v>
      </c>
      <c r="BO62" s="124">
        <v>-0.16300000000000001</v>
      </c>
      <c r="BP62" s="124">
        <v>3.5000000000000003E-2</v>
      </c>
      <c r="BQ62" s="124">
        <v>-0.75700000000000001</v>
      </c>
      <c r="BR62" s="139">
        <f>SUM(BN62:BQ62)</f>
        <v>-0.99099999999999999</v>
      </c>
      <c r="BS62" s="124">
        <v>0.30399999999999999</v>
      </c>
      <c r="BT62" s="124">
        <v>5.8999999999999997E-2</v>
      </c>
      <c r="BU62" s="124">
        <v>0.30299999999999999</v>
      </c>
      <c r="BV62" s="124">
        <v>-0.214</v>
      </c>
      <c r="BW62" s="139">
        <f>SUM(BS62:BV62)</f>
        <v>0.45199999999999996</v>
      </c>
      <c r="BX62" s="124">
        <v>0.307</v>
      </c>
      <c r="BY62" s="124">
        <v>-0.20699999999999999</v>
      </c>
      <c r="BZ62" s="124">
        <v>3.5000000000000003E-2</v>
      </c>
      <c r="CA62" s="124">
        <v>0.19900000000000001</v>
      </c>
      <c r="CB62" s="139">
        <f>SUM(BX62:CA62)</f>
        <v>0.33400000000000002</v>
      </c>
      <c r="CC62" s="124">
        <v>-0.57999999999999996</v>
      </c>
      <c r="CD62" s="124">
        <v>0.26300000000000001</v>
      </c>
      <c r="CE62" s="124">
        <v>0.432</v>
      </c>
      <c r="CF62" s="124">
        <v>0.38700000000000001</v>
      </c>
      <c r="CG62" s="139">
        <f>SUM(CC62:CF62)</f>
        <v>0.502</v>
      </c>
      <c r="CH62" s="124">
        <f>0.356-CH61</f>
        <v>5.5999999999999994E-2</v>
      </c>
      <c r="CI62" s="124">
        <f>-0.281-CI61</f>
        <v>-0.58099999999999996</v>
      </c>
      <c r="CJ62" s="128">
        <v>0</v>
      </c>
      <c r="CK62" s="128">
        <v>0</v>
      </c>
      <c r="CL62" s="139">
        <f>SUM(CH62:CK62)</f>
        <v>-0.52499999999999991</v>
      </c>
      <c r="CM62" s="128">
        <v>0</v>
      </c>
      <c r="CN62" s="128">
        <v>0</v>
      </c>
      <c r="CO62" s="128">
        <v>0</v>
      </c>
      <c r="CP62" s="128">
        <v>0</v>
      </c>
      <c r="CQ62" s="139">
        <f>SUM(CM62:CP62)</f>
        <v>0</v>
      </c>
      <c r="CR62" s="128">
        <v>0</v>
      </c>
      <c r="CS62" s="128">
        <v>0</v>
      </c>
      <c r="CT62" s="128">
        <v>0</v>
      </c>
      <c r="CU62" s="128">
        <v>0</v>
      </c>
      <c r="CV62" s="139">
        <f>SUM(CR62:CU62)</f>
        <v>0</v>
      </c>
      <c r="CW62" s="27"/>
      <c r="CX62" s="27"/>
      <c r="CY62" s="27"/>
      <c r="CZ62" s="27"/>
      <c r="DA62" s="27"/>
      <c r="DB62" s="27"/>
    </row>
    <row r="63" spans="1:106" s="29" customFormat="1" ht="12" customHeight="1" x14ac:dyDescent="0.25">
      <c r="A63" s="129"/>
      <c r="B63" s="129"/>
      <c r="C63" s="129"/>
      <c r="D63" s="129"/>
      <c r="E63" s="27" t="s">
        <v>31</v>
      </c>
      <c r="F63" s="140"/>
      <c r="G63" s="140"/>
      <c r="H63" s="140"/>
      <c r="I63" s="140"/>
      <c r="J63" s="140"/>
      <c r="K63" s="124"/>
      <c r="L63" s="124"/>
      <c r="M63" s="124"/>
      <c r="N63" s="124"/>
      <c r="O63" s="138"/>
      <c r="P63" s="124"/>
      <c r="Q63" s="124"/>
      <c r="R63" s="124"/>
      <c r="S63" s="124"/>
      <c r="T63" s="377">
        <v>0</v>
      </c>
      <c r="U63" s="124"/>
      <c r="V63" s="124"/>
      <c r="W63" s="124"/>
      <c r="X63" s="124"/>
      <c r="Y63" s="377">
        <v>0</v>
      </c>
      <c r="Z63" s="124"/>
      <c r="AA63" s="124"/>
      <c r="AB63" s="124"/>
      <c r="AC63" s="124"/>
      <c r="AD63" s="377">
        <v>0</v>
      </c>
      <c r="AE63" s="124">
        <v>0</v>
      </c>
      <c r="AF63" s="124">
        <v>0</v>
      </c>
      <c r="AG63" s="124">
        <v>0</v>
      </c>
      <c r="AH63" s="124">
        <v>0</v>
      </c>
      <c r="AI63" s="139">
        <f>SUM(AE63:AH63)</f>
        <v>0</v>
      </c>
      <c r="AJ63" s="124">
        <v>0</v>
      </c>
      <c r="AK63" s="124">
        <v>0</v>
      </c>
      <c r="AL63" s="124">
        <v>0</v>
      </c>
      <c r="AM63" s="124">
        <v>0</v>
      </c>
      <c r="AN63" s="139">
        <f>SUM(AJ63:AM63)</f>
        <v>0</v>
      </c>
      <c r="AO63" s="124">
        <v>0</v>
      </c>
      <c r="AP63" s="124">
        <v>0</v>
      </c>
      <c r="AQ63" s="124">
        <v>0</v>
      </c>
      <c r="AR63" s="124">
        <v>0</v>
      </c>
      <c r="AS63" s="139">
        <f>SUM(AO63:AR63)</f>
        <v>0</v>
      </c>
      <c r="AT63" s="124">
        <v>0</v>
      </c>
      <c r="AU63" s="124">
        <v>0</v>
      </c>
      <c r="AV63" s="124">
        <v>0</v>
      </c>
      <c r="AW63" s="124">
        <v>-1.556</v>
      </c>
      <c r="AX63" s="139">
        <f>SUM(AT63:AW63)</f>
        <v>-1.556</v>
      </c>
      <c r="AY63" s="124">
        <v>0</v>
      </c>
      <c r="AZ63" s="124">
        <v>0</v>
      </c>
      <c r="BA63" s="124">
        <v>0</v>
      </c>
      <c r="BB63" s="124">
        <v>0</v>
      </c>
      <c r="BC63" s="139">
        <f>SUM(AY63:BB63)</f>
        <v>0</v>
      </c>
      <c r="BD63" s="124">
        <v>0</v>
      </c>
      <c r="BE63" s="124">
        <v>0</v>
      </c>
      <c r="BF63" s="124">
        <v>0</v>
      </c>
      <c r="BG63" s="124">
        <v>0</v>
      </c>
      <c r="BH63" s="139">
        <f>SUM(BD63:BG63)</f>
        <v>0</v>
      </c>
      <c r="BI63" s="124">
        <v>0</v>
      </c>
      <c r="BJ63" s="124">
        <v>0</v>
      </c>
      <c r="BK63" s="124">
        <v>2.5670000000000002</v>
      </c>
      <c r="BL63" s="124">
        <v>0</v>
      </c>
      <c r="BM63" s="513">
        <v>0</v>
      </c>
      <c r="BN63" s="124">
        <v>0</v>
      </c>
      <c r="BO63" s="124">
        <v>0</v>
      </c>
      <c r="BP63" s="124">
        <v>0</v>
      </c>
      <c r="BQ63" s="124">
        <v>0</v>
      </c>
      <c r="BR63" s="139">
        <f>SUM(BN63:BQ63)</f>
        <v>0</v>
      </c>
      <c r="BS63" s="124">
        <v>0</v>
      </c>
      <c r="BT63" s="124">
        <v>0</v>
      </c>
      <c r="BU63" s="124">
        <v>0</v>
      </c>
      <c r="BV63" s="124">
        <v>0</v>
      </c>
      <c r="BW63" s="139">
        <f>SUM(BS63:BV63)</f>
        <v>0</v>
      </c>
      <c r="BX63" s="124">
        <v>0</v>
      </c>
      <c r="BY63" s="124">
        <v>0</v>
      </c>
      <c r="BZ63" s="124">
        <v>0</v>
      </c>
      <c r="CA63" s="124">
        <v>0</v>
      </c>
      <c r="CB63" s="139">
        <f>SUM(BX63:CA63)</f>
        <v>0</v>
      </c>
      <c r="CC63" s="124">
        <v>0</v>
      </c>
      <c r="CD63" s="124">
        <v>0</v>
      </c>
      <c r="CE63" s="124">
        <v>0</v>
      </c>
      <c r="CF63" s="124">
        <v>0</v>
      </c>
      <c r="CG63" s="139">
        <f>SUM(CC63:CF63)</f>
        <v>0</v>
      </c>
      <c r="CH63" s="124">
        <v>0</v>
      </c>
      <c r="CI63" s="124">
        <v>0</v>
      </c>
      <c r="CJ63" s="128">
        <f>1700-40</f>
        <v>1660</v>
      </c>
      <c r="CK63" s="128">
        <v>0</v>
      </c>
      <c r="CL63" s="139">
        <f>SUM(CH63:CK63)</f>
        <v>1660</v>
      </c>
      <c r="CM63" s="128">
        <v>0</v>
      </c>
      <c r="CN63" s="128">
        <v>0</v>
      </c>
      <c r="CO63" s="128">
        <v>0</v>
      </c>
      <c r="CP63" s="128">
        <v>0</v>
      </c>
      <c r="CQ63" s="139">
        <f>SUM(CM63:CP63)</f>
        <v>0</v>
      </c>
      <c r="CR63" s="128">
        <v>0</v>
      </c>
      <c r="CS63" s="128">
        <v>0</v>
      </c>
      <c r="CT63" s="128">
        <v>0</v>
      </c>
      <c r="CU63" s="128">
        <v>0</v>
      </c>
      <c r="CV63" s="139">
        <f>SUM(CR63:CU63)</f>
        <v>0</v>
      </c>
      <c r="CW63" s="27"/>
      <c r="CX63" s="27"/>
      <c r="CY63" s="27"/>
      <c r="CZ63" s="27"/>
      <c r="DA63" s="27"/>
      <c r="DB63" s="27"/>
    </row>
    <row r="64" spans="1:106" s="29" customFormat="1" ht="3.95" customHeight="1" x14ac:dyDescent="0.25">
      <c r="A64" s="129"/>
      <c r="B64" s="129"/>
      <c r="C64" s="129"/>
      <c r="D64" s="129"/>
      <c r="E64" s="27"/>
      <c r="F64" s="139"/>
      <c r="G64" s="139"/>
      <c r="H64" s="139"/>
      <c r="I64" s="139"/>
      <c r="J64" s="139"/>
      <c r="K64" s="27"/>
      <c r="L64" s="27"/>
      <c r="M64" s="27"/>
      <c r="N64" s="27"/>
      <c r="O64" s="139"/>
      <c r="P64" s="27"/>
      <c r="Q64" s="27"/>
      <c r="R64" s="27"/>
      <c r="S64" s="27"/>
      <c r="T64" s="139"/>
      <c r="U64" s="27"/>
      <c r="V64" s="27"/>
      <c r="W64" s="27"/>
      <c r="X64" s="27"/>
      <c r="Y64" s="139"/>
      <c r="Z64" s="27"/>
      <c r="AA64" s="27"/>
      <c r="AB64" s="27"/>
      <c r="AC64" s="27"/>
      <c r="AD64" s="139"/>
      <c r="AE64" s="27"/>
      <c r="AF64" s="27"/>
      <c r="AG64" s="27"/>
      <c r="AH64" s="27"/>
      <c r="AI64" s="139"/>
      <c r="AJ64" s="27"/>
      <c r="AK64" s="27"/>
      <c r="AL64" s="27"/>
      <c r="AM64" s="27"/>
      <c r="AN64" s="139"/>
      <c r="AO64" s="27"/>
      <c r="AP64" s="27"/>
      <c r="AQ64" s="27"/>
      <c r="AR64" s="27"/>
      <c r="AS64" s="139"/>
      <c r="AT64" s="27"/>
      <c r="AU64" s="27"/>
      <c r="AV64" s="27"/>
      <c r="AW64" s="27"/>
      <c r="AX64" s="139"/>
      <c r="AY64" s="27"/>
      <c r="AZ64" s="27"/>
      <c r="BA64" s="27"/>
      <c r="BB64" s="27"/>
      <c r="BC64" s="139"/>
      <c r="BD64" s="27"/>
      <c r="BE64" s="27"/>
      <c r="BF64" s="27"/>
      <c r="BG64" s="27"/>
      <c r="BH64" s="139"/>
      <c r="BI64" s="27"/>
      <c r="BJ64" s="27"/>
      <c r="BK64" s="27"/>
      <c r="BL64" s="27"/>
      <c r="BM64" s="139"/>
      <c r="BN64" s="27"/>
      <c r="BO64" s="27"/>
      <c r="BP64" s="27"/>
      <c r="BQ64" s="27"/>
      <c r="BR64" s="139"/>
      <c r="BS64" s="27"/>
      <c r="BT64" s="27"/>
      <c r="BU64" s="27"/>
      <c r="BV64" s="27"/>
      <c r="BW64" s="139"/>
      <c r="BX64" s="27"/>
      <c r="BY64" s="27"/>
      <c r="BZ64" s="27"/>
      <c r="CA64" s="27"/>
      <c r="CB64" s="139"/>
      <c r="CC64" s="27"/>
      <c r="CD64" s="27"/>
      <c r="CE64" s="27"/>
      <c r="CF64" s="27"/>
      <c r="CG64" s="139"/>
      <c r="CH64" s="27"/>
      <c r="CI64" s="27"/>
      <c r="CJ64" s="27"/>
      <c r="CK64" s="27"/>
      <c r="CL64" s="139"/>
      <c r="CM64" s="27"/>
      <c r="CN64" s="27"/>
      <c r="CO64" s="27"/>
      <c r="CP64" s="27"/>
      <c r="CQ64" s="139"/>
      <c r="CR64" s="27"/>
      <c r="CS64" s="27"/>
      <c r="CT64" s="27"/>
      <c r="CU64" s="27"/>
      <c r="CV64" s="139"/>
      <c r="CW64" s="27"/>
      <c r="CX64" s="27"/>
      <c r="CY64" s="27"/>
      <c r="CZ64" s="27"/>
      <c r="DA64" s="27"/>
      <c r="DB64" s="27"/>
    </row>
    <row r="65" spans="1:106" s="130" customFormat="1" ht="12" customHeight="1" x14ac:dyDescent="0.25">
      <c r="A65" s="126"/>
      <c r="B65" s="126"/>
      <c r="C65" s="126"/>
      <c r="D65" s="126"/>
      <c r="E65" s="35" t="s">
        <v>614</v>
      </c>
      <c r="F65" s="35"/>
      <c r="G65" s="35"/>
      <c r="H65" s="35"/>
      <c r="I65" s="35"/>
      <c r="J65" s="35"/>
      <c r="K65" s="35"/>
      <c r="L65" s="35"/>
      <c r="M65" s="35"/>
      <c r="N65" s="35"/>
      <c r="O65" s="35"/>
      <c r="P65" s="35"/>
      <c r="Q65" s="35"/>
      <c r="R65" s="35"/>
      <c r="S65" s="35"/>
      <c r="T65" s="35">
        <f>T54+T61+T62</f>
        <v>105.21699999999991</v>
      </c>
      <c r="U65" s="35"/>
      <c r="V65" s="35"/>
      <c r="W65" s="35"/>
      <c r="X65" s="35"/>
      <c r="Y65" s="35">
        <f>Y54+Y61+Y62</f>
        <v>113.84799999999998</v>
      </c>
      <c r="Z65" s="35"/>
      <c r="AA65" s="35"/>
      <c r="AB65" s="35"/>
      <c r="AC65" s="35"/>
      <c r="AD65" s="35">
        <f>AD54+AD61+AD62</f>
        <v>126.96799999999996</v>
      </c>
      <c r="AE65" s="35">
        <f>AE54+AE61+AE62</f>
        <v>2.6369999999999685</v>
      </c>
      <c r="AF65" s="35">
        <f>AF54+AF61+AF62</f>
        <v>15.605999999999996</v>
      </c>
      <c r="AG65" s="35">
        <f>AG54+AG61+AG62</f>
        <v>22.48800000000001</v>
      </c>
      <c r="AH65" s="35">
        <f>AH54+AH61+AH62</f>
        <v>-14.140000000000045</v>
      </c>
      <c r="AI65" s="35">
        <f>SUM(AE65:AH65)</f>
        <v>26.590999999999937</v>
      </c>
      <c r="AJ65" s="35">
        <f>AJ54+AJ61+AJ62</f>
        <v>16.913000000000004</v>
      </c>
      <c r="AK65" s="35">
        <f>AK54+AK61+AK62</f>
        <v>23.619000000000003</v>
      </c>
      <c r="AL65" s="35">
        <f>AL54+AL61+AL62</f>
        <v>26.610999999999994</v>
      </c>
      <c r="AM65" s="35">
        <f>AM54+AM61+AM62</f>
        <v>33.637000000000029</v>
      </c>
      <c r="AN65" s="35">
        <f>SUM(AJ65:AM65)</f>
        <v>100.78000000000003</v>
      </c>
      <c r="AO65" s="35">
        <f>AO54+AO61+AO62</f>
        <v>7.2199999999999891</v>
      </c>
      <c r="AP65" s="35">
        <f>AP54+AP61+AP62</f>
        <v>16.020000000000024</v>
      </c>
      <c r="AQ65" s="35">
        <f>AQ54+AQ61+AQ62</f>
        <v>24.908000000000026</v>
      </c>
      <c r="AR65" s="35">
        <f>AR54+AR61+AR62</f>
        <v>27.665999999999972</v>
      </c>
      <c r="AS65" s="35">
        <f>SUM(AO65:AR65)</f>
        <v>75.814000000000007</v>
      </c>
      <c r="AT65" s="35">
        <f>AT54+AT61+AT62</f>
        <v>14.232000000000017</v>
      </c>
      <c r="AU65" s="35">
        <f>AU54+AU61+AU62</f>
        <v>18.92700000000001</v>
      </c>
      <c r="AV65" s="35">
        <f>AV54+AV61+AV62</f>
        <v>23.897000000000041</v>
      </c>
      <c r="AW65" s="35">
        <f>AW54+AW61+AW62</f>
        <v>28.658999999999963</v>
      </c>
      <c r="AX65" s="35">
        <f>SUM(AT65:AW65)</f>
        <v>85.715000000000032</v>
      </c>
      <c r="AY65" s="35">
        <f>AY54+AY61+AY62</f>
        <v>15.161999999999995</v>
      </c>
      <c r="AZ65" s="35">
        <f>AZ54+AZ61+AZ62</f>
        <v>23.832000000000019</v>
      </c>
      <c r="BA65" s="35">
        <f>BA54+BA61+BA62</f>
        <v>26.669000000000022</v>
      </c>
      <c r="BB65" s="35">
        <f>BB54+BB61+BB62</f>
        <v>31.279999999999987</v>
      </c>
      <c r="BC65" s="35">
        <f>SUM(AY65:BB65)</f>
        <v>96.943000000000026</v>
      </c>
      <c r="BD65" s="35">
        <f>BD54+BD61+BD62</f>
        <v>21.796999999999993</v>
      </c>
      <c r="BE65" s="501">
        <f>BE54+BE61+BE62</f>
        <v>26.868999999999989</v>
      </c>
      <c r="BF65" s="35">
        <f>BF54+BF61+BF62</f>
        <v>24.159000000000049</v>
      </c>
      <c r="BG65" s="35">
        <f>BG54+BG61+BG62</f>
        <v>19.361999999999981</v>
      </c>
      <c r="BH65" s="35">
        <f>SUM(BD65:BG65)</f>
        <v>92.187000000000012</v>
      </c>
      <c r="BI65" s="35">
        <f t="shared" ref="BI65:BQ65" si="88">BI54+BI61+BI62</f>
        <v>21.156999999999972</v>
      </c>
      <c r="BJ65" s="35">
        <f t="shared" si="88"/>
        <v>24.873999999999949</v>
      </c>
      <c r="BK65" s="35">
        <f t="shared" si="88"/>
        <v>25.137000000000043</v>
      </c>
      <c r="BL65" s="35">
        <f t="shared" si="88"/>
        <v>29.632000000000019</v>
      </c>
      <c r="BM65" s="35">
        <f t="shared" si="88"/>
        <v>36.820999999999998</v>
      </c>
      <c r="BN65" s="35">
        <f t="shared" si="88"/>
        <v>-8.0120000000000129</v>
      </c>
      <c r="BO65" s="35">
        <f t="shared" si="88"/>
        <v>-7.5939999999999994</v>
      </c>
      <c r="BP65" s="35">
        <f t="shared" si="88"/>
        <v>-0.87899999999999168</v>
      </c>
      <c r="BQ65" s="35">
        <f t="shared" si="88"/>
        <v>-2.2619999999999991</v>
      </c>
      <c r="BR65" s="35">
        <f>SUM(BN65:BQ65)</f>
        <v>-18.747000000000003</v>
      </c>
      <c r="BS65" s="35">
        <f>BS54+BS61+BS62</f>
        <v>-3.6429999999999838</v>
      </c>
      <c r="BT65" s="35">
        <f>BT54+BT61+BT62</f>
        <v>-0.71999999999999331</v>
      </c>
      <c r="BU65" s="35">
        <f>BU54+BU61+BU62</f>
        <v>2.0390000000000112</v>
      </c>
      <c r="BV65" s="35">
        <f>BV54+BV61+BV62</f>
        <v>1.0050000000000039</v>
      </c>
      <c r="BW65" s="35">
        <f>SUM(BS65:BV65)</f>
        <v>-1.3189999999999622</v>
      </c>
      <c r="BX65" s="35">
        <f>BX54+BX61+BX62</f>
        <v>6.970999999999985</v>
      </c>
      <c r="BY65" s="35">
        <f>BY54+BY61+BY62</f>
        <v>5.5239999999999876</v>
      </c>
      <c r="BZ65" s="35">
        <f>BZ54+BZ61+BZ62</f>
        <v>9.5179999999999989</v>
      </c>
      <c r="CA65" s="35">
        <f>CA54+CA61+CA62</f>
        <v>-4.9959999999999782</v>
      </c>
      <c r="CB65" s="35">
        <f>SUM(BX65:CA65)</f>
        <v>17.016999999999992</v>
      </c>
      <c r="CC65" s="35">
        <f>CC54+CC61+CC62</f>
        <v>-40.402000000000001</v>
      </c>
      <c r="CD65" s="35">
        <f>CD54+CD61+CD62</f>
        <v>-35.037000000000006</v>
      </c>
      <c r="CE65" s="35">
        <f>CE54+CE61+CE62</f>
        <v>-28.045000000000005</v>
      </c>
      <c r="CF65" s="35">
        <f>CF54+CF61+CF62</f>
        <v>-26.815000000000005</v>
      </c>
      <c r="CG65" s="35">
        <f>SUM(CC65:CF65)</f>
        <v>-130.29900000000001</v>
      </c>
      <c r="CH65" s="35">
        <f>CH54+CH61+CH62</f>
        <v>-29.244000000000007</v>
      </c>
      <c r="CI65" s="35">
        <f>CI54+CI61+CI62</f>
        <v>-37.991000000000007</v>
      </c>
      <c r="CJ65" s="35">
        <f>CJ54+CJ61+CJ62</f>
        <v>-38.473261999999991</v>
      </c>
      <c r="CK65" s="35">
        <f>CK54+CK61+CK62</f>
        <v>-37.14363114624998</v>
      </c>
      <c r="CL65" s="35">
        <f>SUM(CH65:CK65)</f>
        <v>-142.85189314624998</v>
      </c>
      <c r="CM65" s="35">
        <f>CM54+CM61+CM62</f>
        <v>-35.080193519158122</v>
      </c>
      <c r="CN65" s="35">
        <f>CN54+CN61+CN62</f>
        <v>-30.667433903746272</v>
      </c>
      <c r="CO65" s="35">
        <f>CO54+CO61+CO62</f>
        <v>-23.434706738365968</v>
      </c>
      <c r="CP65" s="35">
        <f>CP54+CP61+CP62</f>
        <v>-24.157680036564727</v>
      </c>
      <c r="CQ65" s="35">
        <f>SUM(CM65:CP65)</f>
        <v>-113.3400141978351</v>
      </c>
      <c r="CR65" s="35">
        <f>CR54+CR61+CR62</f>
        <v>-24.542036845118808</v>
      </c>
      <c r="CS65" s="35">
        <f>CS54+CS61+CS62</f>
        <v>-18.872427671044786</v>
      </c>
      <c r="CT65" s="35">
        <f>CT54+CT61+CT62</f>
        <v>-9.1778121284857068</v>
      </c>
      <c r="CU65" s="35">
        <f>CU54+CU61+CU62</f>
        <v>-8.8067246591021604</v>
      </c>
      <c r="CV65" s="35">
        <f>SUM(CR65:CU65)</f>
        <v>-61.399001303751454</v>
      </c>
      <c r="CW65" s="27"/>
      <c r="CX65" s="27"/>
      <c r="CY65" s="27"/>
      <c r="CZ65" s="27"/>
      <c r="DA65" s="27"/>
      <c r="DB65" s="27"/>
    </row>
    <row r="66" spans="1:106" s="130" customFormat="1" ht="12" customHeight="1" x14ac:dyDescent="0.25">
      <c r="A66" s="126"/>
      <c r="B66" s="126"/>
      <c r="C66" s="126"/>
      <c r="D66" s="126"/>
      <c r="E66" s="35" t="s">
        <v>35</v>
      </c>
      <c r="F66" s="35"/>
      <c r="G66" s="35"/>
      <c r="H66" s="35"/>
      <c r="I66" s="35"/>
      <c r="J66" s="35"/>
      <c r="K66" s="35"/>
      <c r="L66" s="35"/>
      <c r="M66" s="35"/>
      <c r="N66" s="35"/>
      <c r="O66" s="35"/>
      <c r="P66" s="35"/>
      <c r="Q66" s="35"/>
      <c r="R66" s="35"/>
      <c r="S66" s="35"/>
      <c r="T66" s="35">
        <f>T57+T61+T62+T63</f>
        <v>106.20099999999991</v>
      </c>
      <c r="U66" s="35"/>
      <c r="V66" s="35"/>
      <c r="W66" s="35"/>
      <c r="X66" s="35"/>
      <c r="Y66" s="35">
        <f>Y57+Y61+Y62+Y63</f>
        <v>104.34399999999999</v>
      </c>
      <c r="Z66" s="35"/>
      <c r="AA66" s="35"/>
      <c r="AB66" s="35"/>
      <c r="AC66" s="35"/>
      <c r="AD66" s="35">
        <f>AD57+AD61+AD62+AD63</f>
        <v>118.07099999999997</v>
      </c>
      <c r="AE66" s="35">
        <f>AE57+AE61+AE62+AE63</f>
        <v>-12.753000000000032</v>
      </c>
      <c r="AF66" s="35">
        <f>AF57+AF61+AF62+AF63</f>
        <v>5.6739999999999942</v>
      </c>
      <c r="AG66" s="35">
        <f>AG57+AG61+AG62+AG63</f>
        <v>85.977000000000018</v>
      </c>
      <c r="AH66" s="35">
        <f>AH57+AH61+AH62+AH63</f>
        <v>-88.659000000000063</v>
      </c>
      <c r="AI66" s="35">
        <f>SUM(AE66:AH66)</f>
        <v>-9.7610000000000809</v>
      </c>
      <c r="AJ66" s="35">
        <f t="shared" ref="AJ66:AR66" si="89">AJ57+AJ61+AJ62+AJ63</f>
        <v>17.458000000000006</v>
      </c>
      <c r="AK66" s="35">
        <f t="shared" si="89"/>
        <v>25.989000000000001</v>
      </c>
      <c r="AL66" s="35">
        <f t="shared" si="89"/>
        <v>-16.564000000000004</v>
      </c>
      <c r="AM66" s="35">
        <f t="shared" si="89"/>
        <v>35.331000000000031</v>
      </c>
      <c r="AN66" s="35">
        <f t="shared" si="89"/>
        <v>62.903000000000013</v>
      </c>
      <c r="AO66" s="35">
        <f t="shared" si="89"/>
        <v>6.8729999999999896</v>
      </c>
      <c r="AP66" s="35">
        <f t="shared" si="89"/>
        <v>16.047000000000025</v>
      </c>
      <c r="AQ66" s="35">
        <f t="shared" si="89"/>
        <v>24.370000000000026</v>
      </c>
      <c r="AR66" s="35">
        <f t="shared" si="89"/>
        <v>29.467999999999972</v>
      </c>
      <c r="AS66" s="35">
        <f>SUM(AO66:AR66)</f>
        <v>76.75800000000001</v>
      </c>
      <c r="AT66" s="35">
        <f>AT57+AT61+AT62+AT63</f>
        <v>14.289000000000016</v>
      </c>
      <c r="AU66" s="35">
        <f>AU57+AU61+AU62+AU63</f>
        <v>18.849000000000007</v>
      </c>
      <c r="AV66" s="35">
        <f>AV57+AV61+AV62+AV63</f>
        <v>27.537000000000042</v>
      </c>
      <c r="AW66" s="35">
        <f>AW57+AW61+AW62+AW63</f>
        <v>-60.790000000000035</v>
      </c>
      <c r="AX66" s="35">
        <f>SUM(AT66:AW66)</f>
        <v>-0.11499999999997357</v>
      </c>
      <c r="AY66" s="35">
        <f>AY57+AY61+AY62+AY63</f>
        <v>15.161999999999995</v>
      </c>
      <c r="AZ66" s="35">
        <f>AZ57+AZ61+AZ62+AZ63</f>
        <v>21.367000000000022</v>
      </c>
      <c r="BA66" s="35">
        <f>BA57+BA61+BA62+BA63</f>
        <v>11.537000000000017</v>
      </c>
      <c r="BB66" s="35">
        <f>BB57+BB61+BB62+BB63</f>
        <v>18.679999999999986</v>
      </c>
      <c r="BC66" s="35">
        <f>SUM(AY66:BB66)</f>
        <v>66.746000000000009</v>
      </c>
      <c r="BD66" s="35">
        <f>BD57+BD61+BD62+BD63</f>
        <v>21.636999999999997</v>
      </c>
      <c r="BE66" s="501">
        <f>BE57+BE61+BE62+BE63</f>
        <v>26.836999999999989</v>
      </c>
      <c r="BF66" s="35">
        <f>BF57+BF61+BF62+BF63</f>
        <v>24.28500000000005</v>
      </c>
      <c r="BG66" s="35">
        <f>BG57+BG61+BG62+BG63</f>
        <v>17.417999999999981</v>
      </c>
      <c r="BH66" s="35">
        <f>SUM(BD66:BG66)</f>
        <v>90.177000000000021</v>
      </c>
      <c r="BI66" s="35">
        <f t="shared" ref="BI66:BQ66" si="90">BI57+BI61+BI62+BI63</f>
        <v>21.156999999999972</v>
      </c>
      <c r="BJ66" s="35">
        <f t="shared" si="90"/>
        <v>16.300999999999949</v>
      </c>
      <c r="BK66" s="35">
        <f t="shared" si="90"/>
        <v>18.150000000000041</v>
      </c>
      <c r="BL66" s="35">
        <f t="shared" si="90"/>
        <v>-17.177999999999976</v>
      </c>
      <c r="BM66" s="35">
        <f t="shared" si="90"/>
        <v>-5.300000000000006</v>
      </c>
      <c r="BN66" s="35">
        <f t="shared" si="90"/>
        <v>-15.140000000000013</v>
      </c>
      <c r="BO66" s="35">
        <f t="shared" si="90"/>
        <v>-8.4269999999999996</v>
      </c>
      <c r="BP66" s="536">
        <f t="shared" si="90"/>
        <v>-4.2599999999999909</v>
      </c>
      <c r="BQ66" s="35">
        <f t="shared" si="90"/>
        <v>-13.519999999999998</v>
      </c>
      <c r="BR66" s="35">
        <f>SUM(BN66:BQ66)</f>
        <v>-41.347000000000001</v>
      </c>
      <c r="BS66" s="35">
        <f>BS57+BS61+BS62+BS63</f>
        <v>-4.4499999999999833</v>
      </c>
      <c r="BT66" s="35">
        <f>BT57+BT61+BT62+BT63</f>
        <v>-3.9529999999999932</v>
      </c>
      <c r="BU66" s="35">
        <f>BU57+BU61+BU62+BU63</f>
        <v>-2.0189999999999886</v>
      </c>
      <c r="BV66" s="35">
        <f>BV57+BV61+BV62+BV63</f>
        <v>-9.8579999999999952</v>
      </c>
      <c r="BW66" s="35">
        <f>SUM(BS66:BV66)</f>
        <v>-20.279999999999959</v>
      </c>
      <c r="BX66" s="35">
        <f>BX57+BX61+BX62+BX63</f>
        <v>6.6569999999999849</v>
      </c>
      <c r="BY66" s="35">
        <f>BY57+BY61+BY62+BY63</f>
        <v>5.2239999999999878</v>
      </c>
      <c r="BZ66" s="35">
        <f>BZ57+BZ61+BZ62+BZ63</f>
        <v>7.4069999999999983</v>
      </c>
      <c r="CA66" s="35">
        <f>CA57+CA61+CA62+CA63</f>
        <v>-10.645999999999978</v>
      </c>
      <c r="CB66" s="35">
        <f>SUM(BX66:CA66)</f>
        <v>8.6419999999999906</v>
      </c>
      <c r="CC66" s="35">
        <f>CC57+CC61+CC62+CC63</f>
        <v>-40.399000000000001</v>
      </c>
      <c r="CD66" s="35">
        <f>CD57+CD61+CD62+CD63</f>
        <v>-37.870000000000005</v>
      </c>
      <c r="CE66" s="35">
        <f>CE57+CE61+CE62+CE63</f>
        <v>-27.257000000000005</v>
      </c>
      <c r="CF66" s="35">
        <f>CF57+CF61+CF62+CF63</f>
        <v>-27.496000000000006</v>
      </c>
      <c r="CG66" s="35">
        <f>SUM(CC66:CF66)</f>
        <v>-133.02200000000002</v>
      </c>
      <c r="CH66" s="35">
        <f>CH57+CH61+CH62+CH63</f>
        <v>-29.246000000000006</v>
      </c>
      <c r="CI66" s="35">
        <f>CI57+CI61+CI62+CI63</f>
        <v>-38.480000000000004</v>
      </c>
      <c r="CJ66" s="35">
        <f>CJ57+CJ61+CJ62+CJ63</f>
        <v>1619.4267380000001</v>
      </c>
      <c r="CK66" s="35">
        <f>CK57+CK61+CK62+CK63</f>
        <v>-38.64363114624998</v>
      </c>
      <c r="CL66" s="35">
        <f>SUM(CH66:CK66)</f>
        <v>1513.0571068537499</v>
      </c>
      <c r="CM66" s="35">
        <f>CM57+CM61+CM62+CM63</f>
        <v>-35.080193519158122</v>
      </c>
      <c r="CN66" s="35">
        <f>CN57+CN61+CN62+CN63</f>
        <v>-30.667433903746272</v>
      </c>
      <c r="CO66" s="35">
        <f>CO57+CO61+CO62+CO63</f>
        <v>-23.434706738365968</v>
      </c>
      <c r="CP66" s="35">
        <f>CP57+CP61+CP62+CP63</f>
        <v>-24.157680036564727</v>
      </c>
      <c r="CQ66" s="35">
        <f>SUM(CM66:CP66)</f>
        <v>-113.3400141978351</v>
      </c>
      <c r="CR66" s="35">
        <f>CR57+CR61+CR62+CR63</f>
        <v>-24.542036845118808</v>
      </c>
      <c r="CS66" s="35">
        <f>CS57+CS61+CS62+CS63</f>
        <v>-18.872427671044786</v>
      </c>
      <c r="CT66" s="35">
        <f>CT57+CT61+CT62+CT63</f>
        <v>-9.1778121284857068</v>
      </c>
      <c r="CU66" s="35">
        <f>CU57+CU61+CU62+CU63</f>
        <v>-8.8067246591021604</v>
      </c>
      <c r="CV66" s="35">
        <f>SUM(CR66:CU66)</f>
        <v>-61.399001303751454</v>
      </c>
      <c r="CW66" s="27"/>
      <c r="CX66" s="27"/>
      <c r="CY66" s="27"/>
      <c r="CZ66" s="27"/>
      <c r="DA66" s="27"/>
      <c r="DB66" s="27"/>
    </row>
    <row r="67" spans="1:106" s="27" customFormat="1" ht="3.95" customHeight="1" x14ac:dyDescent="0.25">
      <c r="A67" s="122"/>
      <c r="B67" s="122"/>
      <c r="C67" s="122"/>
      <c r="D67" s="122"/>
      <c r="F67" s="139"/>
      <c r="G67" s="139"/>
      <c r="H67" s="139"/>
      <c r="I67" s="139"/>
      <c r="J67" s="139"/>
      <c r="O67" s="139"/>
      <c r="T67" s="139"/>
      <c r="Y67" s="139"/>
      <c r="AD67" s="139"/>
      <c r="AI67" s="139"/>
      <c r="AN67" s="139"/>
      <c r="AS67" s="139"/>
      <c r="AX67" s="139"/>
      <c r="BC67" s="139"/>
      <c r="BH67" s="139"/>
      <c r="BM67" s="139"/>
      <c r="BR67" s="139"/>
      <c r="BW67" s="139"/>
      <c r="CB67" s="139"/>
      <c r="CG67" s="139"/>
      <c r="CL67" s="139"/>
      <c r="CQ67" s="139"/>
      <c r="CV67" s="139"/>
    </row>
    <row r="68" spans="1:106" s="27" customFormat="1" ht="12" customHeight="1" x14ac:dyDescent="0.25">
      <c r="A68" s="154">
        <v>-0.35</v>
      </c>
      <c r="B68" s="154">
        <v>-0.35</v>
      </c>
      <c r="C68" s="154">
        <v>-0.35</v>
      </c>
      <c r="D68" s="154">
        <v>-0.35</v>
      </c>
      <c r="E68" s="27" t="s">
        <v>33</v>
      </c>
      <c r="F68" s="140"/>
      <c r="G68" s="140"/>
      <c r="H68" s="140"/>
      <c r="I68" s="140"/>
      <c r="J68" s="140"/>
      <c r="K68" s="124"/>
      <c r="L68" s="124"/>
      <c r="M68" s="124"/>
      <c r="N68" s="124"/>
      <c r="O68" s="138"/>
      <c r="P68" s="124"/>
      <c r="Q68" s="124"/>
      <c r="R68" s="124"/>
      <c r="S68" s="124"/>
      <c r="T68" s="138"/>
      <c r="U68" s="124"/>
      <c r="V68" s="124"/>
      <c r="W68" s="124"/>
      <c r="X68" s="124"/>
      <c r="Y68" s="138"/>
      <c r="Z68" s="124"/>
      <c r="AA68" s="124"/>
      <c r="AB68" s="124"/>
      <c r="AD68" s="138"/>
      <c r="AE68" s="27">
        <f>-Debt!AE59</f>
        <v>-0.115</v>
      </c>
      <c r="AF68" s="27">
        <f>-Debt!AF59</f>
        <v>-9.6000000000000002E-2</v>
      </c>
      <c r="AG68" s="27">
        <f>-Debt!AG59</f>
        <v>4.742</v>
      </c>
      <c r="AH68" s="27">
        <f>-Debt!AH59</f>
        <v>-3.0259999999999998</v>
      </c>
      <c r="AI68" s="139">
        <f>SUM(AE68:AH68)</f>
        <v>1.5049999999999999</v>
      </c>
      <c r="AJ68" s="27">
        <f>-Debt!AJ59</f>
        <v>-4.2000000000000003E-2</v>
      </c>
      <c r="AK68" s="27">
        <f>-Debt!AK59</f>
        <v>5.9290000000000003</v>
      </c>
      <c r="AL68" s="27">
        <f>-Debt!AL59</f>
        <v>-2.9009999999999998</v>
      </c>
      <c r="AM68" s="27">
        <f>-Debt!AM59</f>
        <v>0.16</v>
      </c>
      <c r="AN68" s="139">
        <f>SUM(AJ68:AM68)</f>
        <v>3.1460000000000008</v>
      </c>
      <c r="AO68" s="27">
        <f>-Debt!AO59</f>
        <v>5.0519999999999996</v>
      </c>
      <c r="AP68" s="27">
        <f>-Debt!AP59</f>
        <v>-0.79200000000000004</v>
      </c>
      <c r="AQ68" s="27">
        <f>-Debt!AQ59</f>
        <v>4.1900000000000004</v>
      </c>
      <c r="AR68" s="27">
        <f>-Debt!AR59</f>
        <v>-0.90100000000000002</v>
      </c>
      <c r="AS68" s="139">
        <f>SUM(AO68:AR68)</f>
        <v>7.5489999999999995</v>
      </c>
      <c r="AT68" s="27">
        <f>-Debt!AT59</f>
        <v>-3.3580000000000001</v>
      </c>
      <c r="AU68" s="27">
        <f>-Debt!AU59</f>
        <v>-17.724</v>
      </c>
      <c r="AV68" s="27">
        <f>-Debt!AV59</f>
        <v>-1.913</v>
      </c>
      <c r="AW68" s="27">
        <f>-Debt!AW59</f>
        <v>0</v>
      </c>
      <c r="AX68" s="139">
        <f>SUM(AT68:AW68)</f>
        <v>-22.995000000000001</v>
      </c>
      <c r="AY68" s="27">
        <f>-Debt!AY59</f>
        <v>-1.0980000000000001</v>
      </c>
      <c r="AZ68" s="27">
        <f>-Debt!AZ59</f>
        <v>-4.2889999999999997</v>
      </c>
      <c r="BA68" s="27">
        <f>-Debt!BA59</f>
        <v>-9.7840000000000007</v>
      </c>
      <c r="BB68" s="27">
        <f>-Debt!BB59</f>
        <v>-5.5940000000000003</v>
      </c>
      <c r="BC68" s="139">
        <f>SUM(AY68:BB68)</f>
        <v>-20.765000000000001</v>
      </c>
      <c r="BD68" s="27">
        <f>-Debt!BD59</f>
        <v>-16.193000000000001</v>
      </c>
      <c r="BE68" s="27">
        <f>-Debt!BE59</f>
        <v>-19.971</v>
      </c>
      <c r="BF68" s="27">
        <f>-Debt!BF59</f>
        <v>-12.103999999999999</v>
      </c>
      <c r="BG68" s="27">
        <f>-Debt!BG59</f>
        <v>-9.1959999999999997</v>
      </c>
      <c r="BH68" s="139">
        <f>SUM(BD68:BG68)</f>
        <v>-57.463999999999999</v>
      </c>
      <c r="BI68" s="27">
        <f>-Debt!BI59</f>
        <v>-1.0840000000000001</v>
      </c>
      <c r="BJ68" s="27">
        <f>-Debt!BJ59</f>
        <v>-9.9239999999999995</v>
      </c>
      <c r="BK68" s="27">
        <f>-Debt!BK59</f>
        <v>-4.766</v>
      </c>
      <c r="BL68" s="27">
        <f>-Debt!BL59</f>
        <v>-5.9279999999999999</v>
      </c>
      <c r="BM68" s="139">
        <f>BM70-BM69</f>
        <v>-9.9429999999999996</v>
      </c>
      <c r="BN68" s="27">
        <f>-Debt!BN59</f>
        <v>-0.29699999999999999</v>
      </c>
      <c r="BO68" s="27">
        <f>-Debt!BO59</f>
        <v>-5.8999999999999997E-2</v>
      </c>
      <c r="BP68" s="27">
        <f>-Debt!BP59</f>
        <v>-0.182</v>
      </c>
      <c r="BQ68" s="27">
        <f>-Debt!BQ59</f>
        <v>4.383</v>
      </c>
      <c r="BR68" s="139">
        <f>SUM(BN68:BQ68)</f>
        <v>3.8449999999999998</v>
      </c>
      <c r="BS68" s="27">
        <f>-Debt!BS59</f>
        <v>1.044</v>
      </c>
      <c r="BT68" s="27">
        <f>-Debt!BT59</f>
        <v>-6.3100000000000005</v>
      </c>
      <c r="BU68" s="27">
        <f>-Debt!BU59</f>
        <v>-0.7379999999999991</v>
      </c>
      <c r="BV68" s="27">
        <f>-Debt!BV59</f>
        <v>-9.6000000000000529E-2</v>
      </c>
      <c r="BW68" s="139">
        <f>SUM(BS68:BV68)</f>
        <v>-6.1</v>
      </c>
      <c r="BX68" s="85">
        <f>-Debt!BX59</f>
        <v>7.5999999999999998E-2</v>
      </c>
      <c r="BY68" s="85">
        <f>-Debt!BY59</f>
        <v>-9.5699999999999993E-2</v>
      </c>
      <c r="BZ68" s="85">
        <f>-Debt!BZ59</f>
        <v>-4.5990000000000002</v>
      </c>
      <c r="CA68" s="85">
        <f>-Debt!CA59</f>
        <v>-2.0672999999999999</v>
      </c>
      <c r="CB68" s="139">
        <f>SUM(BX68:CA68)</f>
        <v>-6.6859999999999999</v>
      </c>
      <c r="CC68" s="85">
        <f>-Debt!CC59</f>
        <v>-0.35399999999999998</v>
      </c>
      <c r="CD68" s="85">
        <f>-Debt!CD59</f>
        <v>-0.47</v>
      </c>
      <c r="CE68" s="721">
        <f>-Debt!CE59</f>
        <v>-0.32799999999999996</v>
      </c>
      <c r="CF68" s="721">
        <f>-Debt!CF59</f>
        <v>-8.4000000000000005E-2</v>
      </c>
      <c r="CG68" s="139">
        <f>SUM(CC68:CF68)</f>
        <v>-1.236</v>
      </c>
      <c r="CH68" s="721">
        <f>-Debt!CH59</f>
        <v>-1.1000000000000001</v>
      </c>
      <c r="CI68" s="27">
        <v>-0.5</v>
      </c>
      <c r="CJ68" s="128">
        <v>-1.5</v>
      </c>
      <c r="CK68" s="27">
        <v>-0.5</v>
      </c>
      <c r="CL68" s="139">
        <f>SUM(CH68:CK68)</f>
        <v>-3.6</v>
      </c>
      <c r="CM68" s="27">
        <v>-0.54</v>
      </c>
      <c r="CN68" s="27">
        <f>CM68-0.34</f>
        <v>-0.88000000000000012</v>
      </c>
      <c r="CO68" s="27">
        <f>CN68-0.34</f>
        <v>-1.2200000000000002</v>
      </c>
      <c r="CP68" s="27">
        <f>CO68-0.34</f>
        <v>-1.5600000000000003</v>
      </c>
      <c r="CQ68" s="139">
        <f>SUM(CM68:CP68)</f>
        <v>-4.2000000000000011</v>
      </c>
      <c r="CR68" s="27">
        <f>CP68</f>
        <v>-1.5600000000000003</v>
      </c>
      <c r="CS68" s="27">
        <f>CR68-0.1</f>
        <v>-1.6600000000000004</v>
      </c>
      <c r="CT68" s="27">
        <f>CS68-0.1</f>
        <v>-1.7600000000000005</v>
      </c>
      <c r="CU68" s="27">
        <f>CT68-0.2</f>
        <v>-1.9600000000000004</v>
      </c>
      <c r="CV68" s="139">
        <f>SUM(CR68:CU68)</f>
        <v>-6.9400000000000013</v>
      </c>
    </row>
    <row r="69" spans="1:106" s="27" customFormat="1" ht="12" customHeight="1" x14ac:dyDescent="0.25">
      <c r="A69" s="154">
        <v>-0.05</v>
      </c>
      <c r="B69" s="154">
        <v>-0.05</v>
      </c>
      <c r="C69" s="154">
        <v>-0.05</v>
      </c>
      <c r="D69" s="154">
        <v>-0.05</v>
      </c>
      <c r="E69" s="29" t="s">
        <v>34</v>
      </c>
      <c r="F69" s="141"/>
      <c r="G69" s="141"/>
      <c r="H69" s="141"/>
      <c r="I69" s="141"/>
      <c r="J69" s="141"/>
      <c r="K69" s="125"/>
      <c r="L69" s="125"/>
      <c r="M69" s="125"/>
      <c r="N69" s="125"/>
      <c r="O69" s="147"/>
      <c r="P69" s="125"/>
      <c r="Q69" s="125"/>
      <c r="R69" s="125"/>
      <c r="S69" s="125"/>
      <c r="T69" s="147"/>
      <c r="U69" s="125"/>
      <c r="V69" s="125"/>
      <c r="W69" s="125"/>
      <c r="X69" s="125"/>
      <c r="Y69" s="147"/>
      <c r="Z69" s="125"/>
      <c r="AA69" s="125"/>
      <c r="AB69" s="125"/>
      <c r="AC69" s="86"/>
      <c r="AD69" s="147"/>
      <c r="AE69" s="86">
        <f>AE70-AE68</f>
        <v>-0.82200000000000006</v>
      </c>
      <c r="AF69" s="86">
        <f>AF70-AF68</f>
        <v>3.617</v>
      </c>
      <c r="AG69" s="86">
        <f>AG70-AG68</f>
        <v>-35.719000000000001</v>
      </c>
      <c r="AH69" s="86">
        <f>AH70-AH68</f>
        <v>33.4</v>
      </c>
      <c r="AI69" s="149">
        <f>SUM(AE69:AH69)</f>
        <v>0.47599999999999909</v>
      </c>
      <c r="AJ69" s="86">
        <f>AJ70-AJ68</f>
        <v>-6.766</v>
      </c>
      <c r="AK69" s="86">
        <f>AK70-AK68</f>
        <v>-16.064999999999998</v>
      </c>
      <c r="AL69" s="86">
        <f>AL70-AL68</f>
        <v>8.016</v>
      </c>
      <c r="AM69" s="86">
        <f>AM70-AM68</f>
        <v>-13.041</v>
      </c>
      <c r="AN69" s="149">
        <f>SUM(AJ69:AM69)</f>
        <v>-27.855999999999995</v>
      </c>
      <c r="AO69" s="86">
        <f>AO70-AO68</f>
        <v>-7.7309999999999999</v>
      </c>
      <c r="AP69" s="86">
        <f>AP70-AP68</f>
        <v>-5.8100000000000005</v>
      </c>
      <c r="AQ69" s="86">
        <f>AQ70-AQ68</f>
        <v>-14.402000000000001</v>
      </c>
      <c r="AR69" s="86">
        <f>AR70-AR68</f>
        <v>-12.205</v>
      </c>
      <c r="AS69" s="149">
        <f>SUM(AO69:AR69)</f>
        <v>-40.148000000000003</v>
      </c>
      <c r="AT69" s="86">
        <f>AT70-AT68</f>
        <v>-2.3580000000000001</v>
      </c>
      <c r="AU69" s="86">
        <f>AU70-AU68</f>
        <v>10.185</v>
      </c>
      <c r="AV69" s="86">
        <f>AV70-AV68</f>
        <v>-5.6509999999999998</v>
      </c>
      <c r="AW69" s="86">
        <f>AW70-AW68</f>
        <v>-10.904999999999999</v>
      </c>
      <c r="AX69" s="149">
        <f>SUM(AT69:AW69)</f>
        <v>-8.7289999999999992</v>
      </c>
      <c r="AY69" s="86">
        <f>AY70-AY68</f>
        <v>-4.9649999999999999</v>
      </c>
      <c r="AZ69" s="86">
        <f>AZ70-AZ68</f>
        <v>-5.2390000000000008</v>
      </c>
      <c r="BA69" s="86">
        <f>BA70-BA68</f>
        <v>8.4000000000001407E-2</v>
      </c>
      <c r="BB69" s="86">
        <f>BB70-BB68</f>
        <v>1.7560000000000002</v>
      </c>
      <c r="BC69" s="149">
        <f>SUM(AY69:BB69)</f>
        <v>-8.363999999999999</v>
      </c>
      <c r="BD69" s="86">
        <f>BD70-BD68</f>
        <v>7.7550000000000008</v>
      </c>
      <c r="BE69" s="86">
        <f>BE70-BE68</f>
        <v>9.5060000000000002</v>
      </c>
      <c r="BF69" s="86">
        <f>BF70-BF68</f>
        <v>2.2679999999999989</v>
      </c>
      <c r="BG69" s="86">
        <f>BG70-BG68</f>
        <v>4.8769999999999998</v>
      </c>
      <c r="BH69" s="149">
        <f>SUM(BD69:BG69)</f>
        <v>24.406000000000002</v>
      </c>
      <c r="BI69" s="86">
        <f>BI70-BI68</f>
        <v>-6.9779999999999998</v>
      </c>
      <c r="BJ69" s="86">
        <f>BJ70-BJ68</f>
        <v>3.4869999999999992</v>
      </c>
      <c r="BK69" s="86">
        <f>BK70-BK68</f>
        <v>1.6829999999999998</v>
      </c>
      <c r="BL69" s="86">
        <f>BL70-BL68</f>
        <v>-6.117</v>
      </c>
      <c r="BM69" s="149">
        <f>-'Cash Flow'!BM13</f>
        <v>-2.097</v>
      </c>
      <c r="BN69" s="86">
        <f>BN70-BN68</f>
        <v>4.6959999999999997</v>
      </c>
      <c r="BO69" s="86">
        <f>BO70-BO68</f>
        <v>1.385</v>
      </c>
      <c r="BP69" s="86">
        <f>BP70-BP68</f>
        <v>4.7790000000000008</v>
      </c>
      <c r="BQ69" s="86">
        <f>BQ70-BQ68</f>
        <v>9.9999999999999645E-2</v>
      </c>
      <c r="BR69" s="149">
        <f>SUM(BN69:BQ69)</f>
        <v>10.959999999999999</v>
      </c>
      <c r="BS69" s="86">
        <f>BS70-BS68</f>
        <v>-1.776</v>
      </c>
      <c r="BT69" s="86">
        <f>BT70-BT68</f>
        <v>8.918000000000001</v>
      </c>
      <c r="BU69" s="86">
        <f>BU70-BU68</f>
        <v>2.3179999999999992</v>
      </c>
      <c r="BV69" s="86">
        <f>BV70-BV68</f>
        <v>8.2720000000000002</v>
      </c>
      <c r="BW69" s="149">
        <f>SUM(BS69:BV69)</f>
        <v>17.731999999999999</v>
      </c>
      <c r="BX69" s="86">
        <f>BX70-BX68</f>
        <v>-2.7570000000000001</v>
      </c>
      <c r="BY69" s="86">
        <f>BY70-BY68</f>
        <v>2.0116999999999998</v>
      </c>
      <c r="BZ69" s="86">
        <f>BZ70-BZ68</f>
        <v>-1.7349999999999994</v>
      </c>
      <c r="CA69" s="86">
        <f>CA70-CA68</f>
        <v>4.6322999999999999</v>
      </c>
      <c r="CB69" s="149">
        <f>SUM(BX69:CA69)</f>
        <v>2.1520000000000001</v>
      </c>
      <c r="CC69" s="86">
        <f>CC70-CC68</f>
        <v>13.673999999999999</v>
      </c>
      <c r="CD69" s="86">
        <f>CD70-CD68</f>
        <v>12.339</v>
      </c>
      <c r="CE69" s="86">
        <f>CE70-CE68</f>
        <v>30.119</v>
      </c>
      <c r="CF69" s="86">
        <f>CF70-CF68</f>
        <v>7.9819999999999993</v>
      </c>
      <c r="CG69" s="149">
        <f>SUM(CC69:CF69)</f>
        <v>64.114000000000004</v>
      </c>
      <c r="CH69" s="86">
        <f>CH70-CH68</f>
        <v>2.528</v>
      </c>
      <c r="CI69" s="86">
        <f>CI70-CI68</f>
        <v>-2.2000000000000002</v>
      </c>
      <c r="CJ69" s="86">
        <f>CJ70-CJ68</f>
        <v>-496</v>
      </c>
      <c r="CK69" s="86">
        <f>CK70-CK68</f>
        <v>-0.5</v>
      </c>
      <c r="CL69" s="149">
        <f>SUM(CH69:CK69)</f>
        <v>-496.17200000000003</v>
      </c>
      <c r="CM69" s="86">
        <f>CM70-CM68</f>
        <v>11.064058055747438</v>
      </c>
      <c r="CN69" s="86">
        <f>CN70-CN68</f>
        <v>10.080230171123882</v>
      </c>
      <c r="CO69" s="86">
        <f>CO70-CO68</f>
        <v>8.2504120215097903</v>
      </c>
      <c r="CP69" s="86">
        <f>CP70-CP68</f>
        <v>8.8073040109694176</v>
      </c>
      <c r="CQ69" s="149">
        <f>SUM(CM69:CP69)</f>
        <v>38.202004259350524</v>
      </c>
      <c r="CR69" s="86">
        <f>CR70-CR68</f>
        <v>8.9226110535356415</v>
      </c>
      <c r="CS69" s="86">
        <f>CS70-CS68</f>
        <v>7.3217283013134358</v>
      </c>
      <c r="CT69" s="86">
        <f>CT70-CT68</f>
        <v>4.5133436385457122</v>
      </c>
      <c r="CU69" s="86">
        <f>CU70-CU68</f>
        <v>4.6020173977306484</v>
      </c>
      <c r="CV69" s="149">
        <f>SUM(CR69:CU69)</f>
        <v>25.35970039112544</v>
      </c>
    </row>
    <row r="70" spans="1:106" s="27" customFormat="1" ht="12" customHeight="1" x14ac:dyDescent="0.25">
      <c r="A70" s="129"/>
      <c r="B70" s="129"/>
      <c r="C70" s="129"/>
      <c r="D70" s="129"/>
      <c r="E70" s="27" t="s">
        <v>38</v>
      </c>
      <c r="F70" s="139"/>
      <c r="G70" s="139"/>
      <c r="H70" s="139"/>
      <c r="I70" s="139"/>
      <c r="J70" s="139"/>
      <c r="O70" s="139"/>
      <c r="T70" s="140">
        <v>-36.482999999999997</v>
      </c>
      <c r="Y70" s="140">
        <v>-40.216000000000001</v>
      </c>
      <c r="AD70" s="140">
        <v>-47.331000000000003</v>
      </c>
      <c r="AE70" s="124">
        <v>-0.93700000000000006</v>
      </c>
      <c r="AF70" s="124">
        <v>3.5209999999999999</v>
      </c>
      <c r="AG70" s="124">
        <v>-30.977</v>
      </c>
      <c r="AH70" s="124">
        <v>30.373999999999999</v>
      </c>
      <c r="AI70" s="139">
        <f>SUM(AE70:AH70)</f>
        <v>1.9809999999999981</v>
      </c>
      <c r="AJ70" s="124">
        <v>-6.8079999999999998</v>
      </c>
      <c r="AK70" s="124">
        <v>-10.135999999999999</v>
      </c>
      <c r="AL70" s="124">
        <v>5.1150000000000002</v>
      </c>
      <c r="AM70" s="124">
        <v>-12.881</v>
      </c>
      <c r="AN70" s="139">
        <f>SUM(AJ70:AM70)</f>
        <v>-24.71</v>
      </c>
      <c r="AO70" s="124">
        <v>-2.6789999999999998</v>
      </c>
      <c r="AP70" s="124">
        <v>-6.6020000000000003</v>
      </c>
      <c r="AQ70" s="124">
        <v>-10.212</v>
      </c>
      <c r="AR70" s="124">
        <v>-13.106</v>
      </c>
      <c r="AS70" s="139">
        <f>SUM(AO70:AR70)</f>
        <v>-32.599000000000004</v>
      </c>
      <c r="AT70" s="124">
        <v>-5.7160000000000002</v>
      </c>
      <c r="AU70" s="124">
        <v>-7.5389999999999997</v>
      </c>
      <c r="AV70" s="124">
        <v>-7.5640000000000001</v>
      </c>
      <c r="AW70" s="124">
        <v>-10.904999999999999</v>
      </c>
      <c r="AX70" s="139">
        <f>SUM(AT70:AW70)</f>
        <v>-31.723999999999997</v>
      </c>
      <c r="AY70" s="124">
        <v>-6.0629999999999997</v>
      </c>
      <c r="AZ70" s="124">
        <v>-9.5280000000000005</v>
      </c>
      <c r="BA70" s="124">
        <v>-9.6999999999999993</v>
      </c>
      <c r="BB70" s="124">
        <v>-3.8380000000000001</v>
      </c>
      <c r="BC70" s="139">
        <f>SUM(AY70:BB70)</f>
        <v>-29.129000000000001</v>
      </c>
      <c r="BD70" s="124">
        <v>-8.4380000000000006</v>
      </c>
      <c r="BE70" s="124">
        <v>-10.465</v>
      </c>
      <c r="BF70" s="124">
        <v>-9.8360000000000003</v>
      </c>
      <c r="BG70" s="124">
        <v>-4.319</v>
      </c>
      <c r="BH70" s="139">
        <f>SUM(BD70:BG70)</f>
        <v>-33.058</v>
      </c>
      <c r="BI70" s="124">
        <v>-8.0619999999999994</v>
      </c>
      <c r="BJ70" s="124">
        <v>-6.4370000000000003</v>
      </c>
      <c r="BK70" s="124">
        <v>-3.0830000000000002</v>
      </c>
      <c r="BL70" s="124">
        <v>-12.045</v>
      </c>
      <c r="BM70" s="513">
        <v>-12.04</v>
      </c>
      <c r="BN70" s="124">
        <v>4.399</v>
      </c>
      <c r="BO70" s="124">
        <v>1.3260000000000001</v>
      </c>
      <c r="BP70" s="124">
        <v>4.5970000000000004</v>
      </c>
      <c r="BQ70" s="124">
        <v>4.4829999999999997</v>
      </c>
      <c r="BR70" s="139">
        <f>SUM(BN70:BQ70)</f>
        <v>14.805</v>
      </c>
      <c r="BS70" s="124">
        <v>-0.73199999999999998</v>
      </c>
      <c r="BT70" s="124">
        <v>2.6080000000000001</v>
      </c>
      <c r="BU70" s="124">
        <v>1.58</v>
      </c>
      <c r="BV70" s="124">
        <v>8.1760000000000002</v>
      </c>
      <c r="BW70" s="139">
        <f>SUM(BS70:BV70)</f>
        <v>11.632000000000001</v>
      </c>
      <c r="BX70" s="124">
        <v>-2.681</v>
      </c>
      <c r="BY70" s="124">
        <v>1.9159999999999999</v>
      </c>
      <c r="BZ70" s="124">
        <v>-6.3339999999999996</v>
      </c>
      <c r="CA70" s="124">
        <v>2.5649999999999999</v>
      </c>
      <c r="CB70" s="139">
        <f>SUM(BX70:CA70)</f>
        <v>-4.5340000000000007</v>
      </c>
      <c r="CC70" s="124">
        <v>13.32</v>
      </c>
      <c r="CD70" s="124">
        <v>11.869</v>
      </c>
      <c r="CE70" s="124">
        <v>29.791</v>
      </c>
      <c r="CF70" s="124">
        <v>7.8979999999999997</v>
      </c>
      <c r="CG70" s="139">
        <f>SUM(CC70:CF70)</f>
        <v>62.878</v>
      </c>
      <c r="CH70" s="124">
        <v>1.4279999999999999</v>
      </c>
      <c r="CI70" s="124">
        <v>-2.7</v>
      </c>
      <c r="CJ70" s="128">
        <f>-496-1.5</f>
        <v>-497.5</v>
      </c>
      <c r="CK70" s="128">
        <v>-1</v>
      </c>
      <c r="CL70" s="139">
        <f>SUM(CH70:CK70)</f>
        <v>-499.77199999999999</v>
      </c>
      <c r="CM70" s="27">
        <f>CM66*-0.3</f>
        <v>10.524058055747437</v>
      </c>
      <c r="CN70" s="27">
        <f>CN66*-0.3</f>
        <v>9.2002301711238808</v>
      </c>
      <c r="CO70" s="27">
        <f>CO66*-0.3</f>
        <v>7.0304120215097905</v>
      </c>
      <c r="CP70" s="27">
        <f>CP66*-0.3</f>
        <v>7.247304010969418</v>
      </c>
      <c r="CQ70" s="139">
        <f>SUM(CM70:CP70)</f>
        <v>34.002004259350521</v>
      </c>
      <c r="CR70" s="27">
        <f>CR66*-0.3</f>
        <v>7.3626110535356419</v>
      </c>
      <c r="CS70" s="27">
        <f>CS66*-0.3</f>
        <v>5.6617283013134356</v>
      </c>
      <c r="CT70" s="27">
        <f>CT66*-0.3</f>
        <v>2.753343638545712</v>
      </c>
      <c r="CU70" s="27">
        <f>CU66*-0.3</f>
        <v>2.642017397730648</v>
      </c>
      <c r="CV70" s="139">
        <f>SUM(CR70:CU70)</f>
        <v>18.419700391125438</v>
      </c>
    </row>
    <row r="71" spans="1:106" s="27" customFormat="1" ht="12" customHeight="1" x14ac:dyDescent="0.25">
      <c r="A71" s="129"/>
      <c r="B71" s="129"/>
      <c r="C71" s="154">
        <v>0.38</v>
      </c>
      <c r="D71" s="154">
        <v>0</v>
      </c>
      <c r="E71" s="29" t="s">
        <v>68</v>
      </c>
      <c r="F71" s="141"/>
      <c r="G71" s="141"/>
      <c r="H71" s="141"/>
      <c r="I71" s="141"/>
      <c r="J71" s="141"/>
      <c r="K71" s="125"/>
      <c r="L71" s="125"/>
      <c r="M71" s="125"/>
      <c r="N71" s="125"/>
      <c r="O71" s="147"/>
      <c r="P71" s="125"/>
      <c r="Q71" s="125"/>
      <c r="R71" s="125"/>
      <c r="S71" s="125"/>
      <c r="T71" s="149">
        <f>T48*T74</f>
        <v>0.3380313933013816</v>
      </c>
      <c r="U71" s="125"/>
      <c r="V71" s="125"/>
      <c r="W71" s="125"/>
      <c r="X71" s="125"/>
      <c r="Y71" s="149">
        <f>Y48*Y74</f>
        <v>-3.6630075902783101</v>
      </c>
      <c r="Z71" s="125"/>
      <c r="AA71" s="125"/>
      <c r="AB71" s="125"/>
      <c r="AC71" s="125"/>
      <c r="AD71" s="149">
        <f>AD48*AD74</f>
        <v>-3.5665312142693817</v>
      </c>
      <c r="AE71" s="29">
        <f>AE48*AE74</f>
        <v>1.1307480592801666</v>
      </c>
      <c r="AF71" s="29">
        <f>AF48*AF74</f>
        <v>6.1633013746915823</v>
      </c>
      <c r="AG71" s="29">
        <f>AG48*AG74</f>
        <v>22.874707805575905</v>
      </c>
      <c r="AH71" s="29">
        <f>AH48*AH74</f>
        <v>-25.52972745011785</v>
      </c>
      <c r="AI71" s="149">
        <f>SUM(AE71:AH71)</f>
        <v>4.6390297894298023</v>
      </c>
      <c r="AJ71" s="29">
        <f>AJ48*AJ74</f>
        <v>0.212530644976515</v>
      </c>
      <c r="AK71" s="29">
        <f>AK48*AK74</f>
        <v>0.92432644580399392</v>
      </c>
      <c r="AL71" s="29">
        <f>AL48*AL74</f>
        <v>-13.332535921275051</v>
      </c>
      <c r="AM71" s="129">
        <v>-1</v>
      </c>
      <c r="AN71" s="149">
        <f>SUM(AJ71:AM71)</f>
        <v>-13.195678830494542</v>
      </c>
      <c r="AO71" s="29">
        <f>AO48*AO74</f>
        <v>-0.13525578350065492</v>
      </c>
      <c r="AP71" s="29">
        <f>AP48*AP74</f>
        <v>1.1108244531688148E-2</v>
      </c>
      <c r="AQ71" s="29">
        <f>AQ48*AQ74</f>
        <v>-0.22544341403364768</v>
      </c>
      <c r="AR71" s="129">
        <v>-1</v>
      </c>
      <c r="AS71" s="149">
        <f>SUM(AO71:AR71)</f>
        <v>-1.3495909530026144</v>
      </c>
      <c r="AT71" s="29">
        <f>AT48*AT74</f>
        <v>2.2801595633004386E-2</v>
      </c>
      <c r="AU71" s="29">
        <f>AU48*AU74</f>
        <v>-3.1197517109660976E-2</v>
      </c>
      <c r="AV71" s="29">
        <f>(AV48*0.42)-3.5</f>
        <v>-1.9712000000000001</v>
      </c>
      <c r="AW71" s="86">
        <f>-13.26-AW70</f>
        <v>-2.3550000000000004</v>
      </c>
      <c r="AX71" s="149">
        <f>SUM(AT71:AW71)</f>
        <v>-4.334595921476657</v>
      </c>
      <c r="AY71" s="86">
        <v>0</v>
      </c>
      <c r="AZ71" s="29">
        <v>0</v>
      </c>
      <c r="BA71" s="86">
        <f>-10.649-BA70</f>
        <v>-0.94899999999999984</v>
      </c>
      <c r="BB71" s="86">
        <f>-14.082-BB70</f>
        <v>-10.244</v>
      </c>
      <c r="BC71" s="149">
        <f>SUM(AY71:BB71)</f>
        <v>-11.193</v>
      </c>
      <c r="BD71" s="373">
        <v>0</v>
      </c>
      <c r="BE71" s="373">
        <f>-10.477-BE70</f>
        <v>-1.2000000000000455E-2</v>
      </c>
      <c r="BF71" s="373">
        <f>-BF70-9.76</f>
        <v>7.6000000000000512E-2</v>
      </c>
      <c r="BG71" s="373">
        <f>-BG70-5.398</f>
        <v>-1.0789999999999997</v>
      </c>
      <c r="BH71" s="149">
        <f>SUM(BD71:BG71)</f>
        <v>-1.0149999999999997</v>
      </c>
      <c r="BI71" s="86">
        <f>BI74*BI48</f>
        <v>0</v>
      </c>
      <c r="BJ71" s="373">
        <f>-BJ70-9.823</f>
        <v>-3.3860000000000001</v>
      </c>
      <c r="BK71" s="373">
        <f>-BK70-5.69</f>
        <v>-2.6070000000000002</v>
      </c>
      <c r="BL71" s="373">
        <f>-BL70-11.113</f>
        <v>0.93200000000000038</v>
      </c>
      <c r="BM71" s="149">
        <f>BM48*$C71</f>
        <v>-24.67606</v>
      </c>
      <c r="BN71" s="86">
        <f>BN48*$C71</f>
        <v>-7.4058200000000003</v>
      </c>
      <c r="BO71" s="86">
        <f>BO48*$C71</f>
        <v>-3.8836000000000004</v>
      </c>
      <c r="BP71" s="86">
        <f>BP48*$C71</f>
        <v>-4.6705800000000002</v>
      </c>
      <c r="BQ71" s="86">
        <f>BQ48*$C71</f>
        <v>-7.2659799999999999</v>
      </c>
      <c r="BR71" s="149">
        <f>SUM(BN71:BQ71)</f>
        <v>-23.22598</v>
      </c>
      <c r="BS71" s="86">
        <f>BS63*$D71</f>
        <v>0</v>
      </c>
      <c r="BT71" s="86">
        <f>BT63*$D71</f>
        <v>0</v>
      </c>
      <c r="BU71" s="86">
        <f>BU63*$D71</f>
        <v>0</v>
      </c>
      <c r="BV71" s="86">
        <f>BV63*$D71</f>
        <v>0</v>
      </c>
      <c r="BW71" s="149">
        <f>SUM(BS71:BV71)</f>
        <v>0</v>
      </c>
      <c r="BX71" s="86">
        <f>BX63*$A71</f>
        <v>0</v>
      </c>
      <c r="BY71" s="86">
        <f>BY63*$A71</f>
        <v>0</v>
      </c>
      <c r="BZ71" s="86">
        <f>BZ63*$A71</f>
        <v>0</v>
      </c>
      <c r="CA71" s="86">
        <f>CA63*$A71</f>
        <v>0</v>
      </c>
      <c r="CB71" s="149">
        <f>SUM(BX71:CA71)</f>
        <v>0</v>
      </c>
      <c r="CC71" s="86">
        <v>0</v>
      </c>
      <c r="CD71" s="86">
        <v>0</v>
      </c>
      <c r="CE71" s="86">
        <v>0</v>
      </c>
      <c r="CF71" s="86">
        <v>0</v>
      </c>
      <c r="CG71" s="149">
        <f>SUM(CC71:CF71)</f>
        <v>0</v>
      </c>
      <c r="CH71" s="86">
        <v>0</v>
      </c>
      <c r="CI71" s="86">
        <v>0</v>
      </c>
      <c r="CJ71" s="86">
        <f>CJ63*0.2778</f>
        <v>461.14799999999997</v>
      </c>
      <c r="CK71" s="86">
        <v>0</v>
      </c>
      <c r="CL71" s="149">
        <f>SUM(CH71:CK71)</f>
        <v>461.14799999999997</v>
      </c>
      <c r="CM71" s="86">
        <v>0</v>
      </c>
      <c r="CN71" s="86">
        <v>0</v>
      </c>
      <c r="CO71" s="86">
        <v>0</v>
      </c>
      <c r="CP71" s="86">
        <v>0</v>
      </c>
      <c r="CQ71" s="149">
        <f>SUM(CM71:CP71)</f>
        <v>0</v>
      </c>
      <c r="CR71" s="86">
        <v>0</v>
      </c>
      <c r="CS71" s="86">
        <v>0</v>
      </c>
      <c r="CT71" s="86">
        <v>0</v>
      </c>
      <c r="CU71" s="86">
        <v>0</v>
      </c>
      <c r="CV71" s="149">
        <f>SUM(CR71:CU71)</f>
        <v>0</v>
      </c>
    </row>
    <row r="72" spans="1:106" s="27" customFormat="1" ht="12" customHeight="1" x14ac:dyDescent="0.25">
      <c r="A72" s="129"/>
      <c r="B72" s="129"/>
      <c r="C72" s="129"/>
      <c r="D72" s="129"/>
      <c r="E72" s="27" t="s">
        <v>505</v>
      </c>
      <c r="F72" s="139"/>
      <c r="G72" s="139"/>
      <c r="H72" s="139"/>
      <c r="I72" s="139"/>
      <c r="J72" s="139"/>
      <c r="O72" s="139"/>
      <c r="T72" s="139">
        <f>T70+T71</f>
        <v>-36.144968606698619</v>
      </c>
      <c r="Y72" s="139">
        <f>Y70+Y71</f>
        <v>-43.879007590278313</v>
      </c>
      <c r="AD72" s="139">
        <f>AD70+AD71</f>
        <v>-50.897531214269385</v>
      </c>
      <c r="AE72" s="27">
        <f>AE70+AE71</f>
        <v>0.19374805928016658</v>
      </c>
      <c r="AF72" s="27">
        <f>AF70+AF71</f>
        <v>9.6843013746915823</v>
      </c>
      <c r="AG72" s="27">
        <f>AG70+AG71</f>
        <v>-8.1022921944240949</v>
      </c>
      <c r="AH72" s="27">
        <f>AH70+AH71</f>
        <v>4.8442725498821488</v>
      </c>
      <c r="AI72" s="139">
        <f>SUM(AE72:AH72)</f>
        <v>6.6200297894298021</v>
      </c>
      <c r="AJ72" s="27">
        <f>AJ70+AJ71</f>
        <v>-6.5954693550234849</v>
      </c>
      <c r="AK72" s="27">
        <f>AK70+AK71</f>
        <v>-9.2116735541960058</v>
      </c>
      <c r="AL72" s="27">
        <f>AL70+AL71</f>
        <v>-8.2175359212750507</v>
      </c>
      <c r="AM72" s="27">
        <f>AM70+AM71</f>
        <v>-13.881</v>
      </c>
      <c r="AN72" s="139">
        <f>SUM(AJ72:AM72)</f>
        <v>-37.905678830494537</v>
      </c>
      <c r="AO72" s="27">
        <f>AO70+AO71</f>
        <v>-2.8142557835006548</v>
      </c>
      <c r="AP72" s="27">
        <f>AP70+AP71</f>
        <v>-6.590891755468312</v>
      </c>
      <c r="AQ72" s="27">
        <f>AQ70+AQ71</f>
        <v>-10.437443414033648</v>
      </c>
      <c r="AR72" s="27">
        <f>AR70+AR71</f>
        <v>-14.106</v>
      </c>
      <c r="AS72" s="139">
        <f>SUM(AO72:AR72)</f>
        <v>-33.948590953002615</v>
      </c>
      <c r="AT72" s="27">
        <f>AT70+AT71</f>
        <v>-5.6931984043669956</v>
      </c>
      <c r="AU72" s="27">
        <f>AU70+AU71</f>
        <v>-7.5701975171096603</v>
      </c>
      <c r="AV72" s="27">
        <f>AV70+AV71</f>
        <v>-9.5351999999999997</v>
      </c>
      <c r="AW72" s="27">
        <f>AW70+AW71</f>
        <v>-13.26</v>
      </c>
      <c r="AX72" s="139">
        <f>SUM(AT72:AW72)</f>
        <v>-36.058595921476652</v>
      </c>
      <c r="AY72" s="27">
        <f>AY70+AY71</f>
        <v>-6.0629999999999997</v>
      </c>
      <c r="AZ72" s="27">
        <f>AZ70+AZ71</f>
        <v>-9.5280000000000005</v>
      </c>
      <c r="BA72" s="27">
        <f>BA70+BA71</f>
        <v>-10.648999999999999</v>
      </c>
      <c r="BB72" s="27">
        <f>BB70+BB71</f>
        <v>-14.082000000000001</v>
      </c>
      <c r="BC72" s="139">
        <f>SUM(AY72:BB72)</f>
        <v>-40.322000000000003</v>
      </c>
      <c r="BD72" s="27">
        <f>BD70+BD71</f>
        <v>-8.4380000000000006</v>
      </c>
      <c r="BE72" s="27">
        <f>BE70+BE71</f>
        <v>-10.477</v>
      </c>
      <c r="BF72" s="27">
        <f>BF70+BF71</f>
        <v>-9.76</v>
      </c>
      <c r="BG72" s="27">
        <f>BG70+BG71</f>
        <v>-5.3979999999999997</v>
      </c>
      <c r="BH72" s="139">
        <f>SUM(BD72:BG72)</f>
        <v>-34.072999999999993</v>
      </c>
      <c r="BI72" s="27">
        <f t="shared" ref="BI72:BQ72" si="91">BI70+BI71</f>
        <v>-8.0619999999999994</v>
      </c>
      <c r="BJ72" s="27">
        <f t="shared" si="91"/>
        <v>-9.8230000000000004</v>
      </c>
      <c r="BK72" s="27">
        <f t="shared" si="91"/>
        <v>-5.69</v>
      </c>
      <c r="BL72" s="27">
        <f t="shared" si="91"/>
        <v>-11.113</v>
      </c>
      <c r="BM72" s="139">
        <f t="shared" si="91"/>
        <v>-36.716059999999999</v>
      </c>
      <c r="BN72" s="27">
        <f t="shared" si="91"/>
        <v>-3.0068200000000003</v>
      </c>
      <c r="BO72" s="27">
        <f t="shared" si="91"/>
        <v>-2.5576000000000003</v>
      </c>
      <c r="BP72" s="27">
        <f t="shared" si="91"/>
        <v>-7.3579999999999757E-2</v>
      </c>
      <c r="BQ72" s="85">
        <f t="shared" si="91"/>
        <v>-2.7829800000000002</v>
      </c>
      <c r="BR72" s="139">
        <f>SUM(BN72:BQ72)</f>
        <v>-8.4209800000000001</v>
      </c>
      <c r="BS72" s="27">
        <f>BS70+BS71</f>
        <v>-0.73199999999999998</v>
      </c>
      <c r="BT72" s="27">
        <f>BT70+BT71</f>
        <v>2.6080000000000001</v>
      </c>
      <c r="BU72" s="27">
        <f>BU70+BU71</f>
        <v>1.58</v>
      </c>
      <c r="BV72" s="27">
        <f>BV70+BV71</f>
        <v>8.1760000000000002</v>
      </c>
      <c r="BW72" s="139">
        <f>SUM(BS72:BV72)</f>
        <v>11.632000000000001</v>
      </c>
      <c r="BX72" s="27">
        <f>BX70+BX71</f>
        <v>-2.681</v>
      </c>
      <c r="BY72" s="27">
        <f>BY70+BY71</f>
        <v>1.9159999999999999</v>
      </c>
      <c r="BZ72" s="27">
        <f>BZ70+BZ71</f>
        <v>-6.3339999999999996</v>
      </c>
      <c r="CA72" s="27">
        <f>CA70+CA71</f>
        <v>2.5649999999999999</v>
      </c>
      <c r="CB72" s="139">
        <f>SUM(BX72:CA72)</f>
        <v>-4.5340000000000007</v>
      </c>
      <c r="CC72" s="27">
        <f>CC70+CC71</f>
        <v>13.32</v>
      </c>
      <c r="CD72" s="27">
        <f>CD70+CD71</f>
        <v>11.869</v>
      </c>
      <c r="CE72" s="27">
        <f>CE70+CE71</f>
        <v>29.791</v>
      </c>
      <c r="CF72" s="27">
        <f>CF70+CF71</f>
        <v>7.8979999999999997</v>
      </c>
      <c r="CG72" s="139">
        <f>SUM(CC72:CF72)</f>
        <v>62.878</v>
      </c>
      <c r="CH72" s="27">
        <f>CH70+CH71</f>
        <v>1.4279999999999999</v>
      </c>
      <c r="CI72" s="27">
        <f>CI70+CI71</f>
        <v>-2.7</v>
      </c>
      <c r="CJ72" s="27">
        <f>CJ70+CJ71</f>
        <v>-36.352000000000032</v>
      </c>
      <c r="CK72" s="27">
        <f>CK70+CK71</f>
        <v>-1</v>
      </c>
      <c r="CL72" s="139">
        <f>SUM(CH72:CK72)</f>
        <v>-38.624000000000031</v>
      </c>
      <c r="CM72" s="27">
        <f>CM70+CM71</f>
        <v>10.524058055747437</v>
      </c>
      <c r="CN72" s="27">
        <f>CN70+CN71</f>
        <v>9.2002301711238808</v>
      </c>
      <c r="CO72" s="27">
        <f>CO70+CO71</f>
        <v>7.0304120215097905</v>
      </c>
      <c r="CP72" s="27">
        <f>CP70+CP71</f>
        <v>7.247304010969418</v>
      </c>
      <c r="CQ72" s="139">
        <f>SUM(CM72:CP72)</f>
        <v>34.002004259350521</v>
      </c>
      <c r="CR72" s="27">
        <f>CR70+CR71</f>
        <v>7.3626110535356419</v>
      </c>
      <c r="CS72" s="27">
        <f>CS70+CS71</f>
        <v>5.6617283013134356</v>
      </c>
      <c r="CT72" s="27">
        <f>CT70+CT71</f>
        <v>2.753343638545712</v>
      </c>
      <c r="CU72" s="27">
        <f>CU70+CU71</f>
        <v>2.642017397730648</v>
      </c>
      <c r="CV72" s="139">
        <f>SUM(CR72:CU72)</f>
        <v>18.419700391125438</v>
      </c>
    </row>
    <row r="73" spans="1:106" s="351" customFormat="1" ht="12" customHeight="1" x14ac:dyDescent="0.25">
      <c r="A73" s="347"/>
      <c r="B73" s="347"/>
      <c r="C73" s="347"/>
      <c r="D73" s="347"/>
      <c r="E73" s="348" t="s">
        <v>735</v>
      </c>
      <c r="F73" s="349"/>
      <c r="G73" s="349"/>
      <c r="H73" s="349"/>
      <c r="I73" s="349"/>
      <c r="J73" s="349"/>
      <c r="K73" s="350"/>
      <c r="L73" s="350"/>
      <c r="M73" s="350"/>
      <c r="N73" s="350"/>
      <c r="O73" s="349"/>
      <c r="P73" s="350"/>
      <c r="Q73" s="350"/>
      <c r="R73" s="350"/>
      <c r="S73" s="350"/>
      <c r="T73" s="349">
        <f>-T72/T65</f>
        <v>0.3435278387209163</v>
      </c>
      <c r="U73" s="350"/>
      <c r="V73" s="350"/>
      <c r="W73" s="350"/>
      <c r="X73" s="350"/>
      <c r="Y73" s="349">
        <f>-Y72/Y65</f>
        <v>0.38541746530706134</v>
      </c>
      <c r="Z73" s="350"/>
      <c r="AA73" s="350"/>
      <c r="AB73" s="350"/>
      <c r="AC73" s="350"/>
      <c r="AD73" s="349">
        <f t="shared" ref="AD73:BC73" si="92">-AD72/AD65</f>
        <v>0.40086896867139282</v>
      </c>
      <c r="AE73" s="350">
        <f t="shared" si="92"/>
        <v>-7.3472908335293477E-2</v>
      </c>
      <c r="AF73" s="350">
        <f t="shared" si="92"/>
        <v>-0.62054987663024375</v>
      </c>
      <c r="AG73" s="350">
        <f t="shared" si="92"/>
        <v>0.36029403212487066</v>
      </c>
      <c r="AH73" s="350">
        <f t="shared" si="92"/>
        <v>0.34259353252348895</v>
      </c>
      <c r="AI73" s="349">
        <f t="shared" si="92"/>
        <v>-0.24895753410664578</v>
      </c>
      <c r="AJ73" s="350">
        <f t="shared" si="92"/>
        <v>0.38996448619544039</v>
      </c>
      <c r="AK73" s="350">
        <f t="shared" si="92"/>
        <v>0.39001115856708601</v>
      </c>
      <c r="AL73" s="350">
        <f>-AL72/AL65</f>
        <v>0.30880222168558313</v>
      </c>
      <c r="AM73" s="350">
        <f t="shared" si="92"/>
        <v>0.41267057109730321</v>
      </c>
      <c r="AN73" s="349">
        <f t="shared" si="92"/>
        <v>0.37612302868123165</v>
      </c>
      <c r="AO73" s="350">
        <f t="shared" si="92"/>
        <v>0.38978611959842924</v>
      </c>
      <c r="AP73" s="350">
        <f t="shared" si="92"/>
        <v>0.4114164641365981</v>
      </c>
      <c r="AQ73" s="350">
        <f t="shared" si="92"/>
        <v>0.41903980303651989</v>
      </c>
      <c r="AR73" s="350">
        <f t="shared" si="92"/>
        <v>0.50986770765560663</v>
      </c>
      <c r="AS73" s="349">
        <f t="shared" si="92"/>
        <v>0.4477878881605325</v>
      </c>
      <c r="AT73" s="350">
        <f t="shared" si="92"/>
        <v>0.40002799356148039</v>
      </c>
      <c r="AU73" s="350">
        <f t="shared" si="92"/>
        <v>0.39996816807257651</v>
      </c>
      <c r="AV73" s="350">
        <f>-AV72/AV65</f>
        <v>0.39901242833828443</v>
      </c>
      <c r="AW73" s="350">
        <f>-AW72/AW65</f>
        <v>0.46268188003768507</v>
      </c>
      <c r="AX73" s="349">
        <f t="shared" si="92"/>
        <v>0.42068011341628231</v>
      </c>
      <c r="AY73" s="350">
        <f t="shared" si="92"/>
        <v>0.39988128215275037</v>
      </c>
      <c r="AZ73" s="350">
        <f t="shared" si="92"/>
        <v>0.39979859013091612</v>
      </c>
      <c r="BA73" s="350">
        <f t="shared" si="92"/>
        <v>0.39930256102590989</v>
      </c>
      <c r="BB73" s="350">
        <f>-BB72/BB65</f>
        <v>0.4501918158567777</v>
      </c>
      <c r="BC73" s="349">
        <f t="shared" si="92"/>
        <v>0.41593513714244446</v>
      </c>
      <c r="BD73" s="350">
        <f t="shared" ref="BD73:BM73" si="93">-BD72/BD65</f>
        <v>0.38711749323301387</v>
      </c>
      <c r="BE73" s="350">
        <f t="shared" si="93"/>
        <v>0.38992891436227639</v>
      </c>
      <c r="BF73" s="350">
        <f t="shared" si="93"/>
        <v>0.40399023138374851</v>
      </c>
      <c r="BG73" s="350">
        <f>-BG72/BG65</f>
        <v>0.2787935130668322</v>
      </c>
      <c r="BH73" s="349">
        <f t="shared" si="93"/>
        <v>0.36960742837927246</v>
      </c>
      <c r="BI73" s="350">
        <f t="shared" si="93"/>
        <v>0.38105591529990124</v>
      </c>
      <c r="BJ73" s="350">
        <f t="shared" si="93"/>
        <v>0.3949103481547005</v>
      </c>
      <c r="BK73" s="350">
        <f t="shared" si="93"/>
        <v>0.22635954966781996</v>
      </c>
      <c r="BL73" s="350">
        <f t="shared" si="93"/>
        <v>0.37503374730021571</v>
      </c>
      <c r="BM73" s="349">
        <f t="shared" si="93"/>
        <v>0.99714999592623776</v>
      </c>
      <c r="BN73" s="350">
        <f t="shared" ref="BN73:BW73" si="94">-BN72/BN65</f>
        <v>-0.37528956565152216</v>
      </c>
      <c r="BO73" s="350">
        <f t="shared" si="94"/>
        <v>-0.33679220437187257</v>
      </c>
      <c r="BP73" s="350">
        <f t="shared" si="94"/>
        <v>-8.3708759954494255E-2</v>
      </c>
      <c r="BQ73" s="350">
        <f t="shared" si="94"/>
        <v>-1.2303183023872686</v>
      </c>
      <c r="BR73" s="349">
        <f t="shared" si="94"/>
        <v>-0.44919080386195115</v>
      </c>
      <c r="BS73" s="350">
        <f>-BS72/BS65</f>
        <v>-0.20093329673346233</v>
      </c>
      <c r="BT73" s="350">
        <f>-BT72/BT65</f>
        <v>3.622222222222256</v>
      </c>
      <c r="BU73" s="350">
        <f>-BU72/BU65</f>
        <v>-0.77488965179008895</v>
      </c>
      <c r="BV73" s="350">
        <f>-BV72/BV65</f>
        <v>-8.1353233830845451</v>
      </c>
      <c r="BW73" s="349">
        <f t="shared" si="94"/>
        <v>8.8188021228205731</v>
      </c>
      <c r="BX73" s="350">
        <f>-BX72/BX65</f>
        <v>0.38459331516281819</v>
      </c>
      <c r="BY73" s="350">
        <f t="shared" ref="BY73:CC73" si="95">-BY72/BY65</f>
        <v>-0.34685010861694499</v>
      </c>
      <c r="BZ73" s="350">
        <f t="shared" si="95"/>
        <v>0.66547594032359747</v>
      </c>
      <c r="CA73" s="350">
        <f>-CA72/CA65</f>
        <v>0.51341072858286851</v>
      </c>
      <c r="CB73" s="349">
        <f t="shared" si="95"/>
        <v>0.2664394429100313</v>
      </c>
      <c r="CC73" s="350">
        <f t="shared" si="95"/>
        <v>0.32968664917578339</v>
      </c>
      <c r="CD73" s="350">
        <f>-CD72/CD65</f>
        <v>0.33875617204669345</v>
      </c>
      <c r="CE73" s="350">
        <f>-CE72/CE65</f>
        <v>1.0622570868247458</v>
      </c>
      <c r="CF73" s="350">
        <f>-CF72/CF65</f>
        <v>0.29453663994033186</v>
      </c>
      <c r="CG73" s="349">
        <f t="shared" ref="CG73:CL73" si="96">-CG72/CG65</f>
        <v>0.48256701893337628</v>
      </c>
      <c r="CH73" s="350">
        <f>-CH72/CH65</f>
        <v>4.8830529339351648E-2</v>
      </c>
      <c r="CI73" s="350">
        <f t="shared" si="96"/>
        <v>-7.1069463820378501E-2</v>
      </c>
      <c r="CJ73" s="350">
        <f>-CJ72/CJ65</f>
        <v>-0.94486399411622646</v>
      </c>
      <c r="CK73" s="350">
        <f t="shared" si="96"/>
        <v>-2.6922515896805634E-2</v>
      </c>
      <c r="CL73" s="349">
        <f t="shared" si="96"/>
        <v>-0.27037793584196512</v>
      </c>
      <c r="CM73" s="350">
        <f>-CM72/CM65</f>
        <v>0.3</v>
      </c>
      <c r="CN73" s="350">
        <f t="shared" ref="CN73:CQ73" si="97">-CN72/CN65</f>
        <v>0.3</v>
      </c>
      <c r="CO73" s="350">
        <f t="shared" si="97"/>
        <v>0.3</v>
      </c>
      <c r="CP73" s="350">
        <f t="shared" si="97"/>
        <v>0.3</v>
      </c>
      <c r="CQ73" s="349">
        <f t="shared" si="97"/>
        <v>0.29999999999999993</v>
      </c>
      <c r="CR73" s="350">
        <f t="shared" ref="CR73:CV73" si="98">-CR72/CR65</f>
        <v>0.3</v>
      </c>
      <c r="CS73" s="350">
        <f t="shared" si="98"/>
        <v>0.3</v>
      </c>
      <c r="CT73" s="350">
        <f t="shared" si="98"/>
        <v>0.3</v>
      </c>
      <c r="CU73" s="350">
        <f t="shared" si="98"/>
        <v>0.3</v>
      </c>
      <c r="CV73" s="349">
        <f t="shared" si="98"/>
        <v>0.30000000000000004</v>
      </c>
      <c r="CW73" s="116"/>
      <c r="CX73" s="116"/>
      <c r="CY73" s="116"/>
      <c r="CZ73" s="116"/>
      <c r="DA73" s="116"/>
      <c r="DB73" s="116"/>
    </row>
    <row r="74" spans="1:106" s="351" customFormat="1" ht="12" customHeight="1" x14ac:dyDescent="0.25">
      <c r="A74" s="347"/>
      <c r="B74" s="347"/>
      <c r="C74" s="347"/>
      <c r="D74" s="347"/>
      <c r="E74" s="348" t="s">
        <v>39</v>
      </c>
      <c r="F74" s="349"/>
      <c r="G74" s="349"/>
      <c r="H74" s="349"/>
      <c r="I74" s="349"/>
      <c r="J74" s="349"/>
      <c r="K74" s="350"/>
      <c r="L74" s="350"/>
      <c r="M74" s="350"/>
      <c r="N74" s="350"/>
      <c r="O74" s="349"/>
      <c r="P74" s="350"/>
      <c r="Q74" s="350"/>
      <c r="R74" s="350"/>
      <c r="S74" s="350"/>
      <c r="T74" s="349">
        <f>-T70/T66</f>
        <v>0.34352783872091625</v>
      </c>
      <c r="U74" s="350"/>
      <c r="V74" s="350"/>
      <c r="W74" s="350"/>
      <c r="X74" s="350"/>
      <c r="Y74" s="349">
        <f>-Y70/Y66</f>
        <v>0.38541746530706128</v>
      </c>
      <c r="Z74" s="350"/>
      <c r="AA74" s="350"/>
      <c r="AB74" s="350"/>
      <c r="AC74" s="350"/>
      <c r="AD74" s="349">
        <f>-AD70/AD66</f>
        <v>0.40086896867139277</v>
      </c>
      <c r="AE74" s="350">
        <f t="shared" ref="AE74:BC74" si="99">-AE70/AE66</f>
        <v>-7.3472908335293477E-2</v>
      </c>
      <c r="AF74" s="350">
        <f t="shared" si="99"/>
        <v>-0.62054987663024386</v>
      </c>
      <c r="AG74" s="350">
        <f t="shared" si="99"/>
        <v>0.36029403212487054</v>
      </c>
      <c r="AH74" s="350">
        <f t="shared" si="99"/>
        <v>0.34259353252348862</v>
      </c>
      <c r="AI74" s="349">
        <f t="shared" si="99"/>
        <v>0.2029505173650222</v>
      </c>
      <c r="AJ74" s="350">
        <f t="shared" si="99"/>
        <v>0.38996448619544033</v>
      </c>
      <c r="AK74" s="350">
        <f t="shared" si="99"/>
        <v>0.39001115856708601</v>
      </c>
      <c r="AL74" s="350">
        <f t="shared" si="99"/>
        <v>0.30880222168558313</v>
      </c>
      <c r="AM74" s="350">
        <f t="shared" si="99"/>
        <v>0.36458067985621662</v>
      </c>
      <c r="AN74" s="349">
        <f t="shared" si="99"/>
        <v>0.39282705117402977</v>
      </c>
      <c r="AO74" s="350">
        <f t="shared" si="99"/>
        <v>0.38978611959842918</v>
      </c>
      <c r="AP74" s="350">
        <f t="shared" si="99"/>
        <v>0.4114164641365981</v>
      </c>
      <c r="AQ74" s="350">
        <f t="shared" si="99"/>
        <v>0.41903980303651983</v>
      </c>
      <c r="AR74" s="350">
        <f t="shared" si="99"/>
        <v>0.44475363105741866</v>
      </c>
      <c r="AS74" s="349">
        <f t="shared" si="99"/>
        <v>0.42469840277234944</v>
      </c>
      <c r="AT74" s="350">
        <f>-AT70/AT66</f>
        <v>0.40002799356148044</v>
      </c>
      <c r="AU74" s="350">
        <f>-AU70/AU66</f>
        <v>0.39996816807257662</v>
      </c>
      <c r="AV74" s="350">
        <f>-AV70/AV66</f>
        <v>0.27468496931401348</v>
      </c>
      <c r="AW74" s="350">
        <f>-AW70/AW66</f>
        <v>-0.1793880572462575</v>
      </c>
      <c r="AX74" s="467" t="s">
        <v>405</v>
      </c>
      <c r="AY74" s="350">
        <f t="shared" si="99"/>
        <v>0.39988128215275037</v>
      </c>
      <c r="AZ74" s="350">
        <f t="shared" si="99"/>
        <v>0.44592128047924323</v>
      </c>
      <c r="BA74" s="350">
        <f t="shared" si="99"/>
        <v>0.84077316460084817</v>
      </c>
      <c r="BB74" s="350">
        <f t="shared" si="99"/>
        <v>0.20546038543897233</v>
      </c>
      <c r="BC74" s="349">
        <f t="shared" si="99"/>
        <v>0.43641566535822368</v>
      </c>
      <c r="BD74" s="350">
        <f t="shared" ref="BD74:BM74" si="100">-BD70/BD66</f>
        <v>0.38998012663493098</v>
      </c>
      <c r="BE74" s="350">
        <f t="shared" si="100"/>
        <v>0.38994671535566583</v>
      </c>
      <c r="BF74" s="350">
        <f t="shared" si="100"/>
        <v>0.40502367716697468</v>
      </c>
      <c r="BG74" s="350">
        <f t="shared" si="100"/>
        <v>0.24796187851647747</v>
      </c>
      <c r="BH74" s="349">
        <f t="shared" si="100"/>
        <v>0.36659015048183008</v>
      </c>
      <c r="BI74" s="350">
        <f t="shared" si="100"/>
        <v>0.38105591529990124</v>
      </c>
      <c r="BJ74" s="350">
        <f t="shared" si="100"/>
        <v>0.39488374946322435</v>
      </c>
      <c r="BK74" s="350">
        <f t="shared" si="100"/>
        <v>0.16986225895316767</v>
      </c>
      <c r="BL74" s="350">
        <f t="shared" si="100"/>
        <v>-0.7011875654907449</v>
      </c>
      <c r="BM74" s="349">
        <f t="shared" si="100"/>
        <v>-2.2716981132075444</v>
      </c>
      <c r="BN74" s="350">
        <f t="shared" ref="BN74:BW74" si="101">-BN70/BN66</f>
        <v>0.29055482166446472</v>
      </c>
      <c r="BO74" s="350">
        <f t="shared" si="101"/>
        <v>0.15735137059451765</v>
      </c>
      <c r="BP74" s="350">
        <f t="shared" si="101"/>
        <v>1.0791079812206597</v>
      </c>
      <c r="BQ74" s="350">
        <f t="shared" si="101"/>
        <v>0.33158284023668644</v>
      </c>
      <c r="BR74" s="349">
        <f t="shared" si="101"/>
        <v>0.35806709072000387</v>
      </c>
      <c r="BS74" s="350">
        <f>-BS70/BS66</f>
        <v>-0.16449438202247252</v>
      </c>
      <c r="BT74" s="350">
        <f>-BT70/BT66</f>
        <v>0.65975208702251575</v>
      </c>
      <c r="BU74" s="350">
        <f>-BU70/BU66</f>
        <v>0.78256562654780037</v>
      </c>
      <c r="BV74" s="350">
        <f>-BV70/BV66</f>
        <v>0.82937715560965752</v>
      </c>
      <c r="BW74" s="349">
        <f t="shared" si="101"/>
        <v>0.57357001972386712</v>
      </c>
      <c r="BX74" s="350">
        <f>-BX70/BX66</f>
        <v>0.40273396424816077</v>
      </c>
      <c r="BY74" s="350">
        <f t="shared" ref="BY74:CG74" si="102">-BY70/BY66</f>
        <v>-0.36676875957121063</v>
      </c>
      <c r="BZ74" s="350">
        <f t="shared" si="102"/>
        <v>0.85513703253678963</v>
      </c>
      <c r="CA74" s="350">
        <f t="shared" si="102"/>
        <v>0.24093556265263999</v>
      </c>
      <c r="CB74" s="349">
        <f t="shared" si="102"/>
        <v>0.52464707243693653</v>
      </c>
      <c r="CC74" s="350">
        <f t="shared" si="102"/>
        <v>0.32971113146365011</v>
      </c>
      <c r="CD74" s="350">
        <f>-CD70/CD66</f>
        <v>0.31341431212041188</v>
      </c>
      <c r="CE74" s="350">
        <f t="shared" si="102"/>
        <v>1.0929669442711962</v>
      </c>
      <c r="CF74" s="350">
        <f>-CF70/CF66</f>
        <v>0.28724178062263594</v>
      </c>
      <c r="CG74" s="349">
        <f t="shared" si="102"/>
        <v>0.47268872818030094</v>
      </c>
      <c r="CH74" s="350">
        <f t="shared" ref="CH74:CQ74" si="103">-CH70/CH66</f>
        <v>4.8827190043082801E-2</v>
      </c>
      <c r="CI74" s="350">
        <f t="shared" si="103"/>
        <v>-7.016632016632017E-2</v>
      </c>
      <c r="CJ74" s="350">
        <f>-CJ70/CJ66</f>
        <v>0.30720747553817401</v>
      </c>
      <c r="CK74" s="350">
        <f>-CK70/CK66</f>
        <v>-2.5877485379554997E-2</v>
      </c>
      <c r="CL74" s="349">
        <f t="shared" si="103"/>
        <v>0.3303061052594542</v>
      </c>
      <c r="CM74" s="350">
        <f>-CM70/CM66</f>
        <v>0.3</v>
      </c>
      <c r="CN74" s="350">
        <f t="shared" si="103"/>
        <v>0.3</v>
      </c>
      <c r="CO74" s="350">
        <f t="shared" si="103"/>
        <v>0.3</v>
      </c>
      <c r="CP74" s="350">
        <f t="shared" si="103"/>
        <v>0.3</v>
      </c>
      <c r="CQ74" s="349">
        <f t="shared" si="103"/>
        <v>0.29999999999999993</v>
      </c>
      <c r="CR74" s="350">
        <f t="shared" ref="CR74:CV74" si="104">-CR70/CR66</f>
        <v>0.3</v>
      </c>
      <c r="CS74" s="350">
        <f t="shared" si="104"/>
        <v>0.3</v>
      </c>
      <c r="CT74" s="350">
        <f t="shared" si="104"/>
        <v>0.3</v>
      </c>
      <c r="CU74" s="350">
        <f t="shared" si="104"/>
        <v>0.3</v>
      </c>
      <c r="CV74" s="349">
        <f t="shared" si="104"/>
        <v>0.30000000000000004</v>
      </c>
      <c r="CW74" s="116"/>
      <c r="CX74" s="116"/>
      <c r="CY74" s="116"/>
      <c r="CZ74" s="116"/>
      <c r="DA74" s="116"/>
      <c r="DB74" s="116"/>
    </row>
    <row r="75" spans="1:106" s="134" customFormat="1" ht="3.95" customHeight="1" x14ac:dyDescent="0.25">
      <c r="A75" s="132"/>
      <c r="B75" s="132"/>
      <c r="C75" s="132"/>
      <c r="D75" s="132"/>
      <c r="E75" s="131"/>
      <c r="F75" s="142"/>
      <c r="G75" s="142"/>
      <c r="H75" s="142"/>
      <c r="I75" s="142"/>
      <c r="J75" s="142"/>
      <c r="K75" s="133"/>
      <c r="L75" s="133"/>
      <c r="M75" s="133"/>
      <c r="N75" s="133"/>
      <c r="O75" s="142"/>
      <c r="P75" s="133"/>
      <c r="Q75" s="133"/>
      <c r="R75" s="133"/>
      <c r="S75" s="133"/>
      <c r="T75" s="142"/>
      <c r="U75" s="133"/>
      <c r="V75" s="133"/>
      <c r="W75" s="133"/>
      <c r="X75" s="133"/>
      <c r="Y75" s="142"/>
      <c r="Z75" s="133"/>
      <c r="AA75" s="133"/>
      <c r="AB75" s="133"/>
      <c r="AC75" s="133"/>
      <c r="AD75" s="142"/>
      <c r="AE75" s="133"/>
      <c r="AF75" s="133"/>
      <c r="AG75" s="133"/>
      <c r="AH75" s="133"/>
      <c r="AI75" s="142"/>
      <c r="AJ75" s="133"/>
      <c r="AK75" s="133"/>
      <c r="AL75" s="133"/>
      <c r="AM75" s="133"/>
      <c r="AN75" s="142"/>
      <c r="AO75" s="133"/>
      <c r="AP75" s="133"/>
      <c r="AQ75" s="133"/>
      <c r="AR75" s="133"/>
      <c r="AS75" s="142"/>
      <c r="AT75" s="133"/>
      <c r="AU75" s="133"/>
      <c r="AV75" s="133"/>
      <c r="AW75" s="133"/>
      <c r="AX75" s="142"/>
      <c r="AY75" s="133"/>
      <c r="AZ75" s="133"/>
      <c r="BA75" s="133"/>
      <c r="BB75" s="133"/>
      <c r="BC75" s="142"/>
      <c r="BD75" s="133"/>
      <c r="BE75" s="133"/>
      <c r="BF75" s="133"/>
      <c r="BG75" s="133"/>
      <c r="BH75" s="142"/>
      <c r="BI75" s="133"/>
      <c r="BJ75" s="133"/>
      <c r="BK75" s="133"/>
      <c r="BL75" s="133"/>
      <c r="BM75" s="142"/>
      <c r="BN75" s="133"/>
      <c r="BO75" s="133"/>
      <c r="BP75" s="133"/>
      <c r="BQ75" s="133"/>
      <c r="BR75" s="142"/>
      <c r="BS75" s="133"/>
      <c r="BT75" s="133"/>
      <c r="BU75" s="133"/>
      <c r="BV75" s="133"/>
      <c r="BW75" s="142"/>
      <c r="BX75" s="133"/>
      <c r="BY75" s="133"/>
      <c r="BZ75" s="133"/>
      <c r="CA75" s="133"/>
      <c r="CB75" s="142"/>
      <c r="CC75" s="133"/>
      <c r="CD75" s="133"/>
      <c r="CE75" s="133"/>
      <c r="CF75" s="133"/>
      <c r="CG75" s="142"/>
      <c r="CH75" s="133"/>
      <c r="CI75" s="133"/>
      <c r="CJ75" s="133"/>
      <c r="CK75" s="133"/>
      <c r="CL75" s="142"/>
      <c r="CM75" s="133"/>
      <c r="CN75" s="133"/>
      <c r="CO75" s="133"/>
      <c r="CP75" s="133"/>
      <c r="CQ75" s="142"/>
      <c r="CR75" s="133"/>
      <c r="CS75" s="133"/>
      <c r="CT75" s="133"/>
      <c r="CU75" s="133"/>
      <c r="CV75" s="142"/>
      <c r="CW75" s="6"/>
      <c r="CX75" s="717"/>
      <c r="CY75" s="6"/>
      <c r="CZ75" s="6"/>
      <c r="DA75" s="6"/>
      <c r="DB75" s="6"/>
    </row>
    <row r="76" spans="1:106" s="27" customFormat="1" ht="12" customHeight="1" x14ac:dyDescent="0.25">
      <c r="A76" s="122">
        <v>0</v>
      </c>
      <c r="B76" s="122">
        <v>0</v>
      </c>
      <c r="C76" s="122">
        <v>0</v>
      </c>
      <c r="D76" s="122">
        <v>0</v>
      </c>
      <c r="E76" s="27" t="s">
        <v>313</v>
      </c>
      <c r="F76" s="140"/>
      <c r="G76" s="140"/>
      <c r="H76" s="140"/>
      <c r="I76" s="140"/>
      <c r="J76" s="140"/>
      <c r="K76" s="124"/>
      <c r="L76" s="124"/>
      <c r="M76" s="124"/>
      <c r="N76" s="124"/>
      <c r="O76" s="138"/>
      <c r="P76" s="124"/>
      <c r="Q76" s="124"/>
      <c r="R76" s="124"/>
      <c r="S76" s="124"/>
      <c r="T76" s="138"/>
      <c r="U76" s="124"/>
      <c r="V76" s="124"/>
      <c r="W76" s="124"/>
      <c r="X76" s="124"/>
      <c r="Y76" s="138"/>
      <c r="Z76" s="124"/>
      <c r="AA76" s="124"/>
      <c r="AB76" s="124"/>
      <c r="AC76" s="124"/>
      <c r="AD76" s="138"/>
      <c r="AE76" s="124">
        <v>0</v>
      </c>
      <c r="AF76" s="124">
        <v>0</v>
      </c>
      <c r="AG76" s="124">
        <v>0</v>
      </c>
      <c r="AH76" s="124">
        <v>0</v>
      </c>
      <c r="AI76" s="139">
        <f>SUM(AE76:AH76)</f>
        <v>0</v>
      </c>
      <c r="AJ76" s="124">
        <v>0</v>
      </c>
      <c r="AK76" s="124">
        <v>0</v>
      </c>
      <c r="AL76" s="124">
        <v>0</v>
      </c>
      <c r="AM76" s="124">
        <v>0</v>
      </c>
      <c r="AN76" s="139">
        <f>SUM(AJ76:AM76)</f>
        <v>0</v>
      </c>
      <c r="AO76" s="124">
        <v>0</v>
      </c>
      <c r="AP76" s="124">
        <v>0</v>
      </c>
      <c r="AQ76" s="124">
        <v>0.104</v>
      </c>
      <c r="AR76" s="124">
        <v>0.28599999999999998</v>
      </c>
      <c r="AS76" s="139">
        <f>SUM(AO76:AR76)</f>
        <v>0.38999999999999996</v>
      </c>
      <c r="AT76" s="124">
        <v>0.36899999999999999</v>
      </c>
      <c r="AU76" s="124">
        <v>0.58399999999999996</v>
      </c>
      <c r="AV76" s="124">
        <v>0.40899999999999997</v>
      </c>
      <c r="AW76" s="124">
        <v>3.9329999999999998</v>
      </c>
      <c r="AX76" s="139">
        <f>SUM(AT76:AW76)</f>
        <v>5.2949999999999999</v>
      </c>
      <c r="AY76" s="124">
        <v>0.96</v>
      </c>
      <c r="AZ76" s="124">
        <v>-0.68500000000000005</v>
      </c>
      <c r="BA76" s="124">
        <v>5.2789999999999999</v>
      </c>
      <c r="BB76" s="124">
        <v>0.193</v>
      </c>
      <c r="BC76" s="139">
        <f>SUM(AY76:BB76)</f>
        <v>5.7469999999999999</v>
      </c>
      <c r="BD76" s="124">
        <v>0.13400000000000001</v>
      </c>
      <c r="BE76" s="124">
        <v>0.13900000000000001</v>
      </c>
      <c r="BF76" s="124">
        <v>7.5999999999999998E-2</v>
      </c>
      <c r="BG76" s="124">
        <v>0.13900000000000001</v>
      </c>
      <c r="BH76" s="139">
        <f>SUM(BD76:BG76)</f>
        <v>0.48800000000000004</v>
      </c>
      <c r="BI76" s="124">
        <v>8.5000000000000006E-2</v>
      </c>
      <c r="BJ76" s="124">
        <v>-2.5000000000000001E-2</v>
      </c>
      <c r="BK76" s="124">
        <v>0</v>
      </c>
      <c r="BL76" s="124">
        <v>0</v>
      </c>
      <c r="BM76" s="513">
        <v>0</v>
      </c>
      <c r="BN76" s="124">
        <v>0</v>
      </c>
      <c r="BO76" s="124">
        <v>0</v>
      </c>
      <c r="BP76" s="124">
        <v>0</v>
      </c>
      <c r="BQ76" s="124">
        <v>0</v>
      </c>
      <c r="BR76" s="139">
        <f>SUM(BN76:BQ76)</f>
        <v>0</v>
      </c>
      <c r="BS76" s="124">
        <v>0</v>
      </c>
      <c r="BT76" s="124">
        <v>0</v>
      </c>
      <c r="BU76" s="124">
        <v>0</v>
      </c>
      <c r="BV76" s="124">
        <v>0</v>
      </c>
      <c r="BW76" s="139">
        <f>SUM(BS76:BV76)</f>
        <v>0</v>
      </c>
      <c r="BX76" s="124">
        <v>0</v>
      </c>
      <c r="BY76" s="124">
        <v>0</v>
      </c>
      <c r="BZ76" s="124">
        <v>0</v>
      </c>
      <c r="CA76" s="124">
        <v>0</v>
      </c>
      <c r="CB76" s="139">
        <f>SUM(BX76:CA76)</f>
        <v>0</v>
      </c>
      <c r="CC76" s="124">
        <v>0</v>
      </c>
      <c r="CD76" s="124">
        <v>0</v>
      </c>
      <c r="CE76" s="124">
        <v>0</v>
      </c>
      <c r="CF76" s="124">
        <v>0</v>
      </c>
      <c r="CG76" s="139">
        <f>SUM(CC76:CF76)</f>
        <v>0</v>
      </c>
      <c r="CH76" s="124">
        <v>0</v>
      </c>
      <c r="CI76" s="124">
        <v>0</v>
      </c>
      <c r="CJ76" s="128">
        <v>0</v>
      </c>
      <c r="CK76" s="128">
        <v>0</v>
      </c>
      <c r="CL76" s="139">
        <f>SUM(CH76:CK76)</f>
        <v>0</v>
      </c>
      <c r="CM76" s="128">
        <v>0</v>
      </c>
      <c r="CN76" s="128">
        <v>0</v>
      </c>
      <c r="CO76" s="128">
        <v>0</v>
      </c>
      <c r="CP76" s="128">
        <v>0</v>
      </c>
      <c r="CQ76" s="139">
        <f>SUM(CM76:CP76)</f>
        <v>0</v>
      </c>
      <c r="CR76" s="128">
        <v>0</v>
      </c>
      <c r="CS76" s="128">
        <v>0</v>
      </c>
      <c r="CT76" s="128">
        <v>0</v>
      </c>
      <c r="CU76" s="128">
        <v>0</v>
      </c>
      <c r="CV76" s="139">
        <f>SUM(CR76:CU76)</f>
        <v>0</v>
      </c>
    </row>
    <row r="77" spans="1:106" s="27" customFormat="1" ht="12" customHeight="1" x14ac:dyDescent="0.25">
      <c r="C77" s="122"/>
      <c r="D77" s="122"/>
      <c r="E77" s="27" t="s">
        <v>32</v>
      </c>
      <c r="F77" s="140"/>
      <c r="G77" s="140"/>
      <c r="H77" s="140"/>
      <c r="I77" s="140"/>
      <c r="J77" s="140"/>
      <c r="K77" s="124"/>
      <c r="L77" s="124"/>
      <c r="M77" s="124"/>
      <c r="N77" s="124"/>
      <c r="O77" s="138"/>
      <c r="P77" s="124"/>
      <c r="Q77" s="124"/>
      <c r="R77" s="124"/>
      <c r="S77" s="124"/>
      <c r="T77" s="138"/>
      <c r="U77" s="124"/>
      <c r="V77" s="124"/>
      <c r="W77" s="124"/>
      <c r="X77" s="124"/>
      <c r="Y77" s="138"/>
      <c r="Z77" s="124"/>
      <c r="AA77" s="124"/>
      <c r="AB77" s="124"/>
      <c r="AC77" s="124"/>
      <c r="AD77" s="138"/>
      <c r="AE77" s="124">
        <v>0</v>
      </c>
      <c r="AF77" s="124">
        <v>0</v>
      </c>
      <c r="AG77" s="124">
        <v>0</v>
      </c>
      <c r="AH77" s="124">
        <v>0</v>
      </c>
      <c r="AI77" s="139">
        <f>SUM(AE77:AH77)</f>
        <v>0</v>
      </c>
      <c r="AJ77" s="124">
        <v>0</v>
      </c>
      <c r="AK77" s="124">
        <v>0</v>
      </c>
      <c r="AL77" s="124">
        <v>0</v>
      </c>
      <c r="AM77" s="124">
        <v>0</v>
      </c>
      <c r="AN77" s="139">
        <f>SUM(AJ77:AM77)</f>
        <v>0</v>
      </c>
      <c r="AO77" s="124">
        <v>0</v>
      </c>
      <c r="AP77" s="124">
        <v>0</v>
      </c>
      <c r="AQ77" s="124">
        <v>0</v>
      </c>
      <c r="AR77" s="124">
        <v>0</v>
      </c>
      <c r="AS77" s="139">
        <f>SUM(AO77:AR77)</f>
        <v>0</v>
      </c>
      <c r="AT77" s="124">
        <v>0</v>
      </c>
      <c r="AU77" s="124">
        <v>0</v>
      </c>
      <c r="AV77" s="124">
        <v>0</v>
      </c>
      <c r="AW77" s="124">
        <v>0</v>
      </c>
      <c r="AX77" s="139">
        <f>SUM(AT77:AW77)</f>
        <v>0</v>
      </c>
      <c r="AY77" s="124">
        <v>0</v>
      </c>
      <c r="AZ77" s="124">
        <v>0</v>
      </c>
      <c r="BA77" s="124">
        <v>0</v>
      </c>
      <c r="BB77" s="124">
        <v>0</v>
      </c>
      <c r="BC77" s="139">
        <f>SUM(AY77:BB77)</f>
        <v>0</v>
      </c>
      <c r="BD77" s="124">
        <v>0</v>
      </c>
      <c r="BE77" s="124">
        <v>0</v>
      </c>
      <c r="BF77" s="124">
        <v>0</v>
      </c>
      <c r="BG77" s="124">
        <v>0</v>
      </c>
      <c r="BH77" s="139">
        <f>SUM(BD77:BG77)</f>
        <v>0</v>
      </c>
      <c r="BI77" s="124">
        <v>0</v>
      </c>
      <c r="BJ77" s="124">
        <v>0</v>
      </c>
      <c r="BK77" s="124">
        <v>0</v>
      </c>
      <c r="BL77" s="124">
        <v>0</v>
      </c>
      <c r="BM77" s="513">
        <v>0</v>
      </c>
      <c r="BN77" s="124">
        <v>0</v>
      </c>
      <c r="BO77" s="124">
        <v>0</v>
      </c>
      <c r="BP77" s="124">
        <v>0</v>
      </c>
      <c r="BQ77" s="124">
        <v>0</v>
      </c>
      <c r="BR77" s="139">
        <f>SUM(BN77:BQ77)</f>
        <v>0</v>
      </c>
      <c r="BS77" s="124">
        <v>0</v>
      </c>
      <c r="BT77" s="124">
        <v>0</v>
      </c>
      <c r="BU77" s="124">
        <v>0</v>
      </c>
      <c r="BV77" s="124">
        <v>0</v>
      </c>
      <c r="BW77" s="139">
        <f>SUM(BS77:BV77)</f>
        <v>0</v>
      </c>
      <c r="BX77" s="124">
        <v>0</v>
      </c>
      <c r="BY77" s="124">
        <v>0</v>
      </c>
      <c r="BZ77" s="124">
        <v>0</v>
      </c>
      <c r="CA77" s="124">
        <v>0</v>
      </c>
      <c r="CB77" s="139">
        <f>SUM(BX77:CA77)</f>
        <v>0</v>
      </c>
      <c r="CC77" s="124">
        <v>0</v>
      </c>
      <c r="CD77" s="124">
        <v>0</v>
      </c>
      <c r="CE77" s="124">
        <v>0</v>
      </c>
      <c r="CF77" s="124">
        <v>0</v>
      </c>
      <c r="CG77" s="139">
        <f>SUM(CC77:CF77)</f>
        <v>0</v>
      </c>
      <c r="CH77" s="124">
        <v>0</v>
      </c>
      <c r="CI77" s="124">
        <v>0</v>
      </c>
      <c r="CJ77" s="128">
        <v>0</v>
      </c>
      <c r="CK77" s="128">
        <v>0</v>
      </c>
      <c r="CL77" s="139">
        <f>SUM(CH77:CK77)</f>
        <v>0</v>
      </c>
      <c r="CM77" s="128">
        <v>0</v>
      </c>
      <c r="CN77" s="128">
        <v>0</v>
      </c>
      <c r="CO77" s="128">
        <v>0</v>
      </c>
      <c r="CP77" s="128">
        <v>0</v>
      </c>
      <c r="CQ77" s="139">
        <f>SUM(CM77:CP77)</f>
        <v>0</v>
      </c>
      <c r="CR77" s="128">
        <v>0</v>
      </c>
      <c r="CS77" s="128">
        <v>0</v>
      </c>
      <c r="CT77" s="128">
        <v>0</v>
      </c>
      <c r="CU77" s="128">
        <v>0</v>
      </c>
      <c r="CV77" s="139">
        <f>SUM(CR77:CU77)</f>
        <v>0</v>
      </c>
    </row>
    <row r="78" spans="1:106" s="27" customFormat="1" ht="12" customHeight="1" x14ac:dyDescent="0.25">
      <c r="C78" s="122"/>
      <c r="D78" s="122"/>
      <c r="E78" s="27" t="s">
        <v>451</v>
      </c>
      <c r="F78" s="139"/>
      <c r="G78" s="139"/>
      <c r="H78" s="139"/>
      <c r="I78" s="139"/>
      <c r="J78" s="139"/>
      <c r="O78" s="139"/>
      <c r="T78" s="139"/>
      <c r="Y78" s="139"/>
      <c r="AD78" s="139"/>
      <c r="AI78" s="139"/>
      <c r="AN78" s="139"/>
      <c r="AS78" s="139"/>
      <c r="AT78" s="124">
        <v>0.86299999999999999</v>
      </c>
      <c r="AU78" s="124">
        <v>1.387</v>
      </c>
      <c r="AV78" s="124">
        <v>0.441</v>
      </c>
      <c r="AW78" s="124">
        <v>0.70499999999999996</v>
      </c>
      <c r="AX78" s="139">
        <f>SUM(AT78:AW78)</f>
        <v>3.3959999999999999</v>
      </c>
      <c r="AY78" s="124">
        <v>0.91600000000000004</v>
      </c>
      <c r="AZ78" s="124">
        <v>1.1379999999999999</v>
      </c>
      <c r="BA78" s="124">
        <v>0.81399999999999995</v>
      </c>
      <c r="BB78" s="124">
        <f>30.864+0.167</f>
        <v>31.031000000000002</v>
      </c>
      <c r="BC78" s="139">
        <f>SUM(AY78:BB78)</f>
        <v>33.899000000000001</v>
      </c>
      <c r="BD78" s="124">
        <v>0</v>
      </c>
      <c r="BE78" s="124">
        <v>0</v>
      </c>
      <c r="BF78" s="124">
        <v>0</v>
      </c>
      <c r="BG78" s="124">
        <v>0</v>
      </c>
      <c r="BH78" s="139">
        <f>SUM(BD78:BG78)</f>
        <v>0</v>
      </c>
      <c r="BI78" s="124">
        <v>0</v>
      </c>
      <c r="BJ78" s="124">
        <v>0</v>
      </c>
      <c r="BK78" s="124">
        <v>0</v>
      </c>
      <c r="BL78" s="124">
        <v>0</v>
      </c>
      <c r="BM78" s="513">
        <v>26.143000000000001</v>
      </c>
      <c r="BN78" s="124">
        <v>3.137</v>
      </c>
      <c r="BO78" s="124">
        <v>5.5570000000000004</v>
      </c>
      <c r="BP78" s="124">
        <v>3.819</v>
      </c>
      <c r="BQ78" s="124">
        <v>2.9980000000000002</v>
      </c>
      <c r="BR78" s="139">
        <f>SUM(BN78:BQ78)</f>
        <v>15.511000000000003</v>
      </c>
      <c r="BS78" s="124">
        <v>4.1429999999999998</v>
      </c>
      <c r="BT78" s="124">
        <v>12.068</v>
      </c>
      <c r="BU78" s="124">
        <v>-0.97099999999999997</v>
      </c>
      <c r="BV78" s="124">
        <v>0.111</v>
      </c>
      <c r="BW78" s="139">
        <f>SUM(BS78:BV78)</f>
        <v>15.350999999999999</v>
      </c>
      <c r="BX78" s="124">
        <v>0</v>
      </c>
      <c r="BY78" s="124">
        <v>0</v>
      </c>
      <c r="BZ78" s="124">
        <v>0</v>
      </c>
      <c r="CA78" s="124">
        <v>0</v>
      </c>
      <c r="CB78" s="139">
        <f>SUM(BX78:CA78)</f>
        <v>0</v>
      </c>
      <c r="CC78" s="124">
        <v>25.779</v>
      </c>
      <c r="CD78" s="124">
        <v>22.664999999999999</v>
      </c>
      <c r="CE78" s="124">
        <v>20.407</v>
      </c>
      <c r="CF78" s="124">
        <v>24.773</v>
      </c>
      <c r="CG78" s="139">
        <f>SUM(CC78:CF78)</f>
        <v>93.623999999999995</v>
      </c>
      <c r="CH78" s="124">
        <v>24.803000000000001</v>
      </c>
      <c r="CI78" s="124">
        <v>61.802999999999997</v>
      </c>
      <c r="CJ78" s="128">
        <v>0</v>
      </c>
      <c r="CK78" s="128">
        <v>0</v>
      </c>
      <c r="CL78" s="139">
        <f>SUM(CH78:CK78)</f>
        <v>86.605999999999995</v>
      </c>
      <c r="CM78" s="128">
        <v>0</v>
      </c>
      <c r="CN78" s="128">
        <v>0</v>
      </c>
      <c r="CO78" s="128">
        <v>0</v>
      </c>
      <c r="CP78" s="128">
        <v>0</v>
      </c>
      <c r="CQ78" s="139">
        <f>SUM(CM78:CP78)</f>
        <v>0</v>
      </c>
      <c r="CR78" s="128">
        <v>0</v>
      </c>
      <c r="CS78" s="128">
        <v>0</v>
      </c>
      <c r="CT78" s="128">
        <v>0</v>
      </c>
      <c r="CU78" s="128">
        <v>0</v>
      </c>
      <c r="CV78" s="139">
        <f>SUM(CR78:CU78)</f>
        <v>0</v>
      </c>
    </row>
    <row r="79" spans="1:106" s="27" customFormat="1" ht="3.95" customHeight="1" x14ac:dyDescent="0.25">
      <c r="C79" s="122"/>
      <c r="D79" s="122"/>
      <c r="F79" s="139"/>
      <c r="G79" s="139"/>
      <c r="H79" s="139"/>
      <c r="I79" s="139"/>
      <c r="J79" s="139"/>
      <c r="O79" s="139"/>
      <c r="T79" s="139"/>
      <c r="Y79" s="139"/>
      <c r="AD79" s="139"/>
      <c r="AI79" s="139"/>
      <c r="AN79" s="139"/>
      <c r="AS79" s="139"/>
      <c r="AT79" s="124"/>
      <c r="AU79" s="124"/>
      <c r="AV79" s="124"/>
      <c r="AW79" s="124"/>
      <c r="AX79" s="139"/>
      <c r="AY79" s="124"/>
      <c r="AZ79" s="124"/>
      <c r="BA79" s="124"/>
      <c r="BB79" s="128"/>
      <c r="BC79" s="139"/>
      <c r="BD79" s="128"/>
      <c r="BE79" s="128"/>
      <c r="BF79" s="128"/>
      <c r="BG79" s="128"/>
      <c r="BH79" s="139"/>
      <c r="BM79" s="139"/>
      <c r="BR79" s="139"/>
      <c r="BW79" s="139"/>
      <c r="CB79" s="139"/>
      <c r="CG79" s="139"/>
      <c r="CL79" s="139"/>
      <c r="CQ79" s="139"/>
      <c r="CV79" s="139"/>
    </row>
    <row r="80" spans="1:106" s="127" customFormat="1" ht="12" customHeight="1" x14ac:dyDescent="0.25">
      <c r="A80" s="27"/>
      <c r="B80" s="27"/>
      <c r="C80" s="122"/>
      <c r="D80" s="122"/>
      <c r="E80" s="35" t="s">
        <v>625</v>
      </c>
      <c r="F80" s="35"/>
      <c r="G80" s="35"/>
      <c r="H80" s="35"/>
      <c r="I80" s="35"/>
      <c r="J80" s="35"/>
      <c r="K80" s="35"/>
      <c r="L80" s="35"/>
      <c r="M80" s="35"/>
      <c r="N80" s="35"/>
      <c r="O80" s="35"/>
      <c r="P80" s="35"/>
      <c r="Q80" s="35"/>
      <c r="R80" s="35"/>
      <c r="S80" s="35"/>
      <c r="T80" s="35">
        <f>T65+T72+SUM(T76:T76)</f>
        <v>69.072031393301302</v>
      </c>
      <c r="U80" s="35"/>
      <c r="V80" s="35"/>
      <c r="W80" s="35"/>
      <c r="X80" s="35"/>
      <c r="Y80" s="35">
        <f>Y65+Y72+SUM(Y76:Y76)</f>
        <v>69.968992409721665</v>
      </c>
      <c r="Z80" s="35"/>
      <c r="AA80" s="35"/>
      <c r="AB80" s="35"/>
      <c r="AC80" s="35"/>
      <c r="AD80" s="35">
        <f>AD65+AD72+SUM(AD76:AD76)</f>
        <v>76.070468785730583</v>
      </c>
      <c r="AE80" s="35">
        <f>AE65+AE72+SUM(AE76:AE76)</f>
        <v>2.8307480592801353</v>
      </c>
      <c r="AF80" s="35">
        <f>AF65+AF72+SUM(AF76:AF76)</f>
        <v>25.29030137469158</v>
      </c>
      <c r="AG80" s="35">
        <f>AG65+AG72+SUM(AG76:AG76)</f>
        <v>14.385707805575915</v>
      </c>
      <c r="AH80" s="35">
        <f>AH65+AH72+SUM(AH76:AH76)</f>
        <v>-9.2957274501178961</v>
      </c>
      <c r="AI80" s="35">
        <f>SUM(AE80:AH80)</f>
        <v>33.211029789429737</v>
      </c>
      <c r="AJ80" s="35">
        <f>AJ65+AJ72+SUM(AJ76:AJ76)</f>
        <v>10.317530644976518</v>
      </c>
      <c r="AK80" s="35">
        <f>AK65+AK72+SUM(AK76:AK76)</f>
        <v>14.407326445803998</v>
      </c>
      <c r="AL80" s="35">
        <f>AL65+AL72+SUM(AL76:AL76)</f>
        <v>18.393464078724943</v>
      </c>
      <c r="AM80" s="35">
        <f>AM65+AM72+SUM(AM76:AM76)</f>
        <v>19.756000000000029</v>
      </c>
      <c r="AN80" s="35">
        <f>SUM(AJ80:AM80)</f>
        <v>62.874321169505492</v>
      </c>
      <c r="AO80" s="35">
        <f>AO65+AO72+SUM(AO76:AO76)</f>
        <v>4.4057442164993343</v>
      </c>
      <c r="AP80" s="35">
        <f>AP65+AP72+SUM(AP76:AP76)</f>
        <v>9.4291082445317116</v>
      </c>
      <c r="AQ80" s="35">
        <f>AQ65+AQ72+SUM(AQ76:AQ76)</f>
        <v>14.574556585966377</v>
      </c>
      <c r="AR80" s="35">
        <f>AR65+AR72+SUM(AR76:AR76)</f>
        <v>13.845999999999972</v>
      </c>
      <c r="AS80" s="35">
        <f>SUM(AO80:AR80)</f>
        <v>42.2554090469974</v>
      </c>
      <c r="AT80" s="35">
        <f>AT65+AT72+SUM(AT78)+AT76</f>
        <v>9.7708015956330208</v>
      </c>
      <c r="AU80" s="35">
        <f>AU65+AU72+SUM(AU78)+AU76</f>
        <v>13.32780248289035</v>
      </c>
      <c r="AV80" s="35">
        <f>AV65+AV72+SUM(AV78)+AV76</f>
        <v>15.211800000000043</v>
      </c>
      <c r="AW80" s="35">
        <f>AW65+AW72+0.827</f>
        <v>16.225999999999964</v>
      </c>
      <c r="AX80" s="35">
        <f>SUM(AT80:AW80)</f>
        <v>54.536404078523383</v>
      </c>
      <c r="AY80" s="35">
        <f>AY65+AY72+SUM(AY78)+AY76</f>
        <v>10.974999999999998</v>
      </c>
      <c r="AZ80" s="35">
        <f>AZ65+AZ72+SUM(AZ78)+AZ76</f>
        <v>14.757000000000017</v>
      </c>
      <c r="BA80" s="35">
        <f>BA65+BA72+SUM(BA78)+0.231</f>
        <v>17.065000000000026</v>
      </c>
      <c r="BB80" s="35">
        <f>BB65+BB72+BB78-30.864</f>
        <v>17.364999999999984</v>
      </c>
      <c r="BC80" s="35">
        <f>SUM(AY80:BB80)</f>
        <v>60.16200000000002</v>
      </c>
      <c r="BD80" s="35">
        <f>BD65+BD72+SUM(BD76:BD76)</f>
        <v>13.492999999999993</v>
      </c>
      <c r="BE80" s="501">
        <f>BE65+BE72+SUM(BE76:BE76)</f>
        <v>16.530999999999988</v>
      </c>
      <c r="BF80" s="35">
        <f>BF65+BF72+SUM(BF76:BF76)</f>
        <v>14.475000000000049</v>
      </c>
      <c r="BG80" s="35">
        <f>BG65+BG72+SUM(BG76:BG76)</f>
        <v>14.10299999999998</v>
      </c>
      <c r="BH80" s="35">
        <f>SUM(BD80:BG80)</f>
        <v>58.602000000000011</v>
      </c>
      <c r="BI80" s="35">
        <f>BI65+BI72+SUM(BI76:BI76)</f>
        <v>13.179999999999973</v>
      </c>
      <c r="BJ80" s="35">
        <f>BJ65+BJ72+SUM(BJ76:BJ76)</f>
        <v>15.025999999999948</v>
      </c>
      <c r="BK80" s="35">
        <f>BK65+BK72+SUM(BK76:BK76)</f>
        <v>19.447000000000042</v>
      </c>
      <c r="BL80" s="35">
        <f>BL65+BL72+SUM(BL76:BL76)</f>
        <v>18.51900000000002</v>
      </c>
      <c r="BM80" s="35">
        <f>SUM(BI80:BL80)</f>
        <v>66.171999999999983</v>
      </c>
      <c r="BN80" s="35">
        <f>BN65+BN72+SUM(BN76:BN76)</f>
        <v>-11.018820000000012</v>
      </c>
      <c r="BO80" s="35">
        <f>BO65+BO72+SUM(BO76:BO76)</f>
        <v>-10.1516</v>
      </c>
      <c r="BP80" s="35">
        <f>BP65+BP72+SUM(BP76:BP76)</f>
        <v>-0.95257999999999143</v>
      </c>
      <c r="BQ80" s="35">
        <f>BQ65+BQ72+SUM(BQ76:BQ76)</f>
        <v>-5.0449799999999989</v>
      </c>
      <c r="BR80" s="35">
        <f>SUM(BN80:BQ80)</f>
        <v>-27.167980000000004</v>
      </c>
      <c r="BS80" s="35">
        <f>BS65+BS72+SUM(BS76:BS76)</f>
        <v>-4.374999999999984</v>
      </c>
      <c r="BT80" s="35">
        <f>BT65+BT72+SUM(BT76:BT76)</f>
        <v>1.8880000000000068</v>
      </c>
      <c r="BU80" s="35">
        <f>BU65+BU72+SUM(BU76:BU76)</f>
        <v>3.6190000000000113</v>
      </c>
      <c r="BV80" s="35">
        <f>BV65+BV72+SUM(BV76:BV76)</f>
        <v>9.1810000000000045</v>
      </c>
      <c r="BW80" s="35">
        <f>SUM(BS80:BV80)</f>
        <v>10.313000000000038</v>
      </c>
      <c r="BX80" s="35">
        <f>BX65+BX72+SUM(BX76:BX76)</f>
        <v>4.2899999999999849</v>
      </c>
      <c r="BY80" s="35">
        <f>BY65+BY72+SUM(BY76:BY76)</f>
        <v>7.4399999999999871</v>
      </c>
      <c r="BZ80" s="35">
        <f>BZ65+BZ72+SUM(BZ76:BZ76)</f>
        <v>3.1839999999999993</v>
      </c>
      <c r="CA80" s="35">
        <f>CA65+CA72+SUM(CA76:CA76)</f>
        <v>-2.4309999999999783</v>
      </c>
      <c r="CB80" s="35">
        <f>SUM(BX80:CA80)</f>
        <v>12.482999999999993</v>
      </c>
      <c r="CC80" s="35">
        <f>CC65+CC72+SUM(CC76:CC76)</f>
        <v>-27.082000000000001</v>
      </c>
      <c r="CD80" s="35">
        <f>CD65+CD72+SUM(CD76:CD76)</f>
        <v>-23.168000000000006</v>
      </c>
      <c r="CE80" s="35">
        <f>CE65+CE72+SUM(CE76:CE76)</f>
        <v>1.7459999999999951</v>
      </c>
      <c r="CF80" s="35">
        <f>CF65+CF72+SUM(CF76:CF76)</f>
        <v>-18.917000000000005</v>
      </c>
      <c r="CG80" s="35">
        <f>SUM(CC80:CF80)</f>
        <v>-67.421000000000021</v>
      </c>
      <c r="CH80" s="35">
        <f>CH65+CH72+SUM(CH76:CH76)</f>
        <v>-27.816000000000006</v>
      </c>
      <c r="CI80" s="35">
        <f>CI65+CI72+SUM(CI76:CI76)</f>
        <v>-40.69100000000001</v>
      </c>
      <c r="CJ80" s="35">
        <f>CJ65+CJ72+SUM(CJ76:CJ76)</f>
        <v>-74.825262000000023</v>
      </c>
      <c r="CK80" s="35">
        <f>CK65+CK72+SUM(CK76:CK76)</f>
        <v>-38.14363114624998</v>
      </c>
      <c r="CL80" s="35">
        <f>SUM(CH80:CK80)</f>
        <v>-181.47589314625003</v>
      </c>
      <c r="CM80" s="35">
        <f>CM65+CM72+SUM(CM76:CM76)</f>
        <v>-24.556135463410683</v>
      </c>
      <c r="CN80" s="35">
        <f>CN65+CN72+SUM(CN76:CN76)</f>
        <v>-21.467203732622391</v>
      </c>
      <c r="CO80" s="35">
        <f>CO65+CO72+SUM(CO76:CO76)</f>
        <v>-16.404294716856178</v>
      </c>
      <c r="CP80" s="35">
        <f>CP65+CP72+SUM(CP76:CP76)</f>
        <v>-16.910376025595308</v>
      </c>
      <c r="CQ80" s="35">
        <f>SUM(CM80:CP80)</f>
        <v>-79.338009938484561</v>
      </c>
      <c r="CR80" s="35">
        <f>CR65+CR72+SUM(CR76:CR76)</f>
        <v>-17.179425791583167</v>
      </c>
      <c r="CS80" s="35">
        <f>CS65+CS72+SUM(CS76:CS76)</f>
        <v>-13.210699369731351</v>
      </c>
      <c r="CT80" s="35">
        <f>CT65+CT72+SUM(CT76:CT76)</f>
        <v>-6.4244684899399953</v>
      </c>
      <c r="CU80" s="35">
        <f>CU65+CU72+SUM(CU76:CU76)</f>
        <v>-6.1647072613715128</v>
      </c>
      <c r="CV80" s="35">
        <f>SUM(CR80:CU80)</f>
        <v>-42.979300912626023</v>
      </c>
      <c r="CW80" s="27"/>
      <c r="CX80" s="27"/>
      <c r="CY80" s="27"/>
      <c r="CZ80" s="27"/>
      <c r="DA80" s="27"/>
      <c r="DB80" s="27"/>
    </row>
    <row r="81" spans="1:106" s="34" customFormat="1" ht="12" customHeight="1" x14ac:dyDescent="0.25">
      <c r="A81" s="47"/>
      <c r="B81" s="47"/>
      <c r="C81" s="2"/>
      <c r="D81" s="2"/>
      <c r="E81" s="31" t="s">
        <v>2</v>
      </c>
      <c r="G81" s="32"/>
      <c r="H81" s="32"/>
      <c r="I81" s="32"/>
      <c r="J81" s="32"/>
      <c r="K81" s="31"/>
      <c r="L81" s="31"/>
      <c r="M81" s="31"/>
      <c r="N81" s="31"/>
      <c r="O81" s="32"/>
      <c r="P81" s="32"/>
      <c r="Q81" s="32"/>
      <c r="R81" s="32"/>
      <c r="S81" s="32"/>
      <c r="T81" s="32"/>
      <c r="U81" s="32"/>
      <c r="V81" s="32"/>
      <c r="W81" s="32"/>
      <c r="X81" s="32"/>
      <c r="Y81" s="32"/>
      <c r="Z81" s="32"/>
      <c r="AA81" s="32"/>
      <c r="AB81" s="32"/>
      <c r="AC81" s="32"/>
      <c r="AD81" s="32"/>
      <c r="AE81" s="32"/>
      <c r="AF81" s="32"/>
      <c r="AG81" s="32"/>
      <c r="AH81" s="32"/>
      <c r="AI81" s="32"/>
      <c r="AJ81" s="32">
        <f t="shared" ref="AJ81:BC81" si="105">(AJ80-AE80)/ABS(AE80)</f>
        <v>2.6448071071362973</v>
      </c>
      <c r="AK81" s="32">
        <f t="shared" si="105"/>
        <v>-0.43032207357474805</v>
      </c>
      <c r="AL81" s="32">
        <f t="shared" si="105"/>
        <v>0.2785929150872658</v>
      </c>
      <c r="AM81" s="32">
        <f t="shared" si="105"/>
        <v>3.1252774574139934</v>
      </c>
      <c r="AN81" s="32">
        <f t="shared" si="105"/>
        <v>0.89317589873460834</v>
      </c>
      <c r="AO81" s="32">
        <f t="shared" si="105"/>
        <v>-0.57298462509103976</v>
      </c>
      <c r="AP81" s="32">
        <f t="shared" si="105"/>
        <v>-0.34553379629446423</v>
      </c>
      <c r="AQ81" s="32">
        <f t="shared" si="105"/>
        <v>-0.20762307069584346</v>
      </c>
      <c r="AR81" s="32">
        <f t="shared" si="105"/>
        <v>-0.29914962543025148</v>
      </c>
      <c r="AS81" s="32">
        <f t="shared" si="105"/>
        <v>-0.32793852464698126</v>
      </c>
      <c r="AT81" s="32">
        <f t="shared" si="105"/>
        <v>1.2177414564925859</v>
      </c>
      <c r="AU81" s="32">
        <f t="shared" si="105"/>
        <v>0.41347433259339611</v>
      </c>
      <c r="AV81" s="32">
        <f t="shared" si="105"/>
        <v>4.3723005243758703E-2</v>
      </c>
      <c r="AW81" s="32">
        <f t="shared" si="105"/>
        <v>0.17189079878665295</v>
      </c>
      <c r="AX81" s="32">
        <f t="shared" si="105"/>
        <v>0.29063722984829676</v>
      </c>
      <c r="AY81" s="32">
        <f t="shared" si="105"/>
        <v>0.12324458669851444</v>
      </c>
      <c r="AZ81" s="32">
        <f t="shared" si="105"/>
        <v>0.10723429604725974</v>
      </c>
      <c r="BA81" s="32">
        <f t="shared" si="105"/>
        <v>0.1218264768140508</v>
      </c>
      <c r="BB81" s="32">
        <f t="shared" si="105"/>
        <v>7.0195981757674303E-2</v>
      </c>
      <c r="BC81" s="32">
        <f t="shared" si="105"/>
        <v>0.10315304091880924</v>
      </c>
      <c r="BD81" s="32">
        <f t="shared" ref="BD81:BM81" si="106">(BD80-AY80)/ABS(AY80)</f>
        <v>0.22943052391799507</v>
      </c>
      <c r="BE81" s="32">
        <f t="shared" si="106"/>
        <v>0.12021413566442832</v>
      </c>
      <c r="BF81" s="32">
        <f t="shared" si="106"/>
        <v>-0.15177263404629199</v>
      </c>
      <c r="BG81" s="32">
        <f t="shared" si="106"/>
        <v>-0.18784912179671795</v>
      </c>
      <c r="BH81" s="32">
        <f t="shared" si="106"/>
        <v>-2.5929989029620171E-2</v>
      </c>
      <c r="BI81" s="32">
        <f t="shared" si="106"/>
        <v>-2.3197213369897007E-2</v>
      </c>
      <c r="BJ81" s="32">
        <f t="shared" si="106"/>
        <v>-9.1041074345172154E-2</v>
      </c>
      <c r="BK81" s="32">
        <f t="shared" si="106"/>
        <v>0.34348877374783943</v>
      </c>
      <c r="BL81" s="32">
        <f t="shared" si="106"/>
        <v>0.31312486704956716</v>
      </c>
      <c r="BM81" s="32">
        <f t="shared" si="106"/>
        <v>0.12917647861847667</v>
      </c>
      <c r="BN81" s="32">
        <f t="shared" ref="BN81:BW81" si="107">(BN80-BI80)/ABS(BI80)</f>
        <v>-1.8360257966616109</v>
      </c>
      <c r="BO81" s="32">
        <f t="shared" si="107"/>
        <v>-1.6756022893651028</v>
      </c>
      <c r="BP81" s="32">
        <f t="shared" si="107"/>
        <v>-1.0489833907543573</v>
      </c>
      <c r="BQ81" s="32">
        <f t="shared" si="107"/>
        <v>-1.2724218370322369</v>
      </c>
      <c r="BR81" s="32">
        <f t="shared" si="107"/>
        <v>-1.4105661004654537</v>
      </c>
      <c r="BS81" s="32">
        <f>(BS80-BN80)/ABS(BN80)</f>
        <v>0.60295204023661531</v>
      </c>
      <c r="BT81" s="32">
        <f t="shared" si="107"/>
        <v>1.1859805350880657</v>
      </c>
      <c r="BU81" s="32">
        <f t="shared" si="107"/>
        <v>4.7991559764009786</v>
      </c>
      <c r="BV81" s="32">
        <f t="shared" si="107"/>
        <v>2.8198288199358581</v>
      </c>
      <c r="BW81" s="32">
        <f t="shared" si="107"/>
        <v>1.379601280625208</v>
      </c>
      <c r="BX81" s="32">
        <f t="shared" ref="BX81:CF81" si="108">(BX80-BS80)/ABS(BS80)</f>
        <v>1.9805714285714286</v>
      </c>
      <c r="BY81" s="32">
        <f t="shared" si="108"/>
        <v>2.9406779661016738</v>
      </c>
      <c r="BZ81" s="32">
        <f>(BZ80-BU80)/ABS(BU80)</f>
        <v>-0.12019894998618698</v>
      </c>
      <c r="CA81" s="32">
        <f t="shared" si="108"/>
        <v>-1.2647859710271188</v>
      </c>
      <c r="CB81" s="32">
        <f t="shared" si="108"/>
        <v>0.21041404053136309</v>
      </c>
      <c r="CC81" s="32">
        <f t="shared" si="108"/>
        <v>-7.3128205128205348</v>
      </c>
      <c r="CD81" s="32">
        <f t="shared" si="108"/>
        <v>-4.1139784946236624</v>
      </c>
      <c r="CE81" s="32">
        <f t="shared" si="108"/>
        <v>-0.45163316582914714</v>
      </c>
      <c r="CF81" s="32">
        <f t="shared" si="108"/>
        <v>-6.781571369806735</v>
      </c>
      <c r="CG81" s="471" t="s">
        <v>490</v>
      </c>
      <c r="CH81" s="32">
        <f t="shared" ref="CH81:CL81" si="109">(CH80-CC80)/ABS(CC80)</f>
        <v>-2.7102872756812838E-2</v>
      </c>
      <c r="CI81" s="32">
        <f t="shared" si="109"/>
        <v>-0.7563449585635359</v>
      </c>
      <c r="CJ81" s="32">
        <f t="shared" si="109"/>
        <v>-43.855247422680549</v>
      </c>
      <c r="CK81" s="32">
        <f t="shared" si="109"/>
        <v>-1.0163678779008283</v>
      </c>
      <c r="CL81" s="32">
        <f t="shared" si="109"/>
        <v>-1.6916820151918537</v>
      </c>
      <c r="CM81" s="32">
        <f t="shared" ref="CM81:CQ81" si="110">(CM80-CH80)/ABS(CH80)</f>
        <v>0.1171938645595816</v>
      </c>
      <c r="CN81" s="32">
        <f t="shared" si="110"/>
        <v>0.47243361596858308</v>
      </c>
      <c r="CO81" s="32">
        <f t="shared" si="110"/>
        <v>0.78076528864200734</v>
      </c>
      <c r="CP81" s="32">
        <f t="shared" si="110"/>
        <v>0.55666580455443027</v>
      </c>
      <c r="CQ81" s="32">
        <f t="shared" si="110"/>
        <v>0.56281791171818796</v>
      </c>
      <c r="CR81" s="32">
        <f t="shared" ref="CR81" si="111">(CR80-CM80)/ABS(CM80)</f>
        <v>0.30040189682203927</v>
      </c>
      <c r="CS81" s="32">
        <f t="shared" ref="CS81" si="112">(CS80-CN80)/ABS(CN80)</f>
        <v>0.38461014605009486</v>
      </c>
      <c r="CT81" s="32">
        <f t="shared" ref="CT81" si="113">(CT80-CO80)/ABS(CO80)</f>
        <v>0.60836667465267169</v>
      </c>
      <c r="CU81" s="32">
        <f t="shared" ref="CU81" si="114">(CU80-CP80)/ABS(CP80)</f>
        <v>0.63544824479120399</v>
      </c>
      <c r="CV81" s="32">
        <f t="shared" ref="CV81" si="115">(CV80-CQ80)/ABS(CQ80)</f>
        <v>0.45827604012313378</v>
      </c>
      <c r="CW81" s="6"/>
      <c r="CX81" s="717"/>
      <c r="CY81" s="6"/>
      <c r="CZ81" s="6"/>
      <c r="DA81" s="6"/>
      <c r="DB81" s="6"/>
    </row>
    <row r="82" spans="1:106" s="31" customFormat="1" ht="12" customHeight="1" x14ac:dyDescent="0.25">
      <c r="A82" s="47"/>
      <c r="B82" s="47"/>
      <c r="C82" s="2"/>
      <c r="D82" s="2"/>
      <c r="E82" s="31" t="s">
        <v>91</v>
      </c>
      <c r="F82" s="32"/>
      <c r="G82" s="32"/>
      <c r="H82" s="32"/>
      <c r="I82" s="32"/>
      <c r="J82" s="32"/>
      <c r="K82" s="32"/>
      <c r="L82" s="32"/>
      <c r="M82" s="32"/>
      <c r="N82" s="32"/>
      <c r="O82" s="32"/>
      <c r="P82" s="32"/>
      <c r="Q82" s="32"/>
      <c r="R82" s="32"/>
      <c r="S82" s="32"/>
      <c r="T82" s="32">
        <f>T80/T22</f>
        <v>5.647560050538028E-2</v>
      </c>
      <c r="U82" s="32"/>
      <c r="V82" s="32"/>
      <c r="W82" s="32"/>
      <c r="X82" s="32"/>
      <c r="Y82" s="32">
        <f>Y80/Y22</f>
        <v>5.2506883258281505E-2</v>
      </c>
      <c r="Z82" s="32"/>
      <c r="AA82" s="32"/>
      <c r="AB82" s="32"/>
      <c r="AC82" s="32"/>
      <c r="AD82" s="32">
        <f t="shared" ref="AD82:BI82" si="116">AD80/AD22</f>
        <v>5.4525486250609677E-2</v>
      </c>
      <c r="AE82" s="32">
        <f t="shared" si="116"/>
        <v>8.4583515631269559E-3</v>
      </c>
      <c r="AF82" s="32">
        <f t="shared" si="116"/>
        <v>7.2495374496756762E-2</v>
      </c>
      <c r="AG82" s="32">
        <f t="shared" si="116"/>
        <v>4.1013082502732404E-2</v>
      </c>
      <c r="AH82" s="32">
        <f t="shared" si="116"/>
        <v>-2.6574634574104115E-2</v>
      </c>
      <c r="AI82" s="32">
        <f t="shared" si="116"/>
        <v>2.400037996852784E-2</v>
      </c>
      <c r="AJ82" s="32">
        <f t="shared" si="116"/>
        <v>3.1163914438738644E-2</v>
      </c>
      <c r="AK82" s="32">
        <f t="shared" si="116"/>
        <v>4.379991927220879E-2</v>
      </c>
      <c r="AL82" s="32">
        <f t="shared" si="116"/>
        <v>5.7290516541428735E-2</v>
      </c>
      <c r="AM82" s="32">
        <f t="shared" si="116"/>
        <v>6.6854139806232726E-2</v>
      </c>
      <c r="AN82" s="32">
        <f t="shared" si="116"/>
        <v>4.9225860606128963E-2</v>
      </c>
      <c r="AO82" s="32">
        <f t="shared" si="116"/>
        <v>1.7211215740618773E-2</v>
      </c>
      <c r="AP82" s="32">
        <f t="shared" si="116"/>
        <v>3.4780281605030196E-2</v>
      </c>
      <c r="AQ82" s="32">
        <f t="shared" si="116"/>
        <v>5.1353760076271467E-2</v>
      </c>
      <c r="AR82" s="32">
        <f t="shared" si="116"/>
        <v>4.8019365891892173E-2</v>
      </c>
      <c r="AS82" s="32">
        <f t="shared" si="116"/>
        <v>3.8440742013306883E-2</v>
      </c>
      <c r="AT82" s="32">
        <f t="shared" si="116"/>
        <v>3.7699048131341735E-2</v>
      </c>
      <c r="AU82" s="32">
        <f t="shared" si="116"/>
        <v>4.7693830567340084E-2</v>
      </c>
      <c r="AV82" s="32">
        <f t="shared" si="116"/>
        <v>5.2836178600580194E-2</v>
      </c>
      <c r="AW82" s="32">
        <f t="shared" si="116"/>
        <v>5.6492296979719608E-2</v>
      </c>
      <c r="AX82" s="32">
        <f t="shared" si="116"/>
        <v>4.8966292447455532E-2</v>
      </c>
      <c r="AY82" s="32">
        <f t="shared" si="116"/>
        <v>3.9758154497109149E-2</v>
      </c>
      <c r="AZ82" s="32">
        <f t="shared" si="116"/>
        <v>5.1520081555133559E-2</v>
      </c>
      <c r="BA82" s="32">
        <f t="shared" si="116"/>
        <v>6.0752670945876275E-2</v>
      </c>
      <c r="BB82" s="32">
        <f t="shared" si="116"/>
        <v>6.0451515204260967E-2</v>
      </c>
      <c r="BC82" s="32">
        <f t="shared" si="116"/>
        <v>5.321132401222689E-2</v>
      </c>
      <c r="BD82" s="32">
        <f t="shared" si="116"/>
        <v>4.9668886361210168E-2</v>
      </c>
      <c r="BE82" s="32">
        <f t="shared" si="116"/>
        <v>5.957825615298392E-2</v>
      </c>
      <c r="BF82" s="32">
        <f t="shared" si="116"/>
        <v>5.3002175011534328E-2</v>
      </c>
      <c r="BG82" s="32">
        <f t="shared" si="116"/>
        <v>5.0889290624289527E-2</v>
      </c>
      <c r="BH82" s="32">
        <f t="shared" si="116"/>
        <v>5.3305608086166592E-2</v>
      </c>
      <c r="BI82" s="32">
        <f t="shared" si="116"/>
        <v>4.9512947372770788E-2</v>
      </c>
      <c r="BJ82" s="32">
        <f t="shared" ref="BJ82:CQ82" si="117">BJ80/BJ22</f>
        <v>5.4388625661035542E-2</v>
      </c>
      <c r="BK82" s="32">
        <f t="shared" si="117"/>
        <v>6.9985209070330831E-2</v>
      </c>
      <c r="BL82" s="32">
        <f t="shared" si="117"/>
        <v>6.6805431300684032E-2</v>
      </c>
      <c r="BM82" s="32">
        <f t="shared" si="117"/>
        <v>8.2185621863173811E-2</v>
      </c>
      <c r="BN82" s="32">
        <f t="shared" si="117"/>
        <v>-5.9024228237172176E-2</v>
      </c>
      <c r="BO82" s="32">
        <f t="shared" si="117"/>
        <v>-4.9702322666562222E-2</v>
      </c>
      <c r="BP82" s="32">
        <f t="shared" si="117"/>
        <v>-4.5743015472085487E-3</v>
      </c>
      <c r="BQ82" s="32">
        <f t="shared" si="117"/>
        <v>-2.4521858321910811E-2</v>
      </c>
      <c r="BR82" s="32">
        <f t="shared" si="117"/>
        <v>-3.3752775151538496E-2</v>
      </c>
      <c r="BS82" s="32">
        <f t="shared" si="117"/>
        <v>-2.2219964955940901E-2</v>
      </c>
      <c r="BT82" s="32">
        <f t="shared" si="117"/>
        <v>9.105596951940036E-3</v>
      </c>
      <c r="BU82" s="32">
        <f t="shared" si="117"/>
        <v>1.6361277255609406E-2</v>
      </c>
      <c r="BV82" s="32">
        <f t="shared" si="117"/>
        <v>4.0867107342369431E-2</v>
      </c>
      <c r="BW82" s="32">
        <f t="shared" si="117"/>
        <v>1.2131685190239173E-2</v>
      </c>
      <c r="BX82" s="32">
        <f t="shared" si="117"/>
        <v>1.9971974059711014E-2</v>
      </c>
      <c r="BY82" s="32">
        <f t="shared" si="117"/>
        <v>3.4243580479318018E-2</v>
      </c>
      <c r="BZ82" s="32">
        <f t="shared" si="117"/>
        <v>1.4258078383606789E-2</v>
      </c>
      <c r="CA82" s="32">
        <f t="shared" si="117"/>
        <v>-1.0810786772684322E-2</v>
      </c>
      <c r="CB82" s="32">
        <f t="shared" si="117"/>
        <v>1.4181230744063028E-2</v>
      </c>
      <c r="CC82" s="32">
        <f t="shared" si="117"/>
        <v>-0.57920739140663435</v>
      </c>
      <c r="CD82" s="32">
        <f t="shared" si="117"/>
        <v>-0.42893377520226628</v>
      </c>
      <c r="CE82" s="32">
        <f t="shared" si="117"/>
        <v>2.9532653371898226E-2</v>
      </c>
      <c r="CF82" s="32">
        <f t="shared" si="117"/>
        <v>-0.31418369041687433</v>
      </c>
      <c r="CG82" s="32">
        <f>CG80/CG22</f>
        <v>-0.30631846288749265</v>
      </c>
      <c r="CH82" s="32">
        <f>CH80/CH22</f>
        <v>-0.44526260184725724</v>
      </c>
      <c r="CI82" s="32">
        <f t="shared" si="117"/>
        <v>-0.62783126581497273</v>
      </c>
      <c r="CJ82" s="32">
        <f t="shared" si="117"/>
        <v>-0.9933426560964318</v>
      </c>
      <c r="CK82" s="32">
        <f t="shared" si="117"/>
        <v>-0.48015569896788907</v>
      </c>
      <c r="CL82" s="32">
        <f t="shared" si="117"/>
        <v>-0.643417755991469</v>
      </c>
      <c r="CM82" s="32">
        <f t="shared" si="117"/>
        <v>-0.30236965907147911</v>
      </c>
      <c r="CN82" s="32">
        <f t="shared" si="117"/>
        <v>-0.24220306608573675</v>
      </c>
      <c r="CO82" s="32">
        <f t="shared" si="117"/>
        <v>-0.1633680235784814</v>
      </c>
      <c r="CP82" s="32">
        <f t="shared" si="117"/>
        <v>-0.16534494178283021</v>
      </c>
      <c r="CQ82" s="32">
        <f t="shared" si="117"/>
        <v>-0.21296974790435216</v>
      </c>
      <c r="CR82" s="32">
        <f t="shared" ref="CR82:CV82" si="118">CR80/CR22</f>
        <v>-0.16062638259439938</v>
      </c>
      <c r="CS82" s="32">
        <f t="shared" si="118"/>
        <v>-0.11362700174487562</v>
      </c>
      <c r="CT82" s="32">
        <f t="shared" si="118"/>
        <v>-4.8628774519325992E-2</v>
      </c>
      <c r="CU82" s="32">
        <f t="shared" si="118"/>
        <v>-4.5867207351629649E-2</v>
      </c>
      <c r="CV82" s="32">
        <f t="shared" si="118"/>
        <v>-8.7760805723429119E-2</v>
      </c>
      <c r="CW82" s="6"/>
      <c r="CX82" s="717"/>
      <c r="CY82" s="6"/>
      <c r="CZ82" s="6"/>
      <c r="DA82" s="6"/>
      <c r="DB82" s="6"/>
    </row>
    <row r="83" spans="1:106" s="127" customFormat="1" ht="12" customHeight="1" x14ac:dyDescent="0.25">
      <c r="A83" s="27"/>
      <c r="B83" s="27"/>
      <c r="C83" s="122"/>
      <c r="D83" s="122"/>
      <c r="E83" s="35" t="s">
        <v>626</v>
      </c>
      <c r="F83" s="35"/>
      <c r="G83" s="35"/>
      <c r="H83" s="35"/>
      <c r="I83" s="35"/>
      <c r="J83" s="35"/>
      <c r="K83" s="35"/>
      <c r="L83" s="35"/>
      <c r="M83" s="35"/>
      <c r="N83" s="35"/>
      <c r="O83" s="35"/>
      <c r="P83" s="35"/>
      <c r="Q83" s="35"/>
      <c r="R83" s="35"/>
      <c r="S83" s="35"/>
      <c r="T83" s="35">
        <f>T66+T70+SUM(T76:T77)</f>
        <v>69.717999999999904</v>
      </c>
      <c r="U83" s="35"/>
      <c r="V83" s="35"/>
      <c r="W83" s="35"/>
      <c r="X83" s="35"/>
      <c r="Y83" s="35">
        <f>Y66+Y70+SUM(Y76:Y77)</f>
        <v>64.127999999999986</v>
      </c>
      <c r="Z83" s="35"/>
      <c r="AA83" s="35"/>
      <c r="AB83" s="35"/>
      <c r="AC83" s="35"/>
      <c r="AD83" s="35">
        <f>AD66+AD70+SUM(AD76:AD77)</f>
        <v>70.739999999999966</v>
      </c>
      <c r="AE83" s="35">
        <f>AE66+AE70+SUM(AE76:AE77)</f>
        <v>-13.690000000000031</v>
      </c>
      <c r="AF83" s="35">
        <f>AF66+AF70+SUM(AF76:AF77)</f>
        <v>9.1949999999999932</v>
      </c>
      <c r="AG83" s="35">
        <f>AG66+AG70+SUM(AG76:AG77)</f>
        <v>55.000000000000014</v>
      </c>
      <c r="AH83" s="35">
        <f>AH66+AH70+SUM(AH76:AH77)</f>
        <v>-58.285000000000068</v>
      </c>
      <c r="AI83" s="35">
        <f>SUM(AE83:AH83)</f>
        <v>-7.7800000000000935</v>
      </c>
      <c r="AJ83" s="35">
        <f t="shared" ref="AJ83:AQ83" si="119">AJ66+AJ70+SUM(AJ76:AJ77)</f>
        <v>10.650000000000006</v>
      </c>
      <c r="AK83" s="35">
        <f t="shared" si="119"/>
        <v>15.853000000000002</v>
      </c>
      <c r="AL83" s="35">
        <f t="shared" si="119"/>
        <v>-11.449000000000003</v>
      </c>
      <c r="AM83" s="35">
        <f t="shared" si="119"/>
        <v>22.450000000000031</v>
      </c>
      <c r="AN83" s="35">
        <f t="shared" si="119"/>
        <v>38.193000000000012</v>
      </c>
      <c r="AO83" s="35">
        <f t="shared" si="119"/>
        <v>4.1939999999999902</v>
      </c>
      <c r="AP83" s="35">
        <f t="shared" si="119"/>
        <v>9.4450000000000252</v>
      </c>
      <c r="AQ83" s="35">
        <f t="shared" si="119"/>
        <v>14.262000000000025</v>
      </c>
      <c r="AR83" s="35">
        <f>AR66+AR70+SUM(AR76:AR77)</f>
        <v>16.647999999999975</v>
      </c>
      <c r="AS83" s="35">
        <f>SUM(AO83:AR83)</f>
        <v>44.549000000000014</v>
      </c>
      <c r="AT83" s="35">
        <f t="shared" ref="AT83:CB83" si="120">AT66+AT70+SUM(AT76:AT78)</f>
        <v>9.8050000000000139</v>
      </c>
      <c r="AU83" s="35">
        <f t="shared" si="120"/>
        <v>13.281000000000008</v>
      </c>
      <c r="AV83" s="35">
        <f t="shared" si="120"/>
        <v>20.823000000000043</v>
      </c>
      <c r="AW83" s="35">
        <f t="shared" si="120"/>
        <v>-67.057000000000031</v>
      </c>
      <c r="AX83" s="35">
        <f t="shared" si="120"/>
        <v>-23.147999999999971</v>
      </c>
      <c r="AY83" s="35">
        <f t="shared" si="120"/>
        <v>10.974999999999996</v>
      </c>
      <c r="AZ83" s="35">
        <f t="shared" si="120"/>
        <v>12.292000000000021</v>
      </c>
      <c r="BA83" s="35">
        <f t="shared" si="120"/>
        <v>7.9300000000000175</v>
      </c>
      <c r="BB83" s="35">
        <f t="shared" si="120"/>
        <v>46.065999999999988</v>
      </c>
      <c r="BC83" s="35">
        <f t="shared" si="120"/>
        <v>77.263000000000005</v>
      </c>
      <c r="BD83" s="35">
        <f t="shared" si="120"/>
        <v>13.332999999999997</v>
      </c>
      <c r="BE83" s="501">
        <f t="shared" si="120"/>
        <v>16.510999999999989</v>
      </c>
      <c r="BF83" s="35">
        <f t="shared" si="120"/>
        <v>14.52500000000005</v>
      </c>
      <c r="BG83" s="35">
        <f t="shared" si="120"/>
        <v>13.237999999999982</v>
      </c>
      <c r="BH83" s="35">
        <f t="shared" si="120"/>
        <v>57.607000000000021</v>
      </c>
      <c r="BI83" s="35">
        <f t="shared" si="120"/>
        <v>13.179999999999973</v>
      </c>
      <c r="BJ83" s="35">
        <f>BJ66+BJ70+SUM(BJ76:BJ78)</f>
        <v>9.8389999999999471</v>
      </c>
      <c r="BK83" s="35">
        <f t="shared" si="120"/>
        <v>15.067000000000041</v>
      </c>
      <c r="BL83" s="35">
        <f t="shared" si="120"/>
        <v>-29.222999999999978</v>
      </c>
      <c r="BM83" s="35">
        <f t="shared" si="120"/>
        <v>8.8029999999999973</v>
      </c>
      <c r="BN83" s="35">
        <f t="shared" si="120"/>
        <v>-7.6040000000000134</v>
      </c>
      <c r="BO83" s="35">
        <f t="shared" si="120"/>
        <v>-1.5439999999999987</v>
      </c>
      <c r="BP83" s="536">
        <f t="shared" si="120"/>
        <v>4.1560000000000095</v>
      </c>
      <c r="BQ83" s="35">
        <f t="shared" si="120"/>
        <v>-6.0389999999999988</v>
      </c>
      <c r="BR83" s="35">
        <f t="shared" si="120"/>
        <v>-11.030999999999999</v>
      </c>
      <c r="BS83" s="35">
        <f>BS66+BS70+SUM(BS76:BS78)</f>
        <v>-1.0389999999999837</v>
      </c>
      <c r="BT83" s="35">
        <f>BT66+BT70+SUM(BT76:BT78)</f>
        <v>10.723000000000006</v>
      </c>
      <c r="BU83" s="35">
        <f>BU66+BU70+SUM(BU76:BU78)</f>
        <v>-1.4099999999999886</v>
      </c>
      <c r="BV83" s="35">
        <f>BV66+BV70+SUM(BV76:BV78)</f>
        <v>-1.5709999999999951</v>
      </c>
      <c r="BW83" s="35">
        <f t="shared" si="120"/>
        <v>6.703000000000042</v>
      </c>
      <c r="BX83" s="35">
        <f t="shared" si="120"/>
        <v>3.9759999999999849</v>
      </c>
      <c r="BY83" s="35">
        <f t="shared" si="120"/>
        <v>7.1399999999999881</v>
      </c>
      <c r="BZ83" s="35">
        <f t="shared" si="120"/>
        <v>1.0729999999999986</v>
      </c>
      <c r="CA83" s="35">
        <f t="shared" si="120"/>
        <v>-8.0809999999999782</v>
      </c>
      <c r="CB83" s="35">
        <f t="shared" si="120"/>
        <v>4.1079999999999899</v>
      </c>
      <c r="CC83" s="35">
        <f>CC66+CC70+SUM(CC76:CC78)</f>
        <v>-1.3000000000000007</v>
      </c>
      <c r="CD83" s="35">
        <f t="shared" ref="CD83:CE83" si="121">CD66+CD70+SUM(CD76:CD78)</f>
        <v>-3.3360000000000056</v>
      </c>
      <c r="CE83" s="35">
        <f t="shared" si="121"/>
        <v>22.940999999999995</v>
      </c>
      <c r="CF83" s="35">
        <f t="shared" ref="CF83:CV83" si="122">CF66+CF70+SUM(CF76:CF78)</f>
        <v>5.1749999999999936</v>
      </c>
      <c r="CG83" s="35">
        <f t="shared" si="122"/>
        <v>23.479999999999976</v>
      </c>
      <c r="CH83" s="35">
        <f t="shared" si="122"/>
        <v>-3.0150000000000041</v>
      </c>
      <c r="CI83" s="35">
        <f t="shared" si="122"/>
        <v>20.62299999999999</v>
      </c>
      <c r="CJ83" s="35">
        <f t="shared" si="122"/>
        <v>1121.9267380000001</v>
      </c>
      <c r="CK83" s="35">
        <f t="shared" si="122"/>
        <v>-39.64363114624998</v>
      </c>
      <c r="CL83" s="35">
        <f t="shared" si="122"/>
        <v>1099.89110685375</v>
      </c>
      <c r="CM83" s="35">
        <f t="shared" si="122"/>
        <v>-24.556135463410683</v>
      </c>
      <c r="CN83" s="35">
        <f t="shared" si="122"/>
        <v>-21.467203732622391</v>
      </c>
      <c r="CO83" s="35">
        <f t="shared" si="122"/>
        <v>-16.404294716856178</v>
      </c>
      <c r="CP83" s="35">
        <f t="shared" si="122"/>
        <v>-16.910376025595308</v>
      </c>
      <c r="CQ83" s="35">
        <f t="shared" si="122"/>
        <v>-79.338009938484589</v>
      </c>
      <c r="CR83" s="35">
        <f t="shared" si="122"/>
        <v>-17.179425791583167</v>
      </c>
      <c r="CS83" s="35">
        <f t="shared" si="122"/>
        <v>-13.210699369731351</v>
      </c>
      <c r="CT83" s="35">
        <f t="shared" si="122"/>
        <v>-6.4244684899399953</v>
      </c>
      <c r="CU83" s="35">
        <f t="shared" si="122"/>
        <v>-6.1647072613715128</v>
      </c>
      <c r="CV83" s="35">
        <f t="shared" si="122"/>
        <v>-42.979300912626016</v>
      </c>
      <c r="CW83" s="27"/>
      <c r="CX83" s="27"/>
      <c r="CY83" s="27"/>
      <c r="CZ83" s="27"/>
      <c r="DA83" s="27"/>
      <c r="DB83" s="27"/>
    </row>
    <row r="84" spans="1:106" s="37" customFormat="1" ht="3.95" customHeight="1" x14ac:dyDescent="0.25">
      <c r="A84" s="27"/>
      <c r="B84" s="27"/>
      <c r="C84" s="122"/>
      <c r="D84" s="122"/>
      <c r="F84" s="143"/>
      <c r="G84" s="143"/>
      <c r="H84" s="143"/>
      <c r="I84" s="143"/>
      <c r="J84" s="143"/>
      <c r="O84" s="143"/>
      <c r="T84" s="143"/>
      <c r="Y84" s="143"/>
      <c r="AD84" s="143"/>
      <c r="AI84" s="143"/>
      <c r="AN84" s="143"/>
      <c r="AS84" s="143"/>
      <c r="AX84" s="143"/>
      <c r="BC84" s="143"/>
      <c r="BH84" s="143"/>
      <c r="BM84" s="143"/>
      <c r="BR84" s="143"/>
      <c r="BW84" s="143"/>
      <c r="CB84" s="143"/>
      <c r="CC84" s="699"/>
      <c r="CD84" s="699"/>
      <c r="CE84" s="699"/>
      <c r="CF84" s="699"/>
      <c r="CG84" s="143"/>
      <c r="CH84" s="699"/>
      <c r="CI84" s="699"/>
      <c r="CJ84" s="699"/>
      <c r="CK84" s="699"/>
      <c r="CL84" s="143"/>
      <c r="CQ84" s="143"/>
      <c r="CV84" s="143"/>
      <c r="CW84" s="27"/>
      <c r="CX84" s="27"/>
      <c r="CY84" s="27"/>
      <c r="CZ84" s="27"/>
      <c r="DA84" s="27"/>
      <c r="DB84" s="27"/>
    </row>
    <row r="85" spans="1:106" s="27" customFormat="1" ht="12" customHeight="1" x14ac:dyDescent="0.25">
      <c r="C85" s="122"/>
      <c r="D85" s="122"/>
      <c r="E85" s="27" t="s">
        <v>92</v>
      </c>
      <c r="F85" s="140"/>
      <c r="G85" s="140"/>
      <c r="H85" s="140"/>
      <c r="I85" s="140"/>
      <c r="J85" s="140"/>
      <c r="K85" s="124"/>
      <c r="L85" s="124"/>
      <c r="M85" s="124"/>
      <c r="N85" s="124"/>
      <c r="O85" s="138"/>
      <c r="P85" s="124"/>
      <c r="Q85" s="124"/>
      <c r="R85" s="124"/>
      <c r="S85" s="124"/>
      <c r="T85" s="140">
        <v>87</v>
      </c>
      <c r="U85" s="124"/>
      <c r="V85" s="124"/>
      <c r="W85" s="124"/>
      <c r="X85" s="124"/>
      <c r="Y85" s="140">
        <v>88</v>
      </c>
      <c r="Z85" s="124"/>
      <c r="AA85" s="124"/>
      <c r="AB85" s="124"/>
      <c r="AC85" s="124"/>
      <c r="AD85" s="140">
        <v>82</v>
      </c>
      <c r="AE85" s="124">
        <v>79.340999999999994</v>
      </c>
      <c r="AF85" s="124">
        <v>80.646000000000001</v>
      </c>
      <c r="AG85" s="124">
        <v>79.418000000000006</v>
      </c>
      <c r="AH85" s="124">
        <v>77.084999999999994</v>
      </c>
      <c r="AI85" s="140">
        <v>79.123000000000005</v>
      </c>
      <c r="AJ85" s="124">
        <v>77.402000000000001</v>
      </c>
      <c r="AK85" s="124">
        <v>77.715999999999994</v>
      </c>
      <c r="AL85" s="124">
        <v>78.085999999999999</v>
      </c>
      <c r="AM85" s="124">
        <v>78.361999999999995</v>
      </c>
      <c r="AN85" s="140">
        <v>77.891999999999996</v>
      </c>
      <c r="AO85" s="124">
        <v>78.667000000000002</v>
      </c>
      <c r="AP85" s="124">
        <v>78.915000000000006</v>
      </c>
      <c r="AQ85" s="124">
        <v>79.067999999999998</v>
      </c>
      <c r="AR85" s="124">
        <v>79.245000000000005</v>
      </c>
      <c r="AS85" s="140">
        <v>78.974000000000004</v>
      </c>
      <c r="AT85" s="124">
        <v>79.741</v>
      </c>
      <c r="AU85" s="124">
        <v>80.046000000000006</v>
      </c>
      <c r="AV85" s="124">
        <v>80.233000000000004</v>
      </c>
      <c r="AW85" s="124">
        <v>80.423000000000002</v>
      </c>
      <c r="AX85" s="139">
        <f>AVERAGE(AT85:AW85)</f>
        <v>80.110749999999996</v>
      </c>
      <c r="AY85" s="124">
        <v>80.941999999999993</v>
      </c>
      <c r="AZ85" s="124">
        <v>80.984999999999999</v>
      </c>
      <c r="BA85" s="124">
        <v>78.188999999999993</v>
      </c>
      <c r="BB85" s="124">
        <v>77.817999999999998</v>
      </c>
      <c r="BC85" s="139">
        <f>AVERAGE(AY85:BB85)</f>
        <v>79.483499999999992</v>
      </c>
      <c r="BD85" s="124">
        <v>76.472999999999999</v>
      </c>
      <c r="BE85" s="124">
        <v>75.009</v>
      </c>
      <c r="BF85" s="124">
        <v>74.102999999999994</v>
      </c>
      <c r="BG85" s="124">
        <v>73.67</v>
      </c>
      <c r="BH85" s="139">
        <f>AVERAGE(BD85:BG85)</f>
        <v>74.813749999999999</v>
      </c>
      <c r="BI85" s="124">
        <v>73.679000000000002</v>
      </c>
      <c r="BJ85" s="124">
        <v>73.778000000000006</v>
      </c>
      <c r="BK85" s="124">
        <v>75.009</v>
      </c>
      <c r="BL85" s="124">
        <v>76.293000000000006</v>
      </c>
      <c r="BM85" s="139">
        <f>AVERAGE(BI85:BL85)</f>
        <v>74.689750000000004</v>
      </c>
      <c r="BN85" s="124">
        <v>76.832999999999998</v>
      </c>
      <c r="BO85" s="124">
        <v>77.123000000000005</v>
      </c>
      <c r="BP85" s="124">
        <v>77.039000000000001</v>
      </c>
      <c r="BQ85" s="124">
        <v>77.427000000000007</v>
      </c>
      <c r="BR85" s="139">
        <f>AVERAGE(BN85:BQ85)</f>
        <v>77.105500000000006</v>
      </c>
      <c r="BS85" s="124">
        <v>77.918000000000006</v>
      </c>
      <c r="BT85" s="124">
        <v>77.959999999999994</v>
      </c>
      <c r="BU85" s="124">
        <v>77.831000000000003</v>
      </c>
      <c r="BV85" s="124">
        <v>76.753</v>
      </c>
      <c r="BW85" s="139">
        <f>AVERAGE(BS85:BV85)</f>
        <v>77.615499999999997</v>
      </c>
      <c r="BX85" s="124">
        <v>77.471000000000004</v>
      </c>
      <c r="BY85" s="124">
        <v>77.445999999999998</v>
      </c>
      <c r="BZ85" s="124">
        <v>77.507000000000005</v>
      </c>
      <c r="CA85" s="124">
        <v>78.012</v>
      </c>
      <c r="CB85" s="139">
        <f>AVERAGE(BX85:CA85)</f>
        <v>77.609000000000009</v>
      </c>
      <c r="CC85" s="636">
        <v>78.671999999999997</v>
      </c>
      <c r="CD85" s="636">
        <v>79.234999999999999</v>
      </c>
      <c r="CE85" s="636">
        <v>79.043000000000006</v>
      </c>
      <c r="CF85" s="636">
        <v>78.614000000000004</v>
      </c>
      <c r="CG85" s="139">
        <f>AVERAGE(CC85:CF85)</f>
        <v>78.890999999999991</v>
      </c>
      <c r="CH85" s="636">
        <v>76.935000000000002</v>
      </c>
      <c r="CI85" s="636">
        <v>77.447999999999993</v>
      </c>
      <c r="CJ85" s="645">
        <f>CI85-6.1</f>
        <v>71.347999999999999</v>
      </c>
      <c r="CK85" s="645">
        <f>CJ85-5.5</f>
        <v>65.847999999999999</v>
      </c>
      <c r="CL85" s="139">
        <f>AVERAGE(CH85:CK85)</f>
        <v>72.894750000000002</v>
      </c>
      <c r="CM85" s="27">
        <f>CK85-1.4</f>
        <v>64.447999999999993</v>
      </c>
      <c r="CN85" s="27">
        <f t="shared" ref="CN85:CO87" si="123">CM85-1.4</f>
        <v>63.047999999999995</v>
      </c>
      <c r="CO85" s="27">
        <f t="shared" si="123"/>
        <v>61.647999999999996</v>
      </c>
      <c r="CP85" s="27">
        <f>CO85-1.3</f>
        <v>60.347999999999999</v>
      </c>
      <c r="CQ85" s="139">
        <f>AVERAGE(CM85:CP85)</f>
        <v>62.37299999999999</v>
      </c>
      <c r="CR85" s="27">
        <f>CP85-0.2</f>
        <v>60.147999999999996</v>
      </c>
      <c r="CS85" s="27">
        <f t="shared" ref="CS85:CU87" si="124">CR85-0.2</f>
        <v>59.947999999999993</v>
      </c>
      <c r="CT85" s="27">
        <f t="shared" si="124"/>
        <v>59.74799999999999</v>
      </c>
      <c r="CU85" s="27">
        <f t="shared" si="124"/>
        <v>59.547999999999988</v>
      </c>
      <c r="CV85" s="139">
        <f>AVERAGE(CR85:CU85)</f>
        <v>59.847999999999999</v>
      </c>
    </row>
    <row r="86" spans="1:106" s="27" customFormat="1" ht="12" customHeight="1" x14ac:dyDescent="0.25">
      <c r="C86" s="122"/>
      <c r="D86" s="122"/>
      <c r="E86" s="27" t="s">
        <v>93</v>
      </c>
      <c r="F86" s="140"/>
      <c r="G86" s="140"/>
      <c r="H86" s="140"/>
      <c r="I86" s="140"/>
      <c r="J86" s="140"/>
      <c r="K86" s="124"/>
      <c r="L86" s="124"/>
      <c r="M86" s="124"/>
      <c r="N86" s="124"/>
      <c r="O86" s="138"/>
      <c r="P86" s="124"/>
      <c r="Q86" s="124"/>
      <c r="R86" s="124"/>
      <c r="S86" s="124"/>
      <c r="T86" s="140">
        <v>94</v>
      </c>
      <c r="U86" s="124"/>
      <c r="V86" s="124"/>
      <c r="W86" s="124"/>
      <c r="X86" s="124"/>
      <c r="Y86" s="140">
        <v>90</v>
      </c>
      <c r="Z86" s="124"/>
      <c r="AA86" s="124"/>
      <c r="AB86" s="124"/>
      <c r="AC86" s="124"/>
      <c r="AD86" s="140">
        <v>84</v>
      </c>
      <c r="AE86" s="124">
        <v>79.340999999999994</v>
      </c>
      <c r="AF86" s="124">
        <v>82.484999999999999</v>
      </c>
      <c r="AG86" s="124">
        <v>79.671000000000006</v>
      </c>
      <c r="AH86" s="124">
        <v>77.05</v>
      </c>
      <c r="AI86" s="140">
        <v>79.123000000000005</v>
      </c>
      <c r="AJ86" s="124">
        <v>77.756</v>
      </c>
      <c r="AK86" s="124">
        <v>78.162999999999997</v>
      </c>
      <c r="AL86" s="124">
        <v>78.085999999999999</v>
      </c>
      <c r="AM86" s="124">
        <v>78.659000000000006</v>
      </c>
      <c r="AN86" s="140">
        <v>78.224999999999994</v>
      </c>
      <c r="AO86" s="124">
        <v>79.012</v>
      </c>
      <c r="AP86" s="124">
        <v>79.379000000000005</v>
      </c>
      <c r="AQ86" s="124">
        <v>79.87</v>
      </c>
      <c r="AR86" s="124">
        <v>80.64</v>
      </c>
      <c r="AS86" s="140">
        <v>79.724999999999994</v>
      </c>
      <c r="AT86" s="124">
        <v>81.456000000000003</v>
      </c>
      <c r="AU86" s="124">
        <v>81.281999999999996</v>
      </c>
      <c r="AV86" s="124">
        <v>82.097999999999999</v>
      </c>
      <c r="AW86" s="124">
        <v>80.423000000000002</v>
      </c>
      <c r="AX86" s="139">
        <f>IF(AX80&lt;0,AX85,AVERAGE(AT86:AW86))</f>
        <v>81.314750000000004</v>
      </c>
      <c r="AY86" s="124">
        <v>82.013999999999996</v>
      </c>
      <c r="AZ86" s="124">
        <v>81.596999999999994</v>
      </c>
      <c r="BA86" s="124">
        <v>79.02</v>
      </c>
      <c r="BB86" s="124">
        <v>78.947000000000003</v>
      </c>
      <c r="BC86" s="139">
        <f>IF(BC80&lt;0,BC85,AVERAGE(AY86:BB86))</f>
        <v>80.394499999999994</v>
      </c>
      <c r="BD86" s="124">
        <v>78.057000000000002</v>
      </c>
      <c r="BE86" s="124">
        <v>77.025000000000006</v>
      </c>
      <c r="BF86" s="124">
        <v>75.878</v>
      </c>
      <c r="BG86" s="124">
        <v>75.027000000000001</v>
      </c>
      <c r="BH86" s="139">
        <f>IF(BH80&lt;0,BH85,AVERAGE(BD86:BG86))</f>
        <v>76.496749999999992</v>
      </c>
      <c r="BI86" s="124">
        <v>75.491</v>
      </c>
      <c r="BJ86" s="124">
        <v>76.036000000000001</v>
      </c>
      <c r="BK86" s="124">
        <v>77.838999999999999</v>
      </c>
      <c r="BL86" s="124">
        <v>76.293000000000006</v>
      </c>
      <c r="BM86" s="139">
        <f>IF(BM80&lt;0,BM85,AVERAGE(BI86:BL86))</f>
        <v>76.414749999999998</v>
      </c>
      <c r="BN86" s="124">
        <v>76.832999999999998</v>
      </c>
      <c r="BO86" s="124">
        <v>77.123000000000005</v>
      </c>
      <c r="BP86" s="124">
        <v>77.039000000000001</v>
      </c>
      <c r="BQ86" s="124">
        <v>77.427000000000007</v>
      </c>
      <c r="BR86" s="139">
        <f>IF(BR80&lt;0,BR85,AVERAGE(BN86:BQ86))</f>
        <v>77.105500000000006</v>
      </c>
      <c r="BS86" s="124">
        <f>BS87</f>
        <v>79.352000000000004</v>
      </c>
      <c r="BT86" s="124">
        <v>79.31</v>
      </c>
      <c r="BU86" s="124">
        <v>79.346000000000004</v>
      </c>
      <c r="BV86" s="124">
        <f>BV87</f>
        <v>78.385999999999996</v>
      </c>
      <c r="BW86" s="139">
        <f>IF(BW80&lt;0,BW85,AVERAGE(BS86:BV86))</f>
        <v>79.098500000000001</v>
      </c>
      <c r="BX86" s="124">
        <v>79.352999999999994</v>
      </c>
      <c r="BY86" s="124">
        <v>79.277000000000001</v>
      </c>
      <c r="BZ86" s="124">
        <v>79.850999999999999</v>
      </c>
      <c r="CA86" s="124">
        <v>80.912000000000006</v>
      </c>
      <c r="CB86" s="139">
        <f>IF(CB80&lt;0,CB85,AVERAGE(BX86:CA86))</f>
        <v>79.848250000000007</v>
      </c>
      <c r="CC86" s="636">
        <f t="shared" ref="CC86:CF87" si="125">CC85</f>
        <v>78.671999999999997</v>
      </c>
      <c r="CD86" s="636">
        <f t="shared" si="125"/>
        <v>79.234999999999999</v>
      </c>
      <c r="CE86" s="636">
        <f t="shared" si="125"/>
        <v>79.043000000000006</v>
      </c>
      <c r="CF86" s="636">
        <f t="shared" si="125"/>
        <v>78.614000000000004</v>
      </c>
      <c r="CG86" s="139">
        <f>AVERAGE(CC86:CF86)</f>
        <v>78.890999999999991</v>
      </c>
      <c r="CH86" s="636">
        <f>CH85</f>
        <v>76.935000000000002</v>
      </c>
      <c r="CI86" s="636">
        <f>CI85</f>
        <v>77.447999999999993</v>
      </c>
      <c r="CJ86" s="645">
        <f>CI86-6.1</f>
        <v>71.347999999999999</v>
      </c>
      <c r="CK86" s="645">
        <f>CJ86-5.5</f>
        <v>65.847999999999999</v>
      </c>
      <c r="CL86" s="139">
        <f>AVERAGE(CH86:CK86)</f>
        <v>72.894750000000002</v>
      </c>
      <c r="CM86" s="27">
        <f>CK86-1.4</f>
        <v>64.447999999999993</v>
      </c>
      <c r="CN86" s="27">
        <f t="shared" si="123"/>
        <v>63.047999999999995</v>
      </c>
      <c r="CO86" s="27">
        <f t="shared" si="123"/>
        <v>61.647999999999996</v>
      </c>
      <c r="CP86" s="27">
        <f>CO86-1.3</f>
        <v>60.347999999999999</v>
      </c>
      <c r="CQ86" s="139">
        <f>AVERAGE(CM86:CP86)</f>
        <v>62.37299999999999</v>
      </c>
      <c r="CR86" s="27">
        <f>CP86-0.2</f>
        <v>60.147999999999996</v>
      </c>
      <c r="CS86" s="27">
        <f t="shared" si="124"/>
        <v>59.947999999999993</v>
      </c>
      <c r="CT86" s="27">
        <f t="shared" si="124"/>
        <v>59.74799999999999</v>
      </c>
      <c r="CU86" s="27">
        <f t="shared" si="124"/>
        <v>59.547999999999988</v>
      </c>
      <c r="CV86" s="139">
        <f>AVERAGE(CR86:CU86)</f>
        <v>59.847999999999999</v>
      </c>
    </row>
    <row r="87" spans="1:106" s="27" customFormat="1" ht="12" customHeight="1" x14ac:dyDescent="0.25">
      <c r="C87" s="122"/>
      <c r="D87" s="122"/>
      <c r="E87" s="27" t="s">
        <v>532</v>
      </c>
      <c r="F87" s="140"/>
      <c r="G87" s="140"/>
      <c r="H87" s="140"/>
      <c r="I87" s="140"/>
      <c r="J87" s="140"/>
      <c r="K87" s="124"/>
      <c r="L87" s="124"/>
      <c r="M87" s="124"/>
      <c r="N87" s="124"/>
      <c r="O87" s="138"/>
      <c r="P87" s="124"/>
      <c r="Q87" s="124"/>
      <c r="R87" s="124"/>
      <c r="S87" s="124"/>
      <c r="T87" s="140"/>
      <c r="U87" s="124"/>
      <c r="V87" s="124"/>
      <c r="W87" s="124"/>
      <c r="X87" s="124"/>
      <c r="Y87" s="140"/>
      <c r="Z87" s="124"/>
      <c r="AA87" s="124"/>
      <c r="AB87" s="124"/>
      <c r="AC87" s="124"/>
      <c r="AD87" s="140"/>
      <c r="AE87" s="124"/>
      <c r="AF87" s="124"/>
      <c r="AG87" s="124"/>
      <c r="AH87" s="124"/>
      <c r="AI87" s="140"/>
      <c r="AJ87" s="124"/>
      <c r="AK87" s="124"/>
      <c r="AL87" s="124"/>
      <c r="AM87" s="124"/>
      <c r="AN87" s="140"/>
      <c r="AO87" s="124"/>
      <c r="AP87" s="124"/>
      <c r="AQ87" s="124"/>
      <c r="AR87" s="124"/>
      <c r="AS87" s="140"/>
      <c r="AT87" s="124"/>
      <c r="AU87" s="124"/>
      <c r="AV87" s="124"/>
      <c r="AW87" s="124"/>
      <c r="AX87" s="139"/>
      <c r="AY87" s="124"/>
      <c r="AZ87" s="124"/>
      <c r="BA87" s="124"/>
      <c r="BB87" s="124"/>
      <c r="BC87" s="139"/>
      <c r="BD87" s="124">
        <v>78.057000000000002</v>
      </c>
      <c r="BE87" s="124">
        <v>77.025000000000006</v>
      </c>
      <c r="BF87" s="124">
        <v>75.878</v>
      </c>
      <c r="BG87" s="124">
        <v>75.027000000000001</v>
      </c>
      <c r="BH87" s="139">
        <f>IF(BH80&lt;0,BH85,AVERAGE(BD87:BG87))</f>
        <v>76.496749999999992</v>
      </c>
      <c r="BI87" s="124">
        <v>75.491</v>
      </c>
      <c r="BJ87" s="124">
        <v>76.036000000000001</v>
      </c>
      <c r="BK87" s="124">
        <v>77.838999999999999</v>
      </c>
      <c r="BL87" s="124">
        <v>78.45</v>
      </c>
      <c r="BM87" s="513">
        <v>76.953999999999994</v>
      </c>
      <c r="BN87" s="124">
        <v>78.340999999999994</v>
      </c>
      <c r="BO87" s="124">
        <v>78.307000000000002</v>
      </c>
      <c r="BP87" s="124">
        <v>78.302000000000007</v>
      </c>
      <c r="BQ87" s="124">
        <v>79.027000000000001</v>
      </c>
      <c r="BR87" s="513">
        <v>78.494</v>
      </c>
      <c r="BS87" s="124">
        <v>79.352000000000004</v>
      </c>
      <c r="BT87" s="124">
        <v>79.31</v>
      </c>
      <c r="BU87" s="124">
        <v>79.346000000000004</v>
      </c>
      <c r="BV87" s="124">
        <v>78.385999999999996</v>
      </c>
      <c r="BW87" s="139">
        <f>IF(BW80&lt;0,BW85,AVERAGE(BS87:BV87))</f>
        <v>79.098500000000001</v>
      </c>
      <c r="BX87" s="124">
        <v>79.352999999999994</v>
      </c>
      <c r="BY87" s="124">
        <v>79.277000000000001</v>
      </c>
      <c r="BZ87" s="124">
        <v>79.850999999999999</v>
      </c>
      <c r="CA87" s="124">
        <v>80.912000000000006</v>
      </c>
      <c r="CB87" s="139">
        <f>IF(CB80&lt;0,CB85,AVERAGE(BX87:CA87))</f>
        <v>79.848250000000007</v>
      </c>
      <c r="CC87" s="636">
        <f t="shared" si="125"/>
        <v>78.671999999999997</v>
      </c>
      <c r="CD87" s="636">
        <f t="shared" si="125"/>
        <v>79.234999999999999</v>
      </c>
      <c r="CE87" s="636">
        <f t="shared" si="125"/>
        <v>79.043000000000006</v>
      </c>
      <c r="CF87" s="636">
        <f t="shared" si="125"/>
        <v>78.614000000000004</v>
      </c>
      <c r="CG87" s="139">
        <f>AVERAGE(CC87:CF87)</f>
        <v>78.890999999999991</v>
      </c>
      <c r="CH87" s="636">
        <f>CH86</f>
        <v>76.935000000000002</v>
      </c>
      <c r="CI87" s="636">
        <f>CI86</f>
        <v>77.447999999999993</v>
      </c>
      <c r="CJ87" s="645">
        <f>CI87-6.1</f>
        <v>71.347999999999999</v>
      </c>
      <c r="CK87" s="645">
        <f>CJ87-5.5</f>
        <v>65.847999999999999</v>
      </c>
      <c r="CL87" s="139">
        <f>AVERAGE(CH87:CK87)</f>
        <v>72.894750000000002</v>
      </c>
      <c r="CM87" s="27">
        <f>CK87-1.4</f>
        <v>64.447999999999993</v>
      </c>
      <c r="CN87" s="27">
        <f t="shared" si="123"/>
        <v>63.047999999999995</v>
      </c>
      <c r="CO87" s="27">
        <f t="shared" si="123"/>
        <v>61.647999999999996</v>
      </c>
      <c r="CP87" s="27">
        <f>CO87-1.3</f>
        <v>60.347999999999999</v>
      </c>
      <c r="CQ87" s="139">
        <f>AVERAGE(CM87:CP87)</f>
        <v>62.37299999999999</v>
      </c>
      <c r="CR87" s="27">
        <f>CP87-0.2</f>
        <v>60.147999999999996</v>
      </c>
      <c r="CS87" s="27">
        <f t="shared" si="124"/>
        <v>59.947999999999993</v>
      </c>
      <c r="CT87" s="27">
        <f t="shared" si="124"/>
        <v>59.74799999999999</v>
      </c>
      <c r="CU87" s="27">
        <f t="shared" si="124"/>
        <v>59.547999999999988</v>
      </c>
      <c r="CV87" s="139">
        <f>AVERAGE(CR87:CU87)</f>
        <v>59.847999999999999</v>
      </c>
    </row>
    <row r="88" spans="1:106" ht="3.95" customHeight="1" x14ac:dyDescent="0.25">
      <c r="A88" s="47"/>
      <c r="B88" s="47"/>
      <c r="F88" s="33"/>
      <c r="G88" s="33"/>
      <c r="H88" s="33"/>
      <c r="I88" s="33"/>
      <c r="J88" s="33"/>
      <c r="O88" s="33"/>
      <c r="T88" s="33"/>
      <c r="Y88" s="33"/>
      <c r="AD88" s="33"/>
      <c r="AI88" s="33"/>
      <c r="AN88" s="33"/>
      <c r="AS88" s="33"/>
      <c r="AX88" s="33"/>
      <c r="BC88" s="33"/>
      <c r="BH88" s="33"/>
      <c r="BM88" s="33"/>
      <c r="BR88" s="33"/>
      <c r="BW88" s="33"/>
      <c r="CB88" s="33"/>
      <c r="CC88" s="700"/>
      <c r="CD88" s="700"/>
      <c r="CE88" s="700"/>
      <c r="CF88" s="700"/>
      <c r="CG88" s="33"/>
      <c r="CH88" s="700"/>
      <c r="CI88" s="700"/>
      <c r="CJ88" s="700"/>
      <c r="CK88" s="700"/>
      <c r="CL88" s="33"/>
      <c r="CQ88" s="33"/>
      <c r="CR88" s="717"/>
      <c r="CS88" s="717"/>
      <c r="CT88" s="717"/>
      <c r="CU88" s="717"/>
      <c r="CV88" s="33"/>
    </row>
    <row r="89" spans="1:106" ht="12" hidden="1" customHeight="1" x14ac:dyDescent="0.25">
      <c r="A89" s="47"/>
      <c r="B89" s="47"/>
      <c r="E89" s="24" t="s">
        <v>506</v>
      </c>
      <c r="F89" s="38"/>
      <c r="G89" s="38"/>
      <c r="H89" s="38"/>
      <c r="I89" s="38"/>
      <c r="J89" s="38"/>
      <c r="K89" s="38"/>
      <c r="L89" s="38"/>
      <c r="M89" s="38"/>
      <c r="N89" s="38"/>
      <c r="O89" s="38"/>
      <c r="P89" s="38"/>
      <c r="Q89" s="38"/>
      <c r="R89" s="38"/>
      <c r="S89" s="38"/>
      <c r="T89" s="38">
        <f>T80/T85</f>
        <v>0.79393139532530232</v>
      </c>
      <c r="U89" s="38"/>
      <c r="V89" s="38"/>
      <c r="W89" s="38"/>
      <c r="X89" s="38"/>
      <c r="Y89" s="38">
        <f>Y80/Y85</f>
        <v>0.7951021864741098</v>
      </c>
      <c r="Z89" s="38"/>
      <c r="AA89" s="38"/>
      <c r="AB89" s="38"/>
      <c r="AC89" s="38"/>
      <c r="AD89" s="38">
        <f>AD80/AD85</f>
        <v>0.92768864372842175</v>
      </c>
      <c r="AE89" s="38">
        <f t="shared" ref="AE89:BM89" si="126">AE80/AE85</f>
        <v>3.5678250328079246E-2</v>
      </c>
      <c r="AF89" s="38">
        <f t="shared" si="126"/>
        <v>0.31359647564282889</v>
      </c>
      <c r="AG89" s="38">
        <f t="shared" si="126"/>
        <v>0.18113913477518842</v>
      </c>
      <c r="AH89" s="38">
        <f t="shared" si="126"/>
        <v>-0.12059061360988385</v>
      </c>
      <c r="AI89" s="38">
        <f t="shared" si="126"/>
        <v>0.41973926405002004</v>
      </c>
      <c r="AJ89" s="38">
        <f t="shared" si="126"/>
        <v>0.13329798512927984</v>
      </c>
      <c r="AK89" s="38">
        <f t="shared" si="126"/>
        <v>0.18538430240624837</v>
      </c>
      <c r="AL89" s="38">
        <f t="shared" si="126"/>
        <v>0.23555392872890074</v>
      </c>
      <c r="AM89" s="38">
        <f t="shared" si="126"/>
        <v>0.25211199305786008</v>
      </c>
      <c r="AN89" s="38">
        <f t="shared" si="126"/>
        <v>0.80719870037366481</v>
      </c>
      <c r="AO89" s="38">
        <f t="shared" si="126"/>
        <v>5.6004985781831447E-2</v>
      </c>
      <c r="AP89" s="38">
        <f t="shared" si="126"/>
        <v>0.11948435968487246</v>
      </c>
      <c r="AQ89" s="38">
        <f t="shared" si="126"/>
        <v>0.18432939477369326</v>
      </c>
      <c r="AR89" s="38">
        <f t="shared" si="126"/>
        <v>0.17472395734746635</v>
      </c>
      <c r="AS89" s="38">
        <f t="shared" si="126"/>
        <v>0.53505468948004908</v>
      </c>
      <c r="AT89" s="38">
        <f t="shared" si="126"/>
        <v>0.12253171637718389</v>
      </c>
      <c r="AU89" s="38">
        <f t="shared" si="126"/>
        <v>0.16650179250543873</v>
      </c>
      <c r="AV89" s="38">
        <f t="shared" si="126"/>
        <v>0.18959530367803823</v>
      </c>
      <c r="AW89" s="38">
        <f t="shared" si="126"/>
        <v>0.20175820349899859</v>
      </c>
      <c r="AX89" s="38">
        <f t="shared" si="126"/>
        <v>0.68076262022916256</v>
      </c>
      <c r="AY89" s="38">
        <f t="shared" si="126"/>
        <v>0.13559091695287984</v>
      </c>
      <c r="AZ89" s="38">
        <f t="shared" si="126"/>
        <v>0.18221892943137641</v>
      </c>
      <c r="BA89" s="38">
        <f t="shared" si="126"/>
        <v>0.2182532069728482</v>
      </c>
      <c r="BB89" s="38">
        <f t="shared" si="126"/>
        <v>0.22314888586188267</v>
      </c>
      <c r="BC89" s="38">
        <f t="shared" si="126"/>
        <v>0.75691181188548595</v>
      </c>
      <c r="BD89" s="38">
        <f t="shared" si="126"/>
        <v>0.17644135838792768</v>
      </c>
      <c r="BE89" s="38">
        <f t="shared" si="126"/>
        <v>0.22038688690690433</v>
      </c>
      <c r="BF89" s="38">
        <f t="shared" si="126"/>
        <v>0.19533622120561989</v>
      </c>
      <c r="BG89" s="38">
        <f t="shared" si="126"/>
        <v>0.19143477670693607</v>
      </c>
      <c r="BH89" s="38">
        <f t="shared" si="126"/>
        <v>0.78330520793303382</v>
      </c>
      <c r="BI89" s="38">
        <f t="shared" si="126"/>
        <v>0.17888407823124597</v>
      </c>
      <c r="BJ89" s="38">
        <f t="shared" si="126"/>
        <v>0.20366504920165832</v>
      </c>
      <c r="BK89" s="38">
        <f t="shared" si="126"/>
        <v>0.25926222186670989</v>
      </c>
      <c r="BL89" s="38">
        <f t="shared" si="126"/>
        <v>0.2427352443867723</v>
      </c>
      <c r="BM89" s="38">
        <f t="shared" si="126"/>
        <v>0.88595824728292671</v>
      </c>
      <c r="BN89" s="38">
        <f t="shared" ref="BN89:BW89" si="127">BN80/BN85</f>
        <v>-0.14341259615009191</v>
      </c>
      <c r="BO89" s="38">
        <f t="shared" si="127"/>
        <v>-0.13162869701645424</v>
      </c>
      <c r="BP89" s="38">
        <f t="shared" si="127"/>
        <v>-1.2364906086527492E-2</v>
      </c>
      <c r="BQ89" s="38">
        <f t="shared" si="127"/>
        <v>-6.5157890658297468E-2</v>
      </c>
      <c r="BR89" s="38">
        <f t="shared" si="127"/>
        <v>-0.35234814637088147</v>
      </c>
      <c r="BS89" s="38">
        <f t="shared" si="127"/>
        <v>-5.6148771785723244E-2</v>
      </c>
      <c r="BT89" s="38">
        <f t="shared" si="127"/>
        <v>2.4217547460236109E-2</v>
      </c>
      <c r="BU89" s="38">
        <f t="shared" si="127"/>
        <v>4.6498181958345791E-2</v>
      </c>
      <c r="BV89" s="38">
        <f t="shared" si="127"/>
        <v>0.11961747423553483</v>
      </c>
      <c r="BW89" s="38">
        <f t="shared" si="127"/>
        <v>0.13287294419284856</v>
      </c>
      <c r="BX89" s="38">
        <f t="shared" ref="BX89:CG89" si="128">BX80/BX85</f>
        <v>5.5375559886925232E-2</v>
      </c>
      <c r="BY89" s="38">
        <f t="shared" si="128"/>
        <v>9.6066936962528562E-2</v>
      </c>
      <c r="BZ89" s="38">
        <f t="shared" si="128"/>
        <v>4.1080160501632101E-2</v>
      </c>
      <c r="CA89" s="38">
        <f t="shared" si="128"/>
        <v>-3.1161872532430631E-2</v>
      </c>
      <c r="CB89" s="38">
        <f t="shared" si="128"/>
        <v>0.16084474738754515</v>
      </c>
      <c r="CC89" s="38">
        <f t="shared" si="128"/>
        <v>-0.34423937360178974</v>
      </c>
      <c r="CD89" s="38">
        <f t="shared" si="128"/>
        <v>-0.29239603710481488</v>
      </c>
      <c r="CE89" s="38">
        <f t="shared" si="128"/>
        <v>2.2089242564173866E-2</v>
      </c>
      <c r="CF89" s="38">
        <f t="shared" si="128"/>
        <v>-0.24063143969267567</v>
      </c>
      <c r="CG89" s="38">
        <f t="shared" si="128"/>
        <v>-0.85460952453385086</v>
      </c>
      <c r="CH89" s="38">
        <f t="shared" ref="CH89:CQ89" si="129">CH80/CH85</f>
        <v>-0.36155195944628588</v>
      </c>
      <c r="CI89" s="38">
        <f t="shared" si="129"/>
        <v>-0.52539768618944338</v>
      </c>
      <c r="CJ89" s="38">
        <f t="shared" si="129"/>
        <v>-1.048736642933229</v>
      </c>
      <c r="CK89" s="38">
        <f t="shared" si="129"/>
        <v>-0.57926787671986968</v>
      </c>
      <c r="CL89" s="38">
        <f t="shared" si="129"/>
        <v>-2.4895605396307694</v>
      </c>
      <c r="CM89" s="38">
        <f t="shared" si="129"/>
        <v>-0.38102245939999202</v>
      </c>
      <c r="CN89" s="38">
        <f t="shared" si="129"/>
        <v>-0.34048984476307564</v>
      </c>
      <c r="CO89" s="38">
        <f t="shared" si="129"/>
        <v>-0.26609613802323157</v>
      </c>
      <c r="CP89" s="38">
        <f t="shared" si="129"/>
        <v>-0.28021435715508897</v>
      </c>
      <c r="CQ89" s="38">
        <f t="shared" si="129"/>
        <v>-1.2719928484838723</v>
      </c>
      <c r="CR89" s="38">
        <f t="shared" ref="CR89:CV89" si="130">CR80/CR85</f>
        <v>-0.28561923574488207</v>
      </c>
      <c r="CS89" s="38">
        <f t="shared" si="130"/>
        <v>-0.22036930956381118</v>
      </c>
      <c r="CT89" s="38">
        <f t="shared" si="130"/>
        <v>-0.10752608438675765</v>
      </c>
      <c r="CU89" s="38">
        <f t="shared" si="130"/>
        <v>-0.10352500942721021</v>
      </c>
      <c r="CV89" s="38">
        <f t="shared" si="130"/>
        <v>-0.71814097234036267</v>
      </c>
    </row>
    <row r="90" spans="1:106" s="31" customFormat="1" ht="12" hidden="1" customHeight="1" x14ac:dyDescent="0.25">
      <c r="A90" s="47"/>
      <c r="B90" s="47"/>
      <c r="C90" s="2"/>
      <c r="D90" s="2"/>
      <c r="E90" s="31" t="s">
        <v>2</v>
      </c>
      <c r="G90" s="32"/>
      <c r="H90" s="32"/>
      <c r="I90" s="32"/>
      <c r="J90" s="32"/>
      <c r="O90" s="32"/>
      <c r="P90" s="32"/>
      <c r="Q90" s="32"/>
      <c r="R90" s="32"/>
      <c r="S90" s="32"/>
      <c r="T90" s="32"/>
      <c r="U90" s="32"/>
      <c r="V90" s="32"/>
      <c r="W90" s="32"/>
      <c r="X90" s="32"/>
      <c r="Y90" s="32"/>
      <c r="Z90" s="32"/>
      <c r="AA90" s="32"/>
      <c r="AB90" s="32"/>
      <c r="AC90" s="32"/>
      <c r="AD90" s="32"/>
      <c r="AE90" s="32"/>
      <c r="AF90" s="32"/>
      <c r="AG90" s="32"/>
      <c r="AH90" s="32"/>
      <c r="AI90" s="32"/>
      <c r="AJ90" s="32">
        <f t="shared" ref="AJ90:BC90" si="131">(AJ89-AE89)/ABS(AE89)</f>
        <v>2.7361132876062757</v>
      </c>
      <c r="AK90" s="32">
        <f t="shared" si="131"/>
        <v>-0.40884443287751721</v>
      </c>
      <c r="AL90" s="32">
        <f t="shared" si="131"/>
        <v>0.30040330059678411</v>
      </c>
      <c r="AM90" s="32">
        <f t="shared" si="131"/>
        <v>3.0906435875138167</v>
      </c>
      <c r="AN90" s="32">
        <f t="shared" si="131"/>
        <v>0.92309552502925118</v>
      </c>
      <c r="AO90" s="32">
        <f t="shared" si="131"/>
        <v>-0.57985122035029513</v>
      </c>
      <c r="AP90" s="32">
        <f t="shared" si="131"/>
        <v>-0.35547746959159338</v>
      </c>
      <c r="AQ90" s="32">
        <f t="shared" si="131"/>
        <v>-0.21746414603070302</v>
      </c>
      <c r="AR90" s="32">
        <f t="shared" si="131"/>
        <v>-0.3069589620539514</v>
      </c>
      <c r="AS90" s="32">
        <f t="shared" si="131"/>
        <v>-0.33714624511614805</v>
      </c>
      <c r="AT90" s="32">
        <f t="shared" si="131"/>
        <v>1.1878715736936112</v>
      </c>
      <c r="AU90" s="32">
        <f t="shared" si="131"/>
        <v>0.39350282283446841</v>
      </c>
      <c r="AV90" s="32">
        <f t="shared" si="131"/>
        <v>2.8567928141955266E-2</v>
      </c>
      <c r="AW90" s="32">
        <f t="shared" si="131"/>
        <v>0.154725468458629</v>
      </c>
      <c r="AX90" s="32">
        <f t="shared" si="131"/>
        <v>0.27232343462068953</v>
      </c>
      <c r="AY90" s="32">
        <f t="shared" si="131"/>
        <v>0.10657812492805038</v>
      </c>
      <c r="AZ90" s="32">
        <f t="shared" si="131"/>
        <v>9.4396202523911482E-2</v>
      </c>
      <c r="BA90" s="32">
        <f t="shared" si="131"/>
        <v>0.15115302298560865</v>
      </c>
      <c r="BB90" s="32">
        <f t="shared" si="131"/>
        <v>0.10602137604278504</v>
      </c>
      <c r="BC90" s="32">
        <f t="shared" si="131"/>
        <v>0.11185865585670608</v>
      </c>
      <c r="BD90" s="32">
        <f t="shared" ref="BD90:BM90" si="132">(BD89-AY89)/ABS(AY89)</f>
        <v>0.30127712352033192</v>
      </c>
      <c r="BE90" s="32">
        <f t="shared" si="132"/>
        <v>0.20946208823986076</v>
      </c>
      <c r="BF90" s="32">
        <f t="shared" si="132"/>
        <v>-0.10500182831255854</v>
      </c>
      <c r="BG90" s="32">
        <f t="shared" si="132"/>
        <v>-0.14212084919203205</v>
      </c>
      <c r="BH90" s="32">
        <f t="shared" si="132"/>
        <v>3.4869843002979788E-2</v>
      </c>
      <c r="BI90" s="32">
        <f t="shared" si="132"/>
        <v>1.3844372235831867E-2</v>
      </c>
      <c r="BJ90" s="32">
        <f t="shared" si="132"/>
        <v>-7.5874921325558009E-2</v>
      </c>
      <c r="BK90" s="32">
        <f t="shared" si="132"/>
        <v>0.32726137664861732</v>
      </c>
      <c r="BL90" s="32">
        <f t="shared" si="132"/>
        <v>0.26797883102698294</v>
      </c>
      <c r="BM90" s="32">
        <f t="shared" si="132"/>
        <v>0.13105113857313827</v>
      </c>
      <c r="BN90" s="32">
        <f t="shared" ref="BN90:BW90" si="133">(BN89-BI89)/ABS(BI89)</f>
        <v>-1.8017068794948898</v>
      </c>
      <c r="BO90" s="32">
        <f t="shared" si="133"/>
        <v>-1.6462998807719951</v>
      </c>
      <c r="BP90" s="32">
        <f t="shared" si="133"/>
        <v>-1.0476926641972715</v>
      </c>
      <c r="BQ90" s="32">
        <f t="shared" si="133"/>
        <v>-1.2684319321774116</v>
      </c>
      <c r="BR90" s="32">
        <f t="shared" si="133"/>
        <v>-1.3977028798495519</v>
      </c>
      <c r="BS90" s="32">
        <f t="shared" si="133"/>
        <v>0.60848089154623908</v>
      </c>
      <c r="BT90" s="32">
        <f t="shared" si="133"/>
        <v>1.1839837969163274</v>
      </c>
      <c r="BU90" s="32">
        <f t="shared" si="133"/>
        <v>4.7604961681843347</v>
      </c>
      <c r="BV90" s="32">
        <f t="shared" si="133"/>
        <v>2.8358094933249998</v>
      </c>
      <c r="BW90" s="32">
        <f t="shared" si="133"/>
        <v>1.3771069766122357</v>
      </c>
      <c r="BX90" s="32">
        <f t="shared" ref="BX90:CG90" si="134">(BX89-BS89)/ABS(BS89)</f>
        <v>1.9862292286330185</v>
      </c>
      <c r="BY90" s="32">
        <f t="shared" si="134"/>
        <v>2.9668317826264294</v>
      </c>
      <c r="BZ90" s="32">
        <f t="shared" si="134"/>
        <v>-0.11652114617228015</v>
      </c>
      <c r="CA90" s="32">
        <f t="shared" si="134"/>
        <v>-1.2605127113039589</v>
      </c>
      <c r="CB90" s="32">
        <f t="shared" si="134"/>
        <v>0.2105154165478488</v>
      </c>
      <c r="CC90" s="32">
        <f t="shared" si="134"/>
        <v>-7.21644953666768</v>
      </c>
      <c r="CD90" s="32">
        <f t="shared" si="134"/>
        <v>-4.0436698238735929</v>
      </c>
      <c r="CE90" s="32">
        <f t="shared" si="134"/>
        <v>-0.46228928284503007</v>
      </c>
      <c r="CF90" s="32">
        <f t="shared" si="134"/>
        <v>-6.7219826710428547</v>
      </c>
      <c r="CG90" s="32">
        <f t="shared" si="134"/>
        <v>-6.3132572770606163</v>
      </c>
      <c r="CH90" s="32">
        <f t="shared" ref="CH90:CQ90" si="135">(CH89-CC89)/ABS(CC89)</f>
        <v>-5.0292288367114669E-2</v>
      </c>
      <c r="CI90" s="32">
        <f t="shared" si="135"/>
        <v>-0.79687006496980894</v>
      </c>
      <c r="CJ90" s="32">
        <f t="shared" si="135"/>
        <v>-48.477256854164644</v>
      </c>
      <c r="CK90" s="32">
        <f t="shared" si="135"/>
        <v>-1.4072825955730732</v>
      </c>
      <c r="CL90" s="32">
        <f t="shared" si="135"/>
        <v>-1.9130971141337407</v>
      </c>
      <c r="CM90" s="32">
        <f t="shared" si="135"/>
        <v>-5.3852563774028687E-2</v>
      </c>
      <c r="CN90" s="32">
        <f t="shared" si="135"/>
        <v>0.35193881946350114</v>
      </c>
      <c r="CO90" s="32">
        <f t="shared" si="135"/>
        <v>0.74626981919981084</v>
      </c>
      <c r="CP90" s="32">
        <f t="shared" si="135"/>
        <v>0.51626118344104399</v>
      </c>
      <c r="CQ90" s="32">
        <f t="shared" si="135"/>
        <v>0.48906932439067197</v>
      </c>
      <c r="CR90" s="32">
        <f t="shared" ref="CR90" si="136">(CR89-CM89)/ABS(CM89)</f>
        <v>0.25038740184855346</v>
      </c>
      <c r="CS90" s="32">
        <f t="shared" ref="CS90" si="137">(CS89-CN89)/ABS(CN89)</f>
        <v>0.35278742390348938</v>
      </c>
      <c r="CT90" s="32">
        <f t="shared" ref="CT90" si="138">(CT89-CO89)/ABS(CO89)</f>
        <v>0.59591264576199876</v>
      </c>
      <c r="CU90" s="32">
        <f t="shared" ref="CU90" si="139">(CU89-CP89)/ABS(CP89)</f>
        <v>0.6305506595798277</v>
      </c>
      <c r="CV90" s="32">
        <f t="shared" ref="CV90" si="140">(CV89-CQ89)/ABS(CQ89)</f>
        <v>0.43542058967050234</v>
      </c>
      <c r="CW90" s="6"/>
      <c r="CX90" s="717"/>
      <c r="CY90" s="6"/>
      <c r="CZ90" s="6"/>
      <c r="DA90" s="6"/>
      <c r="DB90" s="6"/>
    </row>
    <row r="91" spans="1:106" ht="12" hidden="1" customHeight="1" x14ac:dyDescent="0.25">
      <c r="A91" s="47"/>
      <c r="B91" s="47"/>
      <c r="E91" s="24" t="s">
        <v>111</v>
      </c>
      <c r="F91" s="38"/>
      <c r="G91" s="38"/>
      <c r="H91" s="38"/>
      <c r="I91" s="38"/>
      <c r="J91" s="38"/>
      <c r="K91" s="38"/>
      <c r="L91" s="38"/>
      <c r="M91" s="38"/>
      <c r="N91" s="38"/>
      <c r="O91" s="38"/>
      <c r="P91" s="38"/>
      <c r="Q91" s="38"/>
      <c r="R91" s="38"/>
      <c r="S91" s="38"/>
      <c r="T91" s="38">
        <f>T83/T85</f>
        <v>0.80135632183907934</v>
      </c>
      <c r="U91" s="38"/>
      <c r="V91" s="38"/>
      <c r="W91" s="38"/>
      <c r="X91" s="38"/>
      <c r="Y91" s="38">
        <f>Y83/Y85</f>
        <v>0.72872727272727256</v>
      </c>
      <c r="Z91" s="38"/>
      <c r="AA91" s="38"/>
      <c r="AB91" s="38"/>
      <c r="AC91" s="38"/>
      <c r="AD91" s="38">
        <f>AD83/AD85</f>
        <v>0.86268292682926784</v>
      </c>
      <c r="AE91" s="38">
        <f t="shared" ref="AE91:BM91" si="141">AE83/AE85</f>
        <v>-0.17254635056276116</v>
      </c>
      <c r="AF91" s="38">
        <f t="shared" si="141"/>
        <v>0.11401681422513198</v>
      </c>
      <c r="AG91" s="38">
        <f t="shared" si="141"/>
        <v>0.69253821551789274</v>
      </c>
      <c r="AH91" s="38">
        <f t="shared" si="141"/>
        <v>-0.75611338133229644</v>
      </c>
      <c r="AI91" s="38">
        <f t="shared" si="141"/>
        <v>-9.8327919821039306E-2</v>
      </c>
      <c r="AJ91" s="38">
        <f t="shared" si="141"/>
        <v>0.1375933438412445</v>
      </c>
      <c r="AK91" s="38">
        <f t="shared" si="141"/>
        <v>0.20398630912553403</v>
      </c>
      <c r="AL91" s="38">
        <f t="shared" si="141"/>
        <v>-0.14662039290013579</v>
      </c>
      <c r="AM91" s="38">
        <f t="shared" si="141"/>
        <v>0.28649090120211368</v>
      </c>
      <c r="AN91" s="38">
        <f t="shared" si="141"/>
        <v>0.49033276844862134</v>
      </c>
      <c r="AO91" s="38">
        <f t="shared" si="141"/>
        <v>5.3313333418078611E-2</v>
      </c>
      <c r="AP91" s="38">
        <f t="shared" si="141"/>
        <v>0.11968573781917284</v>
      </c>
      <c r="AQ91" s="38">
        <f t="shared" si="141"/>
        <v>0.18037638488389773</v>
      </c>
      <c r="AR91" s="38">
        <f t="shared" si="141"/>
        <v>0.21008265505710105</v>
      </c>
      <c r="AS91" s="38">
        <f t="shared" si="141"/>
        <v>0.56409704459695609</v>
      </c>
      <c r="AT91" s="38">
        <f t="shared" si="141"/>
        <v>0.12296058489359318</v>
      </c>
      <c r="AU91" s="38">
        <f t="shared" si="141"/>
        <v>0.1659170976688405</v>
      </c>
      <c r="AV91" s="38">
        <f t="shared" si="141"/>
        <v>0.25953161417371956</v>
      </c>
      <c r="AW91" s="38">
        <f t="shared" si="141"/>
        <v>-0.83380376260522526</v>
      </c>
      <c r="AX91" s="38">
        <f t="shared" si="141"/>
        <v>-0.28894998486470258</v>
      </c>
      <c r="AY91" s="38">
        <f t="shared" si="141"/>
        <v>0.13559091695287981</v>
      </c>
      <c r="AZ91" s="38">
        <f t="shared" si="141"/>
        <v>0.1517811940482808</v>
      </c>
      <c r="BA91" s="38">
        <f t="shared" si="141"/>
        <v>0.1014209159856248</v>
      </c>
      <c r="BB91" s="38">
        <f t="shared" si="141"/>
        <v>0.5919710092780589</v>
      </c>
      <c r="BC91" s="38">
        <f t="shared" si="141"/>
        <v>0.97206338422439897</v>
      </c>
      <c r="BD91" s="38">
        <f t="shared" si="141"/>
        <v>0.17434911668170461</v>
      </c>
      <c r="BE91" s="38">
        <f t="shared" si="141"/>
        <v>0.22012025223639814</v>
      </c>
      <c r="BF91" s="38">
        <f t="shared" si="141"/>
        <v>0.19601095772101063</v>
      </c>
      <c r="BG91" s="38">
        <f t="shared" si="141"/>
        <v>0.17969322655083456</v>
      </c>
      <c r="BH91" s="38">
        <f t="shared" si="141"/>
        <v>0.77000551369233627</v>
      </c>
      <c r="BI91" s="38">
        <f t="shared" si="141"/>
        <v>0.17888407823124597</v>
      </c>
      <c r="BJ91" s="38">
        <f t="shared" si="141"/>
        <v>0.13335953807367978</v>
      </c>
      <c r="BK91" s="38">
        <f t="shared" si="141"/>
        <v>0.20086922902585078</v>
      </c>
      <c r="BL91" s="38">
        <f t="shared" si="141"/>
        <v>-0.38303645157484928</v>
      </c>
      <c r="BM91" s="38">
        <f t="shared" si="141"/>
        <v>0.11786088452565442</v>
      </c>
      <c r="BN91" s="38">
        <f t="shared" ref="BN91:BW91" si="142">BN83/BN85</f>
        <v>-9.8967891400830552E-2</v>
      </c>
      <c r="BO91" s="38">
        <f t="shared" si="142"/>
        <v>-2.0019968102900545E-2</v>
      </c>
      <c r="BP91" s="38">
        <f t="shared" si="142"/>
        <v>5.3946702319604481E-2</v>
      </c>
      <c r="BQ91" s="38">
        <f t="shared" si="142"/>
        <v>-7.7996047890270814E-2</v>
      </c>
      <c r="BR91" s="38">
        <f t="shared" si="142"/>
        <v>-0.1430637243776384</v>
      </c>
      <c r="BS91" s="38">
        <f t="shared" si="142"/>
        <v>-1.3334531173797886E-2</v>
      </c>
      <c r="BT91" s="38">
        <f t="shared" si="142"/>
        <v>0.1375448948178554</v>
      </c>
      <c r="BU91" s="38">
        <f t="shared" si="142"/>
        <v>-1.811617478896569E-2</v>
      </c>
      <c r="BV91" s="38">
        <f t="shared" si="142"/>
        <v>-2.0468255312495864E-2</v>
      </c>
      <c r="BW91" s="38">
        <f t="shared" si="142"/>
        <v>8.6361615914347545E-2</v>
      </c>
      <c r="BX91" s="38">
        <f t="shared" ref="BX91:CG91" si="143">BX83/BX85</f>
        <v>5.1322430328767987E-2</v>
      </c>
      <c r="BY91" s="38">
        <f t="shared" si="143"/>
        <v>9.2193270149523388E-2</v>
      </c>
      <c r="BZ91" s="38">
        <f t="shared" si="143"/>
        <v>1.3843910872566331E-2</v>
      </c>
      <c r="CA91" s="38">
        <f t="shared" si="143"/>
        <v>-0.10358662769830254</v>
      </c>
      <c r="CB91" s="38">
        <f t="shared" si="143"/>
        <v>5.2932005308662516E-2</v>
      </c>
      <c r="CC91" s="38">
        <f t="shared" si="143"/>
        <v>-1.6524303437055125E-2</v>
      </c>
      <c r="CD91" s="38">
        <f t="shared" si="143"/>
        <v>-4.2102606171515185E-2</v>
      </c>
      <c r="CE91" s="38">
        <f t="shared" si="143"/>
        <v>0.29023442936123367</v>
      </c>
      <c r="CF91" s="38">
        <f t="shared" si="143"/>
        <v>6.5827969572849532E-2</v>
      </c>
      <c r="CG91" s="38">
        <f t="shared" si="143"/>
        <v>0.29762583818179483</v>
      </c>
      <c r="CH91" s="38">
        <f t="shared" ref="CH91:CQ91" si="144">CH83/CH85</f>
        <v>-3.9188925716513993E-2</v>
      </c>
      <c r="CI91" s="38">
        <f t="shared" si="144"/>
        <v>0.26628189236649097</v>
      </c>
      <c r="CJ91" s="38">
        <f t="shared" si="144"/>
        <v>15.724711806918206</v>
      </c>
      <c r="CK91" s="38">
        <f t="shared" si="144"/>
        <v>-0.60204761186748235</v>
      </c>
      <c r="CL91" s="38">
        <f t="shared" si="144"/>
        <v>15.088756142983547</v>
      </c>
      <c r="CM91" s="38">
        <f t="shared" si="144"/>
        <v>-0.38102245939999202</v>
      </c>
      <c r="CN91" s="38">
        <f t="shared" si="144"/>
        <v>-0.34048984476307564</v>
      </c>
      <c r="CO91" s="38">
        <f t="shared" si="144"/>
        <v>-0.26609613802323157</v>
      </c>
      <c r="CP91" s="38">
        <f t="shared" si="144"/>
        <v>-0.28021435715508897</v>
      </c>
      <c r="CQ91" s="38">
        <f t="shared" si="144"/>
        <v>-1.271992848483873</v>
      </c>
      <c r="CR91" s="38">
        <f t="shared" ref="CR91:CV91" si="145">CR83/CR85</f>
        <v>-0.28561923574488207</v>
      </c>
      <c r="CS91" s="38">
        <f t="shared" si="145"/>
        <v>-0.22036930956381118</v>
      </c>
      <c r="CT91" s="38">
        <f t="shared" si="145"/>
        <v>-0.10752608438675765</v>
      </c>
      <c r="CU91" s="38">
        <f t="shared" si="145"/>
        <v>-0.10352500942721021</v>
      </c>
      <c r="CV91" s="38">
        <f t="shared" si="145"/>
        <v>-0.71814097234036256</v>
      </c>
    </row>
    <row r="92" spans="1:106" s="135" customFormat="1" ht="3.95" hidden="1" customHeight="1" x14ac:dyDescent="0.25">
      <c r="A92" s="47"/>
      <c r="B92" s="47"/>
      <c r="C92" s="2"/>
      <c r="D92" s="2"/>
      <c r="F92" s="144"/>
      <c r="G92" s="144"/>
      <c r="H92" s="144"/>
      <c r="I92" s="144"/>
      <c r="J92" s="144"/>
      <c r="O92" s="144"/>
      <c r="AI92" s="144"/>
      <c r="AN92" s="144"/>
      <c r="AS92" s="144"/>
      <c r="AX92" s="144"/>
      <c r="BC92" s="144"/>
      <c r="BH92" s="144"/>
      <c r="BM92" s="144"/>
      <c r="BR92" s="144"/>
      <c r="BW92" s="144"/>
      <c r="CB92" s="144"/>
      <c r="CG92" s="144"/>
      <c r="CL92" s="144"/>
      <c r="CQ92" s="144"/>
      <c r="CV92" s="144"/>
      <c r="CW92" s="6"/>
      <c r="CX92" s="717"/>
      <c r="CY92" s="6"/>
      <c r="CZ92" s="6"/>
      <c r="DA92" s="6"/>
      <c r="DB92" s="6"/>
    </row>
    <row r="93" spans="1:106" ht="12" customHeight="1" x14ac:dyDescent="0.25">
      <c r="A93" s="47"/>
      <c r="B93" s="47"/>
      <c r="E93" s="24" t="s">
        <v>627</v>
      </c>
      <c r="F93" s="38"/>
      <c r="G93" s="38"/>
      <c r="H93" s="38"/>
      <c r="I93" s="38"/>
      <c r="J93" s="38"/>
      <c r="K93" s="38"/>
      <c r="L93" s="38"/>
      <c r="M93" s="38"/>
      <c r="N93" s="38"/>
      <c r="O93" s="38"/>
      <c r="P93" s="38"/>
      <c r="Q93" s="38"/>
      <c r="R93" s="38"/>
      <c r="S93" s="38"/>
      <c r="T93" s="38">
        <f>T80/T86</f>
        <v>0.73480884460958829</v>
      </c>
      <c r="U93" s="38"/>
      <c r="V93" s="38"/>
      <c r="W93" s="38"/>
      <c r="X93" s="38"/>
      <c r="Y93" s="38">
        <f>Y80/Y86</f>
        <v>0.77743324899690736</v>
      </c>
      <c r="Z93" s="38"/>
      <c r="AA93" s="38"/>
      <c r="AB93" s="38"/>
      <c r="AC93" s="413">
        <v>0.20300000000000001</v>
      </c>
      <c r="AD93" s="38">
        <f>AD80/AD86</f>
        <v>0.90560081887774502</v>
      </c>
      <c r="AE93" s="38">
        <f t="shared" ref="AE93:BM93" si="146">AE80/AE86</f>
        <v>3.5678250328079246E-2</v>
      </c>
      <c r="AF93" s="38">
        <f t="shared" si="146"/>
        <v>0.30660485390909353</v>
      </c>
      <c r="AG93" s="38">
        <f t="shared" si="146"/>
        <v>0.18056391667703323</v>
      </c>
      <c r="AH93" s="38">
        <f t="shared" si="146"/>
        <v>-0.12064539195480722</v>
      </c>
      <c r="AI93" s="38">
        <f t="shared" si="146"/>
        <v>0.41973926405002004</v>
      </c>
      <c r="AJ93" s="38">
        <f t="shared" si="146"/>
        <v>0.13269111894871802</v>
      </c>
      <c r="AK93" s="38">
        <f t="shared" si="146"/>
        <v>0.18432412325274106</v>
      </c>
      <c r="AL93" s="38">
        <f t="shared" si="146"/>
        <v>0.23555392872890074</v>
      </c>
      <c r="AM93" s="38">
        <f t="shared" si="146"/>
        <v>0.25116007068485524</v>
      </c>
      <c r="AN93" s="38">
        <f t="shared" si="146"/>
        <v>0.80376249497610097</v>
      </c>
      <c r="AO93" s="38">
        <f t="shared" si="146"/>
        <v>5.5760444192013037E-2</v>
      </c>
      <c r="AP93" s="38">
        <f t="shared" si="146"/>
        <v>0.11878592882918292</v>
      </c>
      <c r="AQ93" s="38">
        <f t="shared" si="146"/>
        <v>0.18247848486248122</v>
      </c>
      <c r="AR93" s="38">
        <f t="shared" si="146"/>
        <v>0.17170138888888853</v>
      </c>
      <c r="AS93" s="38">
        <f t="shared" si="146"/>
        <v>0.5300145380620559</v>
      </c>
      <c r="AT93" s="38">
        <f t="shared" si="146"/>
        <v>0.11995189544825452</v>
      </c>
      <c r="AU93" s="38">
        <f t="shared" si="146"/>
        <v>0.16396991317746057</v>
      </c>
      <c r="AV93" s="38">
        <f t="shared" si="146"/>
        <v>0.18528831396623599</v>
      </c>
      <c r="AW93" s="38">
        <f>AW80/82.224</f>
        <v>0.19733897645456269</v>
      </c>
      <c r="AX93" s="38">
        <f t="shared" si="146"/>
        <v>0.67068279836712752</v>
      </c>
      <c r="AY93" s="38">
        <f>AY80/AY86</f>
        <v>0.13381861633379666</v>
      </c>
      <c r="AZ93" s="38">
        <f t="shared" si="146"/>
        <v>0.18085223721460369</v>
      </c>
      <c r="BA93" s="38">
        <f>BA80/BA86</f>
        <v>0.21595798532017246</v>
      </c>
      <c r="BB93" s="38">
        <f>BB80/BB86</f>
        <v>0.21995769313590111</v>
      </c>
      <c r="BC93" s="38">
        <f t="shared" si="146"/>
        <v>0.74833477414499783</v>
      </c>
      <c r="BD93" s="38">
        <f t="shared" si="146"/>
        <v>0.17286085809088222</v>
      </c>
      <c r="BE93" s="38">
        <f t="shared" si="146"/>
        <v>0.21461863031483266</v>
      </c>
      <c r="BF93" s="38">
        <f t="shared" si="146"/>
        <v>0.19076675716281463</v>
      </c>
      <c r="BG93" s="38">
        <f t="shared" si="146"/>
        <v>0.18797232996121369</v>
      </c>
      <c r="BH93" s="38">
        <f t="shared" si="146"/>
        <v>0.76607176121861409</v>
      </c>
      <c r="BI93" s="38">
        <f t="shared" si="146"/>
        <v>0.17459034851836608</v>
      </c>
      <c r="BJ93" s="38">
        <f t="shared" si="146"/>
        <v>0.19761691830185632</v>
      </c>
      <c r="BK93" s="38">
        <f t="shared" si="146"/>
        <v>0.24983620036228679</v>
      </c>
      <c r="BL93" s="38">
        <f t="shared" si="146"/>
        <v>0.2427352443867723</v>
      </c>
      <c r="BM93" s="38">
        <f t="shared" si="146"/>
        <v>0.86595847005977233</v>
      </c>
      <c r="BN93" s="38">
        <f t="shared" ref="BN93:BR93" si="147">BN80/BN86</f>
        <v>-0.14341259615009191</v>
      </c>
      <c r="BO93" s="38">
        <f t="shared" si="147"/>
        <v>-0.13162869701645424</v>
      </c>
      <c r="BP93" s="38">
        <f t="shared" si="147"/>
        <v>-1.2364906086527492E-2</v>
      </c>
      <c r="BQ93" s="38">
        <f t="shared" si="147"/>
        <v>-6.5157890658297468E-2</v>
      </c>
      <c r="BR93" s="38">
        <f t="shared" si="147"/>
        <v>-0.35234814637088147</v>
      </c>
      <c r="BS93" s="38">
        <f t="shared" ref="BS93:CV93" si="148">IF(BS80&lt;0,(BS80/BS85),(BS80/BS86))</f>
        <v>-5.6148771785723244E-2</v>
      </c>
      <c r="BT93" s="38">
        <f t="shared" si="148"/>
        <v>2.3805320892699617E-2</v>
      </c>
      <c r="BU93" s="38">
        <f t="shared" si="148"/>
        <v>4.5610364731681639E-2</v>
      </c>
      <c r="BV93" s="38">
        <f t="shared" si="148"/>
        <v>0.11712550710586081</v>
      </c>
      <c r="BW93" s="38">
        <f t="shared" si="148"/>
        <v>0.13038173922387958</v>
      </c>
      <c r="BX93" s="38">
        <f t="shared" si="148"/>
        <v>5.4062228271142682E-2</v>
      </c>
      <c r="BY93" s="38">
        <f t="shared" si="148"/>
        <v>9.3848152679843921E-2</v>
      </c>
      <c r="BZ93" s="38">
        <f t="shared" si="148"/>
        <v>3.9874265820089912E-2</v>
      </c>
      <c r="CA93" s="38">
        <f t="shared" si="148"/>
        <v>-3.1161872532430631E-2</v>
      </c>
      <c r="CB93" s="38">
        <f t="shared" si="148"/>
        <v>0.15633404614377888</v>
      </c>
      <c r="CC93" s="38">
        <f t="shared" si="148"/>
        <v>-0.34423937360178974</v>
      </c>
      <c r="CD93" s="38">
        <f>IF(CD80&lt;0,(CD80/CD85),(CD80/CD86))</f>
        <v>-0.29239603710481488</v>
      </c>
      <c r="CE93" s="38">
        <f t="shared" si="148"/>
        <v>2.2089242564173866E-2</v>
      </c>
      <c r="CF93" s="38">
        <f t="shared" si="148"/>
        <v>-0.24063143969267567</v>
      </c>
      <c r="CG93" s="38">
        <f t="shared" si="148"/>
        <v>-0.85460952453385086</v>
      </c>
      <c r="CH93" s="38">
        <f t="shared" si="148"/>
        <v>-0.36155195944628588</v>
      </c>
      <c r="CI93" s="38">
        <f t="shared" si="148"/>
        <v>-0.52539768618944338</v>
      </c>
      <c r="CJ93" s="38">
        <f t="shared" si="148"/>
        <v>-1.048736642933229</v>
      </c>
      <c r="CK93" s="38">
        <f t="shared" si="148"/>
        <v>-0.57926787671986968</v>
      </c>
      <c r="CL93" s="38">
        <f t="shared" si="148"/>
        <v>-2.4895605396307694</v>
      </c>
      <c r="CM93" s="38">
        <f t="shared" si="148"/>
        <v>-0.38102245939999202</v>
      </c>
      <c r="CN93" s="38">
        <f t="shared" si="148"/>
        <v>-0.34048984476307564</v>
      </c>
      <c r="CO93" s="38">
        <f t="shared" si="148"/>
        <v>-0.26609613802323157</v>
      </c>
      <c r="CP93" s="38">
        <f t="shared" si="148"/>
        <v>-0.28021435715508897</v>
      </c>
      <c r="CQ93" s="38">
        <f t="shared" si="148"/>
        <v>-1.2719928484838723</v>
      </c>
      <c r="CR93" s="38">
        <f t="shared" si="148"/>
        <v>-0.28561923574488207</v>
      </c>
      <c r="CS93" s="38">
        <f t="shared" si="148"/>
        <v>-0.22036930956381118</v>
      </c>
      <c r="CT93" s="38">
        <f t="shared" si="148"/>
        <v>-0.10752608438675765</v>
      </c>
      <c r="CU93" s="38">
        <f t="shared" si="148"/>
        <v>-0.10352500942721021</v>
      </c>
      <c r="CV93" s="38">
        <f t="shared" si="148"/>
        <v>-0.71814097234036267</v>
      </c>
    </row>
    <row r="94" spans="1:106" s="31" customFormat="1" ht="12" customHeight="1" x14ac:dyDescent="0.25">
      <c r="A94" s="47"/>
      <c r="B94" s="47"/>
      <c r="C94" s="2"/>
      <c r="D94" s="2"/>
      <c r="E94" s="31" t="s">
        <v>2</v>
      </c>
      <c r="G94" s="32"/>
      <c r="H94" s="32"/>
      <c r="I94" s="32"/>
      <c r="J94" s="32"/>
      <c r="O94" s="32"/>
      <c r="P94" s="32"/>
      <c r="Q94" s="32"/>
      <c r="R94" s="32"/>
      <c r="S94" s="32"/>
      <c r="T94" s="32"/>
      <c r="U94" s="32"/>
      <c r="V94" s="32"/>
      <c r="W94" s="32"/>
      <c r="X94" s="32"/>
      <c r="Y94" s="32"/>
      <c r="Z94" s="32"/>
      <c r="AA94" s="32"/>
      <c r="AB94" s="32"/>
      <c r="AC94" s="32"/>
      <c r="AD94" s="32"/>
      <c r="AE94" s="32"/>
      <c r="AF94" s="32"/>
      <c r="AG94" s="32"/>
      <c r="AH94" s="32"/>
      <c r="AI94" s="32"/>
      <c r="AJ94" s="32">
        <f t="shared" ref="AJ94:BC94" si="149">(AJ93-AE93)/ABS(AE93)</f>
        <v>2.7191038722066585</v>
      </c>
      <c r="AK94" s="32">
        <f t="shared" si="149"/>
        <v>-0.39882190088421748</v>
      </c>
      <c r="AL94" s="32">
        <f t="shared" si="149"/>
        <v>0.30454596391052896</v>
      </c>
      <c r="AM94" s="32">
        <f t="shared" si="149"/>
        <v>3.0818040922685035</v>
      </c>
      <c r="AN94" s="32">
        <f t="shared" si="149"/>
        <v>0.91490900141359455</v>
      </c>
      <c r="AO94" s="32">
        <f t="shared" si="149"/>
        <v>-0.57977259794181757</v>
      </c>
      <c r="AP94" s="32">
        <f t="shared" si="149"/>
        <v>-0.35555950717147128</v>
      </c>
      <c r="AQ94" s="32">
        <f t="shared" si="149"/>
        <v>-0.22532183671410594</v>
      </c>
      <c r="AR94" s="32">
        <f t="shared" si="149"/>
        <v>-0.31636669626386599</v>
      </c>
      <c r="AS94" s="32">
        <f t="shared" si="149"/>
        <v>-0.34058314318607846</v>
      </c>
      <c r="AT94" s="32">
        <f t="shared" si="149"/>
        <v>1.1512005003976651</v>
      </c>
      <c r="AU94" s="32">
        <f t="shared" si="149"/>
        <v>0.38038162258471986</v>
      </c>
      <c r="AV94" s="32">
        <f t="shared" si="149"/>
        <v>1.5398139160747098E-2</v>
      </c>
      <c r="AW94" s="32">
        <f t="shared" si="149"/>
        <v>0.14931496903769817</v>
      </c>
      <c r="AX94" s="32">
        <f t="shared" si="149"/>
        <v>0.2654045317689035</v>
      </c>
      <c r="AY94" s="32">
        <f t="shared" si="149"/>
        <v>0.11560234903936169</v>
      </c>
      <c r="AZ94" s="32">
        <f t="shared" si="149"/>
        <v>0.10295988886004841</v>
      </c>
      <c r="BA94" s="32">
        <f t="shared" si="149"/>
        <v>0.16552404572867574</v>
      </c>
      <c r="BB94" s="32">
        <f t="shared" si="149"/>
        <v>0.11461859733799913</v>
      </c>
      <c r="BC94" s="32">
        <f t="shared" si="149"/>
        <v>0.11578047918766526</v>
      </c>
      <c r="BD94" s="32">
        <f t="shared" ref="BD94:BM94" si="150">(BD93-AY93)/ABS(AY93)</f>
        <v>0.29175493534994223</v>
      </c>
      <c r="BE94" s="32">
        <f t="shared" si="150"/>
        <v>0.18670707988069254</v>
      </c>
      <c r="BF94" s="32">
        <f t="shared" si="150"/>
        <v>-0.11664874591235937</v>
      </c>
      <c r="BG94" s="32">
        <f t="shared" si="150"/>
        <v>-0.14541597849421536</v>
      </c>
      <c r="BH94" s="32">
        <f t="shared" si="150"/>
        <v>2.3701941545989858E-2</v>
      </c>
      <c r="BI94" s="32">
        <f t="shared" si="150"/>
        <v>1.000510148210978E-2</v>
      </c>
      <c r="BJ94" s="32">
        <f t="shared" si="150"/>
        <v>-7.9218248611669234E-2</v>
      </c>
      <c r="BK94" s="32">
        <f t="shared" si="150"/>
        <v>0.30964222529115948</v>
      </c>
      <c r="BL94" s="32">
        <f t="shared" si="150"/>
        <v>0.29133497699825511</v>
      </c>
      <c r="BM94" s="32">
        <f t="shared" si="150"/>
        <v>0.13038818802335875</v>
      </c>
      <c r="BN94" s="32">
        <f t="shared" ref="BN94:BR94" si="151">(BN93-BI93)/ABS(BI93)</f>
        <v>-1.8214233911962527</v>
      </c>
      <c r="BO94" s="32">
        <f t="shared" si="151"/>
        <v>-1.6660801015801376</v>
      </c>
      <c r="BP94" s="32">
        <f t="shared" si="151"/>
        <v>-1.0494920514665096</v>
      </c>
      <c r="BQ94" s="32">
        <f>(BQ93-BL93)/ABS(BL93)</f>
        <v>-1.2684319321774116</v>
      </c>
      <c r="BR94" s="32">
        <f t="shared" si="151"/>
        <v>-1.4068880420403542</v>
      </c>
      <c r="BS94" s="32">
        <f t="shared" ref="BS94" si="152">(BS93-BN93)/ABS(BN93)</f>
        <v>0.60848089154623908</v>
      </c>
      <c r="BT94" s="32">
        <f t="shared" ref="BT94" si="153">(BT93-BO93)/ABS(BO93)</f>
        <v>1.1808520591047396</v>
      </c>
      <c r="BU94" s="32">
        <f t="shared" ref="BU94" si="154">(BU93-BP93)/ABS(BP93)</f>
        <v>4.6886947957799379</v>
      </c>
      <c r="BV94" s="32">
        <f t="shared" ref="BV94" si="155">(BV93-BQ93)/ABS(BQ93)</f>
        <v>2.7975644380523783</v>
      </c>
      <c r="BW94" s="32">
        <f t="shared" ref="BW94" si="156">(BW93-BR93)/ABS(BR93)</f>
        <v>1.3700366826582928</v>
      </c>
      <c r="BX94" s="32">
        <f t="shared" ref="BX94:CF94" si="157">(BX93-BS93)/ABS(BS93)</f>
        <v>1.962839017698494</v>
      </c>
      <c r="BY94" s="32">
        <f t="shared" si="157"/>
        <v>2.9423183204652519</v>
      </c>
      <c r="BZ94" s="32">
        <f t="shared" si="157"/>
        <v>-0.12576305726420442</v>
      </c>
      <c r="CA94" s="32">
        <f t="shared" si="157"/>
        <v>-1.2660553905159684</v>
      </c>
      <c r="CB94" s="32">
        <f>(CB93-BW93)/ABS(BW93)</f>
        <v>0.1990486326872537</v>
      </c>
      <c r="CC94" s="32">
        <f t="shared" si="157"/>
        <v>-7.3674655042943851</v>
      </c>
      <c r="CD94" s="32">
        <f t="shared" si="157"/>
        <v>-4.1156291174137705</v>
      </c>
      <c r="CE94" s="32">
        <f t="shared" si="157"/>
        <v>-0.44602760427391719</v>
      </c>
      <c r="CF94" s="32">
        <f t="shared" si="157"/>
        <v>-6.7219826710428547</v>
      </c>
      <c r="CG94" s="471" t="s">
        <v>490</v>
      </c>
      <c r="CH94" s="32">
        <f t="shared" ref="CH94:CQ94" si="158">(CH93-CC93)/ABS(CC93)</f>
        <v>-5.0292288367114669E-2</v>
      </c>
      <c r="CI94" s="32">
        <f t="shared" si="158"/>
        <v>-0.79687006496980894</v>
      </c>
      <c r="CJ94" s="32">
        <f t="shared" si="158"/>
        <v>-48.477256854164644</v>
      </c>
      <c r="CK94" s="32">
        <f t="shared" si="158"/>
        <v>-1.4072825955730732</v>
      </c>
      <c r="CL94" s="32">
        <f t="shared" si="158"/>
        <v>-1.9130971141337407</v>
      </c>
      <c r="CM94" s="32">
        <f t="shared" si="158"/>
        <v>-5.3852563774028687E-2</v>
      </c>
      <c r="CN94" s="32">
        <f t="shared" si="158"/>
        <v>0.35193881946350114</v>
      </c>
      <c r="CO94" s="32">
        <f t="shared" si="158"/>
        <v>0.74626981919981084</v>
      </c>
      <c r="CP94" s="32">
        <f t="shared" si="158"/>
        <v>0.51626118344104399</v>
      </c>
      <c r="CQ94" s="32">
        <f t="shared" si="158"/>
        <v>0.48906932439067197</v>
      </c>
      <c r="CR94" s="32">
        <f>(CR93-CM93)/ABS(CM93)</f>
        <v>0.25038740184855346</v>
      </c>
      <c r="CS94" s="32">
        <f t="shared" ref="CS94" si="159">(CS93-CN93)/ABS(CN93)</f>
        <v>0.35278742390348938</v>
      </c>
      <c r="CT94" s="32">
        <f t="shared" ref="CT94" si="160">(CT93-CO93)/ABS(CO93)</f>
        <v>0.59591264576199876</v>
      </c>
      <c r="CU94" s="32">
        <f>(CU93-CP93)/ABS(CP93)</f>
        <v>0.6305506595798277</v>
      </c>
      <c r="CV94" s="32">
        <f t="shared" ref="CV94" si="161">(CV93-CQ93)/ABS(CQ93)</f>
        <v>0.43542058967050234</v>
      </c>
      <c r="CW94" s="6"/>
      <c r="CX94" s="717"/>
      <c r="CY94" s="6"/>
      <c r="CZ94" s="6"/>
      <c r="DA94" s="6"/>
      <c r="DB94" s="6"/>
    </row>
    <row r="95" spans="1:106" ht="12" customHeight="1" x14ac:dyDescent="0.25">
      <c r="A95" s="47"/>
      <c r="B95" s="47"/>
      <c r="E95" s="24" t="s">
        <v>112</v>
      </c>
      <c r="F95" s="38"/>
      <c r="G95" s="38"/>
      <c r="H95" s="38"/>
      <c r="I95" s="38"/>
      <c r="J95" s="38"/>
      <c r="K95" s="38"/>
      <c r="L95" s="38"/>
      <c r="M95" s="38"/>
      <c r="N95" s="38"/>
      <c r="O95" s="38"/>
      <c r="P95" s="38"/>
      <c r="Q95" s="38"/>
      <c r="R95" s="38"/>
      <c r="S95" s="38"/>
      <c r="T95" s="38">
        <f>T83/T86</f>
        <v>0.74168085106382875</v>
      </c>
      <c r="U95" s="38"/>
      <c r="V95" s="38"/>
      <c r="W95" s="38"/>
      <c r="X95" s="38"/>
      <c r="Y95" s="38">
        <f>Y83/Y86</f>
        <v>0.71253333333333313</v>
      </c>
      <c r="Z95" s="38"/>
      <c r="AA95" s="38"/>
      <c r="AB95" s="38"/>
      <c r="AC95" s="38"/>
      <c r="AD95" s="38">
        <f>AD83/AD86</f>
        <v>0.84214285714285675</v>
      </c>
      <c r="AE95" s="38">
        <f t="shared" ref="AE95:BM95" si="162">AE83/AE86</f>
        <v>-0.17254635056276116</v>
      </c>
      <c r="AF95" s="38">
        <f t="shared" si="162"/>
        <v>0.11147481360247309</v>
      </c>
      <c r="AG95" s="38">
        <f t="shared" si="162"/>
        <v>0.69033901921652807</v>
      </c>
      <c r="AH95" s="38">
        <f t="shared" si="162"/>
        <v>-0.75645684620376474</v>
      </c>
      <c r="AI95" s="38">
        <f t="shared" si="162"/>
        <v>-9.8327919821039306E-2</v>
      </c>
      <c r="AJ95" s="38">
        <f t="shared" si="162"/>
        <v>0.13696692216677819</v>
      </c>
      <c r="AK95" s="38">
        <f t="shared" si="162"/>
        <v>0.20281974847434212</v>
      </c>
      <c r="AL95" s="38">
        <f t="shared" si="162"/>
        <v>-0.14662039290013579</v>
      </c>
      <c r="AM95" s="38">
        <f t="shared" si="162"/>
        <v>0.28540917123279003</v>
      </c>
      <c r="AN95" s="38">
        <f t="shared" si="162"/>
        <v>0.48824544582933865</v>
      </c>
      <c r="AO95" s="38">
        <f t="shared" si="162"/>
        <v>5.3080544727383057E-2</v>
      </c>
      <c r="AP95" s="38">
        <f t="shared" si="162"/>
        <v>0.11898612983282764</v>
      </c>
      <c r="AQ95" s="38">
        <f t="shared" si="162"/>
        <v>0.17856516839864811</v>
      </c>
      <c r="AR95" s="38">
        <f t="shared" si="162"/>
        <v>0.20644841269841238</v>
      </c>
      <c r="AS95" s="38">
        <f t="shared" si="162"/>
        <v>0.55878331765443734</v>
      </c>
      <c r="AT95" s="38">
        <f t="shared" si="162"/>
        <v>0.12037173443331385</v>
      </c>
      <c r="AU95" s="38">
        <f t="shared" si="162"/>
        <v>0.16339410939691454</v>
      </c>
      <c r="AV95" s="38">
        <f t="shared" si="162"/>
        <v>0.25363589856025776</v>
      </c>
      <c r="AW95" s="38">
        <f>AW83/AW86</f>
        <v>-0.83380376260522526</v>
      </c>
      <c r="AX95" s="38">
        <f>AX83/AX86</f>
        <v>-0.28467160017094034</v>
      </c>
      <c r="AY95" s="38">
        <f t="shared" si="162"/>
        <v>0.13381861633379663</v>
      </c>
      <c r="AZ95" s="38">
        <f t="shared" si="162"/>
        <v>0.15064279323994781</v>
      </c>
      <c r="BA95" s="38">
        <f t="shared" si="162"/>
        <v>0.1003543406732475</v>
      </c>
      <c r="BB95" s="38">
        <f t="shared" si="162"/>
        <v>0.58350538969181842</v>
      </c>
      <c r="BC95" s="38">
        <f t="shared" si="162"/>
        <v>0.96104833042061344</v>
      </c>
      <c r="BD95" s="38">
        <f t="shared" si="162"/>
        <v>0.17081107395877368</v>
      </c>
      <c r="BE95" s="38">
        <f t="shared" si="162"/>
        <v>0.21435897435897419</v>
      </c>
      <c r="BF95" s="38">
        <f t="shared" si="162"/>
        <v>0.19142570969187445</v>
      </c>
      <c r="BG95" s="38">
        <f t="shared" si="162"/>
        <v>0.1764431471336983</v>
      </c>
      <c r="BH95" s="38">
        <f t="shared" si="162"/>
        <v>0.75306467268217314</v>
      </c>
      <c r="BI95" s="38">
        <f t="shared" si="162"/>
        <v>0.17459034851836608</v>
      </c>
      <c r="BJ95" s="38">
        <f t="shared" si="162"/>
        <v>0.12939923194276326</v>
      </c>
      <c r="BK95" s="38">
        <f t="shared" si="162"/>
        <v>0.1935662071712129</v>
      </c>
      <c r="BL95" s="38">
        <f t="shared" si="162"/>
        <v>-0.38303645157484928</v>
      </c>
      <c r="BM95" s="38">
        <f t="shared" si="162"/>
        <v>0.11520027219875741</v>
      </c>
      <c r="BN95" s="38">
        <f t="shared" ref="BN95:BR95" si="163">BN83/BN86</f>
        <v>-9.8967891400830552E-2</v>
      </c>
      <c r="BO95" s="38">
        <f t="shared" si="163"/>
        <v>-2.0019968102900545E-2</v>
      </c>
      <c r="BP95" s="38">
        <f t="shared" si="163"/>
        <v>5.3946702319604481E-2</v>
      </c>
      <c r="BQ95" s="38">
        <f t="shared" si="163"/>
        <v>-7.7996047890270814E-2</v>
      </c>
      <c r="BR95" s="38">
        <f t="shared" si="163"/>
        <v>-0.1430637243776384</v>
      </c>
      <c r="BS95" s="38">
        <f t="shared" ref="BS95:CV95" si="164">IF(BS83&lt;0,(BS83/BS85),(BS83/BS86))</f>
        <v>-1.3334531173797886E-2</v>
      </c>
      <c r="BT95" s="38">
        <f t="shared" si="164"/>
        <v>0.13520363132013624</v>
      </c>
      <c r="BU95" s="38">
        <f t="shared" si="164"/>
        <v>-1.811617478896569E-2</v>
      </c>
      <c r="BV95" s="38">
        <f t="shared" si="164"/>
        <v>-2.0468255312495864E-2</v>
      </c>
      <c r="BW95" s="38">
        <f t="shared" si="164"/>
        <v>8.4742441386373213E-2</v>
      </c>
      <c r="BX95" s="38">
        <f t="shared" si="164"/>
        <v>5.0105226015399358E-2</v>
      </c>
      <c r="BY95" s="38">
        <f t="shared" si="164"/>
        <v>9.0063952975011519E-2</v>
      </c>
      <c r="BZ95" s="38">
        <f t="shared" si="164"/>
        <v>1.3437527394772747E-2</v>
      </c>
      <c r="CA95" s="38">
        <f t="shared" si="164"/>
        <v>-0.10358662769830254</v>
      </c>
      <c r="CB95" s="38">
        <f t="shared" si="164"/>
        <v>5.1447589646610781E-2</v>
      </c>
      <c r="CC95" s="38">
        <f>IF(CC83&lt;0,(CC83/CC85),(CC83/CC86))</f>
        <v>-1.6524303437055125E-2</v>
      </c>
      <c r="CD95" s="38">
        <f>IF(CD83&lt;0,(CD83/CD85),(CD83/CD86))</f>
        <v>-4.2102606171515185E-2</v>
      </c>
      <c r="CE95" s="38">
        <v>0.28000000000000003</v>
      </c>
      <c r="CF95" s="38">
        <f t="shared" si="164"/>
        <v>6.5827969572849532E-2</v>
      </c>
      <c r="CG95" s="38">
        <f>IF(CG83&lt;0,(CG83/CG85),(CG83/CG86))</f>
        <v>0.29762583818179483</v>
      </c>
      <c r="CH95" s="38">
        <f>IF(CH83&lt;0,(CH83/CH85),(CH83/CH86))</f>
        <v>-3.9188925716513993E-2</v>
      </c>
      <c r="CI95" s="38">
        <f t="shared" si="164"/>
        <v>0.26628189236649097</v>
      </c>
      <c r="CJ95" s="38">
        <f t="shared" si="164"/>
        <v>15.724711806918206</v>
      </c>
      <c r="CK95" s="38">
        <f t="shared" si="164"/>
        <v>-0.60204761186748235</v>
      </c>
      <c r="CL95" s="38">
        <f t="shared" si="164"/>
        <v>15.088756142983547</v>
      </c>
      <c r="CM95" s="38">
        <f t="shared" si="164"/>
        <v>-0.38102245939999202</v>
      </c>
      <c r="CN95" s="38">
        <f t="shared" si="164"/>
        <v>-0.34048984476307564</v>
      </c>
      <c r="CO95" s="38">
        <f t="shared" si="164"/>
        <v>-0.26609613802323157</v>
      </c>
      <c r="CP95" s="38">
        <f t="shared" si="164"/>
        <v>-0.28021435715508897</v>
      </c>
      <c r="CQ95" s="38">
        <f t="shared" si="164"/>
        <v>-1.271992848483873</v>
      </c>
      <c r="CR95" s="38">
        <f>IF(CR83&lt;0,(CR83/CR85),(CR83/CR86))</f>
        <v>-0.28561923574488207</v>
      </c>
      <c r="CS95" s="38">
        <f t="shared" si="164"/>
        <v>-0.22036930956381118</v>
      </c>
      <c r="CT95" s="38">
        <f t="shared" si="164"/>
        <v>-0.10752608438675765</v>
      </c>
      <c r="CU95" s="38">
        <f t="shared" si="164"/>
        <v>-0.10352500942721021</v>
      </c>
      <c r="CV95" s="38">
        <f t="shared" si="164"/>
        <v>-0.71814097234036256</v>
      </c>
    </row>
    <row r="96" spans="1:106" ht="3.95" customHeight="1" x14ac:dyDescent="0.25">
      <c r="A96" s="47"/>
      <c r="B96" s="47"/>
      <c r="F96" s="33"/>
      <c r="G96" s="33"/>
      <c r="H96" s="33"/>
      <c r="I96" s="33"/>
      <c r="J96" s="33"/>
      <c r="O96" s="33"/>
      <c r="T96" s="33"/>
      <c r="Y96" s="33"/>
      <c r="AD96" s="33"/>
      <c r="AI96" s="33"/>
      <c r="AN96" s="33"/>
      <c r="AS96" s="33"/>
      <c r="AX96" s="33"/>
      <c r="BC96" s="33"/>
      <c r="BH96" s="33"/>
      <c r="BM96" s="33"/>
      <c r="BR96" s="33"/>
      <c r="BW96" s="33"/>
      <c r="CB96" s="33"/>
      <c r="CC96" s="700"/>
      <c r="CD96" s="700"/>
      <c r="CE96" s="700"/>
      <c r="CF96" s="700"/>
      <c r="CG96" s="33"/>
      <c r="CH96" s="700"/>
      <c r="CI96" s="700"/>
      <c r="CJ96" s="700"/>
      <c r="CK96" s="700"/>
      <c r="CL96" s="33"/>
      <c r="CM96" s="700"/>
      <c r="CN96" s="700"/>
      <c r="CO96" s="700"/>
      <c r="CP96" s="700"/>
      <c r="CQ96" s="33"/>
      <c r="CR96" s="700"/>
      <c r="CS96" s="700"/>
      <c r="CT96" s="700"/>
      <c r="CU96" s="700"/>
      <c r="CV96" s="33"/>
    </row>
    <row r="97" spans="1:102" ht="12" hidden="1" customHeight="1" x14ac:dyDescent="0.25">
      <c r="A97" s="47"/>
      <c r="B97" s="47"/>
      <c r="E97" s="94" t="s">
        <v>453</v>
      </c>
      <c r="F97" s="33"/>
      <c r="G97" s="33"/>
      <c r="H97" s="33"/>
      <c r="I97" s="33"/>
      <c r="J97" s="33"/>
      <c r="O97" s="33"/>
      <c r="T97" s="33"/>
      <c r="Y97" s="33"/>
      <c r="AD97" s="33"/>
      <c r="AI97" s="33"/>
      <c r="AN97" s="33"/>
      <c r="AS97" s="33"/>
      <c r="AX97" s="33"/>
      <c r="BC97" s="33"/>
      <c r="BH97" s="33"/>
      <c r="BM97" s="33"/>
      <c r="BR97" s="33"/>
      <c r="BW97" s="33"/>
      <c r="CB97" s="33"/>
      <c r="CC97" s="700"/>
      <c r="CD97" s="700"/>
      <c r="CE97" s="700"/>
      <c r="CF97" s="700"/>
      <c r="CG97" s="33"/>
      <c r="CH97" s="700"/>
      <c r="CI97" s="700"/>
      <c r="CJ97" s="700"/>
      <c r="CK97" s="700"/>
      <c r="CL97" s="33"/>
      <c r="CM97" s="700"/>
      <c r="CN97" s="700"/>
      <c r="CO97" s="700"/>
      <c r="CP97" s="700"/>
      <c r="CQ97" s="33"/>
      <c r="CR97" s="700"/>
      <c r="CS97" s="700"/>
      <c r="CT97" s="700"/>
      <c r="CU97" s="700"/>
      <c r="CV97" s="33"/>
    </row>
    <row r="98" spans="1:102" ht="12" hidden="1" customHeight="1" x14ac:dyDescent="0.25">
      <c r="A98" s="47"/>
      <c r="B98" s="47"/>
      <c r="E98" s="6" t="s">
        <v>462</v>
      </c>
      <c r="F98" s="33"/>
      <c r="G98" s="33"/>
      <c r="H98" s="33"/>
      <c r="I98" s="33"/>
      <c r="J98" s="33"/>
      <c r="O98" s="33"/>
      <c r="T98" s="33"/>
      <c r="Y98" s="33"/>
      <c r="AD98" s="33"/>
      <c r="AI98" s="33"/>
      <c r="AN98" s="33"/>
      <c r="AS98" s="33"/>
      <c r="AV98" s="27">
        <f>AV65</f>
        <v>23.897000000000041</v>
      </c>
      <c r="AX98" s="33"/>
      <c r="BA98" s="27">
        <f>BA65</f>
        <v>26.669000000000022</v>
      </c>
      <c r="BB98" s="27">
        <f>BB65</f>
        <v>31.279999999999987</v>
      </c>
      <c r="BC98" s="33"/>
      <c r="BD98" s="27">
        <f>BD65</f>
        <v>21.796999999999993</v>
      </c>
      <c r="BE98" s="27">
        <f>BE65</f>
        <v>26.868999999999989</v>
      </c>
      <c r="BF98" s="27">
        <f>BF65</f>
        <v>24.159000000000049</v>
      </c>
      <c r="BG98" s="27">
        <f>BG65</f>
        <v>19.361999999999981</v>
      </c>
      <c r="BH98" s="139">
        <f t="shared" ref="BH98:BH103" si="165">SUM(BD98:BG98)</f>
        <v>92.187000000000012</v>
      </c>
      <c r="BI98" s="27">
        <f>BI65</f>
        <v>21.156999999999972</v>
      </c>
      <c r="BJ98" s="27">
        <f>BJ65</f>
        <v>24.873999999999949</v>
      </c>
      <c r="BK98" s="27">
        <f>BK65</f>
        <v>25.137000000000043</v>
      </c>
      <c r="BL98" s="27">
        <f>BL65</f>
        <v>29.632000000000019</v>
      </c>
      <c r="BM98" s="139">
        <f>SUM(BI98:BL98)</f>
        <v>100.79999999999998</v>
      </c>
      <c r="BN98" s="27">
        <f>BN65</f>
        <v>-8.0120000000000129</v>
      </c>
      <c r="BO98" s="27">
        <f>BO65</f>
        <v>-7.5939999999999994</v>
      </c>
      <c r="BP98" s="27">
        <f>BP65</f>
        <v>-0.87899999999999168</v>
      </c>
      <c r="BQ98" s="27">
        <f>BQ65</f>
        <v>-2.2619999999999991</v>
      </c>
      <c r="BR98" s="139">
        <f>SUM(BN98:BQ98)</f>
        <v>-18.747000000000003</v>
      </c>
      <c r="BS98" s="27">
        <f>BS65</f>
        <v>-3.6429999999999838</v>
      </c>
      <c r="BT98" s="27">
        <f>BT65</f>
        <v>-0.71999999999999331</v>
      </c>
      <c r="BU98" s="27">
        <f>BU65</f>
        <v>2.0390000000000112</v>
      </c>
      <c r="BV98" s="27">
        <f>BV65</f>
        <v>1.0050000000000039</v>
      </c>
      <c r="BW98" s="139">
        <f>SUM(BS98:BV98)</f>
        <v>-1.3189999999999622</v>
      </c>
      <c r="BX98" s="27">
        <f>BX65</f>
        <v>6.970999999999985</v>
      </c>
      <c r="BY98" s="27">
        <f>BY65</f>
        <v>5.5239999999999876</v>
      </c>
      <c r="BZ98" s="27">
        <f>BZ65</f>
        <v>9.5179999999999989</v>
      </c>
      <c r="CA98" s="27">
        <f>CA65</f>
        <v>-4.9959999999999782</v>
      </c>
      <c r="CB98" s="139">
        <f>SUM(BX98:CA98)</f>
        <v>17.016999999999992</v>
      </c>
      <c r="CC98" s="645">
        <f>CC65</f>
        <v>-40.402000000000001</v>
      </c>
      <c r="CD98" s="645">
        <f>CD65</f>
        <v>-35.037000000000006</v>
      </c>
      <c r="CE98" s="645">
        <f>CE65</f>
        <v>-28.045000000000005</v>
      </c>
      <c r="CF98" s="645">
        <f>CF65</f>
        <v>-26.815000000000005</v>
      </c>
      <c r="CG98" s="139">
        <f>SUM(CC98:CF98)</f>
        <v>-130.29900000000001</v>
      </c>
      <c r="CH98" s="645">
        <f>CH65</f>
        <v>-29.244000000000007</v>
      </c>
      <c r="CI98" s="645">
        <f>CI65</f>
        <v>-37.991000000000007</v>
      </c>
      <c r="CJ98" s="645">
        <f>CJ65</f>
        <v>-38.473261999999991</v>
      </c>
      <c r="CK98" s="645">
        <f>CK65</f>
        <v>-37.14363114624998</v>
      </c>
      <c r="CL98" s="139">
        <f>SUM(CH98:CK98)</f>
        <v>-142.85189314624998</v>
      </c>
      <c r="CM98" s="645">
        <f>CM65</f>
        <v>-35.080193519158122</v>
      </c>
      <c r="CN98" s="645">
        <f>CN65</f>
        <v>-30.667433903746272</v>
      </c>
      <c r="CO98" s="645">
        <f>CO65</f>
        <v>-23.434706738365968</v>
      </c>
      <c r="CP98" s="645">
        <f>CP65</f>
        <v>-24.157680036564727</v>
      </c>
      <c r="CQ98" s="139">
        <f>SUM(CM98:CP98)</f>
        <v>-113.3400141978351</v>
      </c>
      <c r="CR98" s="645">
        <f>CR65</f>
        <v>-24.542036845118808</v>
      </c>
      <c r="CS98" s="645">
        <f>CS65</f>
        <v>-18.872427671044786</v>
      </c>
      <c r="CT98" s="645">
        <f>CT65</f>
        <v>-9.1778121284857068</v>
      </c>
      <c r="CU98" s="645">
        <f>CU65</f>
        <v>-8.8067246591021604</v>
      </c>
      <c r="CV98" s="139">
        <f>SUM(CR98:CU98)</f>
        <v>-61.399001303751454</v>
      </c>
    </row>
    <row r="99" spans="1:102" ht="12" hidden="1" customHeight="1" x14ac:dyDescent="0.25">
      <c r="A99" s="47"/>
      <c r="B99" s="47"/>
      <c r="E99" s="6" t="s">
        <v>352</v>
      </c>
      <c r="F99" s="33"/>
      <c r="G99" s="33"/>
      <c r="H99" s="33"/>
      <c r="I99" s="33"/>
      <c r="J99" s="33"/>
      <c r="O99" s="33"/>
      <c r="T99" s="33"/>
      <c r="Y99" s="33"/>
      <c r="AD99" s="33"/>
      <c r="AI99" s="33"/>
      <c r="AN99" s="33"/>
      <c r="AS99" s="33"/>
      <c r="AV99" s="124">
        <v>-9.532</v>
      </c>
      <c r="AX99" s="33"/>
      <c r="BA99" s="124">
        <f>-10.649</f>
        <v>-10.648999999999999</v>
      </c>
      <c r="BB99" s="27">
        <f>-BB100*BB98</f>
        <v>-14.082000000000001</v>
      </c>
      <c r="BC99" s="33"/>
      <c r="BD99" s="27">
        <f>-BD100*BD98</f>
        <v>-8.4380000000000006</v>
      </c>
      <c r="BE99" s="27">
        <f>-BE100*BE98</f>
        <v>-10.477</v>
      </c>
      <c r="BF99" s="27">
        <f>-BF100*BF98</f>
        <v>-9.76</v>
      </c>
      <c r="BG99" s="27">
        <f>-BG100*BG98</f>
        <v>-5.3979999999999997</v>
      </c>
      <c r="BH99" s="139">
        <f t="shared" si="165"/>
        <v>-34.072999999999993</v>
      </c>
      <c r="BI99" s="27">
        <f>-BI100*BI98</f>
        <v>-8.0619999999999994</v>
      </c>
      <c r="BJ99" s="27">
        <f>-BJ100*BJ98</f>
        <v>-9.8230000000000004</v>
      </c>
      <c r="BK99" s="27">
        <f>-BK100*BK98</f>
        <v>-5.69</v>
      </c>
      <c r="BL99" s="27">
        <f>-BL100*BL98</f>
        <v>-11.113</v>
      </c>
      <c r="BM99" s="139">
        <f>SUM(BI99:BL99)</f>
        <v>-34.688000000000002</v>
      </c>
      <c r="BN99" s="27">
        <f>-BN100*BN98</f>
        <v>-3.0068200000000003</v>
      </c>
      <c r="BO99" s="27">
        <f>-BO100*BO98</f>
        <v>-2.5576000000000003</v>
      </c>
      <c r="BP99" s="27">
        <f>-BP100*BP98</f>
        <v>-7.3579999999999757E-2</v>
      </c>
      <c r="BQ99" s="27">
        <f>-BQ100*BQ98</f>
        <v>-2.7829800000000002</v>
      </c>
      <c r="BR99" s="139">
        <f>SUM(BN99:BQ99)</f>
        <v>-8.4209800000000001</v>
      </c>
      <c r="BS99" s="27">
        <f>-BS100*BS98</f>
        <v>-0.73199999999999998</v>
      </c>
      <c r="BT99" s="27">
        <f>-BT100*BT98</f>
        <v>2.6080000000000001</v>
      </c>
      <c r="BU99" s="27">
        <f>-BU100*BU98</f>
        <v>1.58</v>
      </c>
      <c r="BV99" s="27">
        <f>-BV100*BV98</f>
        <v>8.1760000000000002</v>
      </c>
      <c r="BW99" s="139">
        <f>SUM(BS99:BV99)</f>
        <v>11.632000000000001</v>
      </c>
      <c r="BX99" s="27">
        <f>-BX100*BX98</f>
        <v>-2.681</v>
      </c>
      <c r="BY99" s="27">
        <f>-BY100*BY98</f>
        <v>1.9159999999999997</v>
      </c>
      <c r="BZ99" s="27">
        <f>-BZ100*BZ98</f>
        <v>-6.3339999999999996</v>
      </c>
      <c r="CA99" s="27">
        <f>-CA100*CA98</f>
        <v>2.5649999999999999</v>
      </c>
      <c r="CB99" s="139">
        <f>SUM(BX99:CA99)</f>
        <v>-4.5340000000000007</v>
      </c>
      <c r="CC99" s="645">
        <f>-CC100*CC98</f>
        <v>13.32</v>
      </c>
      <c r="CD99" s="645">
        <f>-CD100*CD98</f>
        <v>11.869</v>
      </c>
      <c r="CE99" s="645">
        <f>-CE100*CE98</f>
        <v>29.791000000000004</v>
      </c>
      <c r="CF99" s="645">
        <f>-CF100*CF98</f>
        <v>7.8980000000000006</v>
      </c>
      <c r="CG99" s="139">
        <f>SUM(CC99:CF99)</f>
        <v>62.878000000000007</v>
      </c>
      <c r="CH99" s="645">
        <f>-CH100*CH98</f>
        <v>1.4279999999999999</v>
      </c>
      <c r="CI99" s="645">
        <f>-CI100*CI98</f>
        <v>-2.7</v>
      </c>
      <c r="CJ99" s="645">
        <f>-CJ100*CJ98</f>
        <v>-36.352000000000032</v>
      </c>
      <c r="CK99" s="645">
        <f>-CK100*CK98</f>
        <v>-1</v>
      </c>
      <c r="CL99" s="139">
        <f>SUM(CH99:CK99)</f>
        <v>-38.624000000000031</v>
      </c>
      <c r="CM99" s="645">
        <f>-CM100*CM98</f>
        <v>10.524058055747437</v>
      </c>
      <c r="CN99" s="645">
        <f>-CN100*CN98</f>
        <v>9.2002301711238808</v>
      </c>
      <c r="CO99" s="645">
        <f>-CO100*CO98</f>
        <v>7.0304120215097905</v>
      </c>
      <c r="CP99" s="645">
        <f>-CP100*CP98</f>
        <v>7.247304010969418</v>
      </c>
      <c r="CQ99" s="139">
        <f>SUM(CM99:CP99)</f>
        <v>34.002004259350521</v>
      </c>
      <c r="CR99" s="645">
        <f>-CR100*CR98</f>
        <v>7.3626110535356419</v>
      </c>
      <c r="CS99" s="645">
        <f>-CS100*CS98</f>
        <v>5.6617283013134356</v>
      </c>
      <c r="CT99" s="645">
        <f>-CT100*CT98</f>
        <v>2.753343638545712</v>
      </c>
      <c r="CU99" s="645">
        <f>-CU100*CU98</f>
        <v>2.642017397730648</v>
      </c>
      <c r="CV99" s="139">
        <f>SUM(CR99:CU99)</f>
        <v>18.419700391125438</v>
      </c>
    </row>
    <row r="100" spans="1:102" ht="12" hidden="1" customHeight="1" x14ac:dyDescent="0.25">
      <c r="A100" s="47"/>
      <c r="B100" s="47"/>
      <c r="E100" s="94" t="s">
        <v>463</v>
      </c>
      <c r="F100" s="33"/>
      <c r="G100" s="33"/>
      <c r="H100" s="33"/>
      <c r="I100" s="33"/>
      <c r="J100" s="33"/>
      <c r="O100" s="33"/>
      <c r="T100" s="33"/>
      <c r="Y100" s="33"/>
      <c r="AD100" s="33"/>
      <c r="AI100" s="33"/>
      <c r="AN100" s="33"/>
      <c r="AS100" s="33"/>
      <c r="AV100" s="183">
        <f>AV99/AV98</f>
        <v>-0.39887852031635701</v>
      </c>
      <c r="AX100" s="33"/>
      <c r="BA100" s="183">
        <f>-BA99/BA98</f>
        <v>0.39930256102590989</v>
      </c>
      <c r="BB100" s="183">
        <f>BB73</f>
        <v>0.4501918158567777</v>
      </c>
      <c r="BC100" s="33"/>
      <c r="BD100" s="183">
        <f>BD73</f>
        <v>0.38711749323301387</v>
      </c>
      <c r="BE100" s="183">
        <f>BE73</f>
        <v>0.38992891436227639</v>
      </c>
      <c r="BF100" s="183">
        <f>BF73</f>
        <v>0.40399023138374851</v>
      </c>
      <c r="BG100" s="183">
        <f>BG73</f>
        <v>0.2787935130668322</v>
      </c>
      <c r="BH100" s="32">
        <f>BH99/BH98</f>
        <v>-0.36960742837927246</v>
      </c>
      <c r="BI100" s="183">
        <f>BI73</f>
        <v>0.38105591529990124</v>
      </c>
      <c r="BJ100" s="183">
        <f>BJ73</f>
        <v>0.3949103481547005</v>
      </c>
      <c r="BK100" s="183">
        <f>BK73</f>
        <v>0.22635954966781996</v>
      </c>
      <c r="BL100" s="183">
        <f>BL73</f>
        <v>0.37503374730021571</v>
      </c>
      <c r="BM100" s="32">
        <f>BM99/BM98</f>
        <v>-0.34412698412698423</v>
      </c>
      <c r="BN100" s="183">
        <f>BN73</f>
        <v>-0.37528956565152216</v>
      </c>
      <c r="BO100" s="183">
        <f>BO73</f>
        <v>-0.33679220437187257</v>
      </c>
      <c r="BP100" s="183">
        <f>BP73</f>
        <v>-8.3708759954494255E-2</v>
      </c>
      <c r="BQ100" s="183">
        <f>BQ73</f>
        <v>-1.2303183023872686</v>
      </c>
      <c r="BR100" s="32">
        <f>BR99/BR98</f>
        <v>0.44919080386195115</v>
      </c>
      <c r="BS100" s="183">
        <f>BS73</f>
        <v>-0.20093329673346233</v>
      </c>
      <c r="BT100" s="183">
        <f>BT73</f>
        <v>3.622222222222256</v>
      </c>
      <c r="BU100" s="183">
        <f>BU73</f>
        <v>-0.77488965179008895</v>
      </c>
      <c r="BV100" s="183">
        <f>BV73</f>
        <v>-8.1353233830845451</v>
      </c>
      <c r="BW100" s="32">
        <f>BW99/BW98</f>
        <v>-8.8188021228205731</v>
      </c>
      <c r="BX100" s="183">
        <f>BX73</f>
        <v>0.38459331516281819</v>
      </c>
      <c r="BY100" s="183">
        <f>BY73</f>
        <v>-0.34685010861694499</v>
      </c>
      <c r="BZ100" s="183">
        <f>BZ73</f>
        <v>0.66547594032359747</v>
      </c>
      <c r="CA100" s="183">
        <f>CA73</f>
        <v>0.51341072858286851</v>
      </c>
      <c r="CB100" s="32">
        <f>CB99/CB98</f>
        <v>-0.2664394429100313</v>
      </c>
      <c r="CC100" s="680">
        <f>CC73</f>
        <v>0.32968664917578339</v>
      </c>
      <c r="CD100" s="680">
        <f>CD73</f>
        <v>0.33875617204669345</v>
      </c>
      <c r="CE100" s="680">
        <f>CE73</f>
        <v>1.0622570868247458</v>
      </c>
      <c r="CF100" s="680">
        <f>CF73</f>
        <v>0.29453663994033186</v>
      </c>
      <c r="CG100" s="32">
        <f>CG99/CG98</f>
        <v>-0.48256701893337633</v>
      </c>
      <c r="CH100" s="680">
        <f>CH73</f>
        <v>4.8830529339351648E-2</v>
      </c>
      <c r="CI100" s="680">
        <f>CI73</f>
        <v>-7.1069463820378501E-2</v>
      </c>
      <c r="CJ100" s="680">
        <f>CJ73</f>
        <v>-0.94486399411622646</v>
      </c>
      <c r="CK100" s="680">
        <f>CK73</f>
        <v>-2.6922515896805634E-2</v>
      </c>
      <c r="CL100" s="32">
        <f>CL99/CL98</f>
        <v>0.27037793584196512</v>
      </c>
      <c r="CM100" s="680">
        <f>CM73</f>
        <v>0.3</v>
      </c>
      <c r="CN100" s="680">
        <f>CN73</f>
        <v>0.3</v>
      </c>
      <c r="CO100" s="680">
        <f>CO73</f>
        <v>0.3</v>
      </c>
      <c r="CP100" s="680">
        <f>CP73</f>
        <v>0.3</v>
      </c>
      <c r="CQ100" s="32">
        <f>CQ99/CQ98</f>
        <v>-0.29999999999999993</v>
      </c>
      <c r="CR100" s="680">
        <f>CR73</f>
        <v>0.3</v>
      </c>
      <c r="CS100" s="680">
        <f>CS73</f>
        <v>0.3</v>
      </c>
      <c r="CT100" s="680">
        <f>CT73</f>
        <v>0.3</v>
      </c>
      <c r="CU100" s="680">
        <f>CU73</f>
        <v>0.3</v>
      </c>
      <c r="CV100" s="32">
        <f>CV99/CV98</f>
        <v>-0.30000000000000004</v>
      </c>
    </row>
    <row r="101" spans="1:102" s="13" customFormat="1" ht="12" hidden="1" customHeight="1" x14ac:dyDescent="0.25">
      <c r="A101" s="207"/>
      <c r="B101" s="207"/>
      <c r="C101" s="39"/>
      <c r="D101" s="39"/>
      <c r="E101" s="13" t="s">
        <v>464</v>
      </c>
      <c r="F101" s="24"/>
      <c r="G101" s="24"/>
      <c r="H101" s="24"/>
      <c r="I101" s="24"/>
      <c r="J101" s="24"/>
      <c r="O101" s="24"/>
      <c r="T101" s="24"/>
      <c r="Y101" s="24"/>
      <c r="AD101" s="24"/>
      <c r="AI101" s="24"/>
      <c r="AN101" s="24"/>
      <c r="AS101" s="24"/>
      <c r="AV101" s="28">
        <f>AV98+AV99</f>
        <v>14.365000000000041</v>
      </c>
      <c r="AX101" s="24"/>
      <c r="BA101" s="28">
        <f>BA98+BA99</f>
        <v>16.020000000000024</v>
      </c>
      <c r="BB101" s="28">
        <f>BB98+BB99</f>
        <v>17.197999999999986</v>
      </c>
      <c r="BC101" s="24"/>
      <c r="BD101" s="28">
        <f>BD98+BD99</f>
        <v>13.358999999999993</v>
      </c>
      <c r="BE101" s="28">
        <f>BE98+BE99</f>
        <v>16.391999999999989</v>
      </c>
      <c r="BF101" s="28">
        <f>BF98+BF99</f>
        <v>14.399000000000049</v>
      </c>
      <c r="BG101" s="28">
        <f>BG98+BG99</f>
        <v>13.963999999999981</v>
      </c>
      <c r="BH101" s="35">
        <f t="shared" si="165"/>
        <v>58.114000000000019</v>
      </c>
      <c r="BI101" s="28">
        <f>BI98+BI99</f>
        <v>13.094999999999972</v>
      </c>
      <c r="BJ101" s="28">
        <f>BJ98+BJ99</f>
        <v>15.050999999999949</v>
      </c>
      <c r="BK101" s="28">
        <f>BK98+BK99</f>
        <v>19.447000000000042</v>
      </c>
      <c r="BL101" s="28">
        <f>BL98+BL99</f>
        <v>18.51900000000002</v>
      </c>
      <c r="BM101" s="35">
        <f>SUM(BI101:BL101)</f>
        <v>66.111999999999981</v>
      </c>
      <c r="BN101" s="28">
        <f>BN98+BN99</f>
        <v>-11.018820000000012</v>
      </c>
      <c r="BO101" s="28">
        <f>BO98+BO99</f>
        <v>-10.1516</v>
      </c>
      <c r="BP101" s="28">
        <f>BP98+BP99</f>
        <v>-0.95257999999999143</v>
      </c>
      <c r="BQ101" s="28">
        <f>BQ98+BQ99</f>
        <v>-5.0449799999999989</v>
      </c>
      <c r="BR101" s="35">
        <f>SUM(BN101:BQ101)</f>
        <v>-27.167980000000004</v>
      </c>
      <c r="BS101" s="28">
        <f>BS98+BS99</f>
        <v>-4.374999999999984</v>
      </c>
      <c r="BT101" s="28">
        <f>BT98+BT99</f>
        <v>1.8880000000000068</v>
      </c>
      <c r="BU101" s="28">
        <f>BU98+BU99</f>
        <v>3.6190000000000113</v>
      </c>
      <c r="BV101" s="28">
        <f>BV98+BV99</f>
        <v>9.1810000000000045</v>
      </c>
      <c r="BW101" s="35">
        <f>SUM(BS101:BV101)</f>
        <v>10.313000000000038</v>
      </c>
      <c r="BX101" s="28">
        <f>BX98+BX99</f>
        <v>4.2899999999999849</v>
      </c>
      <c r="BY101" s="28">
        <f>BY98+BY99</f>
        <v>7.4399999999999871</v>
      </c>
      <c r="BZ101" s="28">
        <f>BZ98+BZ99</f>
        <v>3.1839999999999993</v>
      </c>
      <c r="CA101" s="28">
        <f>CA98+CA99</f>
        <v>-2.4309999999999783</v>
      </c>
      <c r="CB101" s="35">
        <f>SUM(BX101:CA101)</f>
        <v>12.482999999999993</v>
      </c>
      <c r="CC101" s="761">
        <f>CC98+CC99</f>
        <v>-27.082000000000001</v>
      </c>
      <c r="CD101" s="761">
        <f>CD98+CD99</f>
        <v>-23.168000000000006</v>
      </c>
      <c r="CE101" s="761">
        <f>CE98+CE99</f>
        <v>1.7459999999999987</v>
      </c>
      <c r="CF101" s="761">
        <f>CF98+CF99</f>
        <v>-18.917000000000005</v>
      </c>
      <c r="CG101" s="35">
        <f>SUM(CC101:CF101)</f>
        <v>-67.421000000000006</v>
      </c>
      <c r="CH101" s="761">
        <f>CH98+CH99</f>
        <v>-27.816000000000006</v>
      </c>
      <c r="CI101" s="761">
        <f>CI98+CI99</f>
        <v>-40.69100000000001</v>
      </c>
      <c r="CJ101" s="761">
        <f>CJ98+CJ99</f>
        <v>-74.825262000000023</v>
      </c>
      <c r="CK101" s="761">
        <f>CK98+CK99</f>
        <v>-38.14363114624998</v>
      </c>
      <c r="CL101" s="35">
        <f>SUM(CH101:CK101)</f>
        <v>-181.47589314625003</v>
      </c>
      <c r="CM101" s="761">
        <f>CM98+CM99</f>
        <v>-24.556135463410683</v>
      </c>
      <c r="CN101" s="761">
        <f>CN98+CN99</f>
        <v>-21.467203732622391</v>
      </c>
      <c r="CO101" s="761">
        <f>CO98+CO99</f>
        <v>-16.404294716856178</v>
      </c>
      <c r="CP101" s="761">
        <f>CP98+CP99</f>
        <v>-16.910376025595308</v>
      </c>
      <c r="CQ101" s="35">
        <f>SUM(CM101:CP101)</f>
        <v>-79.338009938484561</v>
      </c>
      <c r="CR101" s="761">
        <f>CR98+CR99</f>
        <v>-17.179425791583167</v>
      </c>
      <c r="CS101" s="761">
        <f>CS98+CS99</f>
        <v>-13.210699369731351</v>
      </c>
      <c r="CT101" s="761">
        <f>CT98+CT99</f>
        <v>-6.4244684899399953</v>
      </c>
      <c r="CU101" s="761">
        <f>CU98+CU99</f>
        <v>-6.1647072613715128</v>
      </c>
      <c r="CV101" s="35">
        <f>SUM(CR101:CU101)</f>
        <v>-42.979300912626023</v>
      </c>
    </row>
    <row r="102" spans="1:102" ht="12" hidden="1" customHeight="1" x14ac:dyDescent="0.25">
      <c r="A102" s="47"/>
      <c r="B102" s="47"/>
      <c r="E102" s="6" t="s">
        <v>450</v>
      </c>
      <c r="F102" s="33"/>
      <c r="G102" s="33"/>
      <c r="H102" s="33"/>
      <c r="I102" s="33"/>
      <c r="J102" s="33"/>
      <c r="O102" s="33"/>
      <c r="T102" s="33"/>
      <c r="Y102" s="33"/>
      <c r="AD102" s="33"/>
      <c r="AI102" s="33"/>
      <c r="AN102" s="33"/>
      <c r="AS102" s="33"/>
      <c r="AV102" s="27">
        <f>AV78</f>
        <v>0.441</v>
      </c>
      <c r="AX102" s="33"/>
      <c r="BA102" s="27">
        <f>BA78</f>
        <v>0.81399999999999995</v>
      </c>
      <c r="BB102" s="27">
        <f>BB78</f>
        <v>31.031000000000002</v>
      </c>
      <c r="BC102" s="33"/>
      <c r="BD102" s="27">
        <f>BD78</f>
        <v>0</v>
      </c>
      <c r="BE102" s="27">
        <f>BE78</f>
        <v>0</v>
      </c>
      <c r="BF102" s="27">
        <f>BF78</f>
        <v>0</v>
      </c>
      <c r="BG102" s="27">
        <f>BG78</f>
        <v>0</v>
      </c>
      <c r="BH102" s="139">
        <f t="shared" si="165"/>
        <v>0</v>
      </c>
      <c r="BI102" s="27">
        <f>BI78</f>
        <v>0</v>
      </c>
      <c r="BJ102" s="27">
        <f>BJ78</f>
        <v>0</v>
      </c>
      <c r="BK102" s="27">
        <f>BK78</f>
        <v>0</v>
      </c>
      <c r="BL102" s="27">
        <f>BL78</f>
        <v>0</v>
      </c>
      <c r="BM102" s="139">
        <f>SUM(BI102:BL102)</f>
        <v>0</v>
      </c>
      <c r="BN102" s="27">
        <f>BN78</f>
        <v>3.137</v>
      </c>
      <c r="BO102" s="27">
        <f>BO78</f>
        <v>5.5570000000000004</v>
      </c>
      <c r="BP102" s="27">
        <f>BP78</f>
        <v>3.819</v>
      </c>
      <c r="BQ102" s="27">
        <f>BQ78</f>
        <v>2.9980000000000002</v>
      </c>
      <c r="BR102" s="139">
        <f>SUM(BN102:BQ102)</f>
        <v>15.511000000000003</v>
      </c>
      <c r="BS102" s="27">
        <f>BS78</f>
        <v>4.1429999999999998</v>
      </c>
      <c r="BT102" s="27">
        <f>BT78</f>
        <v>12.068</v>
      </c>
      <c r="BU102" s="27">
        <f>BU78</f>
        <v>-0.97099999999999997</v>
      </c>
      <c r="BV102" s="27">
        <f>BV78</f>
        <v>0.111</v>
      </c>
      <c r="BW102" s="139">
        <f>SUM(BS102:BV102)</f>
        <v>15.350999999999999</v>
      </c>
      <c r="BX102" s="27">
        <f>BX78</f>
        <v>0</v>
      </c>
      <c r="BY102" s="27">
        <f>BY78</f>
        <v>0</v>
      </c>
      <c r="BZ102" s="27">
        <f>BZ78</f>
        <v>0</v>
      </c>
      <c r="CA102" s="27">
        <f>CA78</f>
        <v>0</v>
      </c>
      <c r="CB102" s="139">
        <f>SUM(BX102:CA102)</f>
        <v>0</v>
      </c>
      <c r="CC102" s="645">
        <f>CC78</f>
        <v>25.779</v>
      </c>
      <c r="CD102" s="645">
        <f>CD78</f>
        <v>22.664999999999999</v>
      </c>
      <c r="CE102" s="645">
        <f>CE78</f>
        <v>20.407</v>
      </c>
      <c r="CF102" s="645">
        <f>CF78</f>
        <v>24.773</v>
      </c>
      <c r="CG102" s="139">
        <f>SUM(CC102:CF102)</f>
        <v>93.623999999999995</v>
      </c>
      <c r="CH102" s="645">
        <f>CH78</f>
        <v>24.803000000000001</v>
      </c>
      <c r="CI102" s="645">
        <f>CI78</f>
        <v>61.802999999999997</v>
      </c>
      <c r="CJ102" s="645">
        <f>CJ78</f>
        <v>0</v>
      </c>
      <c r="CK102" s="645">
        <f>CK78</f>
        <v>0</v>
      </c>
      <c r="CL102" s="139">
        <f>SUM(CH102:CK102)</f>
        <v>86.605999999999995</v>
      </c>
      <c r="CM102" s="645">
        <f>CM78</f>
        <v>0</v>
      </c>
      <c r="CN102" s="645">
        <f>CN78</f>
        <v>0</v>
      </c>
      <c r="CO102" s="645">
        <f>CO78</f>
        <v>0</v>
      </c>
      <c r="CP102" s="645">
        <f>CP78</f>
        <v>0</v>
      </c>
      <c r="CQ102" s="139">
        <f>SUM(CM102:CP102)</f>
        <v>0</v>
      </c>
      <c r="CR102" s="645">
        <f>CR78</f>
        <v>0</v>
      </c>
      <c r="CS102" s="645">
        <f>CS78</f>
        <v>0</v>
      </c>
      <c r="CT102" s="645">
        <f>CT78</f>
        <v>0</v>
      </c>
      <c r="CU102" s="645">
        <f>CU78</f>
        <v>0</v>
      </c>
      <c r="CV102" s="139">
        <f>SUM(CR102:CU102)</f>
        <v>0</v>
      </c>
    </row>
    <row r="103" spans="1:102" ht="12" hidden="1" customHeight="1" x14ac:dyDescent="0.25">
      <c r="A103" s="47"/>
      <c r="B103" s="47"/>
      <c r="E103" s="6" t="s">
        <v>313</v>
      </c>
      <c r="F103" s="33"/>
      <c r="G103" s="33"/>
      <c r="H103" s="33"/>
      <c r="I103" s="33"/>
      <c r="J103" s="33"/>
      <c r="O103" s="33"/>
      <c r="T103" s="33"/>
      <c r="Y103" s="33"/>
      <c r="AD103" s="33"/>
      <c r="AI103" s="33"/>
      <c r="AN103" s="33"/>
      <c r="AS103" s="33"/>
      <c r="AV103" s="124">
        <v>0.40899999999999997</v>
      </c>
      <c r="AX103" s="33"/>
      <c r="BA103" s="124">
        <v>0.23100000000000001</v>
      </c>
      <c r="BB103" s="128">
        <v>0.2</v>
      </c>
      <c r="BC103" s="33"/>
      <c r="BD103" s="128">
        <v>0.2</v>
      </c>
      <c r="BE103" s="128">
        <v>0.2</v>
      </c>
      <c r="BF103" s="128">
        <v>0.2</v>
      </c>
      <c r="BG103" s="128">
        <v>0.2</v>
      </c>
      <c r="BH103" s="139">
        <f t="shared" si="165"/>
        <v>0.8</v>
      </c>
      <c r="BI103" s="128">
        <v>0.2</v>
      </c>
      <c r="BJ103" s="128">
        <v>0.2</v>
      </c>
      <c r="BK103" s="128">
        <v>0.2</v>
      </c>
      <c r="BL103" s="128">
        <v>0.2</v>
      </c>
      <c r="BM103" s="139">
        <f>SUM(BI103:BL103)</f>
        <v>0.8</v>
      </c>
      <c r="BN103" s="128">
        <v>0.2</v>
      </c>
      <c r="BO103" s="128">
        <v>0.2</v>
      </c>
      <c r="BP103" s="128">
        <v>0.2</v>
      </c>
      <c r="BQ103" s="128">
        <v>0.2</v>
      </c>
      <c r="BR103" s="139">
        <f>SUM(BN103:BQ103)</f>
        <v>0.8</v>
      </c>
      <c r="BS103" s="128">
        <v>0.2</v>
      </c>
      <c r="BT103" s="128">
        <v>0.2</v>
      </c>
      <c r="BU103" s="128">
        <v>0.2</v>
      </c>
      <c r="BV103" s="128">
        <v>0.2</v>
      </c>
      <c r="BW103" s="139">
        <f>SUM(BS103:BV103)</f>
        <v>0.8</v>
      </c>
      <c r="BX103" s="128">
        <v>0.2</v>
      </c>
      <c r="BY103" s="128">
        <v>0.2</v>
      </c>
      <c r="BZ103" s="128">
        <v>0.2</v>
      </c>
      <c r="CA103" s="128">
        <v>0.2</v>
      </c>
      <c r="CB103" s="139">
        <f>SUM(BX103:CA103)</f>
        <v>0.8</v>
      </c>
      <c r="CC103" s="704">
        <v>0.2</v>
      </c>
      <c r="CD103" s="704">
        <v>0.2</v>
      </c>
      <c r="CE103" s="704">
        <v>0.2</v>
      </c>
      <c r="CF103" s="704">
        <v>0.2</v>
      </c>
      <c r="CG103" s="139">
        <f>SUM(CC103:CF103)</f>
        <v>0.8</v>
      </c>
      <c r="CH103" s="704">
        <v>0.2</v>
      </c>
      <c r="CI103" s="704">
        <v>0.2</v>
      </c>
      <c r="CJ103" s="704">
        <v>0.2</v>
      </c>
      <c r="CK103" s="704">
        <v>0.2</v>
      </c>
      <c r="CL103" s="139">
        <f>SUM(CH103:CK103)</f>
        <v>0.8</v>
      </c>
      <c r="CM103" s="704">
        <v>0.2</v>
      </c>
      <c r="CN103" s="704">
        <v>0.2</v>
      </c>
      <c r="CO103" s="704">
        <v>0.2</v>
      </c>
      <c r="CP103" s="704">
        <v>0.2</v>
      </c>
      <c r="CQ103" s="139">
        <f>SUM(CM103:CP103)</f>
        <v>0.8</v>
      </c>
      <c r="CR103" s="704">
        <v>0.2</v>
      </c>
      <c r="CS103" s="704">
        <v>0.2</v>
      </c>
      <c r="CT103" s="704">
        <v>0.2</v>
      </c>
      <c r="CU103" s="704">
        <v>0.2</v>
      </c>
      <c r="CV103" s="139">
        <f>SUM(CR103:CU103)</f>
        <v>0.8</v>
      </c>
    </row>
    <row r="104" spans="1:102" ht="12" hidden="1" customHeight="1" x14ac:dyDescent="0.25">
      <c r="A104" s="47"/>
      <c r="B104" s="47"/>
      <c r="E104" s="24" t="s">
        <v>454</v>
      </c>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5">
        <f>AV101+AV102+AV103</f>
        <v>15.215000000000042</v>
      </c>
      <c r="AW104" s="33"/>
      <c r="AX104" s="33"/>
      <c r="AY104" s="33"/>
      <c r="AZ104" s="33"/>
      <c r="BA104" s="35">
        <f>BA101+BA102+BA103</f>
        <v>17.065000000000026</v>
      </c>
      <c r="BB104" s="35">
        <f>BB101+BB102+BB103</f>
        <v>48.428999999999988</v>
      </c>
      <c r="BC104" s="33"/>
      <c r="BD104" s="35">
        <f t="shared" ref="BD104:BW104" si="166">BD101+BD102+BD103</f>
        <v>13.558999999999992</v>
      </c>
      <c r="BE104" s="35">
        <f t="shared" si="166"/>
        <v>16.591999999999988</v>
      </c>
      <c r="BF104" s="35">
        <f t="shared" si="166"/>
        <v>14.599000000000048</v>
      </c>
      <c r="BG104" s="35">
        <f t="shared" si="166"/>
        <v>14.16399999999998</v>
      </c>
      <c r="BH104" s="35">
        <f t="shared" si="166"/>
        <v>58.914000000000016</v>
      </c>
      <c r="BI104" s="35">
        <f t="shared" si="166"/>
        <v>13.294999999999972</v>
      </c>
      <c r="BJ104" s="35">
        <f t="shared" si="166"/>
        <v>15.250999999999948</v>
      </c>
      <c r="BK104" s="35">
        <f t="shared" si="166"/>
        <v>19.647000000000041</v>
      </c>
      <c r="BL104" s="35">
        <f t="shared" si="166"/>
        <v>18.719000000000019</v>
      </c>
      <c r="BM104" s="35">
        <f t="shared" si="166"/>
        <v>66.911999999999978</v>
      </c>
      <c r="BN104" s="35">
        <f t="shared" si="166"/>
        <v>-7.6818200000000116</v>
      </c>
      <c r="BO104" s="35">
        <f t="shared" si="166"/>
        <v>-4.3945999999999996</v>
      </c>
      <c r="BP104" s="35">
        <f t="shared" si="166"/>
        <v>3.0664200000000088</v>
      </c>
      <c r="BQ104" s="35">
        <f t="shared" si="166"/>
        <v>-1.8469799999999987</v>
      </c>
      <c r="BR104" s="35">
        <f t="shared" si="166"/>
        <v>-10.85698</v>
      </c>
      <c r="BS104" s="35">
        <f t="shared" si="166"/>
        <v>-3.1999999999984208E-2</v>
      </c>
      <c r="BT104" s="35">
        <f t="shared" si="166"/>
        <v>14.156000000000006</v>
      </c>
      <c r="BU104" s="35">
        <f t="shared" si="166"/>
        <v>2.8480000000000114</v>
      </c>
      <c r="BV104" s="35">
        <f t="shared" si="166"/>
        <v>9.4920000000000044</v>
      </c>
      <c r="BW104" s="35">
        <f t="shared" si="166"/>
        <v>26.464000000000038</v>
      </c>
      <c r="BX104" s="35">
        <f t="shared" ref="BX104:CG104" si="167">BX101+BX102+BX103</f>
        <v>4.4899999999999851</v>
      </c>
      <c r="BY104" s="35">
        <f t="shared" si="167"/>
        <v>7.6399999999999872</v>
      </c>
      <c r="BZ104" s="35">
        <f t="shared" si="167"/>
        <v>3.3839999999999995</v>
      </c>
      <c r="CA104" s="35">
        <f t="shared" si="167"/>
        <v>-2.2309999999999781</v>
      </c>
      <c r="CB104" s="35">
        <f t="shared" si="167"/>
        <v>13.282999999999994</v>
      </c>
      <c r="CC104" s="761">
        <f t="shared" si="167"/>
        <v>-1.1030000000000009</v>
      </c>
      <c r="CD104" s="761">
        <f t="shared" si="167"/>
        <v>-0.30300000000000721</v>
      </c>
      <c r="CE104" s="761">
        <f t="shared" si="167"/>
        <v>22.352999999999998</v>
      </c>
      <c r="CF104" s="761">
        <f t="shared" si="167"/>
        <v>6.0559999999999947</v>
      </c>
      <c r="CG104" s="35">
        <f t="shared" si="167"/>
        <v>27.002999999999989</v>
      </c>
      <c r="CH104" s="761">
        <f t="shared" ref="CH104:CQ104" si="168">CH101+CH102+CH103</f>
        <v>-2.8130000000000051</v>
      </c>
      <c r="CI104" s="761">
        <f t="shared" si="168"/>
        <v>21.311999999999987</v>
      </c>
      <c r="CJ104" s="761">
        <f t="shared" si="168"/>
        <v>-74.625262000000021</v>
      </c>
      <c r="CK104" s="761">
        <f t="shared" si="168"/>
        <v>-37.943631146249977</v>
      </c>
      <c r="CL104" s="35">
        <f t="shared" si="168"/>
        <v>-94.069893146250038</v>
      </c>
      <c r="CM104" s="761">
        <f t="shared" si="168"/>
        <v>-24.356135463410684</v>
      </c>
      <c r="CN104" s="761">
        <f t="shared" si="168"/>
        <v>-21.267203732622391</v>
      </c>
      <c r="CO104" s="761">
        <f t="shared" si="168"/>
        <v>-16.204294716856179</v>
      </c>
      <c r="CP104" s="761">
        <f t="shared" si="168"/>
        <v>-16.710376025595309</v>
      </c>
      <c r="CQ104" s="35">
        <f t="shared" si="168"/>
        <v>-78.538009938484564</v>
      </c>
      <c r="CR104" s="761">
        <f t="shared" ref="CR104:CV104" si="169">CR101+CR102+CR103</f>
        <v>-16.979425791583168</v>
      </c>
      <c r="CS104" s="761">
        <f t="shared" si="169"/>
        <v>-13.010699369731352</v>
      </c>
      <c r="CT104" s="761">
        <f t="shared" si="169"/>
        <v>-6.2244684899399951</v>
      </c>
      <c r="CU104" s="761">
        <f t="shared" si="169"/>
        <v>-5.9647072613715126</v>
      </c>
      <c r="CV104" s="35">
        <f t="shared" si="169"/>
        <v>-42.179300912626026</v>
      </c>
    </row>
    <row r="105" spans="1:102" ht="12" hidden="1" customHeight="1" x14ac:dyDescent="0.25">
      <c r="A105" s="47"/>
      <c r="B105" s="47"/>
      <c r="E105" s="24" t="s">
        <v>455</v>
      </c>
      <c r="F105" s="33"/>
      <c r="G105" s="33"/>
      <c r="H105" s="33"/>
      <c r="I105" s="33"/>
      <c r="J105" s="33"/>
      <c r="K105" s="33"/>
      <c r="L105" s="33"/>
      <c r="M105" s="33"/>
      <c r="N105" s="33"/>
      <c r="O105" s="33"/>
      <c r="P105" s="33"/>
      <c r="Q105" s="33"/>
      <c r="R105" s="33"/>
      <c r="S105" s="33"/>
      <c r="T105" s="33"/>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33"/>
      <c r="AU105" s="33"/>
      <c r="AV105" s="38">
        <f>AV104/AV86</f>
        <v>0.18532729177324714</v>
      </c>
      <c r="AW105" s="33"/>
      <c r="AX105" s="33"/>
      <c r="AY105" s="33"/>
      <c r="AZ105" s="33"/>
      <c r="BA105" s="38">
        <f>BA104/BA86</f>
        <v>0.21595798532017246</v>
      </c>
      <c r="BB105" s="38">
        <f>BB104/BB86</f>
        <v>0.61343686270535913</v>
      </c>
      <c r="BC105" s="33"/>
      <c r="BD105" s="38">
        <f t="shared" ref="BD105:BW105" si="170">BD104/BD86</f>
        <v>0.17370639404537699</v>
      </c>
      <c r="BE105" s="38">
        <f t="shared" si="170"/>
        <v>0.21541058098020105</v>
      </c>
      <c r="BF105" s="38">
        <f t="shared" si="170"/>
        <v>0.19240095943488295</v>
      </c>
      <c r="BG105" s="38">
        <f t="shared" si="170"/>
        <v>0.1887853705999171</v>
      </c>
      <c r="BH105" s="38">
        <f t="shared" si="170"/>
        <v>0.77015036586521679</v>
      </c>
      <c r="BI105" s="38">
        <f t="shared" si="170"/>
        <v>0.1761137089189436</v>
      </c>
      <c r="BJ105" s="38">
        <f t="shared" si="170"/>
        <v>0.20057604292703388</v>
      </c>
      <c r="BK105" s="38">
        <f t="shared" si="170"/>
        <v>0.25240560644407101</v>
      </c>
      <c r="BL105" s="38">
        <f t="shared" si="170"/>
        <v>0.24535671686786492</v>
      </c>
      <c r="BM105" s="38">
        <f t="shared" si="170"/>
        <v>0.87564246431480808</v>
      </c>
      <c r="BN105" s="38">
        <f t="shared" si="170"/>
        <v>-9.9980737443546547E-2</v>
      </c>
      <c r="BO105" s="38">
        <f t="shared" si="170"/>
        <v>-5.6981704549874869E-2</v>
      </c>
      <c r="BP105" s="38">
        <f t="shared" si="170"/>
        <v>3.9803476161424843E-2</v>
      </c>
      <c r="BQ105" s="38">
        <f t="shared" si="170"/>
        <v>-2.3854469371149579E-2</v>
      </c>
      <c r="BR105" s="38">
        <f t="shared" si="170"/>
        <v>-0.14080681663435163</v>
      </c>
      <c r="BS105" s="38">
        <f t="shared" si="170"/>
        <v>-4.0326645831213081E-4</v>
      </c>
      <c r="BT105" s="38">
        <f t="shared" si="170"/>
        <v>0.17848947169335524</v>
      </c>
      <c r="BU105" s="38">
        <f t="shared" si="170"/>
        <v>3.5893428780278923E-2</v>
      </c>
      <c r="BV105" s="38">
        <f t="shared" si="170"/>
        <v>0.12109305233077342</v>
      </c>
      <c r="BW105" s="38">
        <f t="shared" si="170"/>
        <v>0.3345701878038147</v>
      </c>
      <c r="BX105" s="38">
        <f t="shared" ref="BX105:CG105" si="171">BX104/BX86</f>
        <v>5.6582611873526964E-2</v>
      </c>
      <c r="BY105" s="38">
        <f t="shared" si="171"/>
        <v>9.6370952483065542E-2</v>
      </c>
      <c r="BZ105" s="38">
        <f t="shared" si="171"/>
        <v>4.2378930758537769E-2</v>
      </c>
      <c r="CA105" s="38">
        <f t="shared" si="171"/>
        <v>-2.7573165908641215E-2</v>
      </c>
      <c r="CB105" s="38">
        <f t="shared" si="171"/>
        <v>0.16635305094350838</v>
      </c>
      <c r="CC105" s="795">
        <f t="shared" si="171"/>
        <v>-1.4020235916209082E-2</v>
      </c>
      <c r="CD105" s="795">
        <f t="shared" si="171"/>
        <v>-3.8240676468733162E-3</v>
      </c>
      <c r="CE105" s="795">
        <f t="shared" si="171"/>
        <v>0.28279544045646038</v>
      </c>
      <c r="CF105" s="795">
        <f t="shared" si="171"/>
        <v>7.7034624875976218E-2</v>
      </c>
      <c r="CG105" s="38">
        <f t="shared" si="171"/>
        <v>0.34228238962619301</v>
      </c>
      <c r="CH105" s="795">
        <f t="shared" ref="CH105:CQ105" si="172">CH104/CH86</f>
        <v>-3.6563332683434133E-2</v>
      </c>
      <c r="CI105" s="795">
        <f t="shared" si="172"/>
        <v>0.27517818407189326</v>
      </c>
      <c r="CJ105" s="795">
        <f t="shared" si="172"/>
        <v>-1.0459334809665306</v>
      </c>
      <c r="CK105" s="795">
        <f t="shared" si="172"/>
        <v>-0.57623057870018801</v>
      </c>
      <c r="CL105" s="38">
        <f t="shared" si="172"/>
        <v>-1.2904892759252213</v>
      </c>
      <c r="CM105" s="795">
        <f t="shared" si="172"/>
        <v>-0.37791918233941607</v>
      </c>
      <c r="CN105" s="795">
        <f t="shared" si="172"/>
        <v>-0.33731765849229783</v>
      </c>
      <c r="CO105" s="795">
        <f t="shared" si="172"/>
        <v>-0.2628519127442282</v>
      </c>
      <c r="CP105" s="795">
        <f t="shared" si="172"/>
        <v>-0.27690024566837856</v>
      </c>
      <c r="CQ105" s="38">
        <f t="shared" si="172"/>
        <v>-1.2591667859247524</v>
      </c>
      <c r="CR105" s="795">
        <f t="shared" ref="CR105:CV105" si="173">CR104/CR86</f>
        <v>-0.28229410440219405</v>
      </c>
      <c r="CS105" s="795">
        <f t="shared" si="173"/>
        <v>-0.21703308483571351</v>
      </c>
      <c r="CT105" s="795">
        <f t="shared" si="173"/>
        <v>-0.10417869200542271</v>
      </c>
      <c r="CU105" s="795">
        <f t="shared" si="173"/>
        <v>-0.10016637437649482</v>
      </c>
      <c r="CV105" s="38">
        <f t="shared" si="173"/>
        <v>-0.7047737754415524</v>
      </c>
    </row>
    <row r="106" spans="1:102" s="94" customFormat="1" ht="12" hidden="1" customHeight="1" x14ac:dyDescent="0.25">
      <c r="A106" s="123"/>
      <c r="B106" s="123"/>
      <c r="C106" s="99"/>
      <c r="D106" s="99"/>
      <c r="E106" s="31" t="s">
        <v>2</v>
      </c>
      <c r="F106" s="31"/>
      <c r="G106" s="31"/>
      <c r="H106" s="31"/>
      <c r="I106" s="31"/>
      <c r="J106" s="31"/>
      <c r="K106" s="31"/>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466"/>
      <c r="AW106" s="31"/>
      <c r="AX106" s="31"/>
      <c r="AY106" s="31"/>
      <c r="AZ106" s="31"/>
      <c r="BA106" s="32">
        <f>BA105/AV105-1</f>
        <v>0.16527891415152607</v>
      </c>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31"/>
      <c r="CA106" s="31"/>
      <c r="CB106" s="31"/>
      <c r="CC106" s="775"/>
      <c r="CD106" s="775"/>
      <c r="CE106" s="775"/>
      <c r="CF106" s="775"/>
      <c r="CG106" s="31"/>
      <c r="CH106" s="775"/>
      <c r="CI106" s="775"/>
      <c r="CJ106" s="775"/>
      <c r="CK106" s="775"/>
      <c r="CL106" s="31"/>
      <c r="CM106" s="775"/>
      <c r="CN106" s="775"/>
      <c r="CO106" s="775"/>
      <c r="CP106" s="775"/>
      <c r="CQ106" s="31"/>
      <c r="CR106" s="775"/>
      <c r="CS106" s="775"/>
      <c r="CT106" s="775"/>
      <c r="CU106" s="775"/>
      <c r="CV106" s="31"/>
      <c r="CX106" s="722"/>
    </row>
    <row r="107" spans="1:102" ht="3.95" hidden="1" customHeight="1" x14ac:dyDescent="0.25">
      <c r="A107" s="47"/>
      <c r="B107" s="47"/>
      <c r="F107" s="33"/>
      <c r="G107" s="33"/>
      <c r="H107" s="33"/>
      <c r="I107" s="33"/>
      <c r="J107" s="33"/>
      <c r="O107" s="33"/>
      <c r="T107" s="33"/>
      <c r="Y107" s="33"/>
      <c r="AD107" s="33"/>
      <c r="AI107" s="33"/>
      <c r="AN107" s="33"/>
      <c r="AS107" s="33"/>
      <c r="AV107" s="124"/>
      <c r="AX107" s="33"/>
      <c r="BA107" s="124"/>
      <c r="BB107" s="27"/>
      <c r="BC107" s="33"/>
      <c r="BD107" s="27"/>
      <c r="BE107" s="27"/>
      <c r="BF107" s="27"/>
      <c r="BG107" s="27"/>
      <c r="BH107" s="139"/>
      <c r="BI107" s="27"/>
      <c r="BJ107" s="27"/>
      <c r="BK107" s="27"/>
      <c r="BL107" s="27"/>
      <c r="BM107" s="139"/>
      <c r="BN107" s="27"/>
      <c r="BO107" s="27"/>
      <c r="BP107" s="27"/>
      <c r="BQ107" s="27"/>
      <c r="BR107" s="139"/>
      <c r="BS107" s="27"/>
      <c r="BT107" s="27"/>
      <c r="BU107" s="27"/>
      <c r="BV107" s="27"/>
      <c r="BW107" s="139"/>
      <c r="BX107" s="27"/>
      <c r="BY107" s="27"/>
      <c r="BZ107" s="27"/>
      <c r="CA107" s="27"/>
      <c r="CB107" s="139"/>
      <c r="CC107" s="645"/>
      <c r="CD107" s="645"/>
      <c r="CE107" s="645"/>
      <c r="CF107" s="645"/>
      <c r="CG107" s="139"/>
      <c r="CH107" s="645"/>
      <c r="CI107" s="645"/>
      <c r="CJ107" s="645"/>
      <c r="CK107" s="645"/>
      <c r="CL107" s="139"/>
      <c r="CM107" s="645"/>
      <c r="CN107" s="645"/>
      <c r="CO107" s="645"/>
      <c r="CP107" s="645"/>
      <c r="CQ107" s="139"/>
      <c r="CR107" s="645"/>
      <c r="CS107" s="645"/>
      <c r="CT107" s="645"/>
      <c r="CU107" s="645"/>
      <c r="CV107" s="139"/>
    </row>
    <row r="108" spans="1:102" s="717" customFormat="1" ht="12" customHeight="1" x14ac:dyDescent="0.25">
      <c r="A108" s="720"/>
      <c r="B108" s="720"/>
      <c r="C108" s="2"/>
      <c r="D108" s="2"/>
      <c r="E108" s="722" t="s">
        <v>807</v>
      </c>
      <c r="F108" s="33"/>
      <c r="G108" s="33"/>
      <c r="H108" s="33"/>
      <c r="I108" s="33"/>
      <c r="J108" s="33"/>
      <c r="O108" s="33"/>
      <c r="T108" s="33"/>
      <c r="Y108" s="33"/>
      <c r="AD108" s="33"/>
      <c r="AI108" s="33"/>
      <c r="AN108" s="33"/>
      <c r="AS108" s="33"/>
      <c r="AV108" s="124"/>
      <c r="AX108" s="33"/>
      <c r="BA108" s="124"/>
      <c r="BB108" s="27"/>
      <c r="BC108" s="33"/>
      <c r="BD108" s="27"/>
      <c r="BE108" s="27"/>
      <c r="BF108" s="27"/>
      <c r="BG108" s="27"/>
      <c r="BH108" s="139"/>
      <c r="BI108" s="27"/>
      <c r="BJ108" s="27"/>
      <c r="BK108" s="27"/>
      <c r="BL108" s="27"/>
      <c r="BM108" s="139"/>
      <c r="BN108" s="27"/>
      <c r="BO108" s="27"/>
      <c r="BP108" s="27"/>
      <c r="BQ108" s="27"/>
      <c r="BR108" s="139"/>
      <c r="BS108" s="27"/>
      <c r="BT108" s="27"/>
      <c r="BU108" s="27"/>
      <c r="BV108" s="27"/>
      <c r="BW108" s="139"/>
      <c r="BX108" s="27"/>
      <c r="BY108" s="27"/>
      <c r="BZ108" s="27"/>
      <c r="CA108" s="27"/>
      <c r="CB108" s="139"/>
      <c r="CC108" s="645"/>
      <c r="CD108" s="645"/>
      <c r="CE108" s="645"/>
      <c r="CF108" s="645"/>
      <c r="CG108" s="139"/>
      <c r="CH108" s="645"/>
      <c r="CI108" s="645"/>
      <c r="CJ108" s="645"/>
      <c r="CK108" s="645"/>
      <c r="CL108" s="139"/>
      <c r="CM108" s="645"/>
      <c r="CN108" s="645"/>
      <c r="CO108" s="645"/>
      <c r="CP108" s="645"/>
      <c r="CQ108" s="139"/>
      <c r="CR108" s="645"/>
      <c r="CS108" s="645"/>
      <c r="CT108" s="645"/>
      <c r="CU108" s="645"/>
      <c r="CV108" s="139"/>
    </row>
    <row r="109" spans="1:102" s="717" customFormat="1" ht="12" customHeight="1" x14ac:dyDescent="0.25">
      <c r="A109" s="720"/>
      <c r="B109" s="720"/>
      <c r="C109" s="2"/>
      <c r="D109" s="2"/>
      <c r="E109" s="717" t="s">
        <v>808</v>
      </c>
      <c r="F109" s="33"/>
      <c r="G109" s="33"/>
      <c r="H109" s="33"/>
      <c r="I109" s="33"/>
      <c r="J109" s="33"/>
      <c r="O109" s="33"/>
      <c r="T109" s="33"/>
      <c r="Y109" s="33"/>
      <c r="AD109" s="33"/>
      <c r="AI109" s="33"/>
      <c r="AN109" s="33"/>
      <c r="AS109" s="33"/>
      <c r="AV109" s="124"/>
      <c r="AX109" s="33"/>
      <c r="BA109" s="124"/>
      <c r="BB109" s="27"/>
      <c r="BC109" s="33"/>
      <c r="BD109" s="27"/>
      <c r="BE109" s="27"/>
      <c r="BF109" s="27"/>
      <c r="BG109" s="27"/>
      <c r="BH109" s="139"/>
      <c r="BI109" s="27"/>
      <c r="BJ109" s="27"/>
      <c r="BK109" s="27"/>
      <c r="BL109" s="27"/>
      <c r="BM109" s="139"/>
      <c r="BN109" s="27"/>
      <c r="BO109" s="27"/>
      <c r="BP109" s="27"/>
      <c r="BQ109" s="27"/>
      <c r="BR109" s="139"/>
      <c r="BS109" s="27"/>
      <c r="BT109" s="27"/>
      <c r="BU109" s="27"/>
      <c r="BV109" s="27"/>
      <c r="BW109" s="139"/>
      <c r="BX109" s="27"/>
      <c r="BY109" s="27"/>
      <c r="BZ109" s="27"/>
      <c r="CA109" s="27"/>
      <c r="CB109" s="139"/>
      <c r="CC109" s="645">
        <f>CC36</f>
        <v>22.695999999999998</v>
      </c>
      <c r="CD109" s="645">
        <f>CD36</f>
        <v>30.003999999999998</v>
      </c>
      <c r="CE109" s="645">
        <f>CE36</f>
        <v>34.594999999999999</v>
      </c>
      <c r="CF109" s="645">
        <f>CF36</f>
        <v>36.409999999999997</v>
      </c>
      <c r="CG109" s="139">
        <f>SUM(CC109:CF109)</f>
        <v>123.70499999999998</v>
      </c>
      <c r="CH109" s="645">
        <f>CH36</f>
        <v>38.816999999999993</v>
      </c>
      <c r="CI109" s="645">
        <f>CI36</f>
        <v>40.345999999999997</v>
      </c>
      <c r="CJ109" s="645">
        <f>CJ36</f>
        <v>37.326738000000006</v>
      </c>
      <c r="CK109" s="645">
        <f>CK36</f>
        <v>41.940130000000011</v>
      </c>
      <c r="CL109" s="139">
        <f>SUM(CH109:CK109)</f>
        <v>158.429868</v>
      </c>
      <c r="CM109" s="645">
        <f>CM36</f>
        <v>44.412300000000002</v>
      </c>
      <c r="CN109" s="645">
        <f>CN36</f>
        <v>50.633079999999993</v>
      </c>
      <c r="CO109" s="645">
        <f>CO36</f>
        <v>60.713130780000014</v>
      </c>
      <c r="CP109" s="645">
        <f>CP36</f>
        <v>61.17331930000001</v>
      </c>
      <c r="CQ109" s="139">
        <f>SUM(CM109:CP109)</f>
        <v>216.93183008</v>
      </c>
      <c r="CR109" s="645">
        <f>CR36</f>
        <v>64.752703000000011</v>
      </c>
      <c r="CS109" s="645">
        <f>CS36</f>
        <v>72.463732799999988</v>
      </c>
      <c r="CT109" s="645">
        <f>CT36</f>
        <v>84.812490052300021</v>
      </c>
      <c r="CU109" s="645">
        <f>CU36</f>
        <v>86.603370454000029</v>
      </c>
      <c r="CV109" s="139">
        <f>SUM(CR109:CU109)</f>
        <v>308.63229630630002</v>
      </c>
    </row>
    <row r="110" spans="1:102" s="717" customFormat="1" ht="12" customHeight="1" x14ac:dyDescent="0.25">
      <c r="A110" s="720"/>
      <c r="B110" s="720"/>
      <c r="C110" s="2"/>
      <c r="D110" s="2"/>
      <c r="E110" s="717" t="s">
        <v>689</v>
      </c>
      <c r="F110" s="33"/>
      <c r="G110" s="33"/>
      <c r="H110" s="33"/>
      <c r="I110" s="33"/>
      <c r="J110" s="33"/>
      <c r="O110" s="33"/>
      <c r="T110" s="33"/>
      <c r="Y110" s="33"/>
      <c r="AD110" s="33"/>
      <c r="AI110" s="33"/>
      <c r="AN110" s="33"/>
      <c r="AS110" s="33"/>
      <c r="AV110" s="124"/>
      <c r="AX110" s="33"/>
      <c r="BA110" s="124"/>
      <c r="BB110" s="27"/>
      <c r="BC110" s="33"/>
      <c r="BD110" s="27"/>
      <c r="BE110" s="27"/>
      <c r="BF110" s="27"/>
      <c r="BG110" s="27"/>
      <c r="BH110" s="139"/>
      <c r="BI110" s="27"/>
      <c r="BJ110" s="27"/>
      <c r="BK110" s="27"/>
      <c r="BL110" s="27"/>
      <c r="BM110" s="139"/>
      <c r="BN110" s="27"/>
      <c r="BO110" s="27"/>
      <c r="BP110" s="27"/>
      <c r="BQ110" s="27"/>
      <c r="BR110" s="139"/>
      <c r="BS110" s="27"/>
      <c r="BT110" s="27"/>
      <c r="BU110" s="27"/>
      <c r="BV110" s="27"/>
      <c r="BW110" s="139"/>
      <c r="BX110" s="27"/>
      <c r="BY110" s="27"/>
      <c r="BZ110" s="27"/>
      <c r="CA110" s="27"/>
      <c r="CB110" s="139"/>
      <c r="CC110" s="645">
        <f t="shared" ref="CC110:CF111" si="174">-CC28</f>
        <v>5.9589999999999996</v>
      </c>
      <c r="CD110" s="645">
        <f t="shared" si="174"/>
        <v>6.0149999999999997</v>
      </c>
      <c r="CE110" s="645">
        <f t="shared" si="174"/>
        <v>5.9649999999999999</v>
      </c>
      <c r="CF110" s="645">
        <f t="shared" si="174"/>
        <v>5.9560000000000004</v>
      </c>
      <c r="CG110" s="139">
        <f>SUM(CC110:CF110)</f>
        <v>23.895</v>
      </c>
      <c r="CH110" s="645">
        <f t="shared" ref="CH110:CK111" si="175">-CH28</f>
        <v>5.97</v>
      </c>
      <c r="CI110" s="645">
        <f t="shared" si="175"/>
        <v>3.548</v>
      </c>
      <c r="CJ110" s="645">
        <f t="shared" si="175"/>
        <v>3.54</v>
      </c>
      <c r="CK110" s="645">
        <f t="shared" si="175"/>
        <v>3.54</v>
      </c>
      <c r="CL110" s="139">
        <f>SUM(CH110:CK110)</f>
        <v>16.597999999999999</v>
      </c>
      <c r="CM110" s="645">
        <f t="shared" ref="CM110:CP111" si="176">-CM28</f>
        <v>3.5</v>
      </c>
      <c r="CN110" s="645">
        <f t="shared" si="176"/>
        <v>3.5</v>
      </c>
      <c r="CO110" s="645">
        <f t="shared" si="176"/>
        <v>3.5</v>
      </c>
      <c r="CP110" s="645">
        <f t="shared" si="176"/>
        <v>3.5</v>
      </c>
      <c r="CQ110" s="139">
        <f>SUM(CM110:CP110)</f>
        <v>14</v>
      </c>
      <c r="CR110" s="645">
        <f t="shared" ref="CR110:CU111" si="177">-CR28</f>
        <v>3.5</v>
      </c>
      <c r="CS110" s="645">
        <f t="shared" si="177"/>
        <v>3.5</v>
      </c>
      <c r="CT110" s="645">
        <f t="shared" si="177"/>
        <v>3.5</v>
      </c>
      <c r="CU110" s="645">
        <f t="shared" si="177"/>
        <v>3.5</v>
      </c>
      <c r="CV110" s="139">
        <f>SUM(CR110:CU110)</f>
        <v>14</v>
      </c>
    </row>
    <row r="111" spans="1:102" s="717" customFormat="1" ht="12" customHeight="1" x14ac:dyDescent="0.25">
      <c r="A111" s="720"/>
      <c r="B111" s="720"/>
      <c r="C111" s="2"/>
      <c r="D111" s="2"/>
      <c r="E111" s="717" t="s">
        <v>344</v>
      </c>
      <c r="F111" s="33"/>
      <c r="G111" s="33"/>
      <c r="H111" s="33"/>
      <c r="I111" s="33"/>
      <c r="J111" s="33"/>
      <c r="O111" s="33"/>
      <c r="T111" s="33"/>
      <c r="Y111" s="33"/>
      <c r="AD111" s="33"/>
      <c r="AI111" s="33"/>
      <c r="AN111" s="33"/>
      <c r="AS111" s="33"/>
      <c r="AV111" s="124"/>
      <c r="AX111" s="33"/>
      <c r="BA111" s="124"/>
      <c r="BB111" s="27"/>
      <c r="BC111" s="33"/>
      <c r="BD111" s="27"/>
      <c r="BE111" s="27"/>
      <c r="BF111" s="27"/>
      <c r="BG111" s="27"/>
      <c r="BH111" s="139"/>
      <c r="BI111" s="27"/>
      <c r="BJ111" s="27"/>
      <c r="BK111" s="27"/>
      <c r="BL111" s="27"/>
      <c r="BM111" s="139"/>
      <c r="BN111" s="27"/>
      <c r="BO111" s="27"/>
      <c r="BP111" s="27"/>
      <c r="BQ111" s="27"/>
      <c r="BR111" s="139"/>
      <c r="BS111" s="27"/>
      <c r="BT111" s="27"/>
      <c r="BU111" s="27"/>
      <c r="BV111" s="27"/>
      <c r="BW111" s="139"/>
      <c r="BX111" s="27"/>
      <c r="BY111" s="27"/>
      <c r="BZ111" s="27"/>
      <c r="CA111" s="27"/>
      <c r="CB111" s="139"/>
      <c r="CC111" s="645">
        <f t="shared" si="174"/>
        <v>0.63700000000000001</v>
      </c>
      <c r="CD111" s="645">
        <f t="shared" si="174"/>
        <v>0.65400000000000003</v>
      </c>
      <c r="CE111" s="645">
        <f t="shared" si="174"/>
        <v>0.67300000000000004</v>
      </c>
      <c r="CF111" s="645">
        <f t="shared" si="174"/>
        <v>0.68700000000000006</v>
      </c>
      <c r="CG111" s="139">
        <f>SUM(CC111:CF111)</f>
        <v>2.6509999999999998</v>
      </c>
      <c r="CH111" s="645">
        <f t="shared" si="175"/>
        <v>0.71099999999999997</v>
      </c>
      <c r="CI111" s="645">
        <f t="shared" si="175"/>
        <v>0.78200000000000003</v>
      </c>
      <c r="CJ111" s="645">
        <f t="shared" si="175"/>
        <v>0.8</v>
      </c>
      <c r="CK111" s="645">
        <f t="shared" si="175"/>
        <v>0.8</v>
      </c>
      <c r="CL111" s="139">
        <f>SUM(CH111:CK111)</f>
        <v>3.093</v>
      </c>
      <c r="CM111" s="645">
        <f t="shared" si="176"/>
        <v>0.8</v>
      </c>
      <c r="CN111" s="645">
        <f t="shared" si="176"/>
        <v>0.8</v>
      </c>
      <c r="CO111" s="645">
        <f t="shared" si="176"/>
        <v>0.8</v>
      </c>
      <c r="CP111" s="645">
        <f t="shared" si="176"/>
        <v>0.8</v>
      </c>
      <c r="CQ111" s="139">
        <f>SUM(CM111:CP111)</f>
        <v>3.2</v>
      </c>
      <c r="CR111" s="645">
        <f t="shared" si="177"/>
        <v>0.8</v>
      </c>
      <c r="CS111" s="645">
        <f t="shared" si="177"/>
        <v>0.8</v>
      </c>
      <c r="CT111" s="645">
        <f t="shared" si="177"/>
        <v>0.8</v>
      </c>
      <c r="CU111" s="645">
        <f t="shared" si="177"/>
        <v>0.8</v>
      </c>
      <c r="CV111" s="139">
        <f>SUM(CR111:CU111)</f>
        <v>3.2</v>
      </c>
    </row>
    <row r="112" spans="1:102" s="717" customFormat="1" ht="12" customHeight="1" x14ac:dyDescent="0.25">
      <c r="A112" s="720"/>
      <c r="B112" s="720"/>
      <c r="C112" s="2"/>
      <c r="D112" s="2"/>
      <c r="E112" s="797" t="s">
        <v>809</v>
      </c>
      <c r="F112" s="574"/>
      <c r="G112" s="574"/>
      <c r="H112" s="574"/>
      <c r="I112" s="574"/>
      <c r="J112" s="574"/>
      <c r="K112" s="574"/>
      <c r="L112" s="574"/>
      <c r="M112" s="574"/>
      <c r="N112" s="574"/>
      <c r="O112" s="574"/>
      <c r="P112" s="574"/>
      <c r="Q112" s="574"/>
      <c r="R112" s="574"/>
      <c r="S112" s="574"/>
      <c r="T112" s="574"/>
      <c r="U112" s="574"/>
      <c r="V112" s="574"/>
      <c r="W112" s="574"/>
      <c r="X112" s="574"/>
      <c r="Y112" s="574"/>
      <c r="Z112" s="574"/>
      <c r="AA112" s="574"/>
      <c r="AB112" s="574"/>
      <c r="AC112" s="574"/>
      <c r="AD112" s="574"/>
      <c r="AE112" s="574"/>
      <c r="AF112" s="574"/>
      <c r="AG112" s="574"/>
      <c r="AH112" s="574"/>
      <c r="AI112" s="574"/>
      <c r="AJ112" s="574"/>
      <c r="AK112" s="574"/>
      <c r="AL112" s="574"/>
      <c r="AM112" s="574"/>
      <c r="AN112" s="574"/>
      <c r="AO112" s="574"/>
      <c r="AP112" s="574"/>
      <c r="AQ112" s="574"/>
      <c r="AR112" s="574"/>
      <c r="AS112" s="574"/>
      <c r="AT112" s="574"/>
      <c r="AU112" s="574"/>
      <c r="AV112" s="513"/>
      <c r="AW112" s="574"/>
      <c r="AX112" s="574"/>
      <c r="AY112" s="574"/>
      <c r="AZ112" s="574"/>
      <c r="BA112" s="513"/>
      <c r="BB112" s="568"/>
      <c r="BC112" s="574"/>
      <c r="BD112" s="568"/>
      <c r="BE112" s="568"/>
      <c r="BF112" s="568"/>
      <c r="BG112" s="568"/>
      <c r="BH112" s="568"/>
      <c r="BI112" s="568"/>
      <c r="BJ112" s="568"/>
      <c r="BK112" s="568"/>
      <c r="BL112" s="568"/>
      <c r="BM112" s="568"/>
      <c r="BN112" s="568"/>
      <c r="BO112" s="568"/>
      <c r="BP112" s="568"/>
      <c r="BQ112" s="568"/>
      <c r="BR112" s="568"/>
      <c r="BS112" s="568"/>
      <c r="BT112" s="568"/>
      <c r="BU112" s="568"/>
      <c r="BV112" s="568"/>
      <c r="BW112" s="568"/>
      <c r="BX112" s="568"/>
      <c r="BY112" s="568"/>
      <c r="BZ112" s="568"/>
      <c r="CA112" s="568"/>
      <c r="CB112" s="568"/>
      <c r="CC112" s="642">
        <f>CC109+CC110+CC111</f>
        <v>29.291999999999998</v>
      </c>
      <c r="CD112" s="642">
        <f>CD109+CD110+CD111</f>
        <v>36.673000000000002</v>
      </c>
      <c r="CE112" s="642">
        <f>CE109+CE110+CE111</f>
        <v>41.233000000000004</v>
      </c>
      <c r="CF112" s="642">
        <f>CF109+CF110+CF111</f>
        <v>43.052999999999997</v>
      </c>
      <c r="CG112" s="35">
        <f>SUM(CC112:CF112)</f>
        <v>150.251</v>
      </c>
      <c r="CH112" s="642">
        <f>CH109+CH110+CH111</f>
        <v>45.49799999999999</v>
      </c>
      <c r="CI112" s="642">
        <f>CI109+CI110+CI111</f>
        <v>44.676000000000002</v>
      </c>
      <c r="CJ112" s="642">
        <f>CJ109+CJ110+CJ111</f>
        <v>41.666738000000002</v>
      </c>
      <c r="CK112" s="642">
        <f>CK109+CK110+CK111</f>
        <v>46.280130000000007</v>
      </c>
      <c r="CL112" s="35">
        <f>SUM(CH112:CK112)</f>
        <v>178.120868</v>
      </c>
      <c r="CM112" s="642">
        <f>CM109+CM110+CM111</f>
        <v>48.712299999999999</v>
      </c>
      <c r="CN112" s="642">
        <f>CN109+CN110+CN111</f>
        <v>54.93307999999999</v>
      </c>
      <c r="CO112" s="642">
        <f>CO109+CO110+CO111</f>
        <v>65.013130780000012</v>
      </c>
      <c r="CP112" s="642">
        <f>CP109+CP110+CP111</f>
        <v>65.4733193</v>
      </c>
      <c r="CQ112" s="35">
        <f>SUM(CM112:CP112)</f>
        <v>234.13183007999999</v>
      </c>
      <c r="CR112" s="642">
        <f>CR109+CR110+CR111</f>
        <v>69.052703000000008</v>
      </c>
      <c r="CS112" s="642">
        <f>CS109+CS110+CS111</f>
        <v>76.763732799999985</v>
      </c>
      <c r="CT112" s="642">
        <f>CT109+CT110+CT111</f>
        <v>89.112490052300018</v>
      </c>
      <c r="CU112" s="642">
        <f>CU109+CU110+CU111</f>
        <v>90.903370454000026</v>
      </c>
      <c r="CV112" s="35">
        <f>SUM(CR112:CU112)</f>
        <v>325.83229630630001</v>
      </c>
    </row>
    <row r="113" spans="1:100" s="717" customFormat="1" ht="12" customHeight="1" x14ac:dyDescent="0.25">
      <c r="A113" s="720"/>
      <c r="B113" s="720"/>
      <c r="C113" s="2"/>
      <c r="D113" s="2"/>
      <c r="E113" s="31" t="s">
        <v>91</v>
      </c>
      <c r="F113" s="574"/>
      <c r="G113" s="574"/>
      <c r="H113" s="574"/>
      <c r="I113" s="574"/>
      <c r="J113" s="574"/>
      <c r="K113" s="574"/>
      <c r="L113" s="574"/>
      <c r="M113" s="574"/>
      <c r="N113" s="574"/>
      <c r="O113" s="574"/>
      <c r="P113" s="574"/>
      <c r="Q113" s="574"/>
      <c r="R113" s="574"/>
      <c r="S113" s="574"/>
      <c r="T113" s="574"/>
      <c r="U113" s="574"/>
      <c r="V113" s="574"/>
      <c r="W113" s="574"/>
      <c r="X113" s="574"/>
      <c r="Y113" s="574"/>
      <c r="Z113" s="574"/>
      <c r="AA113" s="574"/>
      <c r="AB113" s="574"/>
      <c r="AC113" s="574"/>
      <c r="AD113" s="574"/>
      <c r="AE113" s="574"/>
      <c r="AF113" s="574"/>
      <c r="AG113" s="574"/>
      <c r="AH113" s="574"/>
      <c r="AI113" s="574"/>
      <c r="AJ113" s="574"/>
      <c r="AK113" s="574"/>
      <c r="AL113" s="574"/>
      <c r="AM113" s="574"/>
      <c r="AN113" s="574"/>
      <c r="AO113" s="574"/>
      <c r="AP113" s="574"/>
      <c r="AQ113" s="574"/>
      <c r="AR113" s="574"/>
      <c r="AS113" s="574"/>
      <c r="AT113" s="574"/>
      <c r="AU113" s="574"/>
      <c r="AV113" s="513"/>
      <c r="AW113" s="574"/>
      <c r="AX113" s="574"/>
      <c r="AY113" s="574"/>
      <c r="AZ113" s="574"/>
      <c r="BA113" s="513"/>
      <c r="BB113" s="568"/>
      <c r="BC113" s="574"/>
      <c r="BD113" s="568"/>
      <c r="BE113" s="568"/>
      <c r="BF113" s="568"/>
      <c r="BG113" s="568"/>
      <c r="BH113" s="568"/>
      <c r="BI113" s="568"/>
      <c r="BJ113" s="568"/>
      <c r="BK113" s="568"/>
      <c r="BL113" s="568"/>
      <c r="BM113" s="568"/>
      <c r="BN113" s="568"/>
      <c r="BO113" s="568"/>
      <c r="BP113" s="568"/>
      <c r="BQ113" s="568"/>
      <c r="BR113" s="568"/>
      <c r="BS113" s="568"/>
      <c r="BT113" s="568"/>
      <c r="BU113" s="568"/>
      <c r="BV113" s="568"/>
      <c r="BW113" s="568"/>
      <c r="BX113" s="568"/>
      <c r="BY113" s="568"/>
      <c r="BZ113" s="568"/>
      <c r="CA113" s="568"/>
      <c r="CB113" s="568"/>
      <c r="CC113" s="32">
        <f t="shared" ref="CC113:CV113" si="178">CC112/CC22</f>
        <v>0.62647304146972649</v>
      </c>
      <c r="CD113" s="32">
        <f t="shared" si="178"/>
        <v>0.67896617480976806</v>
      </c>
      <c r="CE113" s="32">
        <f t="shared" si="178"/>
        <v>0.69743407587828354</v>
      </c>
      <c r="CF113" s="32">
        <f t="shared" si="178"/>
        <v>0.71504733432984546</v>
      </c>
      <c r="CG113" s="32">
        <f t="shared" si="178"/>
        <v>0.68264569447662671</v>
      </c>
      <c r="CH113" s="32">
        <f t="shared" si="178"/>
        <v>0.72830593395335419</v>
      </c>
      <c r="CI113" s="32">
        <f t="shared" si="178"/>
        <v>0.68931679318644701</v>
      </c>
      <c r="CJ113" s="32">
        <f t="shared" si="178"/>
        <v>0.55314671929640702</v>
      </c>
      <c r="CK113" s="32">
        <f t="shared" si="178"/>
        <v>0.58257872941547306</v>
      </c>
      <c r="CL113" s="32">
        <f t="shared" si="178"/>
        <v>0.63152260720079467</v>
      </c>
      <c r="CM113" s="32">
        <f t="shared" si="178"/>
        <v>0.59981431384162254</v>
      </c>
      <c r="CN113" s="32">
        <f t="shared" si="178"/>
        <v>0.61978078613537968</v>
      </c>
      <c r="CO113" s="32">
        <f t="shared" si="178"/>
        <v>0.6474564658524633</v>
      </c>
      <c r="CP113" s="32">
        <f t="shared" si="178"/>
        <v>0.64017986067261623</v>
      </c>
      <c r="CQ113" s="32">
        <f t="shared" si="178"/>
        <v>0.62848812148406463</v>
      </c>
      <c r="CR113" s="32">
        <f t="shared" si="178"/>
        <v>0.64563775447545257</v>
      </c>
      <c r="CS113" s="32">
        <f t="shared" si="178"/>
        <v>0.6602551883660146</v>
      </c>
      <c r="CT113" s="32">
        <f t="shared" si="178"/>
        <v>0.67451979761355363</v>
      </c>
      <c r="CU113" s="32">
        <f t="shared" si="178"/>
        <v>0.67634740220381595</v>
      </c>
      <c r="CV113" s="32">
        <f t="shared" si="178"/>
        <v>0.66532736101706924</v>
      </c>
    </row>
    <row r="114" spans="1:100" s="717" customFormat="1" ht="3.75" customHeight="1" x14ac:dyDescent="0.25">
      <c r="A114" s="720"/>
      <c r="B114" s="720"/>
      <c r="C114" s="2"/>
      <c r="D114" s="2"/>
      <c r="F114" s="33"/>
      <c r="G114" s="33"/>
      <c r="H114" s="33"/>
      <c r="I114" s="33"/>
      <c r="J114" s="33"/>
      <c r="O114" s="33"/>
      <c r="T114" s="33"/>
      <c r="Y114" s="33"/>
      <c r="AD114" s="33"/>
      <c r="AI114" s="33"/>
      <c r="AN114" s="33"/>
      <c r="AS114" s="33"/>
      <c r="AV114" s="124"/>
      <c r="AX114" s="33"/>
      <c r="BA114" s="124"/>
      <c r="BB114" s="27"/>
      <c r="BC114" s="33"/>
      <c r="BD114" s="27"/>
      <c r="BE114" s="27"/>
      <c r="BF114" s="27"/>
      <c r="BG114" s="27"/>
      <c r="BH114" s="139"/>
      <c r="BI114" s="27"/>
      <c r="BJ114" s="27"/>
      <c r="BK114" s="27"/>
      <c r="BL114" s="27"/>
      <c r="BM114" s="139"/>
      <c r="BN114" s="27"/>
      <c r="BO114" s="27"/>
      <c r="BP114" s="27"/>
      <c r="BQ114" s="27"/>
      <c r="BR114" s="139"/>
      <c r="BS114" s="27"/>
      <c r="BT114" s="27"/>
      <c r="BU114" s="27"/>
      <c r="BV114" s="27"/>
      <c r="BW114" s="139"/>
      <c r="BX114" s="27"/>
      <c r="BY114" s="27"/>
      <c r="BZ114" s="27"/>
      <c r="CA114" s="27"/>
      <c r="CB114" s="139"/>
      <c r="CC114" s="645"/>
      <c r="CD114" s="645"/>
      <c r="CE114" s="645"/>
      <c r="CF114" s="645"/>
      <c r="CG114" s="139"/>
      <c r="CH114" s="645"/>
      <c r="CI114" s="645"/>
      <c r="CJ114" s="645"/>
      <c r="CK114" s="645"/>
      <c r="CL114" s="139"/>
      <c r="CM114" s="645"/>
      <c r="CN114" s="645"/>
      <c r="CO114" s="645"/>
      <c r="CP114" s="645"/>
      <c r="CQ114" s="139"/>
      <c r="CR114" s="645"/>
      <c r="CS114" s="645"/>
      <c r="CT114" s="645"/>
      <c r="CU114" s="645"/>
      <c r="CV114" s="139"/>
    </row>
    <row r="115" spans="1:100" ht="12" customHeight="1" x14ac:dyDescent="0.25">
      <c r="A115" s="47"/>
      <c r="B115" s="47"/>
      <c r="E115" s="94" t="s">
        <v>659</v>
      </c>
      <c r="F115" s="33"/>
      <c r="G115" s="33"/>
      <c r="H115" s="33"/>
      <c r="I115" s="33"/>
      <c r="J115" s="33"/>
      <c r="O115" s="33"/>
      <c r="T115" s="33"/>
      <c r="Y115" s="33"/>
      <c r="AD115" s="33"/>
      <c r="AI115" s="33"/>
      <c r="AN115" s="33"/>
      <c r="AS115" s="33"/>
      <c r="AV115" s="124"/>
      <c r="AX115" s="33"/>
      <c r="BA115" s="124"/>
      <c r="BB115" s="27"/>
      <c r="BC115" s="33"/>
      <c r="BD115" s="27"/>
      <c r="BE115" s="27"/>
      <c r="BF115" s="27"/>
      <c r="BG115" s="27"/>
      <c r="BH115" s="139"/>
      <c r="BI115" s="27"/>
      <c r="BJ115" s="27"/>
      <c r="BK115" s="27"/>
      <c r="BL115" s="27"/>
      <c r="BM115" s="139"/>
      <c r="BN115" s="27"/>
      <c r="BO115" s="27"/>
      <c r="BP115" s="27"/>
      <c r="BQ115" s="27"/>
      <c r="BR115" s="139"/>
      <c r="BS115" s="27"/>
      <c r="BT115" s="27"/>
      <c r="BU115" s="27"/>
      <c r="BV115" s="27"/>
      <c r="BW115" s="139"/>
      <c r="BX115" s="62"/>
      <c r="BY115" s="62"/>
      <c r="BZ115" s="27"/>
      <c r="CA115" s="27"/>
      <c r="CB115" s="139"/>
      <c r="CC115" s="645"/>
      <c r="CD115" s="645"/>
      <c r="CE115" s="645"/>
      <c r="CF115" s="645"/>
      <c r="CG115" s="139"/>
      <c r="CH115" s="645"/>
      <c r="CI115" s="645"/>
      <c r="CJ115" s="645"/>
      <c r="CK115" s="645"/>
      <c r="CL115" s="139"/>
      <c r="CM115" s="645"/>
      <c r="CN115" s="645"/>
      <c r="CO115" s="645"/>
      <c r="CP115" s="645"/>
      <c r="CQ115" s="139"/>
      <c r="CR115" s="645"/>
      <c r="CS115" s="645"/>
      <c r="CT115" s="645"/>
      <c r="CU115" s="645"/>
      <c r="CV115" s="139"/>
    </row>
    <row r="116" spans="1:100" ht="12" customHeight="1" x14ac:dyDescent="0.25">
      <c r="A116" s="47"/>
      <c r="B116" s="47"/>
      <c r="E116" s="6" t="s">
        <v>660</v>
      </c>
      <c r="F116" s="33"/>
      <c r="G116" s="33"/>
      <c r="H116" s="33"/>
      <c r="I116" s="33"/>
      <c r="J116" s="33"/>
      <c r="O116" s="33"/>
      <c r="T116" s="33"/>
      <c r="Y116" s="33"/>
      <c r="AD116" s="33"/>
      <c r="AI116" s="33"/>
      <c r="AN116" s="33"/>
      <c r="AS116" s="33"/>
      <c r="AV116" s="124"/>
      <c r="AX116" s="33"/>
      <c r="BA116" s="124"/>
      <c r="BB116" s="27"/>
      <c r="BC116" s="33"/>
      <c r="BD116" s="27"/>
      <c r="BE116" s="27"/>
      <c r="BF116" s="27"/>
      <c r="BG116" s="27"/>
      <c r="BH116" s="139"/>
      <c r="BI116" s="27"/>
      <c r="BJ116" s="27"/>
      <c r="BK116" s="27"/>
      <c r="BL116" s="27"/>
      <c r="BM116" s="139"/>
      <c r="BN116" s="27">
        <f>BN57</f>
        <v>-13.086000000000013</v>
      </c>
      <c r="BO116" s="27">
        <f>BO57</f>
        <v>-6.4429999999999996</v>
      </c>
      <c r="BP116" s="27">
        <f>BP57</f>
        <v>-2.2899999999999916</v>
      </c>
      <c r="BQ116" s="27">
        <f>BQ57</f>
        <v>-10.864999999999998</v>
      </c>
      <c r="BR116" s="139">
        <f t="shared" ref="BR116:BR121" si="179">SUM(BN116:BQ116)</f>
        <v>-32.683999999999997</v>
      </c>
      <c r="BS116" s="27">
        <f>BS57</f>
        <v>-2.8689999999999833</v>
      </c>
      <c r="BT116" s="27">
        <f>BT57</f>
        <v>-2.0559999999999934</v>
      </c>
      <c r="BU116" s="27">
        <f>BU57</f>
        <v>-0.37399999999998812</v>
      </c>
      <c r="BV116" s="27">
        <f>BV57</f>
        <v>-7.7639999999999958</v>
      </c>
      <c r="BW116" s="139">
        <f t="shared" ref="BW116:BW121" si="180">SUM(BS116:BV116)</f>
        <v>-13.06299999999996</v>
      </c>
      <c r="BX116" s="27">
        <f>BX57</f>
        <v>8.1619999999999848</v>
      </c>
      <c r="BY116" s="27">
        <f>BY57</f>
        <v>7.1199999999999877</v>
      </c>
      <c r="BZ116" s="27">
        <f>BZ57</f>
        <v>9.1149999999999984</v>
      </c>
      <c r="CA116" s="27">
        <f>CA57</f>
        <v>-8.7079999999999789</v>
      </c>
      <c r="CB116" s="139">
        <f t="shared" ref="CB116:CB121" si="181">SUM(BX116:CA116)</f>
        <v>15.688999999999991</v>
      </c>
      <c r="CC116" s="645">
        <f>CC57</f>
        <v>-39.819000000000003</v>
      </c>
      <c r="CD116" s="645">
        <f>CD57</f>
        <v>-38.133000000000003</v>
      </c>
      <c r="CE116" s="645">
        <f>CE57</f>
        <v>-27.689000000000004</v>
      </c>
      <c r="CF116" s="645">
        <f>CF57</f>
        <v>-27.883000000000006</v>
      </c>
      <c r="CG116" s="139">
        <f>SUM(CC116:CF116)</f>
        <v>-133.524</v>
      </c>
      <c r="CH116" s="645">
        <f>CH57</f>
        <v>-29.602000000000007</v>
      </c>
      <c r="CI116" s="645">
        <f>CI57</f>
        <v>-38.198999999999998</v>
      </c>
      <c r="CJ116" s="645">
        <f>CJ57</f>
        <v>-49.573261999999993</v>
      </c>
      <c r="CK116" s="645">
        <f>CK57</f>
        <v>-45.659869999999984</v>
      </c>
      <c r="CL116" s="139">
        <f t="shared" ref="CL116" si="182">SUM(CH116:CK116)</f>
        <v>-163.03413199999997</v>
      </c>
      <c r="CM116" s="645">
        <f>CM57</f>
        <v>-39.587699999999998</v>
      </c>
      <c r="CN116" s="645">
        <f>CN57</f>
        <v>-34.866920000000007</v>
      </c>
      <c r="CO116" s="645">
        <f>CO57</f>
        <v>-27.286869219999986</v>
      </c>
      <c r="CP116" s="645">
        <f>CP57</f>
        <v>-27.726680699999996</v>
      </c>
      <c r="CQ116" s="139">
        <f t="shared" ref="CQ116:CQ121" si="183">SUM(CM116:CP116)</f>
        <v>-129.46816991999998</v>
      </c>
      <c r="CR116" s="645">
        <f>CR57</f>
        <v>-27.847296999999983</v>
      </c>
      <c r="CS116" s="645">
        <f>CS57</f>
        <v>-22.136267200000006</v>
      </c>
      <c r="CT116" s="645">
        <f>CT57</f>
        <v>-12.387509947699982</v>
      </c>
      <c r="CU116" s="645">
        <f>CU57</f>
        <v>-11.99662954599998</v>
      </c>
      <c r="CV116" s="139">
        <f>SUM(CR116:CU116)</f>
        <v>-74.367703693699951</v>
      </c>
    </row>
    <row r="117" spans="1:100" ht="12" customHeight="1" x14ac:dyDescent="0.25">
      <c r="A117" s="47"/>
      <c r="B117" s="47"/>
      <c r="E117" s="6" t="s">
        <v>661</v>
      </c>
      <c r="F117" s="33"/>
      <c r="G117" s="33"/>
      <c r="H117" s="33"/>
      <c r="I117" s="33"/>
      <c r="J117" s="33"/>
      <c r="O117" s="33"/>
      <c r="T117" s="33"/>
      <c r="Y117" s="33"/>
      <c r="AD117" s="33"/>
      <c r="AI117" s="33"/>
      <c r="AN117" s="33"/>
      <c r="AS117" s="33"/>
      <c r="AV117" s="124"/>
      <c r="AX117" s="33"/>
      <c r="BA117" s="124"/>
      <c r="BB117" s="27"/>
      <c r="BC117" s="33"/>
      <c r="BD117" s="27"/>
      <c r="BE117" s="27"/>
      <c r="BF117" s="27"/>
      <c r="BG117" s="27"/>
      <c r="BH117" s="139"/>
      <c r="BI117" s="27"/>
      <c r="BJ117" s="27"/>
      <c r="BK117" s="27"/>
      <c r="BL117" s="27"/>
      <c r="BM117" s="139"/>
      <c r="BN117" s="124">
        <v>6.3E-2</v>
      </c>
      <c r="BO117" s="124">
        <v>3.827</v>
      </c>
      <c r="BP117" s="124">
        <v>3.7829999999999999</v>
      </c>
      <c r="BQ117" s="124">
        <v>3.7810000000000001</v>
      </c>
      <c r="BR117" s="139">
        <f t="shared" si="179"/>
        <v>11.454000000000001</v>
      </c>
      <c r="BS117" s="124">
        <v>3.754</v>
      </c>
      <c r="BT117" s="124">
        <v>3.754</v>
      </c>
      <c r="BU117" s="124">
        <v>3.754</v>
      </c>
      <c r="BV117" s="124">
        <v>4.2039999999999997</v>
      </c>
      <c r="BW117" s="139">
        <f>SUM(BS117:BV117)</f>
        <v>15.466000000000001</v>
      </c>
      <c r="BX117" s="124">
        <v>4.077</v>
      </c>
      <c r="BY117" s="124">
        <v>3.89</v>
      </c>
      <c r="BZ117" s="124">
        <v>4.6210000000000004</v>
      </c>
      <c r="CA117" s="124">
        <v>6.056</v>
      </c>
      <c r="CB117" s="139">
        <f>SUM(BX117:CA117)</f>
        <v>18.644000000000002</v>
      </c>
      <c r="CC117" s="636">
        <v>5.9589999999999996</v>
      </c>
      <c r="CD117" s="636">
        <v>6.0149999999999997</v>
      </c>
      <c r="CE117" s="636">
        <v>5.9649999999999999</v>
      </c>
      <c r="CF117" s="636">
        <v>5.9560000000000004</v>
      </c>
      <c r="CG117" s="139">
        <f t="shared" ref="CG117:CG121" si="184">SUM(CC117:CF117)</f>
        <v>23.895</v>
      </c>
      <c r="CH117" s="636">
        <v>5.97</v>
      </c>
      <c r="CI117" s="636">
        <v>3.548</v>
      </c>
      <c r="CJ117" s="796">
        <v>3.54</v>
      </c>
      <c r="CK117" s="796">
        <v>3.54</v>
      </c>
      <c r="CL117" s="139">
        <f>SUM(CH117:CK117)</f>
        <v>16.597999999999999</v>
      </c>
      <c r="CM117" s="796">
        <v>3.5</v>
      </c>
      <c r="CN117" s="796">
        <v>3.5</v>
      </c>
      <c r="CO117" s="796">
        <v>3.5</v>
      </c>
      <c r="CP117" s="796">
        <v>3.5</v>
      </c>
      <c r="CQ117" s="139">
        <f>SUM(CM117:CP117)</f>
        <v>14</v>
      </c>
      <c r="CR117" s="796">
        <v>3.5</v>
      </c>
      <c r="CS117" s="796">
        <v>3.5</v>
      </c>
      <c r="CT117" s="796">
        <v>3.5</v>
      </c>
      <c r="CU117" s="796">
        <v>3.5</v>
      </c>
      <c r="CV117" s="139">
        <f>SUM(CR117:CU117)</f>
        <v>14</v>
      </c>
    </row>
    <row r="118" spans="1:100" ht="12" customHeight="1" x14ac:dyDescent="0.25">
      <c r="A118" s="47"/>
      <c r="B118" s="47"/>
      <c r="E118" s="6" t="s">
        <v>427</v>
      </c>
      <c r="F118" s="33"/>
      <c r="G118" s="33"/>
      <c r="H118" s="33"/>
      <c r="I118" s="33"/>
      <c r="J118" s="33"/>
      <c r="O118" s="33"/>
      <c r="T118" s="33"/>
      <c r="Y118" s="33"/>
      <c r="AD118" s="33"/>
      <c r="AI118" s="33"/>
      <c r="AN118" s="33"/>
      <c r="AS118" s="33"/>
      <c r="AV118" s="124"/>
      <c r="AX118" s="33"/>
      <c r="BA118" s="124"/>
      <c r="BB118" s="27"/>
      <c r="BC118" s="33"/>
      <c r="BD118" s="27"/>
      <c r="BE118" s="27"/>
      <c r="BF118" s="27"/>
      <c r="BG118" s="27"/>
      <c r="BH118" s="139"/>
      <c r="BI118" s="27"/>
      <c r="BJ118" s="27"/>
      <c r="BK118" s="27"/>
      <c r="BL118" s="27"/>
      <c r="BM118" s="139"/>
      <c r="BN118" s="27">
        <f>BN133</f>
        <v>3.9249999999999998</v>
      </c>
      <c r="BO118" s="27">
        <f>BO133</f>
        <v>7.7249999999999996</v>
      </c>
      <c r="BP118" s="27">
        <f>BP133</f>
        <v>8.4499999999999993</v>
      </c>
      <c r="BQ118" s="27">
        <f>BQ133</f>
        <v>8.2159999999999993</v>
      </c>
      <c r="BR118" s="139">
        <f t="shared" si="179"/>
        <v>28.315999999999995</v>
      </c>
      <c r="BS118" s="27">
        <f>BS133</f>
        <v>8.1229999999999993</v>
      </c>
      <c r="BT118" s="27">
        <f>BT133</f>
        <v>7.36</v>
      </c>
      <c r="BU118" s="27">
        <f>BU133</f>
        <v>8.0459999999999994</v>
      </c>
      <c r="BV118" s="27">
        <f>BV133</f>
        <v>7.9340000000000002</v>
      </c>
      <c r="BW118" s="139">
        <f t="shared" si="180"/>
        <v>31.463000000000001</v>
      </c>
      <c r="BX118" s="27">
        <f>BX133</f>
        <v>8.59</v>
      </c>
      <c r="BY118" s="27">
        <f>BY133</f>
        <v>11.938000000000001</v>
      </c>
      <c r="BZ118" s="27">
        <f>BZ133</f>
        <v>13.427</v>
      </c>
      <c r="CA118" s="27">
        <f>CA133</f>
        <v>15.190000000000001</v>
      </c>
      <c r="CB118" s="139">
        <f t="shared" si="181"/>
        <v>49.144999999999996</v>
      </c>
      <c r="CC118" s="645">
        <f>CC133</f>
        <v>12.399999999999999</v>
      </c>
      <c r="CD118" s="645">
        <f>CD133</f>
        <v>13.154</v>
      </c>
      <c r="CE118" s="645">
        <f>CE133</f>
        <v>13.29</v>
      </c>
      <c r="CF118" s="645">
        <f>CF133</f>
        <v>14.022</v>
      </c>
      <c r="CG118" s="139">
        <f t="shared" si="184"/>
        <v>52.865999999999993</v>
      </c>
      <c r="CH118" s="645">
        <f>CH133</f>
        <v>17.798000000000002</v>
      </c>
      <c r="CI118" s="645">
        <f>CI133</f>
        <v>17.667000000000002</v>
      </c>
      <c r="CJ118" s="645">
        <f>CJ133</f>
        <v>22.2</v>
      </c>
      <c r="CK118" s="645">
        <f>CK133</f>
        <v>20.3</v>
      </c>
      <c r="CL118" s="139">
        <f>SUM(CH118:CK118)</f>
        <v>77.965000000000003</v>
      </c>
      <c r="CM118" s="645">
        <f>CM133</f>
        <v>19</v>
      </c>
      <c r="CN118" s="645">
        <f>CN133</f>
        <v>19</v>
      </c>
      <c r="CO118" s="645">
        <f>CO133</f>
        <v>19</v>
      </c>
      <c r="CP118" s="645">
        <f>CP133</f>
        <v>19</v>
      </c>
      <c r="CQ118" s="139">
        <f t="shared" si="183"/>
        <v>76</v>
      </c>
      <c r="CR118" s="645">
        <f>CR133</f>
        <v>18.5</v>
      </c>
      <c r="CS118" s="645">
        <f>CS133</f>
        <v>18.5</v>
      </c>
      <c r="CT118" s="645">
        <f>CT133</f>
        <v>18.5</v>
      </c>
      <c r="CU118" s="645">
        <f>CU133</f>
        <v>18.5</v>
      </c>
      <c r="CV118" s="139">
        <f>SUM(CR118:CU118)</f>
        <v>74</v>
      </c>
    </row>
    <row r="119" spans="1:100" ht="12" customHeight="1" x14ac:dyDescent="0.25">
      <c r="A119" s="47"/>
      <c r="B119" s="47"/>
      <c r="E119" s="6" t="s">
        <v>662</v>
      </c>
      <c r="F119" s="33"/>
      <c r="G119" s="33"/>
      <c r="H119" s="33"/>
      <c r="I119" s="33"/>
      <c r="J119" s="33"/>
      <c r="O119" s="33"/>
      <c r="T119" s="33"/>
      <c r="Y119" s="33"/>
      <c r="AD119" s="33"/>
      <c r="AI119" s="33"/>
      <c r="AN119" s="33"/>
      <c r="AS119" s="33"/>
      <c r="AV119" s="124"/>
      <c r="AX119" s="33"/>
      <c r="BA119" s="124"/>
      <c r="BB119" s="27"/>
      <c r="BC119" s="33"/>
      <c r="BD119" s="27"/>
      <c r="BE119" s="27"/>
      <c r="BF119" s="27"/>
      <c r="BG119" s="27"/>
      <c r="BH119" s="139"/>
      <c r="BI119" s="27"/>
      <c r="BJ119" s="27"/>
      <c r="BK119" s="27"/>
      <c r="BL119" s="27"/>
      <c r="BM119" s="139"/>
      <c r="BN119" s="124">
        <v>7.1280000000000001</v>
      </c>
      <c r="BO119" s="124">
        <v>0.83299999999999996</v>
      </c>
      <c r="BP119" s="124">
        <v>3.3809999999999998</v>
      </c>
      <c r="BQ119" s="124">
        <v>11.257999999999999</v>
      </c>
      <c r="BR119" s="139">
        <f t="shared" si="179"/>
        <v>22.6</v>
      </c>
      <c r="BS119" s="124">
        <v>0.80700000000000005</v>
      </c>
      <c r="BT119" s="124">
        <v>3.2330000000000001</v>
      </c>
      <c r="BU119" s="124">
        <v>4.0579999999999998</v>
      </c>
      <c r="BV119" s="124">
        <f>6.1+4.763</f>
        <v>10.863</v>
      </c>
      <c r="BW119" s="139">
        <f t="shared" si="180"/>
        <v>18.960999999999999</v>
      </c>
      <c r="BX119" s="124">
        <v>0.314</v>
      </c>
      <c r="BY119" s="124">
        <f>0.929-0.629</f>
        <v>0.30000000000000004</v>
      </c>
      <c r="BZ119" s="124">
        <v>2.1110000000000002</v>
      </c>
      <c r="CA119" s="124">
        <f>7.321-2.986+1.315</f>
        <v>5.6499999999999986</v>
      </c>
      <c r="CB119" s="139">
        <f t="shared" si="181"/>
        <v>8.375</v>
      </c>
      <c r="CC119" s="636">
        <v>-3.0000000000000001E-3</v>
      </c>
      <c r="CD119" s="636">
        <v>2.8330000000000002</v>
      </c>
      <c r="CE119" s="636">
        <v>-0.78800000000000003</v>
      </c>
      <c r="CF119" s="636">
        <v>0.68200000000000005</v>
      </c>
      <c r="CG119" s="139">
        <f>SUM(CC119:CF119)</f>
        <v>2.7239999999999998</v>
      </c>
      <c r="CH119" s="636">
        <v>1E-3</v>
      </c>
      <c r="CI119" s="636">
        <v>0.48899999999999999</v>
      </c>
      <c r="CJ119" s="796">
        <f>-CJ46</f>
        <v>2.1</v>
      </c>
      <c r="CK119" s="796">
        <f>-CK46</f>
        <v>1.5</v>
      </c>
      <c r="CL119" s="139">
        <f>SUM(CH119:CK119)</f>
        <v>4.09</v>
      </c>
      <c r="CM119" s="796">
        <f>-CM46</f>
        <v>0</v>
      </c>
      <c r="CN119" s="796">
        <f>-CN46</f>
        <v>0</v>
      </c>
      <c r="CO119" s="796">
        <f>-CO46</f>
        <v>0</v>
      </c>
      <c r="CP119" s="796">
        <f>-CP46</f>
        <v>0</v>
      </c>
      <c r="CQ119" s="139">
        <f t="shared" si="183"/>
        <v>0</v>
      </c>
      <c r="CR119" s="796">
        <f>-CR46</f>
        <v>0</v>
      </c>
      <c r="CS119" s="796">
        <f>-CS46</f>
        <v>0</v>
      </c>
      <c r="CT119" s="796">
        <f>-CT46</f>
        <v>0</v>
      </c>
      <c r="CU119" s="796">
        <f>-CU46</f>
        <v>0</v>
      </c>
      <c r="CV119" s="139">
        <f t="shared" ref="CV119:CV121" si="185">SUM(CR119:CU119)</f>
        <v>0</v>
      </c>
    </row>
    <row r="120" spans="1:100" ht="12" customHeight="1" x14ac:dyDescent="0.25">
      <c r="A120" s="47"/>
      <c r="B120" s="47"/>
      <c r="E120" s="6" t="s">
        <v>663</v>
      </c>
      <c r="F120" s="33"/>
      <c r="G120" s="33"/>
      <c r="H120" s="33"/>
      <c r="I120" s="33"/>
      <c r="J120" s="33"/>
      <c r="O120" s="33"/>
      <c r="T120" s="33"/>
      <c r="Y120" s="33"/>
      <c r="AD120" s="33"/>
      <c r="AI120" s="33"/>
      <c r="AN120" s="33"/>
      <c r="AS120" s="33"/>
      <c r="AV120" s="124"/>
      <c r="AX120" s="33"/>
      <c r="BA120" s="124"/>
      <c r="BB120" s="27"/>
      <c r="BC120" s="33"/>
      <c r="BD120" s="27"/>
      <c r="BE120" s="27"/>
      <c r="BF120" s="27"/>
      <c r="BG120" s="27"/>
      <c r="BH120" s="139"/>
      <c r="BI120" s="27"/>
      <c r="BJ120" s="27"/>
      <c r="BK120" s="27"/>
      <c r="BL120" s="27"/>
      <c r="BM120" s="139"/>
      <c r="BN120" s="124">
        <v>10.538</v>
      </c>
      <c r="BO120" s="124">
        <v>8.2910000000000004</v>
      </c>
      <c r="BP120" s="124">
        <v>7.4169999999999998</v>
      </c>
      <c r="BQ120" s="124">
        <v>5.0229999999999997</v>
      </c>
      <c r="BR120" s="139">
        <f t="shared" si="179"/>
        <v>31.269000000000002</v>
      </c>
      <c r="BS120" s="124">
        <v>3.4140000000000001</v>
      </c>
      <c r="BT120" s="124">
        <v>6.0979999999999999</v>
      </c>
      <c r="BU120" s="124">
        <v>6.6280000000000001</v>
      </c>
      <c r="BV120" s="124">
        <v>4.6859999999999999</v>
      </c>
      <c r="BW120" s="139">
        <f t="shared" si="180"/>
        <v>20.826000000000001</v>
      </c>
      <c r="BX120" s="124">
        <v>0</v>
      </c>
      <c r="BY120" s="124">
        <v>1.4550000000000001</v>
      </c>
      <c r="BZ120" s="124">
        <v>4.1180000000000003</v>
      </c>
      <c r="CA120" s="124">
        <v>3.0659999999999998</v>
      </c>
      <c r="CB120" s="139">
        <f t="shared" si="181"/>
        <v>8.6389999999999993</v>
      </c>
      <c r="CC120" s="636">
        <v>7.1189999999999998</v>
      </c>
      <c r="CD120" s="636">
        <v>5.4530000000000003</v>
      </c>
      <c r="CE120" s="636">
        <v>5.2140000000000004</v>
      </c>
      <c r="CF120" s="636">
        <v>0</v>
      </c>
      <c r="CG120" s="139">
        <f>SUM(CC120:CF120)</f>
        <v>17.786000000000001</v>
      </c>
      <c r="CH120" s="636">
        <v>0</v>
      </c>
      <c r="CI120" s="636">
        <v>2.1219999999999999</v>
      </c>
      <c r="CJ120" s="796">
        <v>1.3</v>
      </c>
      <c r="CK120" s="796">
        <v>0</v>
      </c>
      <c r="CL120" s="139">
        <f>SUM(CH120:CK120)</f>
        <v>3.4219999999999997</v>
      </c>
      <c r="CM120" s="796">
        <v>0</v>
      </c>
      <c r="CN120" s="796">
        <v>0</v>
      </c>
      <c r="CO120" s="796">
        <v>0</v>
      </c>
      <c r="CP120" s="796">
        <v>0</v>
      </c>
      <c r="CQ120" s="139">
        <f t="shared" si="183"/>
        <v>0</v>
      </c>
      <c r="CR120" s="796">
        <v>0</v>
      </c>
      <c r="CS120" s="796">
        <v>0</v>
      </c>
      <c r="CT120" s="796">
        <v>0</v>
      </c>
      <c r="CU120" s="796">
        <v>0</v>
      </c>
      <c r="CV120" s="139">
        <f t="shared" si="185"/>
        <v>0</v>
      </c>
    </row>
    <row r="121" spans="1:100" ht="12" customHeight="1" x14ac:dyDescent="0.25">
      <c r="A121" s="47"/>
      <c r="B121" s="47"/>
      <c r="E121" s="6" t="s">
        <v>811</v>
      </c>
      <c r="F121" s="33"/>
      <c r="G121" s="33"/>
      <c r="H121" s="33"/>
      <c r="I121" s="33"/>
      <c r="J121" s="33"/>
      <c r="O121" s="33"/>
      <c r="T121" s="33"/>
      <c r="Y121" s="33"/>
      <c r="AD121" s="33"/>
      <c r="AI121" s="33"/>
      <c r="AN121" s="33"/>
      <c r="AS121" s="33"/>
      <c r="AV121" s="124"/>
      <c r="AX121" s="33"/>
      <c r="BA121" s="124"/>
      <c r="BB121" s="27"/>
      <c r="BC121" s="33"/>
      <c r="BD121" s="27"/>
      <c r="BE121" s="27"/>
      <c r="BF121" s="27"/>
      <c r="BG121" s="27"/>
      <c r="BH121" s="139"/>
      <c r="BI121" s="27"/>
      <c r="BJ121" s="27"/>
      <c r="BK121" s="27"/>
      <c r="BL121" s="27"/>
      <c r="BM121" s="139"/>
      <c r="BN121" s="124">
        <v>0</v>
      </c>
      <c r="BO121" s="124">
        <v>0</v>
      </c>
      <c r="BP121" s="124">
        <v>0</v>
      </c>
      <c r="BQ121" s="124">
        <v>4.3159999999999998</v>
      </c>
      <c r="BR121" s="139">
        <f t="shared" si="179"/>
        <v>4.3159999999999998</v>
      </c>
      <c r="BS121" s="124">
        <v>1.4419999999999999</v>
      </c>
      <c r="BT121" s="124">
        <v>7.8E-2</v>
      </c>
      <c r="BU121" s="124">
        <v>7.8E-2</v>
      </c>
      <c r="BV121" s="124">
        <v>0.252</v>
      </c>
      <c r="BW121" s="139">
        <f t="shared" si="180"/>
        <v>1.85</v>
      </c>
      <c r="BX121" s="124">
        <v>0</v>
      </c>
      <c r="BY121" s="124">
        <v>0</v>
      </c>
      <c r="BZ121" s="124">
        <v>0</v>
      </c>
      <c r="CA121" s="124">
        <v>0</v>
      </c>
      <c r="CB121" s="139">
        <f t="shared" si="181"/>
        <v>0</v>
      </c>
      <c r="CC121" s="636">
        <v>0</v>
      </c>
      <c r="CD121" s="636">
        <v>0</v>
      </c>
      <c r="CE121" s="636">
        <v>0</v>
      </c>
      <c r="CF121" s="636">
        <v>0</v>
      </c>
      <c r="CG121" s="139">
        <f t="shared" si="184"/>
        <v>0</v>
      </c>
      <c r="CH121" s="636">
        <v>0</v>
      </c>
      <c r="CI121" s="636">
        <v>0</v>
      </c>
      <c r="CJ121" s="796">
        <v>1.74</v>
      </c>
      <c r="CK121" s="796">
        <v>1.74</v>
      </c>
      <c r="CL121" s="139">
        <f>SUM(CH121:CK121)</f>
        <v>3.48</v>
      </c>
      <c r="CM121" s="796">
        <v>1.7</v>
      </c>
      <c r="CN121" s="796">
        <v>1.7</v>
      </c>
      <c r="CO121" s="796">
        <v>1.7</v>
      </c>
      <c r="CP121" s="796">
        <v>1.7</v>
      </c>
      <c r="CQ121" s="139">
        <f t="shared" si="183"/>
        <v>6.8</v>
      </c>
      <c r="CR121" s="796">
        <v>1.7</v>
      </c>
      <c r="CS121" s="796">
        <v>1.7</v>
      </c>
      <c r="CT121" s="796">
        <v>1.7</v>
      </c>
      <c r="CU121" s="796">
        <v>1.7</v>
      </c>
      <c r="CV121" s="139">
        <f t="shared" si="185"/>
        <v>6.8</v>
      </c>
    </row>
    <row r="122" spans="1:100" ht="3.75" customHeight="1" x14ac:dyDescent="0.25">
      <c r="A122" s="47"/>
      <c r="B122" s="47"/>
      <c r="F122" s="33"/>
      <c r="G122" s="33"/>
      <c r="H122" s="33"/>
      <c r="I122" s="33"/>
      <c r="J122" s="33"/>
      <c r="O122" s="33"/>
      <c r="T122" s="33"/>
      <c r="Y122" s="33"/>
      <c r="AD122" s="33"/>
      <c r="AI122" s="33"/>
      <c r="AN122" s="33"/>
      <c r="AS122" s="33"/>
      <c r="AV122" s="124"/>
      <c r="AX122" s="33"/>
      <c r="BA122" s="124"/>
      <c r="BB122" s="27"/>
      <c r="BC122" s="33"/>
      <c r="BD122" s="27"/>
      <c r="BE122" s="27"/>
      <c r="BF122" s="27"/>
      <c r="BG122" s="27"/>
      <c r="BH122" s="139"/>
      <c r="BI122" s="27"/>
      <c r="BJ122" s="27"/>
      <c r="BK122" s="27"/>
      <c r="BL122" s="27"/>
      <c r="BM122" s="139"/>
      <c r="BN122" s="124"/>
      <c r="BO122" s="124"/>
      <c r="BP122" s="124"/>
      <c r="BQ122" s="124"/>
      <c r="BR122" s="139"/>
      <c r="BS122" s="124"/>
      <c r="BT122" s="124"/>
      <c r="BU122" s="124"/>
      <c r="BV122" s="166"/>
      <c r="BW122" s="139"/>
      <c r="BX122" s="166"/>
      <c r="BY122" s="166"/>
      <c r="BZ122" s="166"/>
      <c r="CA122" s="166"/>
      <c r="CB122" s="139"/>
      <c r="CC122" s="796"/>
      <c r="CD122" s="796"/>
      <c r="CE122" s="796"/>
      <c r="CF122" s="796"/>
      <c r="CG122" s="139"/>
      <c r="CH122" s="796"/>
      <c r="CI122" s="796"/>
      <c r="CJ122" s="796"/>
      <c r="CK122" s="796"/>
      <c r="CL122" s="139"/>
      <c r="CM122" s="796"/>
      <c r="CN122" s="796"/>
      <c r="CO122" s="796"/>
      <c r="CP122" s="796"/>
      <c r="CQ122" s="139"/>
      <c r="CR122" s="796"/>
      <c r="CS122" s="796"/>
      <c r="CT122" s="796"/>
      <c r="CU122" s="796"/>
      <c r="CV122" s="139"/>
    </row>
    <row r="123" spans="1:100" ht="12" customHeight="1" x14ac:dyDescent="0.25">
      <c r="A123" s="47"/>
      <c r="B123" s="47"/>
      <c r="E123" s="35" t="s">
        <v>665</v>
      </c>
      <c r="F123" s="574"/>
      <c r="G123" s="574"/>
      <c r="H123" s="574"/>
      <c r="I123" s="574"/>
      <c r="J123" s="574"/>
      <c r="K123" s="574"/>
      <c r="L123" s="574"/>
      <c r="M123" s="574"/>
      <c r="N123" s="574"/>
      <c r="O123" s="574"/>
      <c r="P123" s="574"/>
      <c r="Q123" s="574"/>
      <c r="R123" s="574"/>
      <c r="S123" s="574"/>
      <c r="T123" s="574"/>
      <c r="U123" s="574"/>
      <c r="V123" s="574"/>
      <c r="W123" s="574"/>
      <c r="X123" s="574"/>
      <c r="Y123" s="574"/>
      <c r="Z123" s="574"/>
      <c r="AA123" s="574"/>
      <c r="AB123" s="574"/>
      <c r="AC123" s="574"/>
      <c r="AD123" s="574"/>
      <c r="AE123" s="574"/>
      <c r="AF123" s="574"/>
      <c r="AG123" s="574"/>
      <c r="AH123" s="574"/>
      <c r="AI123" s="574"/>
      <c r="AJ123" s="574"/>
      <c r="AK123" s="574"/>
      <c r="AL123" s="574"/>
      <c r="AM123" s="574"/>
      <c r="AN123" s="574"/>
      <c r="AO123" s="574"/>
      <c r="AP123" s="574"/>
      <c r="AQ123" s="574"/>
      <c r="AR123" s="574"/>
      <c r="AS123" s="574"/>
      <c r="AT123" s="574"/>
      <c r="AU123" s="574"/>
      <c r="AV123" s="513"/>
      <c r="AW123" s="574"/>
      <c r="AX123" s="574"/>
      <c r="AY123" s="574"/>
      <c r="AZ123" s="574"/>
      <c r="BA123" s="513"/>
      <c r="BB123" s="568"/>
      <c r="BC123" s="574"/>
      <c r="BD123" s="568"/>
      <c r="BE123" s="568"/>
      <c r="BF123" s="568"/>
      <c r="BG123" s="568"/>
      <c r="BH123" s="568"/>
      <c r="BI123" s="568"/>
      <c r="BJ123" s="568"/>
      <c r="BK123" s="568"/>
      <c r="BL123" s="568"/>
      <c r="BM123" s="568"/>
      <c r="BN123" s="536">
        <f t="shared" ref="BN123:BT123" si="186">SUM(BN116:BN121)</f>
        <v>8.5679999999999872</v>
      </c>
      <c r="BO123" s="536">
        <f t="shared" si="186"/>
        <v>14.233000000000001</v>
      </c>
      <c r="BP123" s="536">
        <f>SUM(BP116:BP121)</f>
        <v>20.741000000000007</v>
      </c>
      <c r="BQ123" s="536">
        <f t="shared" si="186"/>
        <v>21.728999999999999</v>
      </c>
      <c r="BR123" s="35">
        <f>SUM(BR116:BR121)</f>
        <v>65.271000000000001</v>
      </c>
      <c r="BS123" s="536">
        <f t="shared" si="186"/>
        <v>14.671000000000017</v>
      </c>
      <c r="BT123" s="536">
        <f t="shared" si="186"/>
        <v>18.467000000000006</v>
      </c>
      <c r="BU123" s="536">
        <f t="shared" ref="BU123:CG123" si="187">SUM(BU116:BU121)</f>
        <v>22.190000000000008</v>
      </c>
      <c r="BV123" s="536">
        <f t="shared" si="187"/>
        <v>20.175000000000001</v>
      </c>
      <c r="BW123" s="35">
        <f t="shared" si="187"/>
        <v>75.503000000000043</v>
      </c>
      <c r="BX123" s="536">
        <f t="shared" si="187"/>
        <v>21.142999999999986</v>
      </c>
      <c r="BY123" s="536">
        <f t="shared" si="187"/>
        <v>24.702999999999989</v>
      </c>
      <c r="BZ123" s="536">
        <f>SUM(BZ116:BZ121)</f>
        <v>33.391999999999996</v>
      </c>
      <c r="CA123" s="642">
        <f t="shared" si="187"/>
        <v>21.254000000000019</v>
      </c>
      <c r="CB123" s="35">
        <f t="shared" si="187"/>
        <v>100.49199999999998</v>
      </c>
      <c r="CC123" s="536">
        <f>SUM(CC116:CC121)</f>
        <v>-14.344000000000001</v>
      </c>
      <c r="CD123" s="642">
        <f>SUM(CD116:CD121)</f>
        <v>-10.678000000000001</v>
      </c>
      <c r="CE123" s="536">
        <f>SUM(CE116:CE121)</f>
        <v>-4.0080000000000044</v>
      </c>
      <c r="CF123" s="642">
        <f>SUM(CF116:CF121)</f>
        <v>-7.2230000000000061</v>
      </c>
      <c r="CG123" s="35">
        <f t="shared" si="187"/>
        <v>-36.253000000000014</v>
      </c>
      <c r="CH123" s="642">
        <f>SUM(CH116:CH121)</f>
        <v>-5.8330000000000064</v>
      </c>
      <c r="CI123" s="536">
        <f t="shared" ref="CI123" si="188">SUM(CI116:CI121)</f>
        <v>-14.372999999999994</v>
      </c>
      <c r="CJ123" s="536">
        <f t="shared" ref="CJ123:CQ123" si="189">SUM(CJ116:CJ121)</f>
        <v>-18.693261999999994</v>
      </c>
      <c r="CK123" s="536">
        <f t="shared" si="189"/>
        <v>-18.579869999999985</v>
      </c>
      <c r="CL123" s="35">
        <f>SUM(CL116:CL121)</f>
        <v>-57.479131999999986</v>
      </c>
      <c r="CM123" s="642">
        <f t="shared" si="189"/>
        <v>-15.387699999999999</v>
      </c>
      <c r="CN123" s="642">
        <f t="shared" si="189"/>
        <v>-10.666920000000008</v>
      </c>
      <c r="CO123" s="642">
        <f t="shared" si="189"/>
        <v>-3.0868692199999854</v>
      </c>
      <c r="CP123" s="642">
        <f t="shared" si="189"/>
        <v>-3.5266806999999956</v>
      </c>
      <c r="CQ123" s="35">
        <f t="shared" si="189"/>
        <v>-32.668169919999983</v>
      </c>
      <c r="CR123" s="642">
        <f t="shared" ref="CR123:CU123" si="190">SUM(CR116:CR121)</f>
        <v>-4.1472969999999831</v>
      </c>
      <c r="CS123" s="642">
        <f t="shared" si="190"/>
        <v>1.5637327999999939</v>
      </c>
      <c r="CT123" s="642">
        <f t="shared" si="190"/>
        <v>11.312490052300017</v>
      </c>
      <c r="CU123" s="642">
        <f t="shared" si="190"/>
        <v>11.703370454000019</v>
      </c>
      <c r="CV123" s="35">
        <f>SUM(CV116:CV121)</f>
        <v>20.432296306300049</v>
      </c>
    </row>
    <row r="124" spans="1:100" s="717" customFormat="1" ht="12" customHeight="1" x14ac:dyDescent="0.25">
      <c r="A124" s="720"/>
      <c r="B124" s="720"/>
      <c r="C124" s="2"/>
      <c r="D124" s="2"/>
      <c r="E124" s="31" t="s">
        <v>91</v>
      </c>
      <c r="F124" s="574"/>
      <c r="G124" s="574"/>
      <c r="H124" s="574"/>
      <c r="I124" s="574"/>
      <c r="J124" s="574"/>
      <c r="K124" s="574"/>
      <c r="L124" s="574"/>
      <c r="M124" s="574"/>
      <c r="N124" s="574"/>
      <c r="O124" s="574"/>
      <c r="P124" s="574"/>
      <c r="Q124" s="574"/>
      <c r="R124" s="574"/>
      <c r="S124" s="574"/>
      <c r="T124" s="574"/>
      <c r="U124" s="574"/>
      <c r="V124" s="574"/>
      <c r="W124" s="574"/>
      <c r="X124" s="574"/>
      <c r="Y124" s="574"/>
      <c r="Z124" s="574"/>
      <c r="AA124" s="574"/>
      <c r="AB124" s="574"/>
      <c r="AC124" s="574"/>
      <c r="AD124" s="574"/>
      <c r="AE124" s="574"/>
      <c r="AF124" s="574"/>
      <c r="AG124" s="574"/>
      <c r="AH124" s="574"/>
      <c r="AI124" s="574"/>
      <c r="AJ124" s="574"/>
      <c r="AK124" s="574"/>
      <c r="AL124" s="574"/>
      <c r="AM124" s="574"/>
      <c r="AN124" s="574"/>
      <c r="AO124" s="574"/>
      <c r="AP124" s="574"/>
      <c r="AQ124" s="574"/>
      <c r="AR124" s="574"/>
      <c r="AS124" s="574"/>
      <c r="AT124" s="574"/>
      <c r="AU124" s="574"/>
      <c r="AV124" s="513"/>
      <c r="AW124" s="574"/>
      <c r="AX124" s="574"/>
      <c r="AY124" s="574"/>
      <c r="AZ124" s="574"/>
      <c r="BA124" s="513"/>
      <c r="BB124" s="568"/>
      <c r="BC124" s="574"/>
      <c r="BD124" s="568"/>
      <c r="BE124" s="568"/>
      <c r="BF124" s="568"/>
      <c r="BG124" s="568"/>
      <c r="BH124" s="568"/>
      <c r="BI124" s="568"/>
      <c r="BJ124" s="568"/>
      <c r="BK124" s="568"/>
      <c r="BL124" s="568"/>
      <c r="BM124" s="568"/>
      <c r="BN124" s="642"/>
      <c r="BO124" s="642"/>
      <c r="BP124" s="642"/>
      <c r="BQ124" s="642"/>
      <c r="BR124" s="35"/>
      <c r="BS124" s="642"/>
      <c r="BT124" s="642"/>
      <c r="BU124" s="642"/>
      <c r="BV124" s="642"/>
      <c r="BW124" s="35"/>
      <c r="BX124" s="642"/>
      <c r="BY124" s="642"/>
      <c r="BZ124" s="642"/>
      <c r="CA124" s="642"/>
      <c r="CB124" s="35"/>
      <c r="CC124" s="32">
        <f t="shared" ref="CC124:CV124" si="191">CC123/CC22</f>
        <v>-0.30677759479863981</v>
      </c>
      <c r="CD124" s="32">
        <f t="shared" si="191"/>
        <v>-0.1976931479458649</v>
      </c>
      <c r="CE124" s="32">
        <f t="shared" si="191"/>
        <v>-6.7793169939615441E-2</v>
      </c>
      <c r="CF124" s="32">
        <f t="shared" si="191"/>
        <v>-0.1199634612190667</v>
      </c>
      <c r="CG124" s="32">
        <f t="shared" si="191"/>
        <v>-0.1647107464300481</v>
      </c>
      <c r="CH124" s="32">
        <f t="shared" si="191"/>
        <v>-9.3371324294472743E-2</v>
      </c>
      <c r="CI124" s="32">
        <f t="shared" si="191"/>
        <v>-0.221764488057767</v>
      </c>
      <c r="CJ124" s="32">
        <f t="shared" si="191"/>
        <v>-0.24816237230397514</v>
      </c>
      <c r="CK124" s="32">
        <f t="shared" si="191"/>
        <v>-0.2338851912754924</v>
      </c>
      <c r="CL124" s="32">
        <f t="shared" si="191"/>
        <v>-0.20379067151345018</v>
      </c>
      <c r="CM124" s="32">
        <f t="shared" si="191"/>
        <v>-0.18947499331997739</v>
      </c>
      <c r="CN124" s="32">
        <f t="shared" si="191"/>
        <v>-0.12034919693640353</v>
      </c>
      <c r="CO124" s="32">
        <f t="shared" si="191"/>
        <v>-3.0741688821187704E-2</v>
      </c>
      <c r="CP124" s="32">
        <f t="shared" si="191"/>
        <v>-3.4482900566228082E-2</v>
      </c>
      <c r="CQ124" s="32">
        <f t="shared" si="191"/>
        <v>-8.7692291724400032E-2</v>
      </c>
      <c r="CR124" s="32">
        <f t="shared" si="191"/>
        <v>-3.8776925535018811E-2</v>
      </c>
      <c r="CS124" s="32">
        <f t="shared" si="191"/>
        <v>1.3449876090680568E-2</v>
      </c>
      <c r="CT124" s="32">
        <f t="shared" si="191"/>
        <v>8.5627710505052829E-2</v>
      </c>
      <c r="CU124" s="32">
        <f t="shared" si="191"/>
        <v>8.7076465526625568E-2</v>
      </c>
      <c r="CV124" s="32">
        <f t="shared" si="191"/>
        <v>4.172135768950961E-2</v>
      </c>
    </row>
    <row r="125" spans="1:100" ht="3.75" customHeight="1" x14ac:dyDescent="0.25">
      <c r="A125" s="47"/>
      <c r="B125" s="47"/>
      <c r="F125" s="33"/>
      <c r="G125" s="33"/>
      <c r="H125" s="33"/>
      <c r="I125" s="33"/>
      <c r="J125" s="33"/>
      <c r="O125" s="33"/>
      <c r="T125" s="33"/>
      <c r="Y125" s="33"/>
      <c r="AD125" s="33"/>
      <c r="AI125" s="33"/>
      <c r="AN125" s="33"/>
      <c r="AS125" s="33"/>
      <c r="AV125" s="124"/>
      <c r="AX125" s="33"/>
      <c r="BA125" s="124"/>
      <c r="BB125" s="27"/>
      <c r="BC125" s="33"/>
      <c r="BD125" s="27"/>
      <c r="BE125" s="27"/>
      <c r="BF125" s="27"/>
      <c r="BG125" s="27"/>
      <c r="BH125" s="139"/>
      <c r="BI125" s="27"/>
      <c r="BJ125" s="27"/>
      <c r="BK125" s="27"/>
      <c r="BL125" s="27"/>
      <c r="BM125" s="139"/>
      <c r="BN125" s="124"/>
      <c r="BO125" s="124"/>
      <c r="BP125" s="124"/>
      <c r="BQ125" s="124"/>
      <c r="BR125" s="139"/>
      <c r="BS125" s="124"/>
      <c r="BT125" s="124"/>
      <c r="BU125" s="124"/>
      <c r="BV125" s="166"/>
      <c r="BW125" s="139"/>
      <c r="BX125" s="166"/>
      <c r="BY125" s="166"/>
      <c r="BZ125" s="166"/>
      <c r="CA125" s="166"/>
      <c r="CB125" s="139"/>
      <c r="CC125" s="166"/>
      <c r="CD125" s="166"/>
      <c r="CE125" s="166"/>
      <c r="CF125" s="166"/>
      <c r="CG125" s="139"/>
      <c r="CH125" s="166"/>
      <c r="CI125" s="166"/>
      <c r="CJ125" s="166"/>
      <c r="CK125" s="166"/>
      <c r="CL125" s="139"/>
      <c r="CM125" s="166"/>
      <c r="CN125" s="166"/>
      <c r="CO125" s="166"/>
      <c r="CP125" s="166"/>
      <c r="CQ125" s="139"/>
      <c r="CR125" s="724"/>
      <c r="CS125" s="724"/>
      <c r="CT125" s="724"/>
      <c r="CU125" s="724"/>
      <c r="CV125" s="139"/>
    </row>
    <row r="126" spans="1:100" ht="12" customHeight="1" x14ac:dyDescent="0.25">
      <c r="A126" s="47"/>
      <c r="B126" s="47"/>
      <c r="E126" s="94" t="s">
        <v>425</v>
      </c>
      <c r="F126" s="33"/>
      <c r="G126" s="33"/>
      <c r="H126" s="33"/>
      <c r="I126" s="33"/>
      <c r="J126" s="33"/>
      <c r="O126" s="33"/>
      <c r="T126" s="33"/>
      <c r="Y126" s="33"/>
      <c r="AD126" s="33"/>
      <c r="AI126" s="33"/>
      <c r="AN126" s="33"/>
      <c r="AS126" s="33"/>
      <c r="AX126" s="33"/>
      <c r="BC126" s="33"/>
      <c r="BH126" s="33"/>
      <c r="BM126" s="33"/>
      <c r="BN126" s="20"/>
      <c r="BO126" s="20"/>
      <c r="BP126" s="639"/>
      <c r="BQ126" s="20"/>
      <c r="BR126" s="33"/>
      <c r="BW126" s="33"/>
      <c r="CB126" s="33"/>
      <c r="CC126" s="101"/>
      <c r="CG126" s="33"/>
      <c r="CH126" s="101"/>
      <c r="CL126" s="33"/>
      <c r="CQ126" s="33"/>
      <c r="CR126" s="717"/>
      <c r="CS126" s="717"/>
      <c r="CT126" s="717"/>
      <c r="CU126" s="717"/>
      <c r="CV126" s="33"/>
    </row>
    <row r="127" spans="1:100" ht="12" customHeight="1" x14ac:dyDescent="0.25">
      <c r="A127" s="47"/>
      <c r="B127" s="47"/>
      <c r="E127" s="6" t="s">
        <v>660</v>
      </c>
      <c r="F127" s="33"/>
      <c r="G127" s="33"/>
      <c r="H127" s="33"/>
      <c r="I127" s="33"/>
      <c r="J127" s="33"/>
      <c r="O127" s="33"/>
      <c r="T127" s="33"/>
      <c r="Y127" s="33"/>
      <c r="AD127" s="139">
        <f t="shared" ref="AD127:BM127" si="192">AD54</f>
        <v>167.66699999999997</v>
      </c>
      <c r="AE127" s="27">
        <f t="shared" si="192"/>
        <v>16.028999999999968</v>
      </c>
      <c r="AF127" s="27">
        <f t="shared" si="192"/>
        <v>28.116999999999997</v>
      </c>
      <c r="AG127" s="27">
        <f t="shared" si="192"/>
        <v>33.891000000000012</v>
      </c>
      <c r="AH127" s="27">
        <f t="shared" si="192"/>
        <v>-1.4390000000000427</v>
      </c>
      <c r="AI127" s="139">
        <f t="shared" si="192"/>
        <v>76.289999999999935</v>
      </c>
      <c r="AJ127" s="27">
        <f t="shared" si="192"/>
        <v>25.013000000000005</v>
      </c>
      <c r="AK127" s="27">
        <f t="shared" si="192"/>
        <v>31.923000000000002</v>
      </c>
      <c r="AL127" s="27">
        <f t="shared" si="192"/>
        <v>34.575999999999993</v>
      </c>
      <c r="AM127" s="27">
        <f t="shared" si="192"/>
        <v>39.915000000000028</v>
      </c>
      <c r="AN127" s="139">
        <f t="shared" si="192"/>
        <v>132.11600000000001</v>
      </c>
      <c r="AO127" s="27">
        <f t="shared" si="192"/>
        <v>12.842999999999989</v>
      </c>
      <c r="AP127" s="27">
        <f t="shared" si="192"/>
        <v>21.220000000000027</v>
      </c>
      <c r="AQ127" s="27">
        <f t="shared" si="192"/>
        <v>30.397000000000027</v>
      </c>
      <c r="AR127" s="27">
        <f t="shared" si="192"/>
        <v>33.40899999999997</v>
      </c>
      <c r="AS127" s="139">
        <f t="shared" si="192"/>
        <v>97.869000000000113</v>
      </c>
      <c r="AT127" s="27">
        <f t="shared" si="192"/>
        <v>20.581000000000017</v>
      </c>
      <c r="AU127" s="27">
        <f t="shared" si="192"/>
        <v>25.076000000000008</v>
      </c>
      <c r="AV127" s="27">
        <f t="shared" si="192"/>
        <v>30.202000000000041</v>
      </c>
      <c r="AW127" s="27">
        <f t="shared" si="192"/>
        <v>33.588999999999963</v>
      </c>
      <c r="AX127" s="139">
        <f t="shared" si="192"/>
        <v>109.44799999999981</v>
      </c>
      <c r="AY127" s="27">
        <f t="shared" si="192"/>
        <v>20.703999999999994</v>
      </c>
      <c r="AZ127" s="85">
        <f t="shared" si="192"/>
        <v>29.51600000000002</v>
      </c>
      <c r="BA127" s="27">
        <f t="shared" si="192"/>
        <v>30.65000000000002</v>
      </c>
      <c r="BB127" s="27">
        <f t="shared" si="192"/>
        <v>34.889999999999986</v>
      </c>
      <c r="BC127" s="139">
        <f t="shared" si="192"/>
        <v>116.00399999999999</v>
      </c>
      <c r="BD127" s="27">
        <f t="shared" si="192"/>
        <v>25.583999999999996</v>
      </c>
      <c r="BE127" s="27">
        <f t="shared" si="192"/>
        <v>30.239999999999988</v>
      </c>
      <c r="BF127" s="27">
        <f t="shared" si="192"/>
        <v>26.772000000000048</v>
      </c>
      <c r="BG127" s="27">
        <f t="shared" si="192"/>
        <v>22.132999999999981</v>
      </c>
      <c r="BH127" s="139">
        <f t="shared" si="192"/>
        <v>104.7289999999999</v>
      </c>
      <c r="BI127" s="27">
        <f t="shared" si="192"/>
        <v>24.071999999999974</v>
      </c>
      <c r="BJ127" s="27">
        <f t="shared" si="192"/>
        <v>28.203999999999951</v>
      </c>
      <c r="BK127" s="27">
        <f t="shared" si="192"/>
        <v>29.334000000000046</v>
      </c>
      <c r="BL127" s="27">
        <f t="shared" si="192"/>
        <v>31.611000000000018</v>
      </c>
      <c r="BM127" s="139">
        <f t="shared" si="192"/>
        <v>43.677999999999997</v>
      </c>
      <c r="BN127" s="27">
        <f>BN57</f>
        <v>-13.086000000000013</v>
      </c>
      <c r="BO127" s="27">
        <f>BO57</f>
        <v>-6.4429999999999996</v>
      </c>
      <c r="BP127" s="27">
        <f>BP57</f>
        <v>-2.2899999999999916</v>
      </c>
      <c r="BQ127" s="27">
        <f>BQ57</f>
        <v>-10.864999999999998</v>
      </c>
      <c r="BR127" s="139">
        <f>SUM(BN127:BQ127)</f>
        <v>-32.683999999999997</v>
      </c>
      <c r="BS127" s="27">
        <f>BS57</f>
        <v>-2.8689999999999833</v>
      </c>
      <c r="BT127" s="27">
        <f>BT57</f>
        <v>-2.0559999999999934</v>
      </c>
      <c r="BU127" s="27">
        <f>BU57</f>
        <v>-0.37399999999998812</v>
      </c>
      <c r="BV127" s="27">
        <f>BV57</f>
        <v>-7.7639999999999958</v>
      </c>
      <c r="BW127" s="139">
        <f>SUM(BS127:BV127)</f>
        <v>-13.06299999999996</v>
      </c>
      <c r="BX127" s="27">
        <f>BX57</f>
        <v>8.1619999999999848</v>
      </c>
      <c r="BY127" s="27">
        <f>BY57</f>
        <v>7.1199999999999877</v>
      </c>
      <c r="BZ127" s="27">
        <f>BZ57</f>
        <v>9.1149999999999984</v>
      </c>
      <c r="CA127" s="27">
        <f>CA57</f>
        <v>-8.7079999999999789</v>
      </c>
      <c r="CB127" s="139">
        <f>SUM(BX127:CA127)</f>
        <v>15.688999999999991</v>
      </c>
      <c r="CC127" s="27">
        <f>CC57</f>
        <v>-39.819000000000003</v>
      </c>
      <c r="CD127" s="27">
        <f>CD57</f>
        <v>-38.133000000000003</v>
      </c>
      <c r="CE127" s="27">
        <f>CE57</f>
        <v>-27.689000000000004</v>
      </c>
      <c r="CF127" s="27">
        <f>CF57</f>
        <v>-27.883000000000006</v>
      </c>
      <c r="CG127" s="139">
        <f>SUM(CC127:CF127)</f>
        <v>-133.524</v>
      </c>
      <c r="CH127" s="27">
        <f>CH57</f>
        <v>-29.602000000000007</v>
      </c>
      <c r="CI127" s="27">
        <f>CI57</f>
        <v>-38.198999999999998</v>
      </c>
      <c r="CJ127" s="27">
        <f>CJ57</f>
        <v>-49.573261999999993</v>
      </c>
      <c r="CK127" s="27">
        <f>CK57</f>
        <v>-45.659869999999984</v>
      </c>
      <c r="CL127" s="139">
        <f>SUM(CH127:CK127)</f>
        <v>-163.03413199999997</v>
      </c>
      <c r="CM127" s="27">
        <f>CM57</f>
        <v>-39.587699999999998</v>
      </c>
      <c r="CN127" s="27">
        <f>CN57</f>
        <v>-34.866920000000007</v>
      </c>
      <c r="CO127" s="27">
        <f>CO57</f>
        <v>-27.286869219999986</v>
      </c>
      <c r="CP127" s="27">
        <f>CP57</f>
        <v>-27.726680699999996</v>
      </c>
      <c r="CQ127" s="139">
        <f>SUM(CM127:CP127)</f>
        <v>-129.46816991999998</v>
      </c>
      <c r="CR127" s="27">
        <f>CR57</f>
        <v>-27.847296999999983</v>
      </c>
      <c r="CS127" s="27">
        <f>CS57</f>
        <v>-22.136267200000006</v>
      </c>
      <c r="CT127" s="27">
        <f>CT57</f>
        <v>-12.387509947699982</v>
      </c>
      <c r="CU127" s="27">
        <f>CU57</f>
        <v>-11.99662954599998</v>
      </c>
      <c r="CV127" s="139">
        <f>SUM(CR127:CU127)</f>
        <v>-74.367703693699951</v>
      </c>
    </row>
    <row r="128" spans="1:100" ht="12" customHeight="1" x14ac:dyDescent="0.25">
      <c r="A128" s="47"/>
      <c r="B128" s="47"/>
      <c r="E128" s="6" t="str">
        <f>E119</f>
        <v>Restructuring charges/other</v>
      </c>
      <c r="F128" s="33"/>
      <c r="G128" s="33"/>
      <c r="H128" s="33"/>
      <c r="I128" s="33"/>
      <c r="J128" s="33"/>
      <c r="O128" s="33"/>
      <c r="T128" s="33"/>
      <c r="Y128" s="33"/>
      <c r="AD128" s="139"/>
      <c r="AE128" s="27"/>
      <c r="AF128" s="27"/>
      <c r="AG128" s="27"/>
      <c r="AH128" s="27"/>
      <c r="AI128" s="139"/>
      <c r="AJ128" s="27"/>
      <c r="AK128" s="27"/>
      <c r="AL128" s="27"/>
      <c r="AM128" s="27"/>
      <c r="AN128" s="139"/>
      <c r="AO128" s="27"/>
      <c r="AP128" s="27"/>
      <c r="AQ128" s="27"/>
      <c r="AR128" s="27"/>
      <c r="AS128" s="139"/>
      <c r="AT128" s="27"/>
      <c r="AU128" s="27"/>
      <c r="AV128" s="27"/>
      <c r="AW128" s="27"/>
      <c r="AX128" s="139"/>
      <c r="AY128" s="27"/>
      <c r="AZ128" s="85"/>
      <c r="BA128" s="27"/>
      <c r="BB128" s="27"/>
      <c r="BC128" s="139"/>
      <c r="BD128" s="27"/>
      <c r="BE128" s="27"/>
      <c r="BF128" s="27"/>
      <c r="BG128" s="27"/>
      <c r="BH128" s="139"/>
      <c r="BI128" s="27"/>
      <c r="BJ128" s="27"/>
      <c r="BK128" s="27"/>
      <c r="BL128" s="27"/>
      <c r="BM128" s="139"/>
      <c r="BN128" s="27">
        <f t="shared" ref="BN128:BQ129" si="193">BN119</f>
        <v>7.1280000000000001</v>
      </c>
      <c r="BO128" s="27">
        <f t="shared" si="193"/>
        <v>0.83299999999999996</v>
      </c>
      <c r="BP128" s="27">
        <f t="shared" si="193"/>
        <v>3.3809999999999998</v>
      </c>
      <c r="BQ128" s="27">
        <f t="shared" si="193"/>
        <v>11.257999999999999</v>
      </c>
      <c r="BR128" s="139">
        <f>SUM(BN128:BQ128)</f>
        <v>22.6</v>
      </c>
      <c r="BS128" s="27">
        <f t="shared" ref="BS128:BV129" si="194">BS119</f>
        <v>0.80700000000000005</v>
      </c>
      <c r="BT128" s="27">
        <f t="shared" si="194"/>
        <v>3.2330000000000001</v>
      </c>
      <c r="BU128" s="27">
        <f t="shared" si="194"/>
        <v>4.0579999999999998</v>
      </c>
      <c r="BV128" s="27">
        <f t="shared" si="194"/>
        <v>10.863</v>
      </c>
      <c r="BW128" s="139">
        <f>SUM(BS128:BV128)</f>
        <v>18.960999999999999</v>
      </c>
      <c r="BX128" s="27">
        <f t="shared" ref="BX128:CA129" si="195">BX119</f>
        <v>0.314</v>
      </c>
      <c r="BY128" s="27">
        <f t="shared" si="195"/>
        <v>0.30000000000000004</v>
      </c>
      <c r="BZ128" s="27">
        <f t="shared" si="195"/>
        <v>2.1110000000000002</v>
      </c>
      <c r="CA128" s="27">
        <f t="shared" si="195"/>
        <v>5.6499999999999986</v>
      </c>
      <c r="CB128" s="139">
        <f>SUM(BX128:CA128)</f>
        <v>8.375</v>
      </c>
      <c r="CC128" s="27">
        <f t="shared" ref="CC128:CF129" si="196">CC119</f>
        <v>-3.0000000000000001E-3</v>
      </c>
      <c r="CD128" s="27">
        <f t="shared" si="196"/>
        <v>2.8330000000000002</v>
      </c>
      <c r="CE128" s="27">
        <f t="shared" si="196"/>
        <v>-0.78800000000000003</v>
      </c>
      <c r="CF128" s="27">
        <f t="shared" si="196"/>
        <v>0.68200000000000005</v>
      </c>
      <c r="CG128" s="139">
        <f>SUM(CC128:CF128)</f>
        <v>2.7239999999999998</v>
      </c>
      <c r="CH128" s="27">
        <f t="shared" ref="CH128:CK129" si="197">CH119</f>
        <v>1E-3</v>
      </c>
      <c r="CI128" s="27">
        <f t="shared" si="197"/>
        <v>0.48899999999999999</v>
      </c>
      <c r="CJ128" s="27">
        <f t="shared" si="197"/>
        <v>2.1</v>
      </c>
      <c r="CK128" s="27">
        <f t="shared" si="197"/>
        <v>1.5</v>
      </c>
      <c r="CL128" s="139">
        <f>SUM(CH128:CK128)</f>
        <v>4.09</v>
      </c>
      <c r="CM128" s="27">
        <f>CM119</f>
        <v>0</v>
      </c>
      <c r="CN128" s="27">
        <f t="shared" ref="CN128:CP128" si="198">CN119</f>
        <v>0</v>
      </c>
      <c r="CO128" s="27">
        <f t="shared" si="198"/>
        <v>0</v>
      </c>
      <c r="CP128" s="27">
        <f t="shared" si="198"/>
        <v>0</v>
      </c>
      <c r="CQ128" s="139">
        <f>SUM(CM128:CP128)</f>
        <v>0</v>
      </c>
      <c r="CR128" s="27">
        <f>CR119</f>
        <v>0</v>
      </c>
      <c r="CS128" s="27">
        <f t="shared" ref="CS128:CU128" si="199">CS119</f>
        <v>0</v>
      </c>
      <c r="CT128" s="27">
        <f t="shared" si="199"/>
        <v>0</v>
      </c>
      <c r="CU128" s="27">
        <f t="shared" si="199"/>
        <v>0</v>
      </c>
      <c r="CV128" s="139">
        <f>SUM(CR128:CU128)</f>
        <v>0</v>
      </c>
    </row>
    <row r="129" spans="1:106" ht="12" customHeight="1" x14ac:dyDescent="0.25">
      <c r="A129" s="47"/>
      <c r="B129" s="47"/>
      <c r="E129" s="6" t="str">
        <f>E120</f>
        <v>Separation and transformation costs</v>
      </c>
      <c r="F129" s="33"/>
      <c r="G129" s="33"/>
      <c r="H129" s="33"/>
      <c r="I129" s="33"/>
      <c r="J129" s="33"/>
      <c r="O129" s="33"/>
      <c r="T129" s="33"/>
      <c r="Y129" s="33"/>
      <c r="AD129" s="139"/>
      <c r="AE129" s="27"/>
      <c r="AF129" s="27"/>
      <c r="AG129" s="27"/>
      <c r="AH129" s="27"/>
      <c r="AI129" s="139"/>
      <c r="AJ129" s="27"/>
      <c r="AK129" s="27"/>
      <c r="AL129" s="27"/>
      <c r="AM129" s="27"/>
      <c r="AN129" s="139"/>
      <c r="AO129" s="27"/>
      <c r="AP129" s="27"/>
      <c r="AQ129" s="27"/>
      <c r="AR129" s="27"/>
      <c r="AS129" s="139"/>
      <c r="AT129" s="27"/>
      <c r="AU129" s="27"/>
      <c r="AV129" s="27"/>
      <c r="AW129" s="27"/>
      <c r="AX129" s="139"/>
      <c r="AY129" s="27"/>
      <c r="AZ129" s="85"/>
      <c r="BA129" s="27"/>
      <c r="BB129" s="27"/>
      <c r="BC129" s="139"/>
      <c r="BD129" s="27"/>
      <c r="BE129" s="27"/>
      <c r="BF129" s="27"/>
      <c r="BG129" s="27"/>
      <c r="BH129" s="139"/>
      <c r="BI129" s="27"/>
      <c r="BJ129" s="27"/>
      <c r="BK129" s="27"/>
      <c r="BL129" s="27"/>
      <c r="BM129" s="139"/>
      <c r="BN129" s="27">
        <f t="shared" si="193"/>
        <v>10.538</v>
      </c>
      <c r="BO129" s="27">
        <f t="shared" si="193"/>
        <v>8.2910000000000004</v>
      </c>
      <c r="BP129" s="27">
        <f t="shared" si="193"/>
        <v>7.4169999999999998</v>
      </c>
      <c r="BQ129" s="27">
        <f t="shared" si="193"/>
        <v>5.0229999999999997</v>
      </c>
      <c r="BR129" s="139">
        <f>SUM(BN129:BQ129)</f>
        <v>31.269000000000002</v>
      </c>
      <c r="BS129" s="27">
        <f t="shared" si="194"/>
        <v>3.4140000000000001</v>
      </c>
      <c r="BT129" s="27">
        <f t="shared" si="194"/>
        <v>6.0979999999999999</v>
      </c>
      <c r="BU129" s="27">
        <f t="shared" si="194"/>
        <v>6.6280000000000001</v>
      </c>
      <c r="BV129" s="27">
        <f t="shared" si="194"/>
        <v>4.6859999999999999</v>
      </c>
      <c r="BW129" s="139">
        <f>SUM(BS129:BV129)</f>
        <v>20.826000000000001</v>
      </c>
      <c r="BX129" s="27">
        <f t="shared" si="195"/>
        <v>0</v>
      </c>
      <c r="BY129" s="27">
        <f t="shared" si="195"/>
        <v>1.4550000000000001</v>
      </c>
      <c r="BZ129" s="27">
        <f t="shared" si="195"/>
        <v>4.1180000000000003</v>
      </c>
      <c r="CA129" s="27">
        <f t="shared" si="195"/>
        <v>3.0659999999999998</v>
      </c>
      <c r="CB129" s="139">
        <f>SUM(BX129:CA129)</f>
        <v>8.6389999999999993</v>
      </c>
      <c r="CC129" s="27">
        <f t="shared" si="196"/>
        <v>7.1189999999999998</v>
      </c>
      <c r="CD129" s="27">
        <f t="shared" si="196"/>
        <v>5.4530000000000003</v>
      </c>
      <c r="CE129" s="27">
        <f t="shared" si="196"/>
        <v>5.2140000000000004</v>
      </c>
      <c r="CF129" s="27">
        <f t="shared" si="196"/>
        <v>0</v>
      </c>
      <c r="CG129" s="139">
        <f>SUM(CC129:CF129)</f>
        <v>17.786000000000001</v>
      </c>
      <c r="CH129" s="27">
        <f t="shared" si="197"/>
        <v>0</v>
      </c>
      <c r="CI129" s="27">
        <f t="shared" si="197"/>
        <v>2.1219999999999999</v>
      </c>
      <c r="CJ129" s="27">
        <f t="shared" si="197"/>
        <v>1.3</v>
      </c>
      <c r="CK129" s="27">
        <f t="shared" si="197"/>
        <v>0</v>
      </c>
      <c r="CL129" s="139">
        <f>SUM(CH129:CK129)</f>
        <v>3.4219999999999997</v>
      </c>
      <c r="CM129" s="27">
        <f>CM120</f>
        <v>0</v>
      </c>
      <c r="CN129" s="27">
        <f t="shared" ref="CN129:CP129" si="200">CN120</f>
        <v>0</v>
      </c>
      <c r="CO129" s="27">
        <f t="shared" si="200"/>
        <v>0</v>
      </c>
      <c r="CP129" s="27">
        <f t="shared" si="200"/>
        <v>0</v>
      </c>
      <c r="CQ129" s="139">
        <f>SUM(CM129:CP129)</f>
        <v>0</v>
      </c>
      <c r="CR129" s="27">
        <f>CR120</f>
        <v>0</v>
      </c>
      <c r="CS129" s="27">
        <f t="shared" ref="CS129:CU129" si="201">CS120</f>
        <v>0</v>
      </c>
      <c r="CT129" s="27">
        <f t="shared" si="201"/>
        <v>0</v>
      </c>
      <c r="CU129" s="27">
        <f t="shared" si="201"/>
        <v>0</v>
      </c>
      <c r="CV129" s="139">
        <f>SUM(CR129:CU129)</f>
        <v>0</v>
      </c>
    </row>
    <row r="130" spans="1:106" s="122" customFormat="1" ht="12" customHeight="1" x14ac:dyDescent="0.25">
      <c r="A130" s="126"/>
      <c r="E130" s="27" t="s">
        <v>426</v>
      </c>
      <c r="F130" s="139"/>
      <c r="G130" s="139"/>
      <c r="H130" s="139"/>
      <c r="I130" s="139"/>
      <c r="J130" s="139"/>
      <c r="K130" s="27"/>
      <c r="L130" s="27"/>
      <c r="M130" s="27"/>
      <c r="N130" s="27"/>
      <c r="O130" s="138"/>
      <c r="P130" s="27"/>
      <c r="Q130" s="27"/>
      <c r="R130" s="27"/>
      <c r="S130" s="27"/>
      <c r="T130" s="139">
        <f>'Cash Flow'!T10</f>
        <v>195.12</v>
      </c>
      <c r="U130" s="27"/>
      <c r="V130" s="27"/>
      <c r="W130" s="27"/>
      <c r="X130" s="27"/>
      <c r="Y130" s="139">
        <f>'Cash Flow'!Y10</f>
        <v>231.137</v>
      </c>
      <c r="Z130" s="27"/>
      <c r="AA130" s="27"/>
      <c r="AB130" s="27"/>
      <c r="AC130" s="27"/>
      <c r="AD130" s="139">
        <f>'Cash Flow'!AD10</f>
        <v>229.566</v>
      </c>
      <c r="AE130" s="27">
        <f>'Cash Flow'!AE10</f>
        <v>59.101999999999997</v>
      </c>
      <c r="AF130" s="27">
        <f>'Cash Flow'!AF10</f>
        <v>60.819000000000003</v>
      </c>
      <c r="AG130" s="27">
        <f>'Cash Flow'!AG10</f>
        <v>57.423999999999999</v>
      </c>
      <c r="AH130" s="27">
        <f>'Cash Flow'!AH10</f>
        <v>116.72</v>
      </c>
      <c r="AI130" s="138">
        <f>'Cash Flow'!AI10</f>
        <v>294.065</v>
      </c>
      <c r="AJ130" s="27">
        <f>'Cash Flow'!AJ10</f>
        <v>53.893000000000001</v>
      </c>
      <c r="AK130" s="27">
        <f>'Cash Flow'!AK10</f>
        <v>50.726999999999997</v>
      </c>
      <c r="AL130" s="27">
        <f>'Cash Flow'!AL10</f>
        <v>49.677</v>
      </c>
      <c r="AM130" s="27">
        <f>'Cash Flow'!AM10</f>
        <v>44.387</v>
      </c>
      <c r="AN130" s="138">
        <f>'Cash Flow'!AN10</f>
        <v>198.684</v>
      </c>
      <c r="AO130" s="27">
        <f>'Cash Flow'!AO10</f>
        <v>40.594999999999999</v>
      </c>
      <c r="AP130" s="27">
        <f>'Cash Flow'!AP10</f>
        <v>41.146999999999998</v>
      </c>
      <c r="AQ130" s="27">
        <f>'Cash Flow'!AQ10</f>
        <v>43.17</v>
      </c>
      <c r="AR130" s="27">
        <f>'Cash Flow'!AR10</f>
        <v>42.652000000000001</v>
      </c>
      <c r="AS130" s="138">
        <f>'Cash Flow'!AS10</f>
        <v>167.56399999999999</v>
      </c>
      <c r="AT130" s="27">
        <f>'Cash Flow'!AT10</f>
        <v>35.985999999999997</v>
      </c>
      <c r="AU130" s="27">
        <f>'Cash Flow'!AU10</f>
        <v>37.72</v>
      </c>
      <c r="AV130" s="27">
        <f>'Cash Flow'!AV10</f>
        <v>34.880000000000003</v>
      </c>
      <c r="AW130" s="27">
        <f>'Cash Flow'!AW10</f>
        <v>37.768999999999998</v>
      </c>
      <c r="AX130" s="138">
        <f>'Cash Flow'!AX10</f>
        <v>146.35499999999999</v>
      </c>
      <c r="AY130" s="27">
        <f>'Cash Flow'!AY10</f>
        <v>35.295000000000002</v>
      </c>
      <c r="AZ130" s="85">
        <f>'Cash Flow'!AZ10</f>
        <v>34.959000000000003</v>
      </c>
      <c r="BA130" s="27">
        <f>'Cash Flow'!BA10</f>
        <v>32.985999999999997</v>
      </c>
      <c r="BB130" s="27">
        <f>'Cash Flow'!BB10</f>
        <v>31.422000000000001</v>
      </c>
      <c r="BC130" s="138">
        <f>'Cash Flow'!BC10</f>
        <v>134.66200000000001</v>
      </c>
      <c r="BD130" s="27">
        <f>'Cash Flow'!BD10</f>
        <v>30.995000000000001</v>
      </c>
      <c r="BE130" s="27">
        <f>'Cash Flow'!BE10</f>
        <v>29.236000000000001</v>
      </c>
      <c r="BF130" s="27">
        <f>'Cash Flow'!BF10</f>
        <v>29.363</v>
      </c>
      <c r="BG130" s="27">
        <f>'Cash Flow'!BG10</f>
        <v>26.614000000000001</v>
      </c>
      <c r="BH130" s="138">
        <f>'Cash Flow'!BH10</f>
        <v>116.208</v>
      </c>
      <c r="BI130" s="27">
        <f>'Cash Flow'!BI10</f>
        <v>25.184999999999999</v>
      </c>
      <c r="BJ130" s="27">
        <f>'Cash Flow'!BJ10</f>
        <v>25.334</v>
      </c>
      <c r="BK130" s="27">
        <f>'Cash Flow'!BK10</f>
        <v>25.608000000000001</v>
      </c>
      <c r="BL130" s="27">
        <f>'Cash Flow'!BL10</f>
        <v>26.879000000000001</v>
      </c>
      <c r="BM130" s="138">
        <f>'Cash Flow'!BM10</f>
        <v>103.006</v>
      </c>
      <c r="BN130" s="27">
        <f>'Cash Flow'!BN10</f>
        <v>15.92</v>
      </c>
      <c r="BO130" s="27">
        <f>'Cash Flow'!BO10</f>
        <v>18.257000000000001</v>
      </c>
      <c r="BP130" s="27">
        <f>'Cash Flow'!BP10</f>
        <v>20.51</v>
      </c>
      <c r="BQ130" s="27">
        <f>'Cash Flow'!BQ10</f>
        <v>25.76</v>
      </c>
      <c r="BR130" s="138">
        <f>'Cash Flow'!BR10</f>
        <v>80.447000000000003</v>
      </c>
      <c r="BS130" s="27">
        <f>'Cash Flow'!BS10</f>
        <v>21.774999999999999</v>
      </c>
      <c r="BT130" s="27">
        <f>'Cash Flow'!BT10</f>
        <v>20.635000000000002</v>
      </c>
      <c r="BU130" s="27">
        <f>'Cash Flow'!BU10</f>
        <v>20.811</v>
      </c>
      <c r="BV130" s="27">
        <f>'Cash Flow'!BV10</f>
        <v>22.242000000000001</v>
      </c>
      <c r="BW130" s="138">
        <f>'Cash Flow'!BW10</f>
        <v>85.462999999999994</v>
      </c>
      <c r="BX130" s="27">
        <f>'Cash Flow'!BX10</f>
        <v>20.79</v>
      </c>
      <c r="BY130" s="27">
        <f>'Cash Flow'!BY10</f>
        <v>20.36</v>
      </c>
      <c r="BZ130" s="27">
        <f>'Cash Flow'!BZ10</f>
        <v>19.946999999999999</v>
      </c>
      <c r="CA130" s="27">
        <f>'Cash Flow'!CA10</f>
        <v>21.592999999999996</v>
      </c>
      <c r="CB130" s="138">
        <f>'Cash Flow'!CB10</f>
        <v>82.69</v>
      </c>
      <c r="CC130" s="27">
        <f>'Cash Flow'!CC10</f>
        <v>9.1990000000000016</v>
      </c>
      <c r="CD130" s="27">
        <f>'Cash Flow'!CD10</f>
        <v>9.7319999999999993</v>
      </c>
      <c r="CE130" s="27">
        <f>'Cash Flow'!CE10</f>
        <v>9.3079999999999998</v>
      </c>
      <c r="CF130" s="27">
        <f>'Cash Flow'!CF10</f>
        <v>10.394</v>
      </c>
      <c r="CG130" s="138">
        <f>'Cash Flow'!CG10</f>
        <v>38.633000000000003</v>
      </c>
      <c r="CH130" s="27">
        <f>'Cash Flow'!CH10</f>
        <v>9.5299999999999994</v>
      </c>
      <c r="CI130" s="27">
        <f>'Cash Flow'!CI10</f>
        <v>7.01</v>
      </c>
      <c r="CJ130" s="27">
        <f>'Cash Flow'!CJ10</f>
        <v>8.6999999999999993</v>
      </c>
      <c r="CK130" s="27">
        <f>'Cash Flow'!CK10</f>
        <v>8.6999999999999993</v>
      </c>
      <c r="CL130" s="138">
        <f>'Cash Flow'!CL10</f>
        <v>33.94</v>
      </c>
      <c r="CM130" s="27">
        <f>'Cash Flow'!CM10</f>
        <v>8.6999999999999993</v>
      </c>
      <c r="CN130" s="27">
        <f>'Cash Flow'!CN10</f>
        <v>8.65</v>
      </c>
      <c r="CO130" s="27">
        <f>'Cash Flow'!CO10</f>
        <v>8.65</v>
      </c>
      <c r="CP130" s="27">
        <f>'Cash Flow'!CP10</f>
        <v>8.65</v>
      </c>
      <c r="CQ130" s="138">
        <f>'Cash Flow'!CQ10</f>
        <v>34.65</v>
      </c>
      <c r="CR130" s="27">
        <f>'Cash Flow'!CR10</f>
        <v>8.6</v>
      </c>
      <c r="CS130" s="27">
        <f>'Cash Flow'!CS10</f>
        <v>8.6</v>
      </c>
      <c r="CT130" s="27">
        <f>'Cash Flow'!CT10</f>
        <v>8.6</v>
      </c>
      <c r="CU130" s="27">
        <f>'Cash Flow'!CU10</f>
        <v>8.6</v>
      </c>
      <c r="CV130" s="138">
        <f>'Cash Flow'!CV10</f>
        <v>34.4</v>
      </c>
      <c r="CW130" s="27"/>
      <c r="CX130" s="27"/>
      <c r="CY130" s="27"/>
      <c r="CZ130" s="27"/>
      <c r="DA130" s="27"/>
      <c r="DB130" s="27"/>
    </row>
    <row r="131" spans="1:106" s="122" customFormat="1" ht="3.75" customHeight="1" x14ac:dyDescent="0.25">
      <c r="A131" s="126"/>
      <c r="E131" s="27"/>
      <c r="F131" s="139"/>
      <c r="G131" s="139"/>
      <c r="H131" s="139"/>
      <c r="I131" s="139"/>
      <c r="J131" s="139"/>
      <c r="K131" s="27"/>
      <c r="L131" s="27"/>
      <c r="M131" s="27"/>
      <c r="N131" s="27"/>
      <c r="O131" s="138"/>
      <c r="P131" s="27"/>
      <c r="Q131" s="27"/>
      <c r="R131" s="27"/>
      <c r="S131" s="27"/>
      <c r="T131" s="139"/>
      <c r="U131" s="27"/>
      <c r="V131" s="27"/>
      <c r="W131" s="27"/>
      <c r="X131" s="27"/>
      <c r="Y131" s="139"/>
      <c r="Z131" s="27"/>
      <c r="AA131" s="27"/>
      <c r="AB131" s="27"/>
      <c r="AC131" s="27"/>
      <c r="AD131" s="139"/>
      <c r="AE131" s="27"/>
      <c r="AF131" s="27"/>
      <c r="AG131" s="27"/>
      <c r="AH131" s="27"/>
      <c r="AI131" s="138"/>
      <c r="AJ131" s="27"/>
      <c r="AK131" s="27"/>
      <c r="AL131" s="27"/>
      <c r="AM131" s="27"/>
      <c r="AN131" s="138"/>
      <c r="AO131" s="27"/>
      <c r="AP131" s="27"/>
      <c r="AQ131" s="27"/>
      <c r="AR131" s="27"/>
      <c r="AS131" s="138"/>
      <c r="AT131" s="27"/>
      <c r="AU131" s="27"/>
      <c r="AV131" s="27"/>
      <c r="AW131" s="27"/>
      <c r="AX131" s="138"/>
      <c r="AY131" s="27"/>
      <c r="AZ131" s="85"/>
      <c r="BA131" s="27"/>
      <c r="BB131" s="27"/>
      <c r="BC131" s="138"/>
      <c r="BD131" s="27"/>
      <c r="BE131" s="27"/>
      <c r="BF131" s="27"/>
      <c r="BG131" s="27"/>
      <c r="BH131" s="138"/>
      <c r="BI131" s="27"/>
      <c r="BJ131" s="27"/>
      <c r="BK131" s="27"/>
      <c r="BL131" s="27"/>
      <c r="BM131" s="138"/>
      <c r="BN131" s="27"/>
      <c r="BO131" s="27"/>
      <c r="BP131" s="27"/>
      <c r="BQ131" s="27"/>
      <c r="BR131" s="138"/>
      <c r="BS131" s="27"/>
      <c r="BT131" s="27"/>
      <c r="BU131" s="27"/>
      <c r="BV131" s="27"/>
      <c r="BW131" s="138"/>
      <c r="BX131" s="27"/>
      <c r="BY131" s="27"/>
      <c r="BZ131" s="27"/>
      <c r="CA131" s="27"/>
      <c r="CB131" s="138"/>
      <c r="CC131" s="27"/>
      <c r="CD131" s="27"/>
      <c r="CE131" s="27"/>
      <c r="CF131" s="27"/>
      <c r="CG131" s="138"/>
      <c r="CH131" s="27"/>
      <c r="CI131" s="27"/>
      <c r="CJ131" s="27"/>
      <c r="CK131" s="27"/>
      <c r="CL131" s="138"/>
      <c r="CM131" s="27"/>
      <c r="CN131" s="27"/>
      <c r="CO131" s="27"/>
      <c r="CP131" s="27"/>
      <c r="CQ131" s="138"/>
      <c r="CR131" s="27"/>
      <c r="CS131" s="27"/>
      <c r="CT131" s="27"/>
      <c r="CU131" s="27"/>
      <c r="CV131" s="138"/>
      <c r="CW131" s="27"/>
      <c r="CX131" s="27"/>
      <c r="CY131" s="27"/>
      <c r="CZ131" s="27"/>
      <c r="DA131" s="27"/>
      <c r="DB131" s="27"/>
    </row>
    <row r="132" spans="1:106" s="27" customFormat="1" ht="12" customHeight="1" x14ac:dyDescent="0.25">
      <c r="A132" s="424"/>
      <c r="B132" s="424"/>
      <c r="C132" s="424"/>
      <c r="D132" s="424"/>
      <c r="E132" s="35" t="s">
        <v>3</v>
      </c>
      <c r="F132" s="425"/>
      <c r="G132" s="425"/>
      <c r="H132" s="425"/>
      <c r="I132" s="425"/>
      <c r="J132" s="425"/>
      <c r="K132" s="425"/>
      <c r="L132" s="425"/>
      <c r="M132" s="425"/>
      <c r="N132" s="425"/>
      <c r="O132" s="426"/>
      <c r="P132" s="425"/>
      <c r="Q132" s="425"/>
      <c r="R132" s="425"/>
      <c r="S132" s="425"/>
      <c r="T132" s="427"/>
      <c r="U132" s="425"/>
      <c r="V132" s="425"/>
      <c r="W132" s="425"/>
      <c r="X132" s="425"/>
      <c r="Y132" s="427"/>
      <c r="Z132" s="425"/>
      <c r="AA132" s="425"/>
      <c r="AB132" s="425"/>
      <c r="AC132" s="425"/>
      <c r="AD132" s="428">
        <f t="shared" ref="AD132:BI132" si="202">SUM(AD127:AD130)</f>
        <v>397.23299999999995</v>
      </c>
      <c r="AE132" s="35">
        <f t="shared" si="202"/>
        <v>75.130999999999972</v>
      </c>
      <c r="AF132" s="35">
        <f t="shared" si="202"/>
        <v>88.936000000000007</v>
      </c>
      <c r="AG132" s="35">
        <f t="shared" si="202"/>
        <v>91.315000000000012</v>
      </c>
      <c r="AH132" s="35">
        <f t="shared" si="202"/>
        <v>115.28099999999995</v>
      </c>
      <c r="AI132" s="35">
        <f t="shared" si="202"/>
        <v>370.3549999999999</v>
      </c>
      <c r="AJ132" s="35">
        <f t="shared" si="202"/>
        <v>78.906000000000006</v>
      </c>
      <c r="AK132" s="35">
        <f t="shared" si="202"/>
        <v>82.65</v>
      </c>
      <c r="AL132" s="35">
        <f t="shared" si="202"/>
        <v>84.252999999999986</v>
      </c>
      <c r="AM132" s="35">
        <f t="shared" si="202"/>
        <v>84.302000000000021</v>
      </c>
      <c r="AN132" s="35">
        <f t="shared" si="202"/>
        <v>330.8</v>
      </c>
      <c r="AO132" s="35">
        <f t="shared" si="202"/>
        <v>53.437999999999988</v>
      </c>
      <c r="AP132" s="35">
        <f t="shared" si="202"/>
        <v>62.367000000000026</v>
      </c>
      <c r="AQ132" s="35">
        <f t="shared" si="202"/>
        <v>73.567000000000036</v>
      </c>
      <c r="AR132" s="35">
        <f t="shared" si="202"/>
        <v>76.060999999999979</v>
      </c>
      <c r="AS132" s="35">
        <f t="shared" si="202"/>
        <v>265.43300000000011</v>
      </c>
      <c r="AT132" s="35">
        <f t="shared" si="202"/>
        <v>56.567000000000014</v>
      </c>
      <c r="AU132" s="35">
        <f t="shared" si="202"/>
        <v>62.796000000000006</v>
      </c>
      <c r="AV132" s="35">
        <f t="shared" si="202"/>
        <v>65.08200000000005</v>
      </c>
      <c r="AW132" s="35">
        <f t="shared" si="202"/>
        <v>71.357999999999961</v>
      </c>
      <c r="AX132" s="35">
        <f t="shared" si="202"/>
        <v>255.8029999999998</v>
      </c>
      <c r="AY132" s="35">
        <f t="shared" si="202"/>
        <v>55.998999999999995</v>
      </c>
      <c r="AZ132" s="35">
        <f t="shared" si="202"/>
        <v>64.475000000000023</v>
      </c>
      <c r="BA132" s="35">
        <f t="shared" si="202"/>
        <v>63.636000000000017</v>
      </c>
      <c r="BB132" s="35">
        <f t="shared" si="202"/>
        <v>66.311999999999983</v>
      </c>
      <c r="BC132" s="35">
        <f t="shared" si="202"/>
        <v>250.666</v>
      </c>
      <c r="BD132" s="35">
        <f t="shared" si="202"/>
        <v>56.578999999999994</v>
      </c>
      <c r="BE132" s="35">
        <f t="shared" si="202"/>
        <v>59.475999999999985</v>
      </c>
      <c r="BF132" s="35">
        <f t="shared" si="202"/>
        <v>56.135000000000048</v>
      </c>
      <c r="BG132" s="35">
        <f t="shared" si="202"/>
        <v>48.746999999999986</v>
      </c>
      <c r="BH132" s="35">
        <f t="shared" si="202"/>
        <v>220.9369999999999</v>
      </c>
      <c r="BI132" s="35">
        <f t="shared" si="202"/>
        <v>49.256999999999977</v>
      </c>
      <c r="BJ132" s="35">
        <f t="shared" ref="BJ132:CK132" si="203">SUM(BJ127:BJ130)</f>
        <v>53.537999999999954</v>
      </c>
      <c r="BK132" s="35">
        <f t="shared" si="203"/>
        <v>54.94200000000005</v>
      </c>
      <c r="BL132" s="35">
        <f t="shared" si="203"/>
        <v>58.490000000000023</v>
      </c>
      <c r="BM132" s="35">
        <f t="shared" si="203"/>
        <v>146.684</v>
      </c>
      <c r="BN132" s="35">
        <f t="shared" si="203"/>
        <v>20.499999999999986</v>
      </c>
      <c r="BO132" s="35">
        <f t="shared" si="203"/>
        <v>20.938000000000002</v>
      </c>
      <c r="BP132" s="35">
        <f t="shared" si="203"/>
        <v>29.018000000000008</v>
      </c>
      <c r="BQ132" s="35">
        <f t="shared" si="203"/>
        <v>31.176000000000002</v>
      </c>
      <c r="BR132" s="35">
        <f t="shared" si="203"/>
        <v>101.63200000000001</v>
      </c>
      <c r="BS132" s="35">
        <f t="shared" si="203"/>
        <v>23.127000000000017</v>
      </c>
      <c r="BT132" s="35">
        <f t="shared" si="203"/>
        <v>27.910000000000007</v>
      </c>
      <c r="BU132" s="35">
        <f t="shared" si="203"/>
        <v>31.123000000000012</v>
      </c>
      <c r="BV132" s="35">
        <f t="shared" si="203"/>
        <v>30.027000000000005</v>
      </c>
      <c r="BW132" s="35">
        <f t="shared" si="203"/>
        <v>112.18700000000004</v>
      </c>
      <c r="BX132" s="35">
        <f t="shared" si="203"/>
        <v>29.265999999999984</v>
      </c>
      <c r="BY132" s="35">
        <f t="shared" si="203"/>
        <v>29.234999999999985</v>
      </c>
      <c r="BZ132" s="35">
        <f>SUM(BZ127:BZ130)</f>
        <v>35.290999999999997</v>
      </c>
      <c r="CA132" s="35">
        <f>SUM(CA127:CA130)</f>
        <v>21.601000000000017</v>
      </c>
      <c r="CB132" s="35">
        <f>SUM(CB127:CB130)</f>
        <v>115.39299999999999</v>
      </c>
      <c r="CC132" s="35">
        <f t="shared" si="203"/>
        <v>-23.504000000000001</v>
      </c>
      <c r="CD132" s="35">
        <f t="shared" si="203"/>
        <v>-20.115000000000006</v>
      </c>
      <c r="CE132" s="35">
        <f>SUM(CE127:CE130)</f>
        <v>-13.955000000000005</v>
      </c>
      <c r="CF132" s="35">
        <f>SUM(CF127:CF130)</f>
        <v>-16.807000000000009</v>
      </c>
      <c r="CG132" s="35">
        <f t="shared" si="203"/>
        <v>-74.381</v>
      </c>
      <c r="CH132" s="35">
        <f>SUM(CH127:CH130)</f>
        <v>-20.071000000000005</v>
      </c>
      <c r="CI132" s="35">
        <f t="shared" si="203"/>
        <v>-28.578000000000003</v>
      </c>
      <c r="CJ132" s="35">
        <f t="shared" si="203"/>
        <v>-37.473261999999991</v>
      </c>
      <c r="CK132" s="35">
        <f t="shared" si="203"/>
        <v>-35.459869999999981</v>
      </c>
      <c r="CL132" s="35">
        <f>SUM(CL127:CL130)</f>
        <v>-121.58213199999997</v>
      </c>
      <c r="CM132" s="35">
        <f>SUM(CM127:CM130)</f>
        <v>-30.887699999999999</v>
      </c>
      <c r="CN132" s="35">
        <f t="shared" ref="CN132:CP132" si="204">SUM(CN127:CN130)</f>
        <v>-26.216920000000009</v>
      </c>
      <c r="CO132" s="35">
        <f t="shared" si="204"/>
        <v>-18.636869219999987</v>
      </c>
      <c r="CP132" s="35">
        <f t="shared" si="204"/>
        <v>-19.076680699999997</v>
      </c>
      <c r="CQ132" s="35">
        <f>SUM(CQ127:CQ130)</f>
        <v>-94.818169919999974</v>
      </c>
      <c r="CR132" s="35">
        <f t="shared" ref="CR132:CV132" si="205">SUM(CR127:CR130)</f>
        <v>-19.247296999999982</v>
      </c>
      <c r="CS132" s="35">
        <f t="shared" si="205"/>
        <v>-13.536267200000006</v>
      </c>
      <c r="CT132" s="35">
        <f t="shared" si="205"/>
        <v>-3.7875099476999825</v>
      </c>
      <c r="CU132" s="35">
        <f t="shared" si="205"/>
        <v>-3.3966295459999802</v>
      </c>
      <c r="CV132" s="35">
        <f t="shared" si="205"/>
        <v>-39.967703693699953</v>
      </c>
    </row>
    <row r="133" spans="1:106" s="27" customFormat="1" ht="12" customHeight="1" x14ac:dyDescent="0.25">
      <c r="A133" s="122"/>
      <c r="B133" s="122"/>
      <c r="C133" s="122"/>
      <c r="D133" s="122"/>
      <c r="E133" s="85" t="s">
        <v>427</v>
      </c>
      <c r="F133" s="140"/>
      <c r="G133" s="140"/>
      <c r="H133" s="140"/>
      <c r="I133" s="140"/>
      <c r="J133" s="140"/>
      <c r="K133" s="124"/>
      <c r="L133" s="124"/>
      <c r="M133" s="124"/>
      <c r="N133" s="124"/>
      <c r="O133" s="138"/>
      <c r="P133" s="124"/>
      <c r="Q133" s="124"/>
      <c r="R133" s="124"/>
      <c r="S133" s="124"/>
      <c r="T133" s="139">
        <f>'Cash Flow'!T14</f>
        <v>3.5950000000000002</v>
      </c>
      <c r="U133" s="124"/>
      <c r="V133" s="124"/>
      <c r="W133" s="124"/>
      <c r="X133" s="124"/>
      <c r="Y133" s="139">
        <f>'Cash Flow'!Y14</f>
        <v>1.3129999999999999</v>
      </c>
      <c r="Z133" s="124"/>
      <c r="AA133" s="124"/>
      <c r="AB133" s="124"/>
      <c r="AC133" s="124"/>
      <c r="AD133" s="139">
        <f>'Cash Flow'!AD14</f>
        <v>3.823</v>
      </c>
      <c r="AE133" s="27">
        <f>'Cash Flow'!AE14</f>
        <v>1.3580000000000001</v>
      </c>
      <c r="AF133" s="27">
        <f>'Cash Flow'!AF14</f>
        <v>1.6719999999999999</v>
      </c>
      <c r="AG133" s="27">
        <f>'Cash Flow'!AG14</f>
        <v>2.6480000000000001</v>
      </c>
      <c r="AH133" s="27">
        <f>'Cash Flow'!AH14</f>
        <v>3.254</v>
      </c>
      <c r="AI133" s="139">
        <f>'Cash Flow'!AI14</f>
        <v>8.9320000000000004</v>
      </c>
      <c r="AJ133" s="27">
        <f>'Cash Flow'!AJ14</f>
        <v>2.6040000000000001</v>
      </c>
      <c r="AK133" s="27">
        <f>'Cash Flow'!AK14</f>
        <v>3.6280000000000001</v>
      </c>
      <c r="AL133" s="27">
        <f>'Cash Flow'!AL14</f>
        <v>1.8069999999999999</v>
      </c>
      <c r="AM133" s="27">
        <f>'Cash Flow'!AM14</f>
        <v>2.302</v>
      </c>
      <c r="AN133" s="139">
        <f>'Cash Flow'!AN14</f>
        <v>10.340999999999999</v>
      </c>
      <c r="AO133" s="27">
        <f>'Cash Flow'!AO14</f>
        <v>2.3879999999999999</v>
      </c>
      <c r="AP133" s="27">
        <f>'Cash Flow'!AP14</f>
        <v>3.2610000000000001</v>
      </c>
      <c r="AQ133" s="27">
        <f>'Cash Flow'!AQ14</f>
        <v>2.6379999999999999</v>
      </c>
      <c r="AR133" s="27">
        <f>'Cash Flow'!AR14</f>
        <v>2.5019999999999998</v>
      </c>
      <c r="AS133" s="139">
        <f>'Cash Flow'!AS14</f>
        <v>10.788999999999998</v>
      </c>
      <c r="AT133" s="27">
        <f>'Cash Flow'!AT14</f>
        <v>2.972</v>
      </c>
      <c r="AU133" s="27">
        <f>'Cash Flow'!AU14</f>
        <v>3.488</v>
      </c>
      <c r="AV133" s="27">
        <f>'Cash Flow'!AV14</f>
        <v>3.4369999999999998</v>
      </c>
      <c r="AW133" s="27">
        <f>'Cash Flow'!AW14</f>
        <v>3.2</v>
      </c>
      <c r="AX133" s="139">
        <f>'Cash Flow'!AX14</f>
        <v>13.097000000000001</v>
      </c>
      <c r="AY133" s="27">
        <f>'Cash Flow'!AY14</f>
        <v>2.355</v>
      </c>
      <c r="AZ133" s="85">
        <f>'Cash Flow'!AZ14</f>
        <v>2.8450000000000002</v>
      </c>
      <c r="BA133" s="27">
        <f>'Cash Flow'!BA14</f>
        <v>1.71</v>
      </c>
      <c r="BB133" s="27">
        <f>'Cash Flow'!BB14</f>
        <v>2.06</v>
      </c>
      <c r="BC133" s="139">
        <f>'Cash Flow'!BC14</f>
        <v>8.9700000000000006</v>
      </c>
      <c r="BD133" s="27">
        <f>'Cash Flow'!BD14</f>
        <v>2.653</v>
      </c>
      <c r="BE133" s="27">
        <f>'Cash Flow'!BE14</f>
        <v>3.15</v>
      </c>
      <c r="BF133" s="27">
        <f>'Cash Flow'!BF14</f>
        <v>3.1030000000000002</v>
      </c>
      <c r="BG133" s="27">
        <f>'Cash Flow'!BG14</f>
        <v>3.0960000000000001</v>
      </c>
      <c r="BH133" s="139">
        <f>'Cash Flow'!BH14</f>
        <v>12.002000000000001</v>
      </c>
      <c r="BI133" s="27">
        <f>'Cash Flow'!BI14</f>
        <v>3.181</v>
      </c>
      <c r="BJ133" s="27">
        <f>'Cash Flow'!BJ14</f>
        <v>3.7090000000000001</v>
      </c>
      <c r="BK133" s="27">
        <f>'Cash Flow'!BK14</f>
        <v>3.4550000000000001</v>
      </c>
      <c r="BL133" s="27">
        <f>'Cash Flow'!BL14</f>
        <v>3.581</v>
      </c>
      <c r="BM133" s="139">
        <f>'Cash Flow'!BM14</f>
        <v>13.206</v>
      </c>
      <c r="BN133" s="27">
        <f>'Cash Flow'!BN14</f>
        <v>3.9249999999999998</v>
      </c>
      <c r="BO133" s="27">
        <f>'Cash Flow'!BO14</f>
        <v>7.7249999999999996</v>
      </c>
      <c r="BP133" s="27">
        <f>'Cash Flow'!BP14</f>
        <v>8.4499999999999993</v>
      </c>
      <c r="BQ133" s="27">
        <f>'Cash Flow'!BQ14</f>
        <v>8.2159999999999993</v>
      </c>
      <c r="BR133" s="139">
        <f>'Cash Flow'!BR14</f>
        <v>28.315999999999995</v>
      </c>
      <c r="BS133" s="27">
        <f>'Cash Flow'!BS14</f>
        <v>8.1229999999999993</v>
      </c>
      <c r="BT133" s="27">
        <f>'Cash Flow'!BT14</f>
        <v>7.36</v>
      </c>
      <c r="BU133" s="27">
        <f>'Cash Flow'!BU14</f>
        <v>8.0459999999999994</v>
      </c>
      <c r="BV133" s="27">
        <f>'Cash Flow'!BV14</f>
        <v>7.9340000000000002</v>
      </c>
      <c r="BW133" s="139">
        <f>'Cash Flow'!BW14</f>
        <v>31.463000000000001</v>
      </c>
      <c r="BX133" s="27">
        <f>'Cash Flow'!BX14</f>
        <v>8.59</v>
      </c>
      <c r="BY133" s="27">
        <f>'Cash Flow'!BY14</f>
        <v>11.938000000000001</v>
      </c>
      <c r="BZ133" s="27">
        <f>'Cash Flow'!BZ14</f>
        <v>13.427</v>
      </c>
      <c r="CA133" s="27">
        <f>'Cash Flow'!CA14</f>
        <v>15.190000000000001</v>
      </c>
      <c r="CB133" s="139">
        <f>SUM(BX133:CA133)</f>
        <v>49.144999999999996</v>
      </c>
      <c r="CC133" s="124">
        <f>25.554-CD133</f>
        <v>12.399999999999999</v>
      </c>
      <c r="CD133" s="124">
        <v>13.154</v>
      </c>
      <c r="CE133" s="124">
        <v>13.29</v>
      </c>
      <c r="CF133" s="124">
        <v>14.022</v>
      </c>
      <c r="CG133" s="139">
        <f>SUM(CC133:CF133)</f>
        <v>52.865999999999993</v>
      </c>
      <c r="CH133" s="124">
        <f>35.465-CI133</f>
        <v>17.798000000000002</v>
      </c>
      <c r="CI133" s="124">
        <v>17.667000000000002</v>
      </c>
      <c r="CJ133" s="27">
        <f>'Cash Flow'!CJ14</f>
        <v>22.2</v>
      </c>
      <c r="CK133" s="27">
        <f>'Cash Flow'!CK14</f>
        <v>20.3</v>
      </c>
      <c r="CL133" s="139">
        <f>SUM(CH133:CK133)</f>
        <v>77.965000000000003</v>
      </c>
      <c r="CM133" s="27">
        <f>'Cash Flow'!CM14</f>
        <v>19</v>
      </c>
      <c r="CN133" s="27">
        <f>'Cash Flow'!CN14</f>
        <v>19</v>
      </c>
      <c r="CO133" s="27">
        <f>'Cash Flow'!CO14</f>
        <v>19</v>
      </c>
      <c r="CP133" s="27">
        <f>'Cash Flow'!CP14</f>
        <v>19</v>
      </c>
      <c r="CQ133" s="139">
        <f>SUM(CM133:CP133)</f>
        <v>76</v>
      </c>
      <c r="CR133" s="27">
        <f>'Cash Flow'!CR14</f>
        <v>18.5</v>
      </c>
      <c r="CS133" s="27">
        <f>'Cash Flow'!CS14</f>
        <v>18.5</v>
      </c>
      <c r="CT133" s="27">
        <f>'Cash Flow'!CT14</f>
        <v>18.5</v>
      </c>
      <c r="CU133" s="27">
        <f>'Cash Flow'!CU14</f>
        <v>18.5</v>
      </c>
      <c r="CV133" s="139">
        <f>SUM(CR133:CU133)</f>
        <v>74</v>
      </c>
    </row>
    <row r="134" spans="1:106" s="27" customFormat="1" ht="13.5" x14ac:dyDescent="0.25">
      <c r="A134" s="122"/>
      <c r="B134" s="122"/>
      <c r="C134" s="122"/>
      <c r="D134" s="122"/>
      <c r="E134" s="35" t="s">
        <v>161</v>
      </c>
      <c r="F134" s="35"/>
      <c r="G134" s="35"/>
      <c r="H134" s="35"/>
      <c r="I134" s="35"/>
      <c r="J134" s="35"/>
      <c r="K134" s="35"/>
      <c r="L134" s="35"/>
      <c r="M134" s="35"/>
      <c r="N134" s="35"/>
      <c r="O134" s="35"/>
      <c r="P134" s="35"/>
      <c r="Q134" s="35"/>
      <c r="R134" s="35"/>
      <c r="S134" s="35"/>
      <c r="T134" s="35">
        <f>T54+T133+T130</f>
        <v>319.92299999999989</v>
      </c>
      <c r="U134" s="35"/>
      <c r="V134" s="35"/>
      <c r="W134" s="35"/>
      <c r="X134" s="35"/>
      <c r="Y134" s="35">
        <f>Y54+Y133+Y130</f>
        <v>373.03699999999998</v>
      </c>
      <c r="Z134" s="35"/>
      <c r="AA134" s="35"/>
      <c r="AB134" s="35"/>
      <c r="AC134" s="374">
        <v>100</v>
      </c>
      <c r="AD134" s="35">
        <f>AD132+AD133</f>
        <v>401.05599999999993</v>
      </c>
      <c r="AE134" s="35">
        <f t="shared" ref="AE134:BM134" si="206">AE132+AE133</f>
        <v>76.488999999999976</v>
      </c>
      <c r="AF134" s="35">
        <f t="shared" si="206"/>
        <v>90.608000000000004</v>
      </c>
      <c r="AG134" s="35">
        <f t="shared" si="206"/>
        <v>93.963000000000008</v>
      </c>
      <c r="AH134" s="35">
        <f t="shared" si="206"/>
        <v>118.53499999999995</v>
      </c>
      <c r="AI134" s="35">
        <f t="shared" si="206"/>
        <v>379.28699999999992</v>
      </c>
      <c r="AJ134" s="35">
        <f t="shared" si="206"/>
        <v>81.510000000000005</v>
      </c>
      <c r="AK134" s="35">
        <f t="shared" si="206"/>
        <v>86.278000000000006</v>
      </c>
      <c r="AL134" s="35">
        <f t="shared" si="206"/>
        <v>86.059999999999988</v>
      </c>
      <c r="AM134" s="35">
        <f t="shared" si="206"/>
        <v>86.604000000000028</v>
      </c>
      <c r="AN134" s="35">
        <f t="shared" si="206"/>
        <v>341.14100000000002</v>
      </c>
      <c r="AO134" s="35">
        <f t="shared" si="206"/>
        <v>55.825999999999986</v>
      </c>
      <c r="AP134" s="35">
        <f t="shared" si="206"/>
        <v>65.628000000000029</v>
      </c>
      <c r="AQ134" s="35">
        <f t="shared" si="206"/>
        <v>76.205000000000041</v>
      </c>
      <c r="AR134" s="35">
        <f t="shared" si="206"/>
        <v>78.562999999999974</v>
      </c>
      <c r="AS134" s="35">
        <f t="shared" si="206"/>
        <v>276.22200000000009</v>
      </c>
      <c r="AT134" s="35">
        <f t="shared" si="206"/>
        <v>59.539000000000016</v>
      </c>
      <c r="AU134" s="35">
        <f t="shared" si="206"/>
        <v>66.284000000000006</v>
      </c>
      <c r="AV134" s="35">
        <f t="shared" si="206"/>
        <v>68.519000000000048</v>
      </c>
      <c r="AW134" s="35">
        <f t="shared" si="206"/>
        <v>74.557999999999964</v>
      </c>
      <c r="AX134" s="35">
        <f t="shared" si="206"/>
        <v>268.89999999999981</v>
      </c>
      <c r="AY134" s="35">
        <f t="shared" si="206"/>
        <v>58.353999999999992</v>
      </c>
      <c r="AZ134" s="35">
        <f t="shared" si="206"/>
        <v>67.320000000000022</v>
      </c>
      <c r="BA134" s="35">
        <f t="shared" si="206"/>
        <v>65.346000000000018</v>
      </c>
      <c r="BB134" s="35">
        <f t="shared" si="206"/>
        <v>68.371999999999986</v>
      </c>
      <c r="BC134" s="35">
        <f t="shared" si="206"/>
        <v>259.63600000000002</v>
      </c>
      <c r="BD134" s="35">
        <f t="shared" si="206"/>
        <v>59.231999999999992</v>
      </c>
      <c r="BE134" s="35">
        <f t="shared" si="206"/>
        <v>62.625999999999983</v>
      </c>
      <c r="BF134" s="35">
        <f t="shared" si="206"/>
        <v>59.238000000000049</v>
      </c>
      <c r="BG134" s="35">
        <f t="shared" si="206"/>
        <v>51.842999999999989</v>
      </c>
      <c r="BH134" s="35">
        <f t="shared" si="206"/>
        <v>232.93899999999991</v>
      </c>
      <c r="BI134" s="35">
        <f t="shared" si="206"/>
        <v>52.437999999999974</v>
      </c>
      <c r="BJ134" s="35">
        <f t="shared" si="206"/>
        <v>57.246999999999957</v>
      </c>
      <c r="BK134" s="35">
        <f t="shared" si="206"/>
        <v>58.397000000000048</v>
      </c>
      <c r="BL134" s="35">
        <f t="shared" si="206"/>
        <v>62.071000000000026</v>
      </c>
      <c r="BM134" s="35">
        <f t="shared" si="206"/>
        <v>159.88999999999999</v>
      </c>
      <c r="BN134" s="35">
        <f t="shared" ref="BN134:BT134" si="207">BN132+BN133</f>
        <v>24.424999999999986</v>
      </c>
      <c r="BO134" s="35">
        <f t="shared" si="207"/>
        <v>28.663000000000004</v>
      </c>
      <c r="BP134" s="642">
        <f t="shared" si="207"/>
        <v>37.468000000000004</v>
      </c>
      <c r="BQ134" s="35">
        <f t="shared" si="207"/>
        <v>39.392000000000003</v>
      </c>
      <c r="BR134" s="35">
        <f t="shared" si="207"/>
        <v>129.94800000000001</v>
      </c>
      <c r="BS134" s="35">
        <f t="shared" si="207"/>
        <v>31.250000000000014</v>
      </c>
      <c r="BT134" s="536">
        <f t="shared" si="207"/>
        <v>35.27000000000001</v>
      </c>
      <c r="BU134" s="35">
        <f t="shared" ref="BU134:CG134" si="208">BU132+BU133</f>
        <v>39.169000000000011</v>
      </c>
      <c r="BV134" s="35">
        <f t="shared" si="208"/>
        <v>37.961000000000006</v>
      </c>
      <c r="BW134" s="35">
        <f t="shared" si="208"/>
        <v>143.65000000000003</v>
      </c>
      <c r="BX134" s="35">
        <f t="shared" si="208"/>
        <v>37.85599999999998</v>
      </c>
      <c r="BY134" s="35">
        <f t="shared" si="208"/>
        <v>41.172999999999988</v>
      </c>
      <c r="BZ134" s="35">
        <f t="shared" si="208"/>
        <v>48.717999999999996</v>
      </c>
      <c r="CA134" s="35">
        <f t="shared" si="208"/>
        <v>36.791000000000018</v>
      </c>
      <c r="CB134" s="35">
        <f t="shared" si="208"/>
        <v>164.53799999999998</v>
      </c>
      <c r="CC134" s="35">
        <f>CC132+CC133</f>
        <v>-11.104000000000003</v>
      </c>
      <c r="CD134" s="35">
        <f t="shared" si="208"/>
        <v>-6.9610000000000056</v>
      </c>
      <c r="CE134" s="35">
        <f>CE132+CE133</f>
        <v>-0.66500000000000625</v>
      </c>
      <c r="CF134" s="35">
        <f>CF132+CF133</f>
        <v>-2.785000000000009</v>
      </c>
      <c r="CG134" s="35">
        <f t="shared" si="208"/>
        <v>-21.515000000000008</v>
      </c>
      <c r="CH134" s="35">
        <f>CH132+CH133</f>
        <v>-2.2730000000000032</v>
      </c>
      <c r="CI134" s="35">
        <f>CI132+CI133</f>
        <v>-10.911000000000001</v>
      </c>
      <c r="CJ134" s="35">
        <f>CJ132+CJ133</f>
        <v>-15.273261999999992</v>
      </c>
      <c r="CK134" s="35">
        <f>CK132+CK133</f>
        <v>-15.15986999999998</v>
      </c>
      <c r="CL134" s="35">
        <f>CL132+CL133</f>
        <v>-43.61713199999997</v>
      </c>
      <c r="CM134" s="35">
        <f t="shared" ref="CM134:CV134" si="209">CM132+CM133</f>
        <v>-11.887699999999999</v>
      </c>
      <c r="CN134" s="35">
        <f t="shared" si="209"/>
        <v>-7.2169200000000089</v>
      </c>
      <c r="CO134" s="35">
        <f t="shared" si="209"/>
        <v>0.36313078000001298</v>
      </c>
      <c r="CP134" s="35">
        <f t="shared" si="209"/>
        <v>-7.6680699999997159E-2</v>
      </c>
      <c r="CQ134" s="35">
        <f>CQ132+CQ133</f>
        <v>-18.818169919999974</v>
      </c>
      <c r="CR134" s="35">
        <f t="shared" si="209"/>
        <v>-0.74729699999998189</v>
      </c>
      <c r="CS134" s="35">
        <f t="shared" si="209"/>
        <v>4.9637327999999936</v>
      </c>
      <c r="CT134" s="35">
        <f t="shared" si="209"/>
        <v>14.712490052300017</v>
      </c>
      <c r="CU134" s="35">
        <f t="shared" si="209"/>
        <v>15.10337045400002</v>
      </c>
      <c r="CV134" s="35">
        <f t="shared" si="209"/>
        <v>34.032296306300047</v>
      </c>
    </row>
    <row r="135" spans="1:106" s="27" customFormat="1" ht="13.5" x14ac:dyDescent="0.25">
      <c r="A135" s="122"/>
      <c r="B135" s="122"/>
      <c r="C135" s="122"/>
      <c r="D135" s="122"/>
      <c r="E135" s="31" t="s">
        <v>2</v>
      </c>
      <c r="F135" s="31"/>
      <c r="G135" s="32"/>
      <c r="H135" s="32"/>
      <c r="I135" s="32"/>
      <c r="J135" s="32"/>
      <c r="K135" s="31"/>
      <c r="L135" s="31"/>
      <c r="M135" s="31"/>
      <c r="N135" s="31"/>
      <c r="O135" s="32"/>
      <c r="P135" s="32"/>
      <c r="Q135" s="32"/>
      <c r="R135" s="32"/>
      <c r="S135" s="32"/>
      <c r="T135" s="32"/>
      <c r="U135" s="32"/>
      <c r="V135" s="32"/>
      <c r="W135" s="32"/>
      <c r="X135" s="32"/>
      <c r="Y135" s="32"/>
      <c r="Z135" s="32"/>
      <c r="AA135" s="32"/>
      <c r="AB135" s="32"/>
      <c r="AC135" s="32"/>
      <c r="AD135" s="32"/>
      <c r="AE135" s="32"/>
      <c r="AF135" s="32"/>
      <c r="AG135" s="32"/>
      <c r="AH135" s="32"/>
      <c r="AI135" s="32"/>
      <c r="AJ135" s="32">
        <f t="shared" ref="AJ135:BM135" si="210">(AJ134-AE134)/ABS(AE134)</f>
        <v>6.5643425852083714E-2</v>
      </c>
      <c r="AK135" s="32">
        <f t="shared" si="210"/>
        <v>-4.7788274766025055E-2</v>
      </c>
      <c r="AL135" s="32">
        <f t="shared" si="210"/>
        <v>-8.4107574257952802E-2</v>
      </c>
      <c r="AM135" s="32">
        <f t="shared" si="210"/>
        <v>-0.269380351794828</v>
      </c>
      <c r="AN135" s="32">
        <f t="shared" si="210"/>
        <v>-0.10057291707862361</v>
      </c>
      <c r="AO135" s="32">
        <f t="shared" si="210"/>
        <v>-0.31510244141823113</v>
      </c>
      <c r="AP135" s="32">
        <f t="shared" si="210"/>
        <v>-0.23934259023157672</v>
      </c>
      <c r="AQ135" s="32">
        <f t="shared" si="210"/>
        <v>-0.11451313037415696</v>
      </c>
      <c r="AR135" s="32">
        <f t="shared" si="210"/>
        <v>-9.2847905408526749E-2</v>
      </c>
      <c r="AS135" s="32">
        <f t="shared" si="210"/>
        <v>-0.19029961218381819</v>
      </c>
      <c r="AT135" s="32">
        <f t="shared" si="210"/>
        <v>6.6510228209078745E-2</v>
      </c>
      <c r="AU135" s="32">
        <f t="shared" si="210"/>
        <v>9.9957335283716899E-3</v>
      </c>
      <c r="AV135" s="32">
        <f t="shared" si="210"/>
        <v>-0.10085952365330345</v>
      </c>
      <c r="AW135" s="32">
        <f t="shared" si="210"/>
        <v>-5.0978195842826916E-2</v>
      </c>
      <c r="AX135" s="32">
        <f t="shared" si="210"/>
        <v>-2.6507664125233633E-2</v>
      </c>
      <c r="AY135" s="32">
        <f t="shared" si="210"/>
        <v>-1.9902920774618707E-2</v>
      </c>
      <c r="AZ135" s="32">
        <f t="shared" si="210"/>
        <v>1.5629714561583723E-2</v>
      </c>
      <c r="BA135" s="32">
        <f t="shared" si="210"/>
        <v>-4.6308323238810081E-2</v>
      </c>
      <c r="BB135" s="32">
        <f t="shared" si="210"/>
        <v>-8.2968963759757264E-2</v>
      </c>
      <c r="BC135" s="32">
        <f t="shared" si="210"/>
        <v>-3.4451468947563367E-2</v>
      </c>
      <c r="BD135" s="32">
        <f t="shared" si="210"/>
        <v>1.5046097953867776E-2</v>
      </c>
      <c r="BE135" s="32">
        <f t="shared" si="210"/>
        <v>-6.9726678550208504E-2</v>
      </c>
      <c r="BF135" s="32">
        <f t="shared" si="210"/>
        <v>-9.3471673859149257E-2</v>
      </c>
      <c r="BG135" s="32">
        <f t="shared" si="210"/>
        <v>-0.24175100918504649</v>
      </c>
      <c r="BH135" s="32">
        <f t="shared" si="210"/>
        <v>-0.10282472384415148</v>
      </c>
      <c r="BI135" s="32">
        <f t="shared" si="210"/>
        <v>-0.1147015126958404</v>
      </c>
      <c r="BJ135" s="32">
        <f t="shared" si="210"/>
        <v>-8.5890844058378754E-2</v>
      </c>
      <c r="BK135" s="32">
        <f t="shared" si="210"/>
        <v>-1.4196968162328242E-2</v>
      </c>
      <c r="BL135" s="32">
        <f t="shared" si="210"/>
        <v>0.19728796558841191</v>
      </c>
      <c r="BM135" s="32">
        <f t="shared" si="210"/>
        <v>-0.31359712199331136</v>
      </c>
      <c r="BN135" s="32">
        <f t="shared" ref="BN135:BW135" si="211">(BN134-BI134)/ABS(BI134)</f>
        <v>-0.53421183111484039</v>
      </c>
      <c r="BO135" s="32">
        <f t="shared" si="211"/>
        <v>-0.49931000751131022</v>
      </c>
      <c r="BP135" s="32">
        <f t="shared" si="211"/>
        <v>-0.35839169820367534</v>
      </c>
      <c r="BQ135" s="32">
        <f t="shared" si="211"/>
        <v>-0.3653719128095248</v>
      </c>
      <c r="BR135" s="32">
        <f t="shared" si="211"/>
        <v>-0.18726624554381124</v>
      </c>
      <c r="BS135" s="32">
        <f>(BS134-BN134)/ABS(BN134)</f>
        <v>0.27942681678608111</v>
      </c>
      <c r="BT135" s="32">
        <f t="shared" si="211"/>
        <v>0.23050622754073213</v>
      </c>
      <c r="BU135" s="32">
        <f>(BU134-BP134)/ABS(BP134)</f>
        <v>4.5398740258353991E-2</v>
      </c>
      <c r="BV135" s="32">
        <f>(BV134-BQ134)/ABS(BQ134)</f>
        <v>-3.6327173030056795E-2</v>
      </c>
      <c r="BW135" s="32">
        <f t="shared" si="211"/>
        <v>0.1054421768707485</v>
      </c>
      <c r="BX135" s="32">
        <f t="shared" ref="BX135:CL135" si="212">(BX134-BS134)/ABS(BS134)</f>
        <v>0.21139199999999883</v>
      </c>
      <c r="BY135" s="32">
        <f t="shared" si="212"/>
        <v>0.16736603345619439</v>
      </c>
      <c r="BZ135" s="32">
        <f t="shared" si="212"/>
        <v>0.24378973167555931</v>
      </c>
      <c r="CA135" s="32">
        <f t="shared" si="212"/>
        <v>-3.0821105871815475E-2</v>
      </c>
      <c r="CB135" s="32">
        <f t="shared" si="212"/>
        <v>0.145408980160111</v>
      </c>
      <c r="CC135" s="32">
        <f t="shared" si="212"/>
        <v>-1.2933220625528319</v>
      </c>
      <c r="CD135" s="32">
        <f t="shared" si="212"/>
        <v>-1.1690671070847403</v>
      </c>
      <c r="CE135" s="32">
        <f t="shared" si="212"/>
        <v>-1.0136499856315941</v>
      </c>
      <c r="CF135" s="32">
        <f>(CF134-CA134)/ABS(CA134)</f>
        <v>-1.0756978608898917</v>
      </c>
      <c r="CG135" s="471" t="s">
        <v>490</v>
      </c>
      <c r="CH135" s="32">
        <f>(CH134-CC134)/ABS(CC134)</f>
        <v>0.79529899135446658</v>
      </c>
      <c r="CI135" s="32">
        <f t="shared" si="212"/>
        <v>-0.56744720586122577</v>
      </c>
      <c r="CJ135" s="32">
        <f t="shared" si="212"/>
        <v>-21.967311278195261</v>
      </c>
      <c r="CK135" s="32">
        <f t="shared" si="212"/>
        <v>-4.4434003590664028</v>
      </c>
      <c r="CL135" s="32">
        <f t="shared" si="212"/>
        <v>-1.027289425981871</v>
      </c>
      <c r="CM135" s="32">
        <f>(CM134-CH134)/ABS(CH134)</f>
        <v>-4.2299604047514219</v>
      </c>
      <c r="CN135" s="32">
        <f t="shared" ref="CN135" si="213">(CN134-CI134)/ABS(CI134)</f>
        <v>0.33856475116854479</v>
      </c>
      <c r="CO135" s="32">
        <f t="shared" ref="CO135" si="214">(CO134-CJ134)/ABS(CJ134)</f>
        <v>1.0237755876904366</v>
      </c>
      <c r="CP135" s="32">
        <f t="shared" ref="CP135" si="215">(CP134-CK134)/ABS(CK134)</f>
        <v>0.99494186295792797</v>
      </c>
      <c r="CQ135" s="32">
        <f>(CQ134-CL134)/ABS(CL134)</f>
        <v>0.56856012632834296</v>
      </c>
      <c r="CR135" s="32">
        <f t="shared" ref="CR135" si="216">(CR134-CM134)/ABS(CM134)</f>
        <v>0.93713695668632435</v>
      </c>
      <c r="CS135" s="32">
        <f t="shared" ref="CS135" si="217">(CS134-CN134)/ABS(CN134)</f>
        <v>1.6877910244259307</v>
      </c>
      <c r="CT135" s="32">
        <f t="shared" ref="CT135" si="218">(CT134-CO134)/ABS(CO134)</f>
        <v>39.515678820450006</v>
      </c>
      <c r="CU135" s="32">
        <f t="shared" ref="CU135" si="219">(CU134-CP134)/ABS(CP134)</f>
        <v>197.96443112804889</v>
      </c>
      <c r="CV135" s="32">
        <f>(CV134-CQ134)/ABS(CQ134)</f>
        <v>2.8084806573103838</v>
      </c>
    </row>
    <row r="136" spans="1:106" s="27" customFormat="1" ht="13.5" x14ac:dyDescent="0.25">
      <c r="A136" s="122"/>
      <c r="B136" s="122"/>
      <c r="C136" s="122"/>
      <c r="D136" s="122"/>
      <c r="E136" s="31" t="s">
        <v>91</v>
      </c>
      <c r="F136" s="32"/>
      <c r="G136" s="32"/>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f t="shared" ref="AE136:BJ136" si="220">AE134/AE22</f>
        <v>0.22855119536019164</v>
      </c>
      <c r="AF136" s="32">
        <f t="shared" si="220"/>
        <v>0.2597304316418903</v>
      </c>
      <c r="AG136" s="32">
        <f t="shared" si="220"/>
        <v>0.26788478699049778</v>
      </c>
      <c r="AH136" s="32">
        <f t="shared" si="220"/>
        <v>0.3388679719951857</v>
      </c>
      <c r="AI136" s="32">
        <f t="shared" si="220"/>
        <v>0.27409665327572258</v>
      </c>
      <c r="AJ136" s="32">
        <f t="shared" si="220"/>
        <v>0.24619947866482622</v>
      </c>
      <c r="AK136" s="32">
        <f t="shared" si="220"/>
        <v>0.26229498229133419</v>
      </c>
      <c r="AL136" s="32">
        <f t="shared" si="220"/>
        <v>0.268052925346357</v>
      </c>
      <c r="AM136" s="32">
        <f t="shared" si="220"/>
        <v>0.293067216226917</v>
      </c>
      <c r="AN136" s="32">
        <f t="shared" si="220"/>
        <v>0.26708772358372834</v>
      </c>
      <c r="AO136" s="32">
        <f t="shared" si="220"/>
        <v>0.21808649860731846</v>
      </c>
      <c r="AP136" s="32">
        <f t="shared" si="220"/>
        <v>0.24207594843326397</v>
      </c>
      <c r="AQ136" s="32">
        <f t="shared" si="220"/>
        <v>0.26850993809173146</v>
      </c>
      <c r="AR136" s="32">
        <f t="shared" si="220"/>
        <v>0.27246464268126036</v>
      </c>
      <c r="AS136" s="32">
        <f t="shared" si="220"/>
        <v>0.25128566685012765</v>
      </c>
      <c r="AT136" s="32">
        <f t="shared" si="220"/>
        <v>0.22972154379791576</v>
      </c>
      <c r="AU136" s="32">
        <f t="shared" si="220"/>
        <v>0.23719873320331375</v>
      </c>
      <c r="AV136" s="32">
        <f t="shared" si="220"/>
        <v>0.23799169865059669</v>
      </c>
      <c r="AW136" s="32">
        <f t="shared" si="220"/>
        <v>0.25958046827400111</v>
      </c>
      <c r="AX136" s="32">
        <f t="shared" si="220"/>
        <v>0.24143572099404342</v>
      </c>
      <c r="AY136" s="32">
        <f t="shared" si="220"/>
        <v>0.21139383576531276</v>
      </c>
      <c r="AZ136" s="32">
        <f t="shared" si="220"/>
        <v>0.23502960563065586</v>
      </c>
      <c r="BA136" s="32">
        <f t="shared" si="220"/>
        <v>0.23263662675823182</v>
      </c>
      <c r="BB136" s="32">
        <f t="shared" si="220"/>
        <v>0.23801848531792305</v>
      </c>
      <c r="BC136" s="32">
        <f t="shared" si="220"/>
        <v>0.22963956187025927</v>
      </c>
      <c r="BD136" s="32">
        <f t="shared" si="220"/>
        <v>0.21803805506167656</v>
      </c>
      <c r="BE136" s="32">
        <f t="shared" si="220"/>
        <v>0.22570612000706386</v>
      </c>
      <c r="BF136" s="32">
        <f t="shared" si="220"/>
        <v>0.21690796845134799</v>
      </c>
      <c r="BG136" s="32">
        <f t="shared" si="220"/>
        <v>0.18707037466035917</v>
      </c>
      <c r="BH136" s="32">
        <f t="shared" si="220"/>
        <v>0.2118861991396804</v>
      </c>
      <c r="BI136" s="32">
        <f t="shared" si="220"/>
        <v>0.19699240776429125</v>
      </c>
      <c r="BJ136" s="32">
        <f t="shared" si="220"/>
        <v>0.20721320732179624</v>
      </c>
      <c r="BK136" s="32">
        <f t="shared" ref="BK136:CP136" si="221">BK134/BK22</f>
        <v>0.21015715812619448</v>
      </c>
      <c r="BL136" s="32">
        <f t="shared" si="221"/>
        <v>0.2239148942310468</v>
      </c>
      <c r="BM136" s="32">
        <f t="shared" si="221"/>
        <v>0.19858337483683222</v>
      </c>
      <c r="BN136" s="32">
        <f t="shared" si="221"/>
        <v>0.13083676606868322</v>
      </c>
      <c r="BO136" s="32">
        <f t="shared" si="221"/>
        <v>0.1403342994790647</v>
      </c>
      <c r="BP136" s="32">
        <f t="shared" si="221"/>
        <v>0.17992182322829731</v>
      </c>
      <c r="BQ136" s="32">
        <f t="shared" si="221"/>
        <v>0.19147053962884114</v>
      </c>
      <c r="BR136" s="32">
        <f t="shared" si="221"/>
        <v>0.16144393603764889</v>
      </c>
      <c r="BS136" s="32">
        <f t="shared" si="221"/>
        <v>0.15871403539957851</v>
      </c>
      <c r="BT136" s="32">
        <f t="shared" si="221"/>
        <v>0.17010296848248094</v>
      </c>
      <c r="BU136" s="32">
        <f t="shared" si="221"/>
        <v>0.17708064902596379</v>
      </c>
      <c r="BV136" s="32">
        <f t="shared" si="221"/>
        <v>0.16897465001891793</v>
      </c>
      <c r="BW136" s="32">
        <f t="shared" si="221"/>
        <v>0.16898250534062362</v>
      </c>
      <c r="BX136" s="32">
        <f t="shared" si="221"/>
        <v>0.17623754079357165</v>
      </c>
      <c r="BY136" s="32">
        <f t="shared" si="221"/>
        <v>0.18950415847781757</v>
      </c>
      <c r="BZ136" s="32">
        <f t="shared" si="221"/>
        <v>0.21816113778032525</v>
      </c>
      <c r="CA136" s="32">
        <f t="shared" si="221"/>
        <v>0.16361154099293815</v>
      </c>
      <c r="CB136" s="32">
        <f t="shared" si="221"/>
        <v>0.18692232189110339</v>
      </c>
      <c r="CC136" s="32">
        <f t="shared" si="221"/>
        <v>-0.23748315760207034</v>
      </c>
      <c r="CD136" s="32">
        <f t="shared" si="221"/>
        <v>-0.12887638161183429</v>
      </c>
      <c r="CE136" s="32">
        <f t="shared" si="221"/>
        <v>-1.1248118265929301E-2</v>
      </c>
      <c r="CF136" s="32">
        <f t="shared" si="221"/>
        <v>-4.6254774954326672E-2</v>
      </c>
      <c r="CG136" s="32">
        <f t="shared" si="221"/>
        <v>-9.7750578143670441E-2</v>
      </c>
      <c r="CH136" s="32">
        <f t="shared" si="221"/>
        <v>-3.6384882585519737E-2</v>
      </c>
      <c r="CI136" s="32">
        <f t="shared" si="221"/>
        <v>-0.16834845399000187</v>
      </c>
      <c r="CJ136" s="32">
        <f t="shared" si="221"/>
        <v>-0.20276016731270097</v>
      </c>
      <c r="CK136" s="32">
        <f t="shared" si="221"/>
        <v>-0.1908339022103813</v>
      </c>
      <c r="CL136" s="32">
        <f t="shared" si="221"/>
        <v>-0.1546433342064176</v>
      </c>
      <c r="CM136" s="32">
        <f t="shared" si="221"/>
        <v>-0.1463780732721521</v>
      </c>
      <c r="CN136" s="32">
        <f t="shared" si="221"/>
        <v>-8.1424678009610063E-2</v>
      </c>
      <c r="CO136" s="32">
        <f t="shared" si="221"/>
        <v>3.6163674728518697E-3</v>
      </c>
      <c r="CP136" s="32">
        <f t="shared" si="221"/>
        <v>-7.4976250428587733E-4</v>
      </c>
      <c r="CQ136" s="32">
        <f t="shared" ref="CQ136:CV136" si="222">CQ134/CQ22</f>
        <v>-5.0514260528983071E-2</v>
      </c>
      <c r="CR136" s="32">
        <f t="shared" si="222"/>
        <v>-6.9871726383575533E-3</v>
      </c>
      <c r="CS136" s="32">
        <f t="shared" si="222"/>
        <v>4.2693733294618542E-2</v>
      </c>
      <c r="CT136" s="32">
        <f t="shared" si="222"/>
        <v>0.11136335441467883</v>
      </c>
      <c r="CU136" s="32">
        <f t="shared" si="222"/>
        <v>0.1123734501819595</v>
      </c>
      <c r="CV136" s="32">
        <f t="shared" si="222"/>
        <v>6.949163157704992E-2</v>
      </c>
    </row>
    <row r="137" spans="1:106" s="27" customFormat="1" ht="12" hidden="1" customHeight="1" x14ac:dyDescent="0.25">
      <c r="A137" s="122"/>
      <c r="B137" s="122"/>
      <c r="C137" s="122"/>
      <c r="D137" s="122"/>
      <c r="E137" s="85" t="s">
        <v>556</v>
      </c>
      <c r="F137" s="140"/>
      <c r="G137" s="140"/>
      <c r="H137" s="140"/>
      <c r="I137" s="140"/>
      <c r="J137" s="140"/>
      <c r="K137" s="124"/>
      <c r="L137" s="124"/>
      <c r="M137" s="124"/>
      <c r="N137" s="124"/>
      <c r="O137" s="138"/>
      <c r="P137" s="124"/>
      <c r="Q137" s="124"/>
      <c r="R137" s="124"/>
      <c r="S137" s="124"/>
      <c r="T137" s="139"/>
      <c r="U137" s="124"/>
      <c r="V137" s="124"/>
      <c r="W137" s="124"/>
      <c r="X137" s="124"/>
      <c r="Y137" s="139"/>
      <c r="Z137" s="124"/>
      <c r="AA137" s="124"/>
      <c r="AB137" s="124"/>
      <c r="AC137" s="124"/>
      <c r="AD137" s="139"/>
      <c r="AI137" s="139"/>
      <c r="AN137" s="139"/>
      <c r="AS137" s="139"/>
      <c r="AX137" s="139"/>
      <c r="AZ137" s="85"/>
      <c r="BC137" s="139"/>
      <c r="BH137" s="139"/>
      <c r="BI137" s="124">
        <v>0.59199999999999997</v>
      </c>
      <c r="BJ137" s="124">
        <v>0.42599999999999999</v>
      </c>
      <c r="BK137" s="124">
        <v>0.48899999999999999</v>
      </c>
      <c r="BL137" s="124">
        <v>-3.6960000000000002</v>
      </c>
      <c r="BM137" s="139">
        <f>SUM(BI137:BL137)</f>
        <v>-2.1890000000000001</v>
      </c>
      <c r="BN137" s="124">
        <v>-1.532</v>
      </c>
      <c r="BR137" s="139">
        <f>SUM(BN137:BQ137)</f>
        <v>-1.532</v>
      </c>
      <c r="BW137" s="139"/>
      <c r="CB137" s="139"/>
      <c r="CG137" s="139"/>
      <c r="CL137" s="139"/>
      <c r="CQ137" s="139"/>
      <c r="CV137" s="139"/>
    </row>
    <row r="138" spans="1:106" s="28" customFormat="1" ht="13.5" hidden="1" x14ac:dyDescent="0.25">
      <c r="A138" s="173"/>
      <c r="B138" s="173"/>
      <c r="C138" s="173"/>
      <c r="D138" s="173"/>
      <c r="E138" s="35" t="s">
        <v>555</v>
      </c>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74"/>
      <c r="AD138" s="35"/>
      <c r="AE138" s="35"/>
      <c r="AF138" s="35"/>
      <c r="AG138" s="35"/>
      <c r="AH138" s="35"/>
      <c r="AI138" s="35"/>
      <c r="AJ138" s="35"/>
      <c r="AK138" s="35"/>
      <c r="AL138" s="35"/>
      <c r="AM138" s="35"/>
      <c r="AN138" s="35"/>
      <c r="AO138" s="35"/>
      <c r="AP138" s="35"/>
      <c r="AQ138" s="35"/>
      <c r="AR138" s="35"/>
      <c r="AS138" s="35"/>
      <c r="AT138" s="35"/>
      <c r="AU138" s="35"/>
      <c r="AV138" s="35"/>
      <c r="AW138" s="35"/>
      <c r="AX138" s="35"/>
      <c r="AY138" s="35"/>
      <c r="AZ138" s="35"/>
      <c r="BA138" s="35"/>
      <c r="BB138" s="35"/>
      <c r="BC138" s="35"/>
      <c r="BD138" s="35"/>
      <c r="BE138" s="35"/>
      <c r="BF138" s="35"/>
      <c r="BG138" s="35"/>
      <c r="BH138" s="35"/>
      <c r="BI138" s="35">
        <f>BI134-BI137</f>
        <v>51.845999999999975</v>
      </c>
      <c r="BJ138" s="35">
        <f>BJ134-BJ137</f>
        <v>56.820999999999955</v>
      </c>
      <c r="BK138" s="35">
        <f>BK134-BK137</f>
        <v>57.908000000000051</v>
      </c>
      <c r="BL138" s="35">
        <f>BL134-BL137</f>
        <v>65.767000000000024</v>
      </c>
      <c r="BM138" s="35">
        <f>SUM(BI138:BL138)</f>
        <v>232.34200000000001</v>
      </c>
      <c r="BN138" s="35">
        <f>BN134-BN137</f>
        <v>25.956999999999987</v>
      </c>
      <c r="BO138" s="35"/>
      <c r="BP138" s="35"/>
      <c r="BQ138" s="35"/>
      <c r="BR138" s="35">
        <f>BR134-BR137</f>
        <v>131.48000000000002</v>
      </c>
      <c r="BS138" s="35"/>
      <c r="BT138" s="35"/>
      <c r="BU138" s="35"/>
      <c r="BV138" s="35"/>
      <c r="BW138" s="35"/>
      <c r="BX138" s="35"/>
      <c r="BY138" s="35"/>
      <c r="BZ138" s="35"/>
      <c r="CA138" s="35"/>
      <c r="CB138" s="35"/>
      <c r="CC138" s="35"/>
      <c r="CD138" s="35"/>
      <c r="CE138" s="35"/>
      <c r="CF138" s="35"/>
      <c r="CG138" s="35"/>
      <c r="CH138" s="35"/>
      <c r="CI138" s="35"/>
      <c r="CJ138" s="35"/>
      <c r="CK138" s="35"/>
      <c r="CL138" s="35"/>
      <c r="CM138" s="35"/>
      <c r="CN138" s="35"/>
      <c r="CO138" s="35"/>
      <c r="CP138" s="35"/>
      <c r="CQ138" s="35"/>
      <c r="CR138" s="35"/>
      <c r="CS138" s="35"/>
      <c r="CT138" s="35"/>
      <c r="CU138" s="35"/>
      <c r="CV138" s="35"/>
    </row>
    <row r="139" spans="1:106" s="27" customFormat="1" ht="13.5" hidden="1" x14ac:dyDescent="0.25">
      <c r="A139" s="122"/>
      <c r="B139" s="122"/>
      <c r="C139" s="122"/>
      <c r="D139" s="122"/>
      <c r="E139" s="31" t="s">
        <v>2</v>
      </c>
      <c r="F139" s="32"/>
      <c r="G139" s="32"/>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c r="AI139" s="32"/>
      <c r="AJ139" s="32"/>
      <c r="AK139" s="32"/>
      <c r="AL139" s="32"/>
      <c r="AM139" s="32"/>
      <c r="AN139" s="32"/>
      <c r="AO139" s="32"/>
      <c r="AP139" s="32"/>
      <c r="AQ139" s="32"/>
      <c r="AR139" s="32"/>
      <c r="AS139" s="32"/>
      <c r="AT139" s="32"/>
      <c r="AU139" s="32"/>
      <c r="AV139" s="32"/>
      <c r="AW139" s="32"/>
      <c r="AX139" s="32"/>
      <c r="AY139" s="32"/>
      <c r="AZ139" s="32"/>
      <c r="BA139" s="32"/>
      <c r="BB139" s="32"/>
      <c r="BC139" s="32"/>
      <c r="BD139" s="32"/>
      <c r="BE139" s="32"/>
      <c r="BF139" s="32"/>
      <c r="BG139" s="32"/>
      <c r="BH139" s="32"/>
      <c r="BI139" s="510" t="s">
        <v>490</v>
      </c>
      <c r="BJ139" s="510" t="s">
        <v>490</v>
      </c>
      <c r="BK139" s="510" t="s">
        <v>490</v>
      </c>
      <c r="BL139" s="510" t="s">
        <v>490</v>
      </c>
      <c r="BM139" s="510" t="s">
        <v>490</v>
      </c>
      <c r="BN139" s="32">
        <f>(BN138-BI138)/ABS(BI138)</f>
        <v>-0.49934421170389232</v>
      </c>
      <c r="BO139" s="32"/>
      <c r="BP139" s="32"/>
      <c r="BQ139" s="32"/>
      <c r="BR139" s="32">
        <f>(BR138-BM138)/ABS(BM138)</f>
        <v>-0.43411006189152196</v>
      </c>
      <c r="BS139" s="32"/>
      <c r="BT139" s="32"/>
      <c r="BU139" s="32"/>
      <c r="BV139" s="32"/>
      <c r="BW139" s="32"/>
      <c r="BX139" s="32"/>
      <c r="BY139" s="32"/>
      <c r="BZ139" s="32"/>
      <c r="CA139" s="32"/>
      <c r="CB139" s="32"/>
      <c r="CC139" s="32"/>
      <c r="CD139" s="32"/>
      <c r="CE139" s="32"/>
      <c r="CF139" s="32"/>
      <c r="CG139" s="32"/>
      <c r="CH139" s="32"/>
      <c r="CI139" s="32"/>
      <c r="CJ139" s="32"/>
      <c r="CK139" s="32"/>
      <c r="CL139" s="32"/>
      <c r="CM139" s="32"/>
      <c r="CN139" s="32"/>
      <c r="CO139" s="32"/>
      <c r="CP139" s="32"/>
      <c r="CQ139" s="32"/>
      <c r="CR139" s="32"/>
      <c r="CS139" s="32"/>
      <c r="CT139" s="32"/>
      <c r="CU139" s="32"/>
      <c r="CV139" s="32"/>
    </row>
    <row r="140" spans="1:106" s="27" customFormat="1" ht="13.5" hidden="1" x14ac:dyDescent="0.25">
      <c r="A140" s="122"/>
      <c r="B140" s="122"/>
      <c r="C140" s="122"/>
      <c r="D140" s="122"/>
      <c r="E140" s="31" t="s">
        <v>91</v>
      </c>
      <c r="F140" s="32"/>
      <c r="G140" s="32"/>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f t="shared" ref="BI140:BN140" si="223">BI138/SUM(BI16:BI17)</f>
        <v>0.20159578190980557</v>
      </c>
      <c r="BJ140" s="32">
        <f t="shared" si="223"/>
        <v>0.2121952221437986</v>
      </c>
      <c r="BK140" s="32">
        <f t="shared" si="223"/>
        <v>0.21546280896409839</v>
      </c>
      <c r="BL140" s="32">
        <f t="shared" si="223"/>
        <v>0.2448857247116123</v>
      </c>
      <c r="BM140" s="32">
        <f t="shared" si="223"/>
        <v>0.21872052325285848</v>
      </c>
      <c r="BN140" s="32">
        <f t="shared" si="223"/>
        <v>0.1071651218958363</v>
      </c>
      <c r="BO140" s="32"/>
      <c r="BP140" s="32"/>
      <c r="BQ140" s="32"/>
      <c r="BR140" s="32">
        <f>BR138/SUM(BR16:BR17)</f>
        <v>0.12889450512176256</v>
      </c>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row>
    <row r="141" spans="1:106" ht="3.95" customHeight="1" x14ac:dyDescent="0.25">
      <c r="A141" s="39"/>
      <c r="B141" s="39"/>
      <c r="C141" s="39"/>
      <c r="D141" s="39"/>
      <c r="F141" s="33"/>
      <c r="G141" s="33"/>
      <c r="H141" s="33"/>
      <c r="I141" s="33"/>
      <c r="J141" s="33"/>
      <c r="O141" s="33"/>
      <c r="T141" s="33"/>
      <c r="Y141" s="33"/>
      <c r="AD141" s="33"/>
      <c r="AI141" s="33"/>
      <c r="AN141" s="33"/>
      <c r="AS141" s="33"/>
      <c r="AX141" s="33"/>
      <c r="BC141" s="33"/>
      <c r="BD141" s="33"/>
      <c r="BE141" s="33"/>
      <c r="BF141" s="33"/>
      <c r="BG141" s="33"/>
      <c r="BH141" s="33"/>
      <c r="BI141" s="20"/>
      <c r="BJ141" s="20"/>
      <c r="BK141" s="20"/>
      <c r="BL141" s="20"/>
      <c r="BM141" s="33"/>
      <c r="BN141" s="20"/>
      <c r="BO141" s="20"/>
      <c r="BP141" s="20"/>
      <c r="BQ141" s="20"/>
      <c r="BR141" s="33"/>
      <c r="BS141" s="20"/>
      <c r="BT141" s="20"/>
      <c r="BU141" s="20"/>
      <c r="BV141" s="20"/>
      <c r="BW141" s="33"/>
      <c r="BX141" s="20"/>
      <c r="BY141" s="20"/>
      <c r="BZ141" s="20"/>
      <c r="CA141" s="20"/>
      <c r="CB141" s="33"/>
      <c r="CC141" s="20"/>
      <c r="CD141" s="20"/>
      <c r="CE141" s="20"/>
      <c r="CF141" s="20"/>
      <c r="CG141" s="33"/>
      <c r="CH141" s="20"/>
      <c r="CI141" s="20"/>
      <c r="CJ141" s="20"/>
      <c r="CK141" s="20"/>
      <c r="CL141" s="33"/>
      <c r="CM141" s="20"/>
      <c r="CN141" s="20"/>
      <c r="CO141" s="20"/>
      <c r="CP141" s="20"/>
      <c r="CQ141" s="33"/>
      <c r="CR141" s="718"/>
      <c r="CS141" s="718"/>
      <c r="CT141" s="718"/>
      <c r="CU141" s="718"/>
      <c r="CV141" s="33"/>
    </row>
    <row r="142" spans="1:106" ht="12" customHeight="1" x14ac:dyDescent="0.25">
      <c r="A142" s="47"/>
      <c r="B142" s="47"/>
      <c r="E142" s="94" t="s">
        <v>533</v>
      </c>
      <c r="F142" s="33"/>
      <c r="G142" s="33"/>
      <c r="H142" s="33"/>
      <c r="I142" s="33"/>
      <c r="J142" s="33"/>
      <c r="O142" s="33"/>
      <c r="T142" s="33"/>
      <c r="Y142" s="33"/>
      <c r="AD142" s="139"/>
      <c r="AE142" s="27"/>
      <c r="AF142" s="27"/>
      <c r="AG142" s="27"/>
      <c r="AH142" s="27"/>
      <c r="AI142" s="139"/>
      <c r="AJ142" s="27"/>
      <c r="AK142" s="27"/>
      <c r="AL142" s="27"/>
      <c r="AM142" s="27"/>
      <c r="AN142" s="139"/>
      <c r="AO142" s="27"/>
      <c r="AP142" s="27"/>
      <c r="AQ142" s="27"/>
      <c r="AR142" s="27"/>
      <c r="AS142" s="139"/>
      <c r="AT142" s="27"/>
      <c r="AU142" s="27"/>
      <c r="AV142" s="27"/>
      <c r="AW142" s="27"/>
      <c r="AX142" s="139"/>
      <c r="AY142" s="27"/>
      <c r="AZ142" s="85"/>
      <c r="BA142" s="27"/>
      <c r="BB142" s="27"/>
      <c r="BC142" s="139"/>
      <c r="BD142" s="27"/>
      <c r="BE142" s="27"/>
      <c r="BF142" s="27"/>
      <c r="BG142" s="27"/>
      <c r="BH142" s="139"/>
      <c r="BI142" s="27"/>
      <c r="BJ142" s="27"/>
      <c r="BK142" s="27"/>
      <c r="BL142" s="27"/>
      <c r="BM142" s="139"/>
      <c r="BN142" s="27"/>
      <c r="BO142" s="27"/>
      <c r="BP142" s="27"/>
      <c r="BQ142" s="27"/>
      <c r="BR142" s="139"/>
      <c r="BS142" s="27"/>
      <c r="BT142" s="27"/>
      <c r="BU142" s="27"/>
      <c r="BV142" s="27"/>
      <c r="BW142" s="139"/>
      <c r="BX142" s="27"/>
      <c r="BY142" s="27"/>
      <c r="BZ142" s="27"/>
      <c r="CA142" s="27"/>
      <c r="CB142" s="139"/>
      <c r="CC142" s="27"/>
      <c r="CD142" s="27"/>
      <c r="CE142" s="27"/>
      <c r="CF142" s="27"/>
      <c r="CG142" s="139"/>
      <c r="CH142" s="27"/>
      <c r="CI142" s="27"/>
      <c r="CJ142" s="27"/>
      <c r="CK142" s="27"/>
      <c r="CL142" s="139"/>
      <c r="CM142" s="27"/>
      <c r="CN142" s="27"/>
      <c r="CO142" s="27"/>
      <c r="CP142" s="27"/>
      <c r="CQ142" s="139"/>
      <c r="CR142" s="27"/>
      <c r="CS142" s="27"/>
      <c r="CT142" s="27"/>
      <c r="CU142" s="27"/>
      <c r="CV142" s="139"/>
    </row>
    <row r="143" spans="1:106" ht="12" customHeight="1" x14ac:dyDescent="0.25">
      <c r="A143" s="47"/>
      <c r="B143" s="47"/>
      <c r="E143" s="27" t="s">
        <v>35</v>
      </c>
      <c r="F143" s="33"/>
      <c r="G143" s="33"/>
      <c r="H143" s="33"/>
      <c r="I143" s="33"/>
      <c r="J143" s="33"/>
      <c r="O143" s="33"/>
      <c r="T143" s="33"/>
      <c r="Y143" s="33"/>
      <c r="AD143" s="139"/>
      <c r="AE143" s="27"/>
      <c r="AF143" s="27"/>
      <c r="AG143" s="27"/>
      <c r="AH143" s="27"/>
      <c r="AI143" s="139"/>
      <c r="AJ143" s="27"/>
      <c r="AK143" s="27"/>
      <c r="AL143" s="27"/>
      <c r="AM143" s="27"/>
      <c r="AN143" s="139"/>
      <c r="AO143" s="27"/>
      <c r="AP143" s="27"/>
      <c r="AQ143" s="27"/>
      <c r="AR143" s="27"/>
      <c r="AS143" s="139"/>
      <c r="AT143" s="27"/>
      <c r="AU143" s="27"/>
      <c r="AV143" s="27"/>
      <c r="AW143" s="27"/>
      <c r="AX143" s="139"/>
      <c r="AY143" s="27"/>
      <c r="AZ143" s="85"/>
      <c r="BA143" s="27"/>
      <c r="BB143" s="27"/>
      <c r="BC143" s="139"/>
      <c r="BD143" s="27"/>
      <c r="BE143" s="27"/>
      <c r="BF143" s="27"/>
      <c r="BG143" s="27"/>
      <c r="BH143" s="139"/>
      <c r="BI143" s="27"/>
      <c r="BJ143" s="27"/>
      <c r="BK143" s="27"/>
      <c r="BL143" s="27"/>
      <c r="BM143" s="139"/>
      <c r="BN143" s="27">
        <f>BN66</f>
        <v>-15.140000000000013</v>
      </c>
      <c r="BO143" s="27">
        <f>BO66</f>
        <v>-8.4269999999999996</v>
      </c>
      <c r="BP143" s="27">
        <f>BP66</f>
        <v>-4.2599999999999909</v>
      </c>
      <c r="BQ143" s="27">
        <f>BQ66</f>
        <v>-13.519999999999998</v>
      </c>
      <c r="BR143" s="139">
        <f t="shared" ref="BR143:BR150" si="224">SUM(BN143:BQ143)</f>
        <v>-41.347000000000001</v>
      </c>
      <c r="BS143" s="27">
        <f>BS66</f>
        <v>-4.4499999999999833</v>
      </c>
      <c r="BT143" s="27">
        <f>BT66</f>
        <v>-3.9529999999999932</v>
      </c>
      <c r="BU143" s="27">
        <f>BU66</f>
        <v>-2.0189999999999886</v>
      </c>
      <c r="BV143" s="27">
        <f>BV66</f>
        <v>-9.8579999999999952</v>
      </c>
      <c r="BW143" s="139">
        <f t="shared" ref="BW143:BW150" si="225">SUM(BS143:BV143)</f>
        <v>-20.279999999999959</v>
      </c>
      <c r="BX143" s="27">
        <f>BX66</f>
        <v>6.6569999999999849</v>
      </c>
      <c r="BY143" s="27">
        <f>BY66</f>
        <v>5.2239999999999878</v>
      </c>
      <c r="BZ143" s="27">
        <f>BZ66</f>
        <v>7.4069999999999983</v>
      </c>
      <c r="CA143" s="27">
        <f>CA66</f>
        <v>-10.645999999999978</v>
      </c>
      <c r="CB143" s="139">
        <f t="shared" ref="CB143:CB149" si="226">SUM(BX143:CA143)</f>
        <v>8.6419999999999906</v>
      </c>
      <c r="CC143" s="27">
        <f>CC66</f>
        <v>-40.399000000000001</v>
      </c>
      <c r="CD143" s="27">
        <f>CD66</f>
        <v>-37.870000000000005</v>
      </c>
      <c r="CE143" s="27">
        <f>CE66</f>
        <v>-27.257000000000005</v>
      </c>
      <c r="CF143" s="27">
        <f>CF66</f>
        <v>-27.496000000000006</v>
      </c>
      <c r="CG143" s="139">
        <f t="shared" ref="CG143:CG149" si="227">SUM(CC143:CF143)</f>
        <v>-133.02200000000002</v>
      </c>
      <c r="CH143" s="27">
        <f>CH66</f>
        <v>-29.246000000000006</v>
      </c>
      <c r="CI143" s="27">
        <f>CI66</f>
        <v>-38.480000000000004</v>
      </c>
      <c r="CJ143" s="27">
        <f>CJ66</f>
        <v>1619.4267380000001</v>
      </c>
      <c r="CK143" s="27">
        <f>CK66</f>
        <v>-38.64363114624998</v>
      </c>
      <c r="CL143" s="139">
        <f t="shared" ref="CL143:CL149" si="228">SUM(CH143:CK143)</f>
        <v>1513.0571068537499</v>
      </c>
      <c r="CM143" s="27">
        <f>CM66</f>
        <v>-35.080193519158122</v>
      </c>
      <c r="CN143" s="27">
        <f>CN66</f>
        <v>-30.667433903746272</v>
      </c>
      <c r="CO143" s="27">
        <f>CO66</f>
        <v>-23.434706738365968</v>
      </c>
      <c r="CP143" s="27">
        <f>CP66</f>
        <v>-24.157680036564727</v>
      </c>
      <c r="CQ143" s="139">
        <f t="shared" ref="CQ143:CQ149" si="229">SUM(CM143:CP143)</f>
        <v>-113.3400141978351</v>
      </c>
      <c r="CR143" s="27">
        <f>CR66</f>
        <v>-24.542036845118808</v>
      </c>
      <c r="CS143" s="27">
        <f>CS66</f>
        <v>-18.872427671044786</v>
      </c>
      <c r="CT143" s="27">
        <f>CT66</f>
        <v>-9.1778121284857068</v>
      </c>
      <c r="CU143" s="27">
        <f>CU66</f>
        <v>-8.8067246591021604</v>
      </c>
      <c r="CV143" s="139">
        <f t="shared" ref="CV143:CV146" si="230">SUM(CR143:CU143)</f>
        <v>-61.399001303751454</v>
      </c>
    </row>
    <row r="144" spans="1:106" ht="12" customHeight="1" x14ac:dyDescent="0.25">
      <c r="A144" s="47"/>
      <c r="B144" s="47"/>
      <c r="E144" s="6" t="str">
        <f>E117</f>
        <v>Purchased intangible amortization</v>
      </c>
      <c r="F144" s="33"/>
      <c r="G144" s="33"/>
      <c r="H144" s="33"/>
      <c r="I144" s="33"/>
      <c r="J144" s="33"/>
      <c r="O144" s="33"/>
      <c r="T144" s="33"/>
      <c r="Y144" s="33"/>
      <c r="AD144" s="139"/>
      <c r="AE144" s="27"/>
      <c r="AF144" s="27"/>
      <c r="AG144" s="27"/>
      <c r="AH144" s="27"/>
      <c r="AI144" s="139"/>
      <c r="AJ144" s="27"/>
      <c r="AK144" s="27"/>
      <c r="AL144" s="27"/>
      <c r="AM144" s="27"/>
      <c r="AN144" s="139"/>
      <c r="AO144" s="27"/>
      <c r="AP144" s="27"/>
      <c r="AQ144" s="27"/>
      <c r="AR144" s="27"/>
      <c r="AS144" s="139"/>
      <c r="AT144" s="27"/>
      <c r="AU144" s="27"/>
      <c r="AV144" s="27"/>
      <c r="AW144" s="27"/>
      <c r="AX144" s="139"/>
      <c r="AY144" s="27"/>
      <c r="AZ144" s="85"/>
      <c r="BA144" s="27"/>
      <c r="BB144" s="27"/>
      <c r="BC144" s="139"/>
      <c r="BD144" s="27"/>
      <c r="BE144" s="27"/>
      <c r="BF144" s="27"/>
      <c r="BG144" s="27"/>
      <c r="BH144" s="139"/>
      <c r="BI144" s="27"/>
      <c r="BJ144" s="27"/>
      <c r="BK144" s="27"/>
      <c r="BL144" s="27"/>
      <c r="BM144" s="139"/>
      <c r="BN144" s="27">
        <f t="shared" ref="BN144:BQ146" si="231">BN117</f>
        <v>6.3E-2</v>
      </c>
      <c r="BO144" s="27">
        <f t="shared" si="231"/>
        <v>3.827</v>
      </c>
      <c r="BP144" s="27">
        <f t="shared" si="231"/>
        <v>3.7829999999999999</v>
      </c>
      <c r="BQ144" s="27">
        <f t="shared" si="231"/>
        <v>3.7810000000000001</v>
      </c>
      <c r="BR144" s="139">
        <f t="shared" si="224"/>
        <v>11.454000000000001</v>
      </c>
      <c r="BS144" s="27">
        <f t="shared" ref="BS144:BV146" si="232">BS117</f>
        <v>3.754</v>
      </c>
      <c r="BT144" s="27">
        <f t="shared" si="232"/>
        <v>3.754</v>
      </c>
      <c r="BU144" s="27">
        <f t="shared" si="232"/>
        <v>3.754</v>
      </c>
      <c r="BV144" s="27">
        <f t="shared" si="232"/>
        <v>4.2039999999999997</v>
      </c>
      <c r="BW144" s="139">
        <f t="shared" si="225"/>
        <v>15.466000000000001</v>
      </c>
      <c r="BX144" s="27">
        <f t="shared" ref="BX144:CA146" si="233">BX117</f>
        <v>4.077</v>
      </c>
      <c r="BY144" s="27">
        <f t="shared" si="233"/>
        <v>3.89</v>
      </c>
      <c r="BZ144" s="27">
        <f t="shared" si="233"/>
        <v>4.6210000000000004</v>
      </c>
      <c r="CA144" s="27">
        <f t="shared" si="233"/>
        <v>6.056</v>
      </c>
      <c r="CB144" s="139">
        <f t="shared" si="226"/>
        <v>18.644000000000002</v>
      </c>
      <c r="CC144" s="27">
        <f t="shared" ref="CC144:CF146" si="234">CC117</f>
        <v>5.9589999999999996</v>
      </c>
      <c r="CD144" s="27">
        <f t="shared" si="234"/>
        <v>6.0149999999999997</v>
      </c>
      <c r="CE144" s="27">
        <f t="shared" si="234"/>
        <v>5.9649999999999999</v>
      </c>
      <c r="CF144" s="27">
        <f t="shared" si="234"/>
        <v>5.9560000000000004</v>
      </c>
      <c r="CG144" s="139">
        <f t="shared" si="227"/>
        <v>23.895</v>
      </c>
      <c r="CH144" s="27">
        <f t="shared" ref="CH144:CK145" si="235">CH117</f>
        <v>5.97</v>
      </c>
      <c r="CI144" s="27">
        <f t="shared" si="235"/>
        <v>3.548</v>
      </c>
      <c r="CJ144" s="27">
        <f t="shared" si="235"/>
        <v>3.54</v>
      </c>
      <c r="CK144" s="27">
        <f t="shared" si="235"/>
        <v>3.54</v>
      </c>
      <c r="CL144" s="139">
        <f t="shared" si="228"/>
        <v>16.597999999999999</v>
      </c>
      <c r="CM144" s="27">
        <f>CM117</f>
        <v>3.5</v>
      </c>
      <c r="CN144" s="27">
        <f t="shared" ref="CN144:CP144" si="236">CN117</f>
        <v>3.5</v>
      </c>
      <c r="CO144" s="27">
        <f t="shared" si="236"/>
        <v>3.5</v>
      </c>
      <c r="CP144" s="27">
        <f t="shared" si="236"/>
        <v>3.5</v>
      </c>
      <c r="CQ144" s="139">
        <f t="shared" si="229"/>
        <v>14</v>
      </c>
      <c r="CR144" s="27">
        <f t="shared" ref="CR144:CU144" si="237">CR117</f>
        <v>3.5</v>
      </c>
      <c r="CS144" s="27">
        <f t="shared" si="237"/>
        <v>3.5</v>
      </c>
      <c r="CT144" s="27">
        <f t="shared" si="237"/>
        <v>3.5</v>
      </c>
      <c r="CU144" s="27">
        <f t="shared" si="237"/>
        <v>3.5</v>
      </c>
      <c r="CV144" s="139">
        <f t="shared" si="230"/>
        <v>14</v>
      </c>
    </row>
    <row r="145" spans="1:100" ht="12" customHeight="1" x14ac:dyDescent="0.25">
      <c r="A145" s="47"/>
      <c r="B145" s="47"/>
      <c r="E145" s="6" t="str">
        <f>E118</f>
        <v>Stock-based compensation</v>
      </c>
      <c r="F145" s="33"/>
      <c r="G145" s="33"/>
      <c r="H145" s="33"/>
      <c r="I145" s="33"/>
      <c r="J145" s="33"/>
      <c r="O145" s="33"/>
      <c r="T145" s="33"/>
      <c r="Y145" s="33"/>
      <c r="AD145" s="139"/>
      <c r="AE145" s="27"/>
      <c r="AF145" s="27"/>
      <c r="AG145" s="27"/>
      <c r="AH145" s="27"/>
      <c r="AI145" s="139"/>
      <c r="AJ145" s="27"/>
      <c r="AK145" s="27"/>
      <c r="AL145" s="27"/>
      <c r="AM145" s="27"/>
      <c r="AN145" s="139"/>
      <c r="AO145" s="27"/>
      <c r="AP145" s="27"/>
      <c r="AQ145" s="27"/>
      <c r="AR145" s="27"/>
      <c r="AS145" s="139"/>
      <c r="AT145" s="27"/>
      <c r="AU145" s="27"/>
      <c r="AV145" s="27"/>
      <c r="AW145" s="27"/>
      <c r="AX145" s="139"/>
      <c r="AY145" s="27"/>
      <c r="AZ145" s="85"/>
      <c r="BA145" s="27"/>
      <c r="BB145" s="27"/>
      <c r="BC145" s="139"/>
      <c r="BD145" s="27"/>
      <c r="BE145" s="27"/>
      <c r="BF145" s="27"/>
      <c r="BG145" s="27"/>
      <c r="BH145" s="139"/>
      <c r="BI145" s="27"/>
      <c r="BJ145" s="27"/>
      <c r="BK145" s="27"/>
      <c r="BL145" s="27"/>
      <c r="BM145" s="139"/>
      <c r="BN145" s="27">
        <f t="shared" si="231"/>
        <v>3.9249999999999998</v>
      </c>
      <c r="BO145" s="27">
        <f t="shared" si="231"/>
        <v>7.7249999999999996</v>
      </c>
      <c r="BP145" s="27">
        <f t="shared" si="231"/>
        <v>8.4499999999999993</v>
      </c>
      <c r="BQ145" s="27">
        <f t="shared" si="231"/>
        <v>8.2159999999999993</v>
      </c>
      <c r="BR145" s="139">
        <f t="shared" si="224"/>
        <v>28.315999999999995</v>
      </c>
      <c r="BS145" s="27">
        <f t="shared" si="232"/>
        <v>8.1229999999999993</v>
      </c>
      <c r="BT145" s="27">
        <f t="shared" si="232"/>
        <v>7.36</v>
      </c>
      <c r="BU145" s="27">
        <f t="shared" si="232"/>
        <v>8.0459999999999994</v>
      </c>
      <c r="BV145" s="27">
        <f t="shared" si="232"/>
        <v>7.9340000000000002</v>
      </c>
      <c r="BW145" s="139">
        <f t="shared" si="225"/>
        <v>31.463000000000001</v>
      </c>
      <c r="BX145" s="27">
        <f t="shared" si="233"/>
        <v>8.59</v>
      </c>
      <c r="BY145" s="27">
        <f t="shared" si="233"/>
        <v>11.938000000000001</v>
      </c>
      <c r="BZ145" s="27">
        <f t="shared" si="233"/>
        <v>13.427</v>
      </c>
      <c r="CA145" s="27">
        <f t="shared" si="233"/>
        <v>15.190000000000001</v>
      </c>
      <c r="CB145" s="139">
        <f t="shared" si="226"/>
        <v>49.144999999999996</v>
      </c>
      <c r="CC145" s="27">
        <f t="shared" si="234"/>
        <v>12.399999999999999</v>
      </c>
      <c r="CD145" s="27">
        <f t="shared" si="234"/>
        <v>13.154</v>
      </c>
      <c r="CE145" s="27">
        <f t="shared" si="234"/>
        <v>13.29</v>
      </c>
      <c r="CF145" s="27">
        <f t="shared" si="234"/>
        <v>14.022</v>
      </c>
      <c r="CG145" s="139">
        <f t="shared" si="227"/>
        <v>52.865999999999993</v>
      </c>
      <c r="CH145" s="27">
        <f t="shared" si="235"/>
        <v>17.798000000000002</v>
      </c>
      <c r="CI145" s="27">
        <f t="shared" si="235"/>
        <v>17.667000000000002</v>
      </c>
      <c r="CJ145" s="27">
        <f t="shared" si="235"/>
        <v>22.2</v>
      </c>
      <c r="CK145" s="27">
        <f t="shared" si="235"/>
        <v>20.3</v>
      </c>
      <c r="CL145" s="139">
        <f t="shared" si="228"/>
        <v>77.965000000000003</v>
      </c>
      <c r="CM145" s="27">
        <f>CM118</f>
        <v>19</v>
      </c>
      <c r="CN145" s="27">
        <f t="shared" ref="CN145:CP145" si="238">CN118</f>
        <v>19</v>
      </c>
      <c r="CO145" s="27">
        <f t="shared" si="238"/>
        <v>19</v>
      </c>
      <c r="CP145" s="27">
        <f t="shared" si="238"/>
        <v>19</v>
      </c>
      <c r="CQ145" s="139">
        <f t="shared" si="229"/>
        <v>76</v>
      </c>
      <c r="CR145" s="27">
        <f t="shared" ref="CR145:CU145" si="239">CR118</f>
        <v>18.5</v>
      </c>
      <c r="CS145" s="27">
        <f t="shared" si="239"/>
        <v>18.5</v>
      </c>
      <c r="CT145" s="27">
        <f t="shared" si="239"/>
        <v>18.5</v>
      </c>
      <c r="CU145" s="27">
        <f t="shared" si="239"/>
        <v>18.5</v>
      </c>
      <c r="CV145" s="139">
        <f t="shared" si="230"/>
        <v>74</v>
      </c>
    </row>
    <row r="146" spans="1:100" ht="12" customHeight="1" x14ac:dyDescent="0.25">
      <c r="A146" s="47"/>
      <c r="B146" s="47"/>
      <c r="E146" s="6" t="str">
        <f>E119</f>
        <v>Restructuring charges/other</v>
      </c>
      <c r="F146" s="33"/>
      <c r="G146" s="33"/>
      <c r="H146" s="33"/>
      <c r="I146" s="33"/>
      <c r="J146" s="33"/>
      <c r="O146" s="33"/>
      <c r="T146" s="33"/>
      <c r="Y146" s="33"/>
      <c r="AD146" s="139"/>
      <c r="AE146" s="27"/>
      <c r="AF146" s="27"/>
      <c r="AG146" s="27"/>
      <c r="AH146" s="27"/>
      <c r="AI146" s="139"/>
      <c r="AJ146" s="27"/>
      <c r="AK146" s="27"/>
      <c r="AL146" s="27"/>
      <c r="AM146" s="27"/>
      <c r="AN146" s="139"/>
      <c r="AO146" s="27"/>
      <c r="AP146" s="27"/>
      <c r="AQ146" s="27"/>
      <c r="AR146" s="27"/>
      <c r="AS146" s="139"/>
      <c r="AT146" s="27"/>
      <c r="AU146" s="27"/>
      <c r="AV146" s="27"/>
      <c r="AW146" s="27"/>
      <c r="AX146" s="139"/>
      <c r="AY146" s="27"/>
      <c r="AZ146" s="85"/>
      <c r="BA146" s="27"/>
      <c r="BB146" s="27"/>
      <c r="BC146" s="139"/>
      <c r="BD146" s="27"/>
      <c r="BE146" s="27"/>
      <c r="BF146" s="27"/>
      <c r="BG146" s="27"/>
      <c r="BH146" s="139"/>
      <c r="BI146" s="27"/>
      <c r="BJ146" s="27"/>
      <c r="BK146" s="27"/>
      <c r="BL146" s="27"/>
      <c r="BM146" s="139"/>
      <c r="BN146" s="27">
        <f t="shared" si="231"/>
        <v>7.1280000000000001</v>
      </c>
      <c r="BO146" s="27">
        <f t="shared" si="231"/>
        <v>0.83299999999999996</v>
      </c>
      <c r="BP146" s="27">
        <f t="shared" si="231"/>
        <v>3.3809999999999998</v>
      </c>
      <c r="BQ146" s="27">
        <f t="shared" si="231"/>
        <v>11.257999999999999</v>
      </c>
      <c r="BR146" s="139">
        <f t="shared" si="224"/>
        <v>22.6</v>
      </c>
      <c r="BS146" s="27">
        <f t="shared" si="232"/>
        <v>0.80700000000000005</v>
      </c>
      <c r="BT146" s="27">
        <f t="shared" si="232"/>
        <v>3.2330000000000001</v>
      </c>
      <c r="BU146" s="27">
        <f t="shared" si="232"/>
        <v>4.0579999999999998</v>
      </c>
      <c r="BV146" s="27">
        <f t="shared" si="232"/>
        <v>10.863</v>
      </c>
      <c r="BW146" s="139">
        <f t="shared" si="225"/>
        <v>18.960999999999999</v>
      </c>
      <c r="BX146" s="27">
        <f t="shared" si="233"/>
        <v>0.314</v>
      </c>
      <c r="BY146" s="27">
        <f t="shared" si="233"/>
        <v>0.30000000000000004</v>
      </c>
      <c r="BZ146" s="27">
        <f t="shared" si="233"/>
        <v>2.1110000000000002</v>
      </c>
      <c r="CA146" s="27">
        <f t="shared" si="233"/>
        <v>5.6499999999999986</v>
      </c>
      <c r="CB146" s="139">
        <f t="shared" si="226"/>
        <v>8.375</v>
      </c>
      <c r="CC146" s="27">
        <f t="shared" si="234"/>
        <v>-3.0000000000000001E-3</v>
      </c>
      <c r="CD146" s="27">
        <f t="shared" si="234"/>
        <v>2.8330000000000002</v>
      </c>
      <c r="CE146" s="27">
        <f t="shared" si="234"/>
        <v>-0.78800000000000003</v>
      </c>
      <c r="CF146" s="27">
        <f t="shared" si="234"/>
        <v>0.68200000000000005</v>
      </c>
      <c r="CG146" s="139">
        <f t="shared" si="227"/>
        <v>2.7239999999999998</v>
      </c>
      <c r="CH146" s="27">
        <f>CH119</f>
        <v>1E-3</v>
      </c>
      <c r="CI146" s="27">
        <f>CI119</f>
        <v>0.48899999999999999</v>
      </c>
      <c r="CJ146" s="724">
        <f>40+CJ119</f>
        <v>42.1</v>
      </c>
      <c r="CK146" s="27">
        <f>CK119</f>
        <v>1.5</v>
      </c>
      <c r="CL146" s="139">
        <f>SUM(CH146:CK146)</f>
        <v>44.09</v>
      </c>
      <c r="CM146" s="27">
        <f t="shared" ref="CM146:CP146" si="240">CM119</f>
        <v>0</v>
      </c>
      <c r="CN146" s="27">
        <f t="shared" si="240"/>
        <v>0</v>
      </c>
      <c r="CO146" s="27">
        <f t="shared" si="240"/>
        <v>0</v>
      </c>
      <c r="CP146" s="27">
        <f t="shared" si="240"/>
        <v>0</v>
      </c>
      <c r="CQ146" s="139">
        <f t="shared" si="229"/>
        <v>0</v>
      </c>
      <c r="CR146" s="27">
        <f t="shared" ref="CR146:CU146" si="241">CR119</f>
        <v>0</v>
      </c>
      <c r="CS146" s="27">
        <f t="shared" si="241"/>
        <v>0</v>
      </c>
      <c r="CT146" s="27">
        <f t="shared" si="241"/>
        <v>0</v>
      </c>
      <c r="CU146" s="27">
        <f t="shared" si="241"/>
        <v>0</v>
      </c>
      <c r="CV146" s="139">
        <f t="shared" si="230"/>
        <v>0</v>
      </c>
    </row>
    <row r="147" spans="1:100" s="717" customFormat="1" ht="12" customHeight="1" x14ac:dyDescent="0.25">
      <c r="A147" s="720"/>
      <c r="B147" s="720"/>
      <c r="C147" s="2"/>
      <c r="D147" s="2"/>
      <c r="E147" s="717" t="s">
        <v>771</v>
      </c>
      <c r="F147" s="33"/>
      <c r="G147" s="33"/>
      <c r="H147" s="33"/>
      <c r="I147" s="33"/>
      <c r="J147" s="33"/>
      <c r="O147" s="33"/>
      <c r="T147" s="33"/>
      <c r="Y147" s="33"/>
      <c r="AD147" s="139"/>
      <c r="AE147" s="27"/>
      <c r="AF147" s="27"/>
      <c r="AG147" s="27"/>
      <c r="AH147" s="27"/>
      <c r="AI147" s="139"/>
      <c r="AJ147" s="27"/>
      <c r="AK147" s="27"/>
      <c r="AL147" s="27"/>
      <c r="AM147" s="27"/>
      <c r="AN147" s="139"/>
      <c r="AO147" s="27"/>
      <c r="AP147" s="27"/>
      <c r="AQ147" s="27"/>
      <c r="AR147" s="27"/>
      <c r="AS147" s="139"/>
      <c r="AT147" s="27"/>
      <c r="AU147" s="27"/>
      <c r="AV147" s="27"/>
      <c r="AW147" s="27"/>
      <c r="AX147" s="139"/>
      <c r="AY147" s="27"/>
      <c r="AZ147" s="721"/>
      <c r="BA147" s="27"/>
      <c r="BB147" s="27"/>
      <c r="BC147" s="139"/>
      <c r="BD147" s="27"/>
      <c r="BE147" s="27"/>
      <c r="BF147" s="27"/>
      <c r="BG147" s="27"/>
      <c r="BH147" s="139"/>
      <c r="BI147" s="27"/>
      <c r="BJ147" s="27"/>
      <c r="BK147" s="27"/>
      <c r="BL147" s="27"/>
      <c r="BM147" s="139"/>
      <c r="BN147" s="27"/>
      <c r="BO147" s="27"/>
      <c r="BP147" s="27"/>
      <c r="BQ147" s="27"/>
      <c r="BR147" s="139"/>
      <c r="BS147" s="27"/>
      <c r="BT147" s="27"/>
      <c r="BU147" s="27"/>
      <c r="BV147" s="27"/>
      <c r="BW147" s="139"/>
      <c r="BX147" s="27"/>
      <c r="BY147" s="27"/>
      <c r="BZ147" s="27"/>
      <c r="CA147" s="27"/>
      <c r="CB147" s="139">
        <f>SUM(BX147:CA147)</f>
        <v>0</v>
      </c>
      <c r="CC147" s="124">
        <v>0</v>
      </c>
      <c r="CD147" s="124">
        <v>0</v>
      </c>
      <c r="CE147" s="124">
        <v>0</v>
      </c>
      <c r="CF147" s="124">
        <v>0</v>
      </c>
      <c r="CG147" s="139">
        <f>SUM(CC147:CF147)</f>
        <v>0</v>
      </c>
      <c r="CH147" s="124">
        <v>0</v>
      </c>
      <c r="CI147" s="724">
        <v>0</v>
      </c>
      <c r="CJ147" s="724">
        <v>-1700</v>
      </c>
      <c r="CK147" s="724">
        <v>0</v>
      </c>
      <c r="CL147" s="139">
        <f>SUM(CH147:CK147)</f>
        <v>-1700</v>
      </c>
      <c r="CM147" s="724">
        <v>0</v>
      </c>
      <c r="CN147" s="724">
        <v>0</v>
      </c>
      <c r="CO147" s="724">
        <v>0</v>
      </c>
      <c r="CP147" s="724">
        <v>0</v>
      </c>
      <c r="CQ147" s="139">
        <f>SUM(CM147:CP147)</f>
        <v>0</v>
      </c>
      <c r="CR147" s="724">
        <v>0</v>
      </c>
      <c r="CS147" s="724">
        <v>0</v>
      </c>
      <c r="CT147" s="724">
        <v>0</v>
      </c>
      <c r="CU147" s="724">
        <v>0</v>
      </c>
      <c r="CV147" s="139">
        <f>SUM(CR147:CU147)</f>
        <v>0</v>
      </c>
    </row>
    <row r="148" spans="1:100" ht="12" customHeight="1" x14ac:dyDescent="0.25">
      <c r="A148" s="47"/>
      <c r="B148" s="47"/>
      <c r="E148" s="6" t="str">
        <f>E120</f>
        <v>Separation and transformation costs</v>
      </c>
      <c r="F148" s="33"/>
      <c r="G148" s="33"/>
      <c r="H148" s="33"/>
      <c r="I148" s="33"/>
      <c r="J148" s="33"/>
      <c r="O148" s="33"/>
      <c r="T148" s="33"/>
      <c r="Y148" s="33"/>
      <c r="AD148" s="139"/>
      <c r="AE148" s="27"/>
      <c r="AF148" s="27"/>
      <c r="AG148" s="27"/>
      <c r="AH148" s="27"/>
      <c r="AI148" s="139"/>
      <c r="AJ148" s="27"/>
      <c r="AK148" s="27"/>
      <c r="AL148" s="27"/>
      <c r="AM148" s="27"/>
      <c r="AN148" s="139"/>
      <c r="AO148" s="27"/>
      <c r="AP148" s="27"/>
      <c r="AQ148" s="27"/>
      <c r="AR148" s="27"/>
      <c r="AS148" s="139"/>
      <c r="AT148" s="27"/>
      <c r="AU148" s="27"/>
      <c r="AV148" s="27"/>
      <c r="AW148" s="27"/>
      <c r="AX148" s="139"/>
      <c r="AY148" s="27"/>
      <c r="AZ148" s="85"/>
      <c r="BA148" s="27"/>
      <c r="BB148" s="27"/>
      <c r="BC148" s="139"/>
      <c r="BD148" s="27"/>
      <c r="BE148" s="27"/>
      <c r="BF148" s="27"/>
      <c r="BG148" s="27"/>
      <c r="BH148" s="139"/>
      <c r="BI148" s="27"/>
      <c r="BJ148" s="27"/>
      <c r="BK148" s="27"/>
      <c r="BL148" s="27"/>
      <c r="BM148" s="139"/>
      <c r="BN148" s="27">
        <f t="shared" ref="BN148:BQ149" si="242">BN120</f>
        <v>10.538</v>
      </c>
      <c r="BO148" s="27">
        <f t="shared" si="242"/>
        <v>8.2910000000000004</v>
      </c>
      <c r="BP148" s="27">
        <f t="shared" si="242"/>
        <v>7.4169999999999998</v>
      </c>
      <c r="BQ148" s="27">
        <f t="shared" si="242"/>
        <v>5.0229999999999997</v>
      </c>
      <c r="BR148" s="139">
        <f t="shared" si="224"/>
        <v>31.269000000000002</v>
      </c>
      <c r="BS148" s="27">
        <f t="shared" ref="BS148:BV149" si="243">BS120</f>
        <v>3.4140000000000001</v>
      </c>
      <c r="BT148" s="27">
        <f t="shared" si="243"/>
        <v>6.0979999999999999</v>
      </c>
      <c r="BU148" s="27">
        <f t="shared" si="243"/>
        <v>6.6280000000000001</v>
      </c>
      <c r="BV148" s="27">
        <f t="shared" si="243"/>
        <v>4.6859999999999999</v>
      </c>
      <c r="BW148" s="139">
        <f t="shared" si="225"/>
        <v>20.826000000000001</v>
      </c>
      <c r="BX148" s="27">
        <f t="shared" ref="BX148:CA149" si="244">BX120</f>
        <v>0</v>
      </c>
      <c r="BY148" s="27">
        <f t="shared" si="244"/>
        <v>1.4550000000000001</v>
      </c>
      <c r="BZ148" s="27">
        <f t="shared" si="244"/>
        <v>4.1180000000000003</v>
      </c>
      <c r="CA148" s="27">
        <f t="shared" si="244"/>
        <v>3.0659999999999998</v>
      </c>
      <c r="CB148" s="139">
        <f t="shared" si="226"/>
        <v>8.6389999999999993</v>
      </c>
      <c r="CC148" s="27">
        <f t="shared" ref="CC148:CF149" si="245">CC120</f>
        <v>7.1189999999999998</v>
      </c>
      <c r="CD148" s="27">
        <f t="shared" si="245"/>
        <v>5.4530000000000003</v>
      </c>
      <c r="CE148" s="27">
        <f t="shared" si="245"/>
        <v>5.2140000000000004</v>
      </c>
      <c r="CF148" s="27">
        <f t="shared" si="245"/>
        <v>0</v>
      </c>
      <c r="CG148" s="139">
        <f t="shared" si="227"/>
        <v>17.786000000000001</v>
      </c>
      <c r="CH148" s="27">
        <f t="shared" ref="CH148:CK149" si="246">CH120</f>
        <v>0</v>
      </c>
      <c r="CI148" s="27">
        <f t="shared" si="246"/>
        <v>2.1219999999999999</v>
      </c>
      <c r="CJ148" s="27">
        <f t="shared" si="246"/>
        <v>1.3</v>
      </c>
      <c r="CK148" s="27">
        <f t="shared" si="246"/>
        <v>0</v>
      </c>
      <c r="CL148" s="139">
        <f>SUM(CH148:CK148)</f>
        <v>3.4219999999999997</v>
      </c>
      <c r="CM148" s="27">
        <f>CM120</f>
        <v>0</v>
      </c>
      <c r="CN148" s="27">
        <f t="shared" ref="CN148:CP148" si="247">CN120</f>
        <v>0</v>
      </c>
      <c r="CO148" s="27">
        <f t="shared" si="247"/>
        <v>0</v>
      </c>
      <c r="CP148" s="27">
        <f t="shared" si="247"/>
        <v>0</v>
      </c>
      <c r="CQ148" s="139">
        <f t="shared" si="229"/>
        <v>0</v>
      </c>
      <c r="CR148" s="27">
        <f t="shared" ref="CR148:CU148" si="248">CR120</f>
        <v>0</v>
      </c>
      <c r="CS148" s="27">
        <f t="shared" si="248"/>
        <v>0</v>
      </c>
      <c r="CT148" s="27">
        <f t="shared" si="248"/>
        <v>0</v>
      </c>
      <c r="CU148" s="27">
        <f t="shared" si="248"/>
        <v>0</v>
      </c>
      <c r="CV148" s="139">
        <f t="shared" ref="CV148:CV149" si="249">SUM(CR148:CU148)</f>
        <v>0</v>
      </c>
    </row>
    <row r="149" spans="1:100" ht="12" customHeight="1" x14ac:dyDescent="0.25">
      <c r="A149" s="47"/>
      <c r="B149" s="47"/>
      <c r="E149" s="6" t="str">
        <f>E121</f>
        <v>Accelerated D&amp;A</v>
      </c>
      <c r="F149" s="33"/>
      <c r="G149" s="33"/>
      <c r="H149" s="33"/>
      <c r="I149" s="33"/>
      <c r="J149" s="33"/>
      <c r="O149" s="33"/>
      <c r="T149" s="33"/>
      <c r="Y149" s="33"/>
      <c r="AD149" s="139"/>
      <c r="AE149" s="27"/>
      <c r="AF149" s="27"/>
      <c r="AG149" s="27"/>
      <c r="AH149" s="27"/>
      <c r="AI149" s="139"/>
      <c r="AJ149" s="27"/>
      <c r="AK149" s="27"/>
      <c r="AL149" s="27"/>
      <c r="AM149" s="27"/>
      <c r="AN149" s="139"/>
      <c r="AO149" s="27"/>
      <c r="AP149" s="27"/>
      <c r="AQ149" s="27"/>
      <c r="AR149" s="27"/>
      <c r="AS149" s="139"/>
      <c r="AT149" s="27"/>
      <c r="AU149" s="27"/>
      <c r="AV149" s="27"/>
      <c r="AW149" s="27"/>
      <c r="AX149" s="139"/>
      <c r="AY149" s="27"/>
      <c r="AZ149" s="85"/>
      <c r="BA149" s="27"/>
      <c r="BB149" s="27"/>
      <c r="BC149" s="139"/>
      <c r="BD149" s="27"/>
      <c r="BE149" s="27"/>
      <c r="BF149" s="27"/>
      <c r="BG149" s="27"/>
      <c r="BH149" s="139"/>
      <c r="BI149" s="27"/>
      <c r="BJ149" s="27"/>
      <c r="BK149" s="27"/>
      <c r="BL149" s="27"/>
      <c r="BM149" s="139"/>
      <c r="BN149" s="27">
        <f t="shared" si="242"/>
        <v>0</v>
      </c>
      <c r="BO149" s="27">
        <f t="shared" si="242"/>
        <v>0</v>
      </c>
      <c r="BP149" s="27">
        <f t="shared" si="242"/>
        <v>0</v>
      </c>
      <c r="BQ149" s="27">
        <f t="shared" si="242"/>
        <v>4.3159999999999998</v>
      </c>
      <c r="BR149" s="139">
        <f t="shared" si="224"/>
        <v>4.3159999999999998</v>
      </c>
      <c r="BS149" s="27">
        <f t="shared" si="243"/>
        <v>1.4419999999999999</v>
      </c>
      <c r="BT149" s="27">
        <f t="shared" si="243"/>
        <v>7.8E-2</v>
      </c>
      <c r="BU149" s="27">
        <f t="shared" si="243"/>
        <v>7.8E-2</v>
      </c>
      <c r="BV149" s="27">
        <f t="shared" si="243"/>
        <v>0.252</v>
      </c>
      <c r="BW149" s="139">
        <f t="shared" si="225"/>
        <v>1.85</v>
      </c>
      <c r="BX149" s="27">
        <f t="shared" si="244"/>
        <v>0</v>
      </c>
      <c r="BY149" s="27">
        <f t="shared" si="244"/>
        <v>0</v>
      </c>
      <c r="BZ149" s="27">
        <f t="shared" si="244"/>
        <v>0</v>
      </c>
      <c r="CA149" s="27">
        <f t="shared" si="244"/>
        <v>0</v>
      </c>
      <c r="CB149" s="139">
        <f t="shared" si="226"/>
        <v>0</v>
      </c>
      <c r="CC149" s="27">
        <f t="shared" si="245"/>
        <v>0</v>
      </c>
      <c r="CD149" s="27">
        <f t="shared" si="245"/>
        <v>0</v>
      </c>
      <c r="CE149" s="27">
        <f t="shared" si="245"/>
        <v>0</v>
      </c>
      <c r="CF149" s="27">
        <f t="shared" si="245"/>
        <v>0</v>
      </c>
      <c r="CG149" s="139">
        <f t="shared" si="227"/>
        <v>0</v>
      </c>
      <c r="CH149" s="27">
        <f t="shared" si="246"/>
        <v>0</v>
      </c>
      <c r="CI149" s="27">
        <f t="shared" si="246"/>
        <v>0</v>
      </c>
      <c r="CJ149" s="27">
        <f t="shared" si="246"/>
        <v>1.74</v>
      </c>
      <c r="CK149" s="27">
        <f t="shared" si="246"/>
        <v>1.74</v>
      </c>
      <c r="CL149" s="139">
        <f t="shared" si="228"/>
        <v>3.48</v>
      </c>
      <c r="CM149" s="27">
        <f>CM121</f>
        <v>1.7</v>
      </c>
      <c r="CN149" s="27">
        <f t="shared" ref="CN149:CP149" si="250">CN121</f>
        <v>1.7</v>
      </c>
      <c r="CO149" s="27">
        <f t="shared" si="250"/>
        <v>1.7</v>
      </c>
      <c r="CP149" s="27">
        <f t="shared" si="250"/>
        <v>1.7</v>
      </c>
      <c r="CQ149" s="139">
        <f t="shared" si="229"/>
        <v>6.8</v>
      </c>
      <c r="CR149" s="27">
        <f t="shared" ref="CR149:CU149" si="251">CR121</f>
        <v>1.7</v>
      </c>
      <c r="CS149" s="27">
        <f t="shared" si="251"/>
        <v>1.7</v>
      </c>
      <c r="CT149" s="27">
        <f t="shared" si="251"/>
        <v>1.7</v>
      </c>
      <c r="CU149" s="27">
        <f t="shared" si="251"/>
        <v>1.7</v>
      </c>
      <c r="CV149" s="139">
        <f t="shared" si="249"/>
        <v>6.8</v>
      </c>
    </row>
    <row r="150" spans="1:100" ht="12" customHeight="1" x14ac:dyDescent="0.25">
      <c r="A150" s="47"/>
      <c r="B150" s="47"/>
      <c r="E150" s="6" t="s">
        <v>538</v>
      </c>
      <c r="F150" s="33"/>
      <c r="G150" s="33"/>
      <c r="H150" s="33"/>
      <c r="I150" s="33"/>
      <c r="J150" s="33"/>
      <c r="O150" s="33"/>
      <c r="T150" s="33"/>
      <c r="Y150" s="33"/>
      <c r="AD150" s="139"/>
      <c r="AE150" s="27"/>
      <c r="AF150" s="27"/>
      <c r="AG150" s="27"/>
      <c r="AH150" s="27"/>
      <c r="AI150" s="139"/>
      <c r="AJ150" s="27"/>
      <c r="AK150" s="27"/>
      <c r="AL150" s="27"/>
      <c r="AM150" s="27"/>
      <c r="AN150" s="139"/>
      <c r="AO150" s="27"/>
      <c r="AP150" s="27"/>
      <c r="AQ150" s="27"/>
      <c r="AR150" s="27"/>
      <c r="AS150" s="139"/>
      <c r="AT150" s="27"/>
      <c r="AU150" s="27"/>
      <c r="AV150" s="27"/>
      <c r="AW150" s="27"/>
      <c r="AX150" s="139"/>
      <c r="AY150" s="27"/>
      <c r="AZ150" s="85"/>
      <c r="BA150" s="27"/>
      <c r="BB150" s="27"/>
      <c r="BC150" s="139"/>
      <c r="BD150" s="27"/>
      <c r="BE150" s="27"/>
      <c r="BF150" s="27"/>
      <c r="BG150" s="27"/>
      <c r="BH150" s="139"/>
      <c r="BI150" s="27"/>
      <c r="BJ150" s="27"/>
      <c r="BK150" s="27"/>
      <c r="BL150" s="27"/>
      <c r="BM150" s="139"/>
      <c r="BN150" s="124">
        <v>-2.5169999999999999</v>
      </c>
      <c r="BO150" s="124">
        <v>-4.7569999999999997</v>
      </c>
      <c r="BP150" s="124">
        <v>-5.7549999999999999</v>
      </c>
      <c r="BQ150" s="124">
        <v>-5.3239999999999998</v>
      </c>
      <c r="BR150" s="139">
        <f t="shared" si="224"/>
        <v>-18.353000000000002</v>
      </c>
      <c r="BS150" s="124">
        <v>-5.6319999999999997</v>
      </c>
      <c r="BT150" s="124">
        <v>-5.1630000000000003</v>
      </c>
      <c r="BU150" s="124">
        <v>-6.399</v>
      </c>
      <c r="BV150" s="124">
        <v>-4.2619999999999996</v>
      </c>
      <c r="BW150" s="139">
        <f t="shared" si="225"/>
        <v>-21.456</v>
      </c>
      <c r="BX150" s="124">
        <v>-7.8520000000000003</v>
      </c>
      <c r="BY150" s="124">
        <v>-8.91</v>
      </c>
      <c r="BZ150" s="124">
        <v>-12.750999999999999</v>
      </c>
      <c r="CA150" s="124">
        <v>-7.1390000000000002</v>
      </c>
      <c r="CB150" s="139">
        <f>SUM(BX150:CA150)</f>
        <v>-36.652000000000001</v>
      </c>
      <c r="CC150" s="124">
        <v>4.556</v>
      </c>
      <c r="CD150" s="124">
        <v>3.1640000000000001</v>
      </c>
      <c r="CE150" s="124">
        <v>2.5139999999999998</v>
      </c>
      <c r="CF150" s="124">
        <v>2.3519999999999999</v>
      </c>
      <c r="CG150" s="139">
        <f>SUM(CC150:CF150)</f>
        <v>12.586</v>
      </c>
      <c r="CH150" s="124">
        <v>1.0780000000000001</v>
      </c>
      <c r="CI150" s="124">
        <v>3.79</v>
      </c>
      <c r="CJ150" s="27">
        <f>-0.274*SUM(CJ143:CJ149)</f>
        <v>2.6559537879999913</v>
      </c>
      <c r="CK150" s="27">
        <f>-0.274*SUM(CK143:CK149)</f>
        <v>3.1684349340724949</v>
      </c>
      <c r="CL150" s="139">
        <f>SUM(CH150:CK150)</f>
        <v>10.692388722072486</v>
      </c>
      <c r="CM150" s="27">
        <f>-0.272*SUM(CM143:CM149)</f>
        <v>2.9594126372110097</v>
      </c>
      <c r="CN150" s="27">
        <f>-0.272*SUM(CN143:CN149)</f>
        <v>1.7591420218189859</v>
      </c>
      <c r="CO150" s="27">
        <f>-0.272*SUM(CO143:CO149)</f>
        <v>-0.20815976716445678</v>
      </c>
      <c r="CP150" s="27">
        <f>-0.272*SUM(CP143:CP149)</f>
        <v>-1.1511030054394166E-2</v>
      </c>
      <c r="CQ150" s="139">
        <f>SUM(CM150:CP150)</f>
        <v>4.4988838618111453</v>
      </c>
      <c r="CR150" s="27">
        <f>-0.272*SUM(CR143:CR149)</f>
        <v>0.22903402187231586</v>
      </c>
      <c r="CS150" s="27">
        <f>-0.272*SUM(CS143:CS149)</f>
        <v>-1.3130996734758182</v>
      </c>
      <c r="CT150" s="27">
        <f>-0.272*SUM(CT143:CT149)</f>
        <v>-3.9500351010518879</v>
      </c>
      <c r="CU150" s="27">
        <f>-0.272*SUM(CU143:CU149)</f>
        <v>-4.0509708927242123</v>
      </c>
      <c r="CV150" s="139">
        <f>SUM(CR150:CU150)</f>
        <v>-9.0850716453796032</v>
      </c>
    </row>
    <row r="151" spans="1:100" ht="12" hidden="1" customHeight="1" x14ac:dyDescent="0.25">
      <c r="A151" s="47"/>
      <c r="B151" s="47"/>
      <c r="E151" s="94"/>
      <c r="F151" s="33"/>
      <c r="G151" s="33"/>
      <c r="H151" s="33"/>
      <c r="I151" s="33"/>
      <c r="J151" s="33"/>
      <c r="O151" s="33"/>
      <c r="T151" s="33"/>
      <c r="Y151" s="33"/>
      <c r="AD151" s="139"/>
      <c r="AE151" s="27"/>
      <c r="AF151" s="27"/>
      <c r="AG151" s="27"/>
      <c r="AH151" s="27"/>
      <c r="AI151" s="139"/>
      <c r="AJ151" s="27"/>
      <c r="AK151" s="27"/>
      <c r="AL151" s="27"/>
      <c r="AM151" s="27"/>
      <c r="AN151" s="139"/>
      <c r="AO151" s="27"/>
      <c r="AP151" s="27"/>
      <c r="AQ151" s="27"/>
      <c r="AR151" s="27"/>
      <c r="AS151" s="139"/>
      <c r="AT151" s="27"/>
      <c r="AU151" s="27"/>
      <c r="AV151" s="27"/>
      <c r="AW151" s="27"/>
      <c r="AX151" s="139"/>
      <c r="AY151" s="27"/>
      <c r="AZ151" s="85"/>
      <c r="BA151" s="27"/>
      <c r="BB151" s="27"/>
      <c r="BC151" s="139"/>
      <c r="BD151" s="27"/>
      <c r="BE151" s="27"/>
      <c r="BF151" s="27"/>
      <c r="BG151" s="27"/>
      <c r="BH151" s="139"/>
      <c r="BI151" s="27"/>
      <c r="BJ151" s="27"/>
      <c r="BK151" s="27"/>
      <c r="BL151" s="27"/>
      <c r="BM151" s="139"/>
      <c r="BN151" s="27"/>
      <c r="BO151" s="27"/>
      <c r="BP151" s="27"/>
      <c r="BQ151" s="27"/>
      <c r="BR151" s="139"/>
      <c r="BS151" s="27"/>
      <c r="BT151" s="27"/>
      <c r="BU151" s="27"/>
      <c r="BV151" s="27"/>
      <c r="BW151" s="139"/>
      <c r="BX151" s="27"/>
      <c r="BY151" s="27"/>
      <c r="BZ151" s="27"/>
      <c r="CA151" s="27"/>
      <c r="CB151" s="139"/>
      <c r="CC151" s="27"/>
      <c r="CD151" s="27"/>
      <c r="CE151" s="27"/>
      <c r="CF151" s="27"/>
      <c r="CG151" s="139"/>
      <c r="CH151" s="27"/>
      <c r="CI151" s="27"/>
      <c r="CJ151" s="27"/>
      <c r="CK151" s="27"/>
      <c r="CL151" s="139"/>
      <c r="CM151" s="27"/>
      <c r="CN151" s="27"/>
      <c r="CO151" s="27"/>
      <c r="CP151" s="27"/>
      <c r="CQ151" s="139"/>
      <c r="CR151" s="27"/>
      <c r="CS151" s="27"/>
      <c r="CT151" s="27"/>
      <c r="CU151" s="27"/>
      <c r="CV151" s="139"/>
    </row>
    <row r="152" spans="1:100" ht="12" hidden="1" customHeight="1" x14ac:dyDescent="0.25">
      <c r="A152" s="47"/>
      <c r="B152" s="47"/>
      <c r="E152" s="94"/>
      <c r="F152" s="33"/>
      <c r="G152" s="33"/>
      <c r="H152" s="33"/>
      <c r="I152" s="33"/>
      <c r="J152" s="33"/>
      <c r="O152" s="33"/>
      <c r="T152" s="33"/>
      <c r="Y152" s="33"/>
      <c r="AD152" s="139"/>
      <c r="AE152" s="27"/>
      <c r="AF152" s="27"/>
      <c r="AG152" s="27"/>
      <c r="AH152" s="27"/>
      <c r="AI152" s="139"/>
      <c r="AJ152" s="27"/>
      <c r="AK152" s="27"/>
      <c r="AL152" s="27"/>
      <c r="AM152" s="27"/>
      <c r="AN152" s="139"/>
      <c r="AO152" s="27"/>
      <c r="AP152" s="27"/>
      <c r="AQ152" s="27"/>
      <c r="AR152" s="27"/>
      <c r="AS152" s="139"/>
      <c r="AT152" s="27"/>
      <c r="AU152" s="27"/>
      <c r="AV152" s="27"/>
      <c r="AW152" s="27"/>
      <c r="AX152" s="139"/>
      <c r="AY152" s="27"/>
      <c r="AZ152" s="85"/>
      <c r="BA152" s="27"/>
      <c r="BB152" s="27"/>
      <c r="BC152" s="139"/>
      <c r="BD152" s="27"/>
      <c r="BE152" s="27"/>
      <c r="BF152" s="27"/>
      <c r="BG152" s="27"/>
      <c r="BH152" s="139"/>
      <c r="BI152" s="27"/>
      <c r="BJ152" s="27"/>
      <c r="BK152" s="27"/>
      <c r="BL152" s="27"/>
      <c r="BM152" s="139"/>
      <c r="BN152" s="27"/>
      <c r="BO152" s="27"/>
      <c r="BP152" s="27"/>
      <c r="BQ152" s="27"/>
      <c r="BR152" s="139"/>
      <c r="BS152" s="27"/>
      <c r="BT152" s="27"/>
      <c r="BU152" s="27"/>
      <c r="BV152" s="27"/>
      <c r="BW152" s="139"/>
      <c r="BX152" s="27"/>
      <c r="BY152" s="27"/>
      <c r="BZ152" s="27"/>
      <c r="CA152" s="27"/>
      <c r="CB152" s="139"/>
      <c r="CC152" s="27"/>
      <c r="CD152" s="27"/>
      <c r="CE152" s="27"/>
      <c r="CF152" s="27"/>
      <c r="CG152" s="139"/>
      <c r="CH152" s="27"/>
      <c r="CI152" s="27"/>
      <c r="CJ152" s="27"/>
      <c r="CK152" s="27"/>
      <c r="CL152" s="139"/>
      <c r="CM152" s="27"/>
      <c r="CN152" s="27"/>
      <c r="CO152" s="27"/>
      <c r="CP152" s="27"/>
      <c r="CQ152" s="139"/>
      <c r="CR152" s="27"/>
      <c r="CS152" s="27"/>
      <c r="CT152" s="27"/>
      <c r="CU152" s="27"/>
      <c r="CV152" s="139"/>
    </row>
    <row r="153" spans="1:100" ht="12" hidden="1" customHeight="1" x14ac:dyDescent="0.25">
      <c r="A153" s="47"/>
      <c r="B153" s="47"/>
      <c r="E153" s="27" t="s">
        <v>35</v>
      </c>
      <c r="F153" s="33"/>
      <c r="G153" s="33"/>
      <c r="H153" s="33"/>
      <c r="I153" s="33"/>
      <c r="J153" s="33"/>
      <c r="O153" s="33"/>
      <c r="T153" s="33"/>
      <c r="Y153" s="33"/>
      <c r="AD153" s="139"/>
      <c r="AE153" s="27"/>
      <c r="AF153" s="27"/>
      <c r="AG153" s="27"/>
      <c r="AH153" s="27"/>
      <c r="AI153" s="139"/>
      <c r="AJ153" s="27"/>
      <c r="AK153" s="27"/>
      <c r="AL153" s="27"/>
      <c r="AM153" s="27"/>
      <c r="AN153" s="139"/>
      <c r="AO153" s="27"/>
      <c r="AP153" s="27"/>
      <c r="AQ153" s="27"/>
      <c r="AR153" s="27"/>
      <c r="AS153" s="139"/>
      <c r="AT153" s="27"/>
      <c r="AU153" s="27"/>
      <c r="AV153" s="27"/>
      <c r="AW153" s="27"/>
      <c r="AX153" s="139"/>
      <c r="AY153" s="27"/>
      <c r="AZ153" s="85"/>
      <c r="BA153" s="27"/>
      <c r="BB153" s="27"/>
      <c r="BC153" s="139"/>
      <c r="BD153" s="27">
        <f>BD66</f>
        <v>21.636999999999997</v>
      </c>
      <c r="BE153" s="27">
        <f>BE66</f>
        <v>26.836999999999989</v>
      </c>
      <c r="BF153" s="27">
        <f>BF66</f>
        <v>24.28500000000005</v>
      </c>
      <c r="BG153" s="27">
        <f>BG66</f>
        <v>17.417999999999981</v>
      </c>
      <c r="BH153" s="139">
        <f>SUM(BD153:BG153)</f>
        <v>90.177000000000021</v>
      </c>
      <c r="BI153" s="27">
        <f>BI66</f>
        <v>21.156999999999972</v>
      </c>
      <c r="BJ153" s="27">
        <f>BJ66</f>
        <v>16.300999999999949</v>
      </c>
      <c r="BK153" s="27">
        <f>BK66</f>
        <v>18.150000000000041</v>
      </c>
      <c r="BL153" s="27">
        <f>BL66</f>
        <v>-17.177999999999976</v>
      </c>
      <c r="BM153" s="139">
        <f>BM66</f>
        <v>-5.300000000000006</v>
      </c>
      <c r="BN153" s="27"/>
      <c r="BO153" s="27"/>
      <c r="BP153" s="27"/>
      <c r="BQ153" s="27"/>
      <c r="BR153" s="139"/>
      <c r="BS153" s="27"/>
      <c r="BT153" s="27"/>
      <c r="BU153" s="27"/>
      <c r="BV153" s="27"/>
      <c r="BW153" s="139"/>
      <c r="BX153" s="27"/>
      <c r="BY153" s="27"/>
      <c r="BZ153" s="27"/>
      <c r="CA153" s="27"/>
      <c r="CB153" s="139"/>
      <c r="CC153" s="27"/>
      <c r="CD153" s="27"/>
      <c r="CE153" s="27"/>
      <c r="CF153" s="27"/>
      <c r="CG153" s="139"/>
      <c r="CH153" s="27"/>
      <c r="CI153" s="27"/>
      <c r="CJ153" s="27"/>
      <c r="CK153" s="27"/>
      <c r="CL153" s="139"/>
      <c r="CM153" s="27"/>
      <c r="CN153" s="27"/>
      <c r="CO153" s="27"/>
      <c r="CP153" s="27"/>
      <c r="CQ153" s="139"/>
      <c r="CR153" s="27"/>
      <c r="CS153" s="27"/>
      <c r="CT153" s="27"/>
      <c r="CU153" s="27"/>
      <c r="CV153" s="139"/>
    </row>
    <row r="154" spans="1:100" ht="12" hidden="1" customHeight="1" x14ac:dyDescent="0.25">
      <c r="A154" s="47"/>
      <c r="B154" s="47"/>
      <c r="E154" s="6" t="s">
        <v>534</v>
      </c>
      <c r="F154" s="33"/>
      <c r="G154" s="33"/>
      <c r="H154" s="33"/>
      <c r="I154" s="33"/>
      <c r="J154" s="33"/>
      <c r="O154" s="33"/>
      <c r="T154" s="33"/>
      <c r="Y154" s="33"/>
      <c r="AD154" s="139"/>
      <c r="AE154" s="27"/>
      <c r="AF154" s="27"/>
      <c r="AG154" s="27"/>
      <c r="AH154" s="27"/>
      <c r="AI154" s="139"/>
      <c r="AJ154" s="27"/>
      <c r="AK154" s="27"/>
      <c r="AL154" s="27"/>
      <c r="AM154" s="27"/>
      <c r="AN154" s="139"/>
      <c r="AO154" s="27"/>
      <c r="AP154" s="27"/>
      <c r="AQ154" s="27"/>
      <c r="AR154" s="27"/>
      <c r="AS154" s="139"/>
      <c r="AT154" s="27"/>
      <c r="AU154" s="27"/>
      <c r="AV154" s="27"/>
      <c r="AW154" s="27"/>
      <c r="AX154" s="139"/>
      <c r="AY154" s="27"/>
      <c r="AZ154" s="85"/>
      <c r="BA154" s="27"/>
      <c r="BB154" s="27"/>
      <c r="BC154" s="139"/>
      <c r="BD154" s="124">
        <v>0</v>
      </c>
      <c r="BE154" s="124">
        <v>0</v>
      </c>
      <c r="BF154" s="124">
        <v>0</v>
      </c>
      <c r="BG154" s="124">
        <v>0</v>
      </c>
      <c r="BH154" s="139">
        <f t="shared" ref="BH154:BH159" si="252">SUM(BD154:BG154)</f>
        <v>0</v>
      </c>
      <c r="BI154" s="124">
        <v>0</v>
      </c>
      <c r="BJ154" s="124">
        <v>2.1859999999999999</v>
      </c>
      <c r="BK154" s="124">
        <v>4.8970000000000002</v>
      </c>
      <c r="BL154" s="124">
        <v>6.9240000000000004</v>
      </c>
      <c r="BM154" s="513">
        <f>6.409</f>
        <v>6.4089999999999998</v>
      </c>
      <c r="BN154" s="124"/>
      <c r="BO154" s="124"/>
      <c r="BP154" s="124"/>
      <c r="BQ154" s="124"/>
      <c r="BR154" s="139"/>
      <c r="BS154" s="124"/>
      <c r="BT154" s="124"/>
      <c r="BU154" s="124"/>
      <c r="BV154" s="166"/>
      <c r="BW154" s="139"/>
      <c r="BX154" s="166"/>
      <c r="BY154" s="166"/>
      <c r="BZ154" s="166"/>
      <c r="CA154" s="166"/>
      <c r="CB154" s="139"/>
      <c r="CC154" s="27"/>
      <c r="CD154" s="27"/>
      <c r="CE154" s="27"/>
      <c r="CF154" s="27"/>
      <c r="CG154" s="139"/>
      <c r="CH154" s="27"/>
      <c r="CI154" s="27"/>
      <c r="CJ154" s="27"/>
      <c r="CK154" s="27"/>
      <c r="CL154" s="139"/>
      <c r="CM154" s="27"/>
      <c r="CN154" s="27"/>
      <c r="CO154" s="27"/>
      <c r="CP154" s="27"/>
      <c r="CQ154" s="139"/>
      <c r="CR154" s="27"/>
      <c r="CS154" s="27"/>
      <c r="CT154" s="27"/>
      <c r="CU154" s="27"/>
      <c r="CV154" s="139"/>
    </row>
    <row r="155" spans="1:100" ht="12" hidden="1" customHeight="1" x14ac:dyDescent="0.25">
      <c r="A155" s="47"/>
      <c r="B155" s="47"/>
      <c r="E155" s="6" t="s">
        <v>535</v>
      </c>
      <c r="F155" s="33"/>
      <c r="G155" s="33"/>
      <c r="H155" s="33"/>
      <c r="I155" s="33"/>
      <c r="J155" s="33"/>
      <c r="O155" s="33"/>
      <c r="T155" s="33"/>
      <c r="Y155" s="33"/>
      <c r="AD155" s="139"/>
      <c r="AE155" s="27"/>
      <c r="AF155" s="27"/>
      <c r="AG155" s="27"/>
      <c r="AH155" s="27"/>
      <c r="AI155" s="139"/>
      <c r="AJ155" s="27"/>
      <c r="AK155" s="27"/>
      <c r="AL155" s="27"/>
      <c r="AM155" s="27"/>
      <c r="AN155" s="139"/>
      <c r="AO155" s="27"/>
      <c r="AP155" s="27"/>
      <c r="AQ155" s="27"/>
      <c r="AR155" s="27"/>
      <c r="AS155" s="139"/>
      <c r="AT155" s="27"/>
      <c r="AU155" s="27"/>
      <c r="AV155" s="27"/>
      <c r="AW155" s="27"/>
      <c r="AX155" s="139"/>
      <c r="AY155" s="27"/>
      <c r="AZ155" s="85"/>
      <c r="BA155" s="27"/>
      <c r="BB155" s="27"/>
      <c r="BC155" s="139"/>
      <c r="BD155" s="124">
        <v>0.16</v>
      </c>
      <c r="BE155" s="124">
        <v>3.2000000000000001E-2</v>
      </c>
      <c r="BF155" s="124">
        <v>-0.126</v>
      </c>
      <c r="BG155" s="124">
        <v>1.944</v>
      </c>
      <c r="BH155" s="139">
        <f t="shared" si="252"/>
        <v>2.0099999999999998</v>
      </c>
      <c r="BI155" s="124">
        <v>0</v>
      </c>
      <c r="BJ155" s="124">
        <v>3.2</v>
      </c>
      <c r="BK155" s="124">
        <v>1</v>
      </c>
      <c r="BL155" s="124">
        <v>0</v>
      </c>
      <c r="BM155" s="513">
        <v>0</v>
      </c>
      <c r="BN155" s="124"/>
      <c r="BO155" s="124"/>
      <c r="BP155" s="124"/>
      <c r="BQ155" s="124"/>
      <c r="BR155" s="139"/>
      <c r="BS155" s="124"/>
      <c r="BT155" s="124"/>
      <c r="BU155" s="124"/>
      <c r="BV155" s="166"/>
      <c r="BW155" s="139"/>
      <c r="BX155" s="166"/>
      <c r="BY155" s="166"/>
      <c r="BZ155" s="166"/>
      <c r="CA155" s="166"/>
      <c r="CB155" s="139"/>
      <c r="CC155" s="27"/>
      <c r="CD155" s="27"/>
      <c r="CE155" s="27"/>
      <c r="CF155" s="27"/>
      <c r="CG155" s="139"/>
      <c r="CH155" s="27"/>
      <c r="CI155" s="27"/>
      <c r="CJ155" s="27"/>
      <c r="CK155" s="27"/>
      <c r="CL155" s="139"/>
      <c r="CM155" s="27"/>
      <c r="CN155" s="27"/>
      <c r="CO155" s="27"/>
      <c r="CP155" s="27"/>
      <c r="CQ155" s="139"/>
      <c r="CR155" s="27"/>
      <c r="CS155" s="27"/>
      <c r="CT155" s="27"/>
      <c r="CU155" s="27"/>
      <c r="CV155" s="139"/>
    </row>
    <row r="156" spans="1:100" ht="12" hidden="1" customHeight="1" x14ac:dyDescent="0.25">
      <c r="A156" s="47"/>
      <c r="B156" s="47"/>
      <c r="E156" s="6" t="s">
        <v>536</v>
      </c>
      <c r="F156" s="33"/>
      <c r="G156" s="33"/>
      <c r="H156" s="33"/>
      <c r="I156" s="33"/>
      <c r="J156" s="33"/>
      <c r="O156" s="33"/>
      <c r="T156" s="33"/>
      <c r="Y156" s="33"/>
      <c r="AD156" s="139"/>
      <c r="AE156" s="27"/>
      <c r="AF156" s="27"/>
      <c r="AG156" s="27"/>
      <c r="AH156" s="27"/>
      <c r="AI156" s="139"/>
      <c r="AJ156" s="27"/>
      <c r="AK156" s="27"/>
      <c r="AL156" s="27"/>
      <c r="AM156" s="27"/>
      <c r="AN156" s="139"/>
      <c r="AO156" s="27"/>
      <c r="AP156" s="27"/>
      <c r="AQ156" s="27"/>
      <c r="AR156" s="27"/>
      <c r="AS156" s="139"/>
      <c r="AT156" s="27"/>
      <c r="AU156" s="27"/>
      <c r="AV156" s="27"/>
      <c r="AW156" s="27"/>
      <c r="AX156" s="139"/>
      <c r="AY156" s="27"/>
      <c r="AZ156" s="85"/>
      <c r="BA156" s="27"/>
      <c r="BB156" s="27"/>
      <c r="BC156" s="139"/>
      <c r="BD156" s="124">
        <v>0</v>
      </c>
      <c r="BE156" s="124">
        <v>0</v>
      </c>
      <c r="BF156" s="124">
        <v>0</v>
      </c>
      <c r="BG156" s="124">
        <v>0</v>
      </c>
      <c r="BH156" s="139">
        <f t="shared" si="252"/>
        <v>0</v>
      </c>
      <c r="BI156" s="124">
        <v>0</v>
      </c>
      <c r="BJ156" s="124">
        <v>3.1869999999999998</v>
      </c>
      <c r="BK156" s="124">
        <f>3.657-2.567</f>
        <v>1.0899999999999999</v>
      </c>
      <c r="BL156" s="124">
        <f>11.052+28.834</f>
        <v>39.885999999999996</v>
      </c>
      <c r="BM156" s="513">
        <f>0.252+42.121-2.567</f>
        <v>39.806000000000004</v>
      </c>
      <c r="BN156" s="124"/>
      <c r="BO156" s="124"/>
      <c r="BP156" s="124"/>
      <c r="BQ156" s="124"/>
      <c r="BR156" s="139"/>
      <c r="BS156" s="124"/>
      <c r="BT156" s="124"/>
      <c r="BU156" s="124"/>
      <c r="BV156" s="166"/>
      <c r="BW156" s="139"/>
      <c r="BX156" s="166"/>
      <c r="BY156" s="166"/>
      <c r="BZ156" s="166"/>
      <c r="CA156" s="166"/>
      <c r="CB156" s="139"/>
      <c r="CC156" s="166"/>
      <c r="CD156" s="166"/>
      <c r="CE156" s="166"/>
      <c r="CF156" s="166"/>
      <c r="CG156" s="139"/>
      <c r="CH156" s="166"/>
      <c r="CI156" s="166"/>
      <c r="CJ156" s="166"/>
      <c r="CK156" s="166"/>
      <c r="CL156" s="139"/>
      <c r="CM156" s="166"/>
      <c r="CN156" s="166"/>
      <c r="CO156" s="166"/>
      <c r="CP156" s="166"/>
      <c r="CQ156" s="139"/>
      <c r="CR156" s="724"/>
      <c r="CS156" s="724"/>
      <c r="CT156" s="724"/>
      <c r="CU156" s="724"/>
      <c r="CV156" s="139"/>
    </row>
    <row r="157" spans="1:100" ht="12" hidden="1" customHeight="1" x14ac:dyDescent="0.25">
      <c r="A157" s="47"/>
      <c r="B157" s="47"/>
      <c r="E157" s="6" t="s">
        <v>537</v>
      </c>
      <c r="F157" s="33"/>
      <c r="G157" s="33"/>
      <c r="H157" s="33"/>
      <c r="I157" s="33"/>
      <c r="J157" s="33"/>
      <c r="O157" s="33"/>
      <c r="T157" s="33"/>
      <c r="Y157" s="33"/>
      <c r="AD157" s="139"/>
      <c r="AE157" s="27"/>
      <c r="AF157" s="27"/>
      <c r="AG157" s="27"/>
      <c r="AH157" s="27"/>
      <c r="AI157" s="139"/>
      <c r="AJ157" s="27"/>
      <c r="AK157" s="27"/>
      <c r="AL157" s="27"/>
      <c r="AM157" s="27"/>
      <c r="AN157" s="139"/>
      <c r="AO157" s="27"/>
      <c r="AP157" s="27"/>
      <c r="AQ157" s="27"/>
      <c r="AR157" s="27"/>
      <c r="AS157" s="139"/>
      <c r="AT157" s="27"/>
      <c r="AU157" s="27"/>
      <c r="AV157" s="27"/>
      <c r="AW157" s="27"/>
      <c r="AX157" s="139"/>
      <c r="AY157" s="27"/>
      <c r="AZ157" s="85"/>
      <c r="BA157" s="27"/>
      <c r="BB157" s="27"/>
      <c r="BC157" s="139"/>
      <c r="BD157" s="27">
        <f>BD133</f>
        <v>2.653</v>
      </c>
      <c r="BE157" s="27">
        <f>BE133</f>
        <v>3.15</v>
      </c>
      <c r="BF157" s="27">
        <f>BF133</f>
        <v>3.1030000000000002</v>
      </c>
      <c r="BG157" s="27">
        <f>BG133</f>
        <v>3.0960000000000001</v>
      </c>
      <c r="BH157" s="139">
        <f t="shared" si="252"/>
        <v>12.002000000000001</v>
      </c>
      <c r="BI157" s="27">
        <f>BI133</f>
        <v>3.181</v>
      </c>
      <c r="BJ157" s="27">
        <f>BJ133</f>
        <v>3.7090000000000001</v>
      </c>
      <c r="BK157" s="27">
        <f>BK133</f>
        <v>3.4550000000000001</v>
      </c>
      <c r="BL157" s="27">
        <f>BL133</f>
        <v>3.581</v>
      </c>
      <c r="BM157" s="139">
        <f>BM133</f>
        <v>13.206</v>
      </c>
      <c r="BN157" s="27"/>
      <c r="BO157" s="27"/>
      <c r="BP157" s="27"/>
      <c r="BQ157" s="27"/>
      <c r="BR157" s="139"/>
      <c r="BS157" s="27"/>
      <c r="BT157" s="27"/>
      <c r="BU157" s="27"/>
      <c r="BV157" s="27"/>
      <c r="BW157" s="139"/>
      <c r="BX157" s="27"/>
      <c r="BY157" s="27"/>
      <c r="BZ157" s="27"/>
      <c r="CA157" s="27"/>
      <c r="CB157" s="139"/>
      <c r="CC157" s="27"/>
      <c r="CD157" s="27"/>
      <c r="CE157" s="27"/>
      <c r="CF157" s="27"/>
      <c r="CG157" s="139"/>
      <c r="CH157" s="27"/>
      <c r="CI157" s="27"/>
      <c r="CJ157" s="27"/>
      <c r="CK157" s="27"/>
      <c r="CL157" s="139"/>
      <c r="CM157" s="27"/>
      <c r="CN157" s="27"/>
      <c r="CO157" s="27"/>
      <c r="CP157" s="27"/>
      <c r="CQ157" s="139"/>
      <c r="CR157" s="27"/>
      <c r="CS157" s="27"/>
      <c r="CT157" s="27"/>
      <c r="CU157" s="27"/>
      <c r="CV157" s="139"/>
    </row>
    <row r="158" spans="1:100" ht="12" hidden="1" customHeight="1" x14ac:dyDescent="0.25">
      <c r="A158" s="447"/>
      <c r="B158" s="447"/>
      <c r="D158" s="447"/>
      <c r="E158" s="6" t="s">
        <v>538</v>
      </c>
      <c r="F158" s="33"/>
      <c r="G158" s="33"/>
      <c r="H158" s="33"/>
      <c r="I158" s="33"/>
      <c r="J158" s="33"/>
      <c r="O158" s="33"/>
      <c r="T158" s="33"/>
      <c r="Y158" s="33"/>
      <c r="AD158" s="139"/>
      <c r="AE158" s="27"/>
      <c r="AF158" s="27"/>
      <c r="AG158" s="27"/>
      <c r="AH158" s="27"/>
      <c r="AI158" s="139"/>
      <c r="AJ158" s="27"/>
      <c r="AK158" s="27"/>
      <c r="AL158" s="27"/>
      <c r="AM158" s="27"/>
      <c r="AN158" s="139"/>
      <c r="AO158" s="27"/>
      <c r="AP158" s="27"/>
      <c r="AQ158" s="27"/>
      <c r="AR158" s="27"/>
      <c r="AS158" s="139"/>
      <c r="AT158" s="27"/>
      <c r="AU158" s="27"/>
      <c r="AV158" s="27"/>
      <c r="AW158" s="27"/>
      <c r="AX158" s="139"/>
      <c r="AY158" s="27"/>
      <c r="AZ158" s="85"/>
      <c r="BA158" s="27"/>
      <c r="BB158" s="27"/>
      <c r="BC158" s="139"/>
      <c r="BD158" s="124">
        <v>-9.5350000000000001</v>
      </c>
      <c r="BE158" s="124">
        <v>-11.706</v>
      </c>
      <c r="BF158" s="124">
        <v>-11.012</v>
      </c>
      <c r="BG158" s="124">
        <v>-6.5830000000000002</v>
      </c>
      <c r="BH158" s="139">
        <f t="shared" si="252"/>
        <v>-38.835999999999999</v>
      </c>
      <c r="BI158" s="124">
        <v>-9.2739999999999991</v>
      </c>
      <c r="BJ158" s="124">
        <v>-11.288</v>
      </c>
      <c r="BK158" s="124">
        <v>-6.9790000000000001</v>
      </c>
      <c r="BL158" s="124">
        <v>-12.474</v>
      </c>
      <c r="BM158" s="513">
        <v>-17.2</v>
      </c>
      <c r="BN158" s="124"/>
      <c r="BO158" s="124"/>
      <c r="BP158" s="124"/>
      <c r="BQ158" s="124"/>
      <c r="BR158" s="139"/>
      <c r="BS158" s="124"/>
      <c r="BT158" s="124"/>
      <c r="BU158" s="124"/>
      <c r="BV158" s="166"/>
      <c r="BW158" s="139"/>
      <c r="BX158" s="166"/>
      <c r="BY158" s="166"/>
      <c r="BZ158" s="166"/>
      <c r="CA158" s="166"/>
      <c r="CB158" s="139"/>
      <c r="CC158" s="166"/>
      <c r="CD158" s="166"/>
      <c r="CE158" s="166"/>
      <c r="CF158" s="166"/>
      <c r="CG158" s="139"/>
      <c r="CH158" s="166"/>
      <c r="CI158" s="166"/>
      <c r="CJ158" s="166"/>
      <c r="CK158" s="166"/>
      <c r="CL158" s="139"/>
      <c r="CM158" s="166"/>
      <c r="CN158" s="166"/>
      <c r="CO158" s="166"/>
      <c r="CP158" s="166"/>
      <c r="CQ158" s="139"/>
      <c r="CR158" s="724"/>
      <c r="CS158" s="724"/>
      <c r="CT158" s="724"/>
      <c r="CU158" s="724"/>
      <c r="CV158" s="139"/>
    </row>
    <row r="159" spans="1:100" ht="12" hidden="1" customHeight="1" x14ac:dyDescent="0.25">
      <c r="A159" s="47"/>
      <c r="B159" s="47"/>
      <c r="E159" s="6" t="s">
        <v>541</v>
      </c>
      <c r="F159" s="33"/>
      <c r="G159" s="33"/>
      <c r="H159" s="33"/>
      <c r="I159" s="33"/>
      <c r="J159" s="33"/>
      <c r="O159" s="33"/>
      <c r="T159" s="33"/>
      <c r="Y159" s="33"/>
      <c r="AD159" s="139"/>
      <c r="AE159" s="27"/>
      <c r="AF159" s="27"/>
      <c r="AG159" s="27"/>
      <c r="AH159" s="27"/>
      <c r="AI159" s="139"/>
      <c r="AJ159" s="27"/>
      <c r="AK159" s="27"/>
      <c r="AL159" s="27"/>
      <c r="AM159" s="27"/>
      <c r="AN159" s="139"/>
      <c r="AO159" s="27"/>
      <c r="AP159" s="27"/>
      <c r="AQ159" s="27"/>
      <c r="AR159" s="27"/>
      <c r="AS159" s="139"/>
      <c r="AT159" s="27"/>
      <c r="AU159" s="27"/>
      <c r="AV159" s="27"/>
      <c r="AW159" s="27"/>
      <c r="AX159" s="139"/>
      <c r="AY159" s="27"/>
      <c r="AZ159" s="85"/>
      <c r="BA159" s="27"/>
      <c r="BB159" s="27"/>
      <c r="BC159" s="139"/>
      <c r="BD159" s="124">
        <v>0.13400000000000001</v>
      </c>
      <c r="BE159" s="124">
        <v>0.13900000000000001</v>
      </c>
      <c r="BF159" s="124">
        <v>7.5999999999999998E-2</v>
      </c>
      <c r="BG159" s="124">
        <v>0.13900000000000001</v>
      </c>
      <c r="BH159" s="139">
        <f t="shared" si="252"/>
        <v>0.48800000000000004</v>
      </c>
      <c r="BI159" s="124">
        <v>8.5000000000000006E-2</v>
      </c>
      <c r="BJ159" s="124">
        <v>-2.5000000000000001E-2</v>
      </c>
      <c r="BK159" s="124">
        <v>0</v>
      </c>
      <c r="BL159" s="124">
        <v>0</v>
      </c>
      <c r="BM159" s="513">
        <v>-0.06</v>
      </c>
      <c r="BN159" s="124"/>
      <c r="BO159" s="124"/>
      <c r="BP159" s="124"/>
      <c r="BQ159" s="124"/>
      <c r="BR159" s="139"/>
      <c r="BS159" s="124"/>
      <c r="BT159" s="124"/>
      <c r="BU159" s="124"/>
      <c r="BV159" s="166"/>
      <c r="BW159" s="139"/>
      <c r="BX159" s="166"/>
      <c r="BY159" s="166"/>
      <c r="BZ159" s="166"/>
      <c r="CA159" s="166"/>
      <c r="CB159" s="139"/>
      <c r="CC159" s="27"/>
      <c r="CD159" s="27"/>
      <c r="CE159" s="27"/>
      <c r="CF159" s="27"/>
      <c r="CG159" s="139"/>
      <c r="CH159" s="27"/>
      <c r="CI159" s="27"/>
      <c r="CJ159" s="27"/>
      <c r="CK159" s="27"/>
      <c r="CL159" s="139"/>
      <c r="CM159" s="27"/>
      <c r="CN159" s="27"/>
      <c r="CO159" s="27"/>
      <c r="CP159" s="27"/>
      <c r="CQ159" s="139"/>
      <c r="CR159" s="27"/>
      <c r="CS159" s="27"/>
      <c r="CT159" s="27"/>
      <c r="CU159" s="27"/>
      <c r="CV159" s="139"/>
    </row>
    <row r="160" spans="1:100" ht="3.75" customHeight="1" x14ac:dyDescent="0.25">
      <c r="A160" s="47"/>
      <c r="B160" s="47"/>
      <c r="F160" s="33"/>
      <c r="G160" s="33"/>
      <c r="H160" s="33"/>
      <c r="I160" s="33"/>
      <c r="J160" s="33"/>
      <c r="O160" s="33"/>
      <c r="T160" s="33"/>
      <c r="Y160" s="33"/>
      <c r="AD160" s="139"/>
      <c r="AE160" s="27"/>
      <c r="AF160" s="27"/>
      <c r="AG160" s="27"/>
      <c r="AH160" s="27"/>
      <c r="AI160" s="139"/>
      <c r="AJ160" s="27"/>
      <c r="AK160" s="27"/>
      <c r="AL160" s="27"/>
      <c r="AM160" s="27"/>
      <c r="AN160" s="139"/>
      <c r="AO160" s="27"/>
      <c r="AP160" s="27"/>
      <c r="AQ160" s="27"/>
      <c r="AR160" s="27"/>
      <c r="AS160" s="139"/>
      <c r="AT160" s="27"/>
      <c r="AU160" s="27"/>
      <c r="AV160" s="27"/>
      <c r="AW160" s="27"/>
      <c r="AX160" s="139"/>
      <c r="AY160" s="27"/>
      <c r="AZ160" s="85"/>
      <c r="BA160" s="27"/>
      <c r="BB160" s="27"/>
      <c r="BC160" s="139"/>
      <c r="BD160" s="124"/>
      <c r="BE160" s="124"/>
      <c r="BF160" s="124"/>
      <c r="BG160" s="124"/>
      <c r="BH160" s="139"/>
      <c r="BI160" s="124"/>
      <c r="BJ160" s="124"/>
      <c r="BK160" s="124"/>
      <c r="BL160" s="124"/>
      <c r="BM160" s="513"/>
      <c r="BN160" s="124"/>
      <c r="BO160" s="124"/>
      <c r="BP160" s="124"/>
      <c r="BQ160" s="124"/>
      <c r="BR160" s="139"/>
      <c r="BS160" s="124"/>
      <c r="BT160" s="124"/>
      <c r="BU160" s="124"/>
      <c r="BV160" s="166"/>
      <c r="BW160" s="139"/>
      <c r="BX160" s="166"/>
      <c r="BY160" s="166"/>
      <c r="BZ160" s="166"/>
      <c r="CA160" s="166"/>
      <c r="CB160" s="139"/>
      <c r="CC160" s="27"/>
      <c r="CD160" s="27"/>
      <c r="CE160" s="27"/>
      <c r="CF160" s="27"/>
      <c r="CG160" s="139"/>
      <c r="CH160" s="27"/>
      <c r="CI160" s="27"/>
      <c r="CJ160" s="27"/>
      <c r="CK160" s="27"/>
      <c r="CL160" s="139"/>
      <c r="CM160" s="27"/>
      <c r="CN160" s="27"/>
      <c r="CO160" s="27"/>
      <c r="CP160" s="27"/>
      <c r="CQ160" s="139"/>
      <c r="CR160" s="27"/>
      <c r="CS160" s="27"/>
      <c r="CT160" s="27"/>
      <c r="CU160" s="27"/>
      <c r="CV160" s="139"/>
    </row>
    <row r="161" spans="1:100" ht="12" customHeight="1" x14ac:dyDescent="0.25">
      <c r="A161" s="47"/>
      <c r="B161" s="47"/>
      <c r="E161" s="35" t="s">
        <v>539</v>
      </c>
      <c r="F161" s="374"/>
      <c r="G161" s="374"/>
      <c r="H161" s="374"/>
      <c r="I161" s="374"/>
      <c r="J161" s="374"/>
      <c r="K161" s="374"/>
      <c r="L161" s="374"/>
      <c r="M161" s="374"/>
      <c r="N161" s="374"/>
      <c r="O161" s="505"/>
      <c r="P161" s="374"/>
      <c r="Q161" s="374"/>
      <c r="R161" s="374"/>
      <c r="S161" s="374"/>
      <c r="T161" s="505"/>
      <c r="U161" s="374"/>
      <c r="V161" s="374"/>
      <c r="W161" s="374"/>
      <c r="X161" s="374"/>
      <c r="Y161" s="505"/>
      <c r="Z161" s="374"/>
      <c r="AA161" s="374"/>
      <c r="AB161" s="374"/>
      <c r="AC161" s="374"/>
      <c r="AD161" s="505"/>
      <c r="AE161" s="374"/>
      <c r="AF161" s="374"/>
      <c r="AG161" s="374"/>
      <c r="AH161" s="374"/>
      <c r="AI161" s="35"/>
      <c r="AJ161" s="374"/>
      <c r="AK161" s="374"/>
      <c r="AL161" s="374"/>
      <c r="AM161" s="374"/>
      <c r="AN161" s="35"/>
      <c r="AO161" s="35"/>
      <c r="AP161" s="35"/>
      <c r="AQ161" s="35"/>
      <c r="AR161" s="35"/>
      <c r="AS161" s="35"/>
      <c r="AT161" s="35"/>
      <c r="AU161" s="35"/>
      <c r="AV161" s="35"/>
      <c r="AW161" s="35"/>
      <c r="AX161" s="35"/>
      <c r="AY161" s="35"/>
      <c r="AZ161" s="35"/>
      <c r="BA161" s="35"/>
      <c r="BB161" s="35"/>
      <c r="BC161" s="35"/>
      <c r="BD161" s="35">
        <f t="shared" ref="BD161:BM161" si="253">SUM(BD153:BD159)</f>
        <v>15.048999999999996</v>
      </c>
      <c r="BE161" s="35">
        <f t="shared" si="253"/>
        <v>18.451999999999988</v>
      </c>
      <c r="BF161" s="35">
        <f t="shared" si="253"/>
        <v>16.32600000000005</v>
      </c>
      <c r="BG161" s="35">
        <f t="shared" si="253"/>
        <v>16.013999999999982</v>
      </c>
      <c r="BH161" s="35">
        <f t="shared" si="253"/>
        <v>65.841000000000022</v>
      </c>
      <c r="BI161" s="35">
        <f t="shared" si="253"/>
        <v>15.148999999999974</v>
      </c>
      <c r="BJ161" s="35">
        <f t="shared" si="253"/>
        <v>17.26999999999995</v>
      </c>
      <c r="BK161" s="35">
        <f t="shared" si="253"/>
        <v>21.613000000000042</v>
      </c>
      <c r="BL161" s="35">
        <f t="shared" si="253"/>
        <v>20.739000000000022</v>
      </c>
      <c r="BM161" s="35">
        <f t="shared" si="253"/>
        <v>36.86099999999999</v>
      </c>
      <c r="BN161" s="35">
        <f t="shared" ref="BN161:CG161" si="254">SUM(BN143:BN150)</f>
        <v>3.9969999999999888</v>
      </c>
      <c r="BO161" s="35">
        <f t="shared" si="254"/>
        <v>7.4920000000000009</v>
      </c>
      <c r="BP161" s="35">
        <f t="shared" si="254"/>
        <v>13.016000000000009</v>
      </c>
      <c r="BQ161" s="35">
        <f t="shared" si="254"/>
        <v>13.750000000000002</v>
      </c>
      <c r="BR161" s="35">
        <f t="shared" si="254"/>
        <v>38.255000000000003</v>
      </c>
      <c r="BS161" s="35">
        <f t="shared" si="254"/>
        <v>7.4580000000000162</v>
      </c>
      <c r="BT161" s="35">
        <f t="shared" si="254"/>
        <v>11.407000000000007</v>
      </c>
      <c r="BU161" s="35">
        <f t="shared" si="254"/>
        <v>14.146000000000011</v>
      </c>
      <c r="BV161" s="35">
        <f t="shared" si="254"/>
        <v>13.819000000000003</v>
      </c>
      <c r="BW161" s="35">
        <f t="shared" si="254"/>
        <v>46.830000000000027</v>
      </c>
      <c r="BX161" s="35">
        <f t="shared" ref="BX161:CE161" si="255">SUM(BX143:BX150)</f>
        <v>11.785999999999984</v>
      </c>
      <c r="BY161" s="35">
        <f t="shared" si="255"/>
        <v>13.896999999999988</v>
      </c>
      <c r="BZ161" s="35">
        <f t="shared" si="255"/>
        <v>18.933</v>
      </c>
      <c r="CA161" s="35">
        <f t="shared" si="255"/>
        <v>12.177000000000021</v>
      </c>
      <c r="CB161" s="35">
        <f t="shared" si="255"/>
        <v>56.792999999999978</v>
      </c>
      <c r="CC161" s="35">
        <f t="shared" si="255"/>
        <v>-10.367999999999999</v>
      </c>
      <c r="CD161" s="35">
        <f t="shared" si="255"/>
        <v>-7.251000000000003</v>
      </c>
      <c r="CE161" s="35">
        <f t="shared" si="255"/>
        <v>-1.0620000000000061</v>
      </c>
      <c r="CF161" s="35">
        <f>SUM(CF143:CF150)</f>
        <v>-4.4840000000000053</v>
      </c>
      <c r="CG161" s="35">
        <f t="shared" si="254"/>
        <v>-23.165000000000035</v>
      </c>
      <c r="CH161" s="35">
        <f t="shared" ref="CH161:CQ161" si="256">SUM(CH143:CH150)</f>
        <v>-4.3990000000000045</v>
      </c>
      <c r="CI161" s="35">
        <f>SUM(CI143:CI150)</f>
        <v>-10.864000000000001</v>
      </c>
      <c r="CJ161" s="35">
        <f>SUM(CJ143:CJ150)</f>
        <v>-7.0373082119999761</v>
      </c>
      <c r="CK161" s="35">
        <f>SUM(CK143:CK150)</f>
        <v>-8.3951962121774848</v>
      </c>
      <c r="CL161" s="35">
        <f t="shared" si="256"/>
        <v>-30.695504424177798</v>
      </c>
      <c r="CM161" s="35">
        <f>SUM(CM143:CM150)</f>
        <v>-7.9207808819471133</v>
      </c>
      <c r="CN161" s="35">
        <f t="shared" si="256"/>
        <v>-4.7082918819272859</v>
      </c>
      <c r="CO161" s="35">
        <f t="shared" si="256"/>
        <v>0.55713349446957539</v>
      </c>
      <c r="CP161" s="35">
        <f t="shared" si="256"/>
        <v>3.0808933380878499E-2</v>
      </c>
      <c r="CQ161" s="35">
        <f t="shared" si="256"/>
        <v>-12.041130336023958</v>
      </c>
      <c r="CR161" s="35">
        <f t="shared" ref="CR161:CV161" si="257">SUM(CR143:CR150)</f>
        <v>-0.61300282324649236</v>
      </c>
      <c r="CS161" s="35">
        <f t="shared" si="257"/>
        <v>3.5144726554793957</v>
      </c>
      <c r="CT161" s="35">
        <f t="shared" si="257"/>
        <v>10.572152770462404</v>
      </c>
      <c r="CU161" s="35">
        <f>SUM(CU143:CU150)</f>
        <v>10.842304448173627</v>
      </c>
      <c r="CV161" s="35">
        <f t="shared" si="257"/>
        <v>24.31592705086894</v>
      </c>
    </row>
    <row r="162" spans="1:100" ht="12" customHeight="1" x14ac:dyDescent="0.25">
      <c r="A162" s="47"/>
      <c r="B162" s="47"/>
      <c r="E162" s="31" t="s">
        <v>91</v>
      </c>
      <c r="F162" s="370"/>
      <c r="G162" s="370"/>
      <c r="H162" s="370"/>
      <c r="I162" s="370"/>
      <c r="J162" s="370"/>
      <c r="K162" s="370"/>
      <c r="L162" s="370"/>
      <c r="M162" s="370"/>
      <c r="N162" s="370"/>
      <c r="O162" s="506"/>
      <c r="P162" s="370"/>
      <c r="Q162" s="370"/>
      <c r="R162" s="370"/>
      <c r="S162" s="370"/>
      <c r="T162" s="506"/>
      <c r="U162" s="370"/>
      <c r="V162" s="370"/>
      <c r="W162" s="370"/>
      <c r="X162" s="370"/>
      <c r="Y162" s="506"/>
      <c r="Z162" s="370"/>
      <c r="AA162" s="370"/>
      <c r="AB162" s="370"/>
      <c r="AC162" s="370"/>
      <c r="AD162" s="506"/>
      <c r="AE162" s="370"/>
      <c r="AF162" s="370"/>
      <c r="AG162" s="370"/>
      <c r="AH162" s="370"/>
      <c r="AI162" s="127"/>
      <c r="AJ162" s="370"/>
      <c r="AK162" s="370"/>
      <c r="AL162" s="370"/>
      <c r="AM162" s="370"/>
      <c r="AN162" s="127"/>
      <c r="AO162" s="127"/>
      <c r="AP162" s="507"/>
      <c r="AQ162" s="507"/>
      <c r="AR162" s="507"/>
      <c r="AS162" s="127"/>
      <c r="AT162" s="507"/>
      <c r="AU162" s="507"/>
      <c r="AV162" s="507"/>
      <c r="AW162" s="507"/>
      <c r="AX162" s="32"/>
      <c r="AY162" s="32"/>
      <c r="AZ162" s="32"/>
      <c r="BA162" s="32"/>
      <c r="BB162" s="32"/>
      <c r="BC162" s="32"/>
      <c r="BD162" s="32">
        <f t="shared" ref="BD162:CV162" si="258">BD161/BD22</f>
        <v>5.5396655365734238E-2</v>
      </c>
      <c r="BE162" s="32">
        <f t="shared" si="258"/>
        <v>6.6501601992308951E-2</v>
      </c>
      <c r="BF162" s="32">
        <f t="shared" si="258"/>
        <v>5.9779862468967812E-2</v>
      </c>
      <c r="BG162" s="32">
        <f t="shared" si="258"/>
        <v>5.7784946469359194E-2</v>
      </c>
      <c r="BH162" s="32">
        <f t="shared" si="258"/>
        <v>5.9890354288271642E-2</v>
      </c>
      <c r="BI162" s="32">
        <f t="shared" si="258"/>
        <v>5.690983609636608E-2</v>
      </c>
      <c r="BJ162" s="32">
        <f t="shared" si="258"/>
        <v>6.2511085130179972E-2</v>
      </c>
      <c r="BK162" s="32">
        <f t="shared" si="258"/>
        <v>7.7780136969047148E-2</v>
      </c>
      <c r="BL162" s="32">
        <f t="shared" si="258"/>
        <v>7.481385818591102E-2</v>
      </c>
      <c r="BM162" s="32">
        <f t="shared" si="258"/>
        <v>4.5781360809684604E-2</v>
      </c>
      <c r="BN162" s="32">
        <f t="shared" si="258"/>
        <v>2.1410626570175052E-2</v>
      </c>
      <c r="BO162" s="32">
        <f t="shared" si="258"/>
        <v>3.6680897732168739E-2</v>
      </c>
      <c r="BP162" s="32">
        <f t="shared" si="258"/>
        <v>6.2503001258127452E-2</v>
      </c>
      <c r="BQ162" s="32">
        <f t="shared" si="258"/>
        <v>6.6833872864961563E-2</v>
      </c>
      <c r="BR162" s="32">
        <f t="shared" si="258"/>
        <v>4.7526993667622877E-2</v>
      </c>
      <c r="BS162" s="32">
        <f t="shared" si="258"/>
        <v>3.7878056832321878E-2</v>
      </c>
      <c r="BT162" s="32">
        <f t="shared" si="258"/>
        <v>5.5014589211218053E-2</v>
      </c>
      <c r="BU162" s="32">
        <f t="shared" si="258"/>
        <v>6.3953199242290718E-2</v>
      </c>
      <c r="BV162" s="32">
        <f t="shared" si="258"/>
        <v>6.1512096325476856E-2</v>
      </c>
      <c r="BW162" s="32">
        <f t="shared" si="258"/>
        <v>5.5088414375923468E-2</v>
      </c>
      <c r="BX162" s="32">
        <f t="shared" si="258"/>
        <v>5.4869390738404307E-2</v>
      </c>
      <c r="BY162" s="32">
        <f t="shared" si="258"/>
        <v>6.3962773914124041E-2</v>
      </c>
      <c r="BZ162" s="32">
        <f t="shared" si="258"/>
        <v>8.4782725514078949E-2</v>
      </c>
      <c r="CA162" s="32">
        <f t="shared" si="258"/>
        <v>5.4151769037835619E-2</v>
      </c>
      <c r="CB162" s="32">
        <f t="shared" si="258"/>
        <v>6.4519317283311034E-2</v>
      </c>
      <c r="CC162" s="32">
        <f t="shared" si="258"/>
        <v>-0.22174219902902237</v>
      </c>
      <c r="CD162" s="32">
        <f t="shared" si="258"/>
        <v>-0.13424545942643443</v>
      </c>
      <c r="CE162" s="32">
        <f t="shared" si="258"/>
        <v>-1.796316029837124E-2</v>
      </c>
      <c r="CF162" s="32">
        <f t="shared" si="258"/>
        <v>-7.4472678956983979E-2</v>
      </c>
      <c r="CG162" s="32">
        <f t="shared" si="258"/>
        <v>-0.10524713654186049</v>
      </c>
      <c r="CH162" s="32">
        <f t="shared" si="258"/>
        <v>-7.0416673336428176E-2</v>
      </c>
      <c r="CI162" s="32">
        <f t="shared" si="258"/>
        <v>-0.16762327963957294</v>
      </c>
      <c r="CJ162" s="32">
        <f t="shared" si="258"/>
        <v>-9.342377486198826E-2</v>
      </c>
      <c r="CK162" s="32">
        <f t="shared" si="258"/>
        <v>-0.10567953768677725</v>
      </c>
      <c r="CL162" s="32">
        <f t="shared" si="258"/>
        <v>-0.10883006130028679</v>
      </c>
      <c r="CM162" s="32">
        <f t="shared" si="258"/>
        <v>-9.7531788681605044E-2</v>
      </c>
      <c r="CN162" s="32">
        <f t="shared" si="258"/>
        <v>-5.3121158397375856E-2</v>
      </c>
      <c r="CO162" s="32">
        <f t="shared" si="258"/>
        <v>5.5484127438494681E-3</v>
      </c>
      <c r="CP162" s="32">
        <f t="shared" si="258"/>
        <v>3.0124116037053759E-4</v>
      </c>
      <c r="CQ162" s="32">
        <f t="shared" si="258"/>
        <v>-3.2322420163233202E-2</v>
      </c>
      <c r="CR162" s="32">
        <f t="shared" si="258"/>
        <v>-5.7315318458710882E-3</v>
      </c>
      <c r="CS162" s="32">
        <f t="shared" si="258"/>
        <v>3.0228451907054168E-2</v>
      </c>
      <c r="CT162" s="32">
        <f t="shared" si="258"/>
        <v>8.0023870311407758E-2</v>
      </c>
      <c r="CU162" s="32">
        <f t="shared" si="258"/>
        <v>8.0669885074678538E-2</v>
      </c>
      <c r="CV162" s="32">
        <f t="shared" si="258"/>
        <v>4.9651467208241241E-2</v>
      </c>
    </row>
    <row r="163" spans="1:100" ht="12" customHeight="1" x14ac:dyDescent="0.25">
      <c r="A163" s="47"/>
      <c r="B163" s="47"/>
      <c r="E163" s="35" t="s">
        <v>540</v>
      </c>
      <c r="F163" s="374"/>
      <c r="G163" s="374"/>
      <c r="H163" s="374"/>
      <c r="I163" s="374"/>
      <c r="J163" s="374"/>
      <c r="K163" s="374"/>
      <c r="L163" s="374"/>
      <c r="M163" s="374"/>
      <c r="N163" s="374"/>
      <c r="O163" s="505"/>
      <c r="P163" s="374"/>
      <c r="Q163" s="374"/>
      <c r="R163" s="374"/>
      <c r="S163" s="374"/>
      <c r="T163" s="505"/>
      <c r="U163" s="374"/>
      <c r="V163" s="374"/>
      <c r="W163" s="374"/>
      <c r="X163" s="374"/>
      <c r="Y163" s="505"/>
      <c r="Z163" s="374"/>
      <c r="AA163" s="374"/>
      <c r="AB163" s="374"/>
      <c r="AC163" s="374"/>
      <c r="AD163" s="505"/>
      <c r="AE163" s="374"/>
      <c r="AF163" s="374"/>
      <c r="AG163" s="374"/>
      <c r="AH163" s="374"/>
      <c r="AI163" s="35"/>
      <c r="AJ163" s="374"/>
      <c r="AK163" s="374"/>
      <c r="AL163" s="374"/>
      <c r="AM163" s="374"/>
      <c r="AN163" s="35"/>
      <c r="AO163" s="404"/>
      <c r="AP163" s="404"/>
      <c r="AQ163" s="404"/>
      <c r="AR163" s="404"/>
      <c r="AS163" s="404"/>
      <c r="AT163" s="404"/>
      <c r="AU163" s="404"/>
      <c r="AV163" s="404"/>
      <c r="AW163" s="404"/>
      <c r="AX163" s="404"/>
      <c r="AY163" s="404"/>
      <c r="AZ163" s="404"/>
      <c r="BA163" s="404"/>
      <c r="BB163" s="404"/>
      <c r="BC163" s="404"/>
      <c r="BD163" s="404">
        <f t="shared" ref="BD163:CV163" si="259">BD161/BD87</f>
        <v>0.19279500877563827</v>
      </c>
      <c r="BE163" s="404">
        <f t="shared" si="259"/>
        <v>0.23955858487504039</v>
      </c>
      <c r="BF163" s="404">
        <f t="shared" si="259"/>
        <v>0.21516117978860869</v>
      </c>
      <c r="BG163" s="404">
        <f t="shared" si="259"/>
        <v>0.21344316046223336</v>
      </c>
      <c r="BH163" s="404">
        <f t="shared" si="259"/>
        <v>0.86070323249026959</v>
      </c>
      <c r="BI163" s="404">
        <f t="shared" si="259"/>
        <v>0.20067292789868957</v>
      </c>
      <c r="BJ163" s="404">
        <f t="shared" si="259"/>
        <v>0.22712925456362709</v>
      </c>
      <c r="BK163" s="404">
        <f t="shared" si="259"/>
        <v>0.27766286822800962</v>
      </c>
      <c r="BL163" s="404">
        <f t="shared" si="259"/>
        <v>0.26435946462715132</v>
      </c>
      <c r="BM163" s="404">
        <f t="shared" si="259"/>
        <v>0.47900044182238732</v>
      </c>
      <c r="BN163" s="404">
        <f t="shared" si="259"/>
        <v>5.1020538415388991E-2</v>
      </c>
      <c r="BO163" s="404">
        <f t="shared" si="259"/>
        <v>9.5674716181184324E-2</v>
      </c>
      <c r="BP163" s="404">
        <f t="shared" si="259"/>
        <v>0.16622819340502168</v>
      </c>
      <c r="BQ163" s="404">
        <f t="shared" si="259"/>
        <v>0.17399116757563873</v>
      </c>
      <c r="BR163" s="404">
        <f t="shared" si="259"/>
        <v>0.48736209137004105</v>
      </c>
      <c r="BS163" s="404">
        <f t="shared" si="259"/>
        <v>9.3986288940417578E-2</v>
      </c>
      <c r="BT163" s="404">
        <f t="shared" si="259"/>
        <v>0.14382801664355072</v>
      </c>
      <c r="BU163" s="404">
        <f t="shared" si="259"/>
        <v>0.17828245910316853</v>
      </c>
      <c r="BV163" s="404">
        <f t="shared" si="259"/>
        <v>0.1762942362156508</v>
      </c>
      <c r="BW163" s="404">
        <f t="shared" si="259"/>
        <v>0.59204662541009023</v>
      </c>
      <c r="BX163" s="404">
        <f t="shared" si="259"/>
        <v>0.14852620568850561</v>
      </c>
      <c r="BY163" s="404">
        <f t="shared" si="259"/>
        <v>0.1752967443268538</v>
      </c>
      <c r="BZ163" s="404">
        <f t="shared" si="259"/>
        <v>0.23710410639816659</v>
      </c>
      <c r="CA163" s="404">
        <f t="shared" si="259"/>
        <v>0.15049683606881575</v>
      </c>
      <c r="CB163" s="404">
        <f t="shared" si="259"/>
        <v>0.71126167448879563</v>
      </c>
      <c r="CC163" s="404">
        <f t="shared" si="259"/>
        <v>-0.13178767541183647</v>
      </c>
      <c r="CD163" s="404">
        <f t="shared" si="259"/>
        <v>-9.1512589133589992E-2</v>
      </c>
      <c r="CE163" s="404">
        <f t="shared" si="259"/>
        <v>-1.3435724858621332E-2</v>
      </c>
      <c r="CF163" s="404">
        <f t="shared" si="259"/>
        <v>-5.7038186582542616E-2</v>
      </c>
      <c r="CG163" s="404">
        <f t="shared" si="259"/>
        <v>-0.2936329872862562</v>
      </c>
      <c r="CH163" s="404">
        <f t="shared" si="259"/>
        <v>-5.7178137388704808E-2</v>
      </c>
      <c r="CI163" s="404">
        <f t="shared" si="259"/>
        <v>-0.14027476500361535</v>
      </c>
      <c r="CJ163" s="404">
        <f t="shared" si="259"/>
        <v>-9.8633573639064526E-2</v>
      </c>
      <c r="CK163" s="404">
        <f t="shared" si="259"/>
        <v>-0.12749356415042956</v>
      </c>
      <c r="CL163" s="404">
        <f>CL161/CL87</f>
        <v>-0.42109348648809136</v>
      </c>
      <c r="CM163" s="404">
        <f t="shared" si="259"/>
        <v>-0.12290188806397583</v>
      </c>
      <c r="CN163" s="404">
        <f t="shared" si="259"/>
        <v>-7.4677894333322017E-2</v>
      </c>
      <c r="CO163" s="404">
        <f t="shared" si="259"/>
        <v>9.0373328326884151E-3</v>
      </c>
      <c r="CP163" s="404">
        <f t="shared" si="259"/>
        <v>5.1052120005432651E-4</v>
      </c>
      <c r="CQ163" s="404">
        <f t="shared" si="259"/>
        <v>-0.19305036371545314</v>
      </c>
      <c r="CR163" s="404">
        <f t="shared" si="259"/>
        <v>-1.0191574503665831E-2</v>
      </c>
      <c r="CS163" s="404">
        <f t="shared" si="259"/>
        <v>5.8625352897167478E-2</v>
      </c>
      <c r="CT163" s="404">
        <f t="shared" si="259"/>
        <v>0.17694571819077468</v>
      </c>
      <c r="CU163" s="404">
        <f t="shared" si="259"/>
        <v>0.18207671875081663</v>
      </c>
      <c r="CV163" s="404">
        <f t="shared" si="259"/>
        <v>0.40629473083259154</v>
      </c>
    </row>
    <row r="164" spans="1:100" ht="12" customHeight="1" x14ac:dyDescent="0.25">
      <c r="A164" s="47"/>
      <c r="B164" s="47"/>
      <c r="E164" s="31" t="s">
        <v>517</v>
      </c>
      <c r="F164" s="370"/>
      <c r="G164" s="370"/>
      <c r="H164" s="370"/>
      <c r="I164" s="370"/>
      <c r="J164" s="370"/>
      <c r="K164" s="370"/>
      <c r="L164" s="370"/>
      <c r="M164" s="370"/>
      <c r="N164" s="370"/>
      <c r="O164" s="506"/>
      <c r="P164" s="370"/>
      <c r="Q164" s="370"/>
      <c r="R164" s="370"/>
      <c r="S164" s="370"/>
      <c r="T164" s="506"/>
      <c r="U164" s="370"/>
      <c r="V164" s="370"/>
      <c r="W164" s="370"/>
      <c r="X164" s="370"/>
      <c r="Y164" s="506"/>
      <c r="Z164" s="370"/>
      <c r="AA164" s="370"/>
      <c r="AB164" s="370"/>
      <c r="AC164" s="370"/>
      <c r="AD164" s="506"/>
      <c r="AE164" s="370"/>
      <c r="AF164" s="370"/>
      <c r="AG164" s="370"/>
      <c r="AH164" s="370"/>
      <c r="AI164" s="127"/>
      <c r="AJ164" s="370"/>
      <c r="AK164" s="370"/>
      <c r="AL164" s="370"/>
      <c r="AM164" s="370"/>
      <c r="AN164" s="127"/>
      <c r="AO164" s="127"/>
      <c r="AP164" s="507"/>
      <c r="AQ164" s="507"/>
      <c r="AR164" s="507"/>
      <c r="AS164" s="127"/>
      <c r="AT164" s="507"/>
      <c r="AU164" s="507"/>
      <c r="AV164" s="507"/>
      <c r="AW164" s="507"/>
      <c r="AX164" s="32"/>
      <c r="AY164" s="32"/>
      <c r="AZ164" s="32"/>
      <c r="BA164" s="32"/>
      <c r="BB164" s="32"/>
      <c r="BC164" s="32"/>
      <c r="BD164" s="471" t="s">
        <v>490</v>
      </c>
      <c r="BE164" s="471" t="s">
        <v>490</v>
      </c>
      <c r="BF164" s="471" t="s">
        <v>490</v>
      </c>
      <c r="BG164" s="471" t="s">
        <v>490</v>
      </c>
      <c r="BH164" s="471" t="s">
        <v>490</v>
      </c>
      <c r="BI164" s="32">
        <f t="shared" ref="BI164:BR164" si="260">(BI163-BD163)/ABS(BD163)</f>
        <v>4.0861634194166767E-2</v>
      </c>
      <c r="BJ164" s="32">
        <f t="shared" si="260"/>
        <v>-5.1884303448764914E-2</v>
      </c>
      <c r="BK164" s="32">
        <f t="shared" si="260"/>
        <v>0.29048775667063881</v>
      </c>
      <c r="BL164" s="32">
        <f t="shared" si="260"/>
        <v>0.23854736808925342</v>
      </c>
      <c r="BM164" s="32">
        <f t="shared" si="260"/>
        <v>-0.44347781704444511</v>
      </c>
      <c r="BN164" s="32">
        <f t="shared" si="260"/>
        <v>-0.74575275823380172</v>
      </c>
      <c r="BO164" s="32">
        <f t="shared" si="260"/>
        <v>-0.57876533181513878</v>
      </c>
      <c r="BP164" s="32">
        <f t="shared" si="260"/>
        <v>-0.40133084965282662</v>
      </c>
      <c r="BQ164" s="32">
        <f t="shared" si="260"/>
        <v>-0.34183870503356745</v>
      </c>
      <c r="BR164" s="32">
        <f t="shared" si="260"/>
        <v>1.7456454770357423E-2</v>
      </c>
      <c r="BS164" s="32">
        <f t="shared" ref="BS164:CA164" si="261">(BS163-BN163)/ABS(BN163)</f>
        <v>0.8421265603906114</v>
      </c>
      <c r="BT164" s="32">
        <f t="shared" si="261"/>
        <v>0.50330225564689335</v>
      </c>
      <c r="BU164" s="32">
        <f t="shared" si="261"/>
        <v>7.2516373132782308E-2</v>
      </c>
      <c r="BV164" s="32">
        <f t="shared" si="261"/>
        <v>1.3236698575580599E-2</v>
      </c>
      <c r="BW164" s="32">
        <f t="shared" si="261"/>
        <v>0.2147982698977812</v>
      </c>
      <c r="BX164" s="32">
        <f t="shared" si="261"/>
        <v>0.58029652370531937</v>
      </c>
      <c r="BY164" s="32">
        <f t="shared" si="261"/>
        <v>0.21879414329471078</v>
      </c>
      <c r="BZ164" s="32">
        <f t="shared" si="261"/>
        <v>0.32993513546365844</v>
      </c>
      <c r="CA164" s="32">
        <f t="shared" si="261"/>
        <v>-0.14633150068093287</v>
      </c>
      <c r="CB164" s="32">
        <f>(CB163-BW163)/ABS(BW163)</f>
        <v>0.20136091308033258</v>
      </c>
      <c r="CC164" s="32">
        <f>(CC163-BX163)/ABS(BX163)</f>
        <v>-1.8873025120444147</v>
      </c>
      <c r="CD164" s="32">
        <f t="shared" ref="CD164:CL164" si="262">(CD163-BY163)/ABS(BY163)</f>
        <v>-1.5220438604550348</v>
      </c>
      <c r="CE164" s="32">
        <f t="shared" si="262"/>
        <v>-1.0566659306864084</v>
      </c>
      <c r="CF164" s="32">
        <f t="shared" si="262"/>
        <v>-1.3789992405983971</v>
      </c>
      <c r="CG164" s="471" t="s">
        <v>490</v>
      </c>
      <c r="CH164" s="32">
        <f t="shared" si="262"/>
        <v>0.5661344112033001</v>
      </c>
      <c r="CI164" s="32">
        <f t="shared" si="262"/>
        <v>-0.53284664254054037</v>
      </c>
      <c r="CJ164" s="32">
        <f t="shared" si="262"/>
        <v>-6.3411427129496545</v>
      </c>
      <c r="CK164" s="32">
        <f t="shared" si="262"/>
        <v>-1.2352317243804323</v>
      </c>
      <c r="CL164" s="32">
        <f t="shared" si="262"/>
        <v>-0.43408099471322953</v>
      </c>
      <c r="CM164" s="32">
        <f t="shared" ref="CM164" si="263">(CM163-CH163)/ABS(CH163)</f>
        <v>-1.1494559577635759</v>
      </c>
      <c r="CN164" s="32">
        <f t="shared" ref="CN164" si="264">(CN163-CI163)/ABS(CI163)</f>
        <v>0.46763129967533851</v>
      </c>
      <c r="CO164" s="32">
        <f t="shared" ref="CO164" si="265">(CO163-CJ163)/ABS(CJ163)</f>
        <v>1.091625320864468</v>
      </c>
      <c r="CP164" s="32">
        <f t="shared" ref="CP164" si="266">(CP163-CK163)/ABS(CK163)</f>
        <v>1.0040042899691153</v>
      </c>
      <c r="CQ164" s="32">
        <f t="shared" ref="CQ164" si="267">(CQ163-CL163)/ABS(CL163)</f>
        <v>0.54154986977953967</v>
      </c>
      <c r="CR164" s="32">
        <f t="shared" ref="CR164" si="268">(CR163-CM163)/ABS(CM163)</f>
        <v>0.91707552532992276</v>
      </c>
      <c r="CS164" s="32">
        <f t="shared" ref="CS164" si="269">(CS163-CN163)/ABS(CN163)</f>
        <v>1.7850429289756804</v>
      </c>
      <c r="CT164" s="32">
        <f t="shared" ref="CT164" si="270">(CT163-CO163)/ABS(CO163)</f>
        <v>18.579418116676472</v>
      </c>
      <c r="CU164" s="32">
        <f t="shared" ref="CU164" si="271">(CU163-CP163)/ABS(CP163)</f>
        <v>355.6486930051899</v>
      </c>
      <c r="CV164" s="32">
        <f t="shared" ref="CV164" si="272">(CV163-CQ163)/ABS(CQ163)</f>
        <v>3.1046048451452299</v>
      </c>
    </row>
    <row r="165" spans="1:100" ht="3.95" customHeight="1" x14ac:dyDescent="0.25">
      <c r="A165" s="39"/>
      <c r="B165" s="39"/>
      <c r="C165" s="39"/>
      <c r="D165" s="39"/>
      <c r="F165" s="33"/>
      <c r="G165" s="33"/>
      <c r="H165" s="33"/>
      <c r="I165" s="33"/>
      <c r="J165" s="33"/>
      <c r="O165" s="33"/>
      <c r="T165" s="33"/>
      <c r="Y165" s="33"/>
      <c r="AD165" s="33"/>
      <c r="AI165" s="33"/>
      <c r="AN165" s="33"/>
      <c r="AS165" s="33"/>
      <c r="AX165" s="33"/>
      <c r="BC165" s="33"/>
      <c r="BD165" s="717"/>
      <c r="BE165" s="717"/>
      <c r="BF165" s="717"/>
      <c r="BG165" s="717"/>
      <c r="BH165" s="33"/>
      <c r="BI165" s="717"/>
      <c r="BJ165" s="717"/>
      <c r="BK165" s="717"/>
      <c r="BL165" s="717"/>
      <c r="BM165" s="33"/>
      <c r="BN165" s="717"/>
      <c r="BO165" s="717"/>
      <c r="BP165" s="717"/>
      <c r="BQ165" s="717"/>
      <c r="BR165" s="33"/>
      <c r="BS165" s="717"/>
      <c r="BT165" s="717"/>
      <c r="BU165" s="717"/>
      <c r="BV165" s="717"/>
      <c r="BW165" s="33"/>
      <c r="BX165" s="717"/>
      <c r="BY165" s="717"/>
      <c r="BZ165" s="717"/>
      <c r="CA165" s="717"/>
      <c r="CB165" s="33"/>
      <c r="CC165" s="717"/>
      <c r="CD165" s="717"/>
      <c r="CE165" s="717"/>
      <c r="CF165" s="717"/>
      <c r="CG165" s="33"/>
      <c r="CH165" s="717"/>
      <c r="CI165" s="717"/>
      <c r="CJ165" s="717"/>
      <c r="CK165" s="717"/>
      <c r="CL165" s="33"/>
      <c r="CM165" s="717"/>
      <c r="CN165" s="717"/>
      <c r="CO165" s="717"/>
      <c r="CP165" s="717"/>
      <c r="CQ165" s="33"/>
      <c r="CR165" s="717"/>
      <c r="CS165" s="717"/>
      <c r="CT165" s="717"/>
      <c r="CU165" s="717"/>
      <c r="CV165" s="33"/>
    </row>
    <row r="166" spans="1:100" ht="12" customHeight="1" x14ac:dyDescent="0.25">
      <c r="A166" s="47"/>
      <c r="B166" s="47"/>
      <c r="E166" s="6" t="s">
        <v>132</v>
      </c>
      <c r="F166" s="145"/>
      <c r="G166" s="145"/>
      <c r="H166" s="145"/>
      <c r="I166" s="145"/>
      <c r="J166" s="145"/>
      <c r="K166" s="136"/>
      <c r="L166" s="136"/>
      <c r="M166" s="136"/>
      <c r="N166" s="136"/>
      <c r="O166" s="148"/>
      <c r="P166" s="136"/>
      <c r="Q166" s="136"/>
      <c r="R166" s="136"/>
      <c r="S166" s="136">
        <v>-0.05</v>
      </c>
      <c r="T166" s="148"/>
      <c r="U166" s="136">
        <v>-0.05</v>
      </c>
      <c r="V166" s="136">
        <v>-0.05</v>
      </c>
      <c r="W166" s="136">
        <v>-0.05</v>
      </c>
      <c r="X166" s="136">
        <v>-0.05</v>
      </c>
      <c r="Y166" s="148"/>
      <c r="Z166" s="136">
        <v>-0.05</v>
      </c>
      <c r="AA166" s="136">
        <v>-0.05</v>
      </c>
      <c r="AB166" s="136">
        <v>-0.06</v>
      </c>
      <c r="AC166" s="136">
        <v>-0.06</v>
      </c>
      <c r="AD166" s="148"/>
      <c r="AE166" s="136">
        <v>0</v>
      </c>
      <c r="AF166" s="136">
        <v>-0.06</v>
      </c>
      <c r="AG166" s="136">
        <v>-0.06</v>
      </c>
      <c r="AH166" s="136">
        <v>-0.06</v>
      </c>
      <c r="AI166" s="148">
        <f>SUM(AE166:AH166)</f>
        <v>-0.18</v>
      </c>
      <c r="AJ166" s="136">
        <v>-0.06</v>
      </c>
      <c r="AK166" s="136">
        <v>-0.06</v>
      </c>
      <c r="AL166" s="136">
        <v>0</v>
      </c>
      <c r="AM166" s="136">
        <v>0</v>
      </c>
      <c r="AN166" s="148">
        <f>SUM(AJ166:AM166)</f>
        <v>-0.12</v>
      </c>
      <c r="AO166" s="136">
        <v>0</v>
      </c>
      <c r="AP166" s="136">
        <v>0</v>
      </c>
      <c r="AQ166" s="136">
        <v>0</v>
      </c>
      <c r="AR166" s="136">
        <v>0</v>
      </c>
      <c r="AS166" s="148">
        <f>SUM(AO166:AR166)</f>
        <v>0</v>
      </c>
      <c r="AT166" s="136">
        <v>0</v>
      </c>
      <c r="AU166" s="136">
        <v>0</v>
      </c>
      <c r="AV166" s="136">
        <v>0</v>
      </c>
      <c r="AW166" s="136">
        <v>0</v>
      </c>
      <c r="AX166" s="148">
        <f>SUM(AT166:AW166)</f>
        <v>0</v>
      </c>
      <c r="AY166" s="136">
        <v>0</v>
      </c>
      <c r="AZ166" s="136">
        <v>0</v>
      </c>
      <c r="BA166" s="136">
        <v>0</v>
      </c>
      <c r="BB166" s="136">
        <v>0</v>
      </c>
      <c r="BC166" s="148">
        <f>SUM(AY166:BB166)</f>
        <v>0</v>
      </c>
      <c r="BD166" s="136">
        <v>0</v>
      </c>
      <c r="BE166" s="136">
        <v>0</v>
      </c>
      <c r="BF166" s="136">
        <v>0</v>
      </c>
      <c r="BG166" s="136">
        <v>0</v>
      </c>
      <c r="BH166" s="148">
        <f>SUM(BD166:BG166)</f>
        <v>0</v>
      </c>
      <c r="BI166" s="136">
        <v>0</v>
      </c>
      <c r="BJ166" s="136">
        <v>0</v>
      </c>
      <c r="BK166" s="136">
        <v>0</v>
      </c>
      <c r="BL166" s="136">
        <v>0</v>
      </c>
      <c r="BM166" s="148">
        <f>SUM(BI166:BL166)</f>
        <v>0</v>
      </c>
      <c r="BN166" s="136">
        <v>0</v>
      </c>
      <c r="BO166" s="136">
        <v>0</v>
      </c>
      <c r="BP166" s="136">
        <v>0</v>
      </c>
      <c r="BQ166" s="136">
        <v>0</v>
      </c>
      <c r="BR166" s="148">
        <f>SUM(BN166:BQ166)</f>
        <v>0</v>
      </c>
      <c r="BS166" s="215">
        <v>0</v>
      </c>
      <c r="BT166" s="215">
        <v>0</v>
      </c>
      <c r="BU166" s="215">
        <v>0</v>
      </c>
      <c r="BV166" s="215">
        <v>0</v>
      </c>
      <c r="BW166" s="148">
        <f>SUM(BS166:BV166)</f>
        <v>0</v>
      </c>
      <c r="BX166" s="215">
        <v>0</v>
      </c>
      <c r="BY166" s="215">
        <v>0</v>
      </c>
      <c r="BZ166" s="215">
        <v>0</v>
      </c>
      <c r="CA166" s="215">
        <v>0</v>
      </c>
      <c r="CB166" s="148">
        <f>SUM(BX166:CA166)</f>
        <v>0</v>
      </c>
      <c r="CC166" s="710">
        <v>0</v>
      </c>
      <c r="CD166" s="710">
        <v>0</v>
      </c>
      <c r="CE166" s="710">
        <v>0</v>
      </c>
      <c r="CF166" s="710">
        <v>0</v>
      </c>
      <c r="CG166" s="148">
        <f>SUM(CC166:CF166)</f>
        <v>0</v>
      </c>
      <c r="CH166" s="710">
        <v>0</v>
      </c>
      <c r="CI166" s="710">
        <v>0</v>
      </c>
      <c r="CJ166" s="711">
        <f>CI166</f>
        <v>0</v>
      </c>
      <c r="CK166" s="711">
        <f>CJ166</f>
        <v>0</v>
      </c>
      <c r="CL166" s="148">
        <f>SUM(CH166:CK166)</f>
        <v>0</v>
      </c>
      <c r="CM166" s="711">
        <f>CK166</f>
        <v>0</v>
      </c>
      <c r="CN166" s="711">
        <f>CM166</f>
        <v>0</v>
      </c>
      <c r="CO166" s="711">
        <f>CN166</f>
        <v>0</v>
      </c>
      <c r="CP166" s="711">
        <f>CO166</f>
        <v>0</v>
      </c>
      <c r="CQ166" s="148">
        <f>SUM(CM166:CP166)</f>
        <v>0</v>
      </c>
      <c r="CR166" s="711">
        <f>CP166</f>
        <v>0</v>
      </c>
      <c r="CS166" s="711">
        <f>CR166</f>
        <v>0</v>
      </c>
      <c r="CT166" s="711">
        <f>CS166</f>
        <v>0</v>
      </c>
      <c r="CU166" s="711">
        <f>CT166</f>
        <v>0</v>
      </c>
      <c r="CV166" s="148">
        <f>SUM(CR166:CU166)</f>
        <v>0</v>
      </c>
    </row>
    <row r="167" spans="1:100" ht="13.5" hidden="1" outlineLevel="1" x14ac:dyDescent="0.25">
      <c r="E167" s="54" t="s">
        <v>700</v>
      </c>
      <c r="F167" s="185"/>
      <c r="G167" s="185"/>
      <c r="H167" s="185"/>
      <c r="I167" s="185"/>
      <c r="J167" s="185"/>
      <c r="K167" s="122"/>
      <c r="L167" s="122"/>
      <c r="M167" s="122"/>
      <c r="N167" s="122"/>
      <c r="O167" s="161"/>
      <c r="P167" s="122"/>
      <c r="Q167" s="122"/>
      <c r="R167" s="122"/>
      <c r="S167" s="122"/>
      <c r="T167" s="161"/>
      <c r="U167" s="122"/>
      <c r="V167" s="122"/>
      <c r="W167" s="122"/>
      <c r="X167" s="122"/>
      <c r="Y167" s="161"/>
      <c r="Z167" s="128"/>
      <c r="AA167" s="128"/>
      <c r="AB167" s="128"/>
      <c r="AC167" s="128"/>
      <c r="AD167" s="161"/>
      <c r="AE167" s="128"/>
      <c r="AF167" s="128"/>
      <c r="AG167" s="128"/>
      <c r="AH167" s="128"/>
      <c r="AI167" s="140"/>
      <c r="AJ167" s="85"/>
      <c r="AK167" s="85"/>
      <c r="AL167" s="85"/>
      <c r="AM167" s="85"/>
      <c r="AN167" s="140"/>
      <c r="AO167" s="85"/>
      <c r="AP167" s="85"/>
      <c r="AQ167" s="85"/>
      <c r="AR167" s="364"/>
      <c r="AS167" s="161"/>
      <c r="AT167" s="439"/>
      <c r="AU167" s="439"/>
      <c r="AV167" s="439"/>
      <c r="AW167" s="439"/>
      <c r="AX167" s="161"/>
      <c r="AY167" s="439"/>
      <c r="AZ167" s="439"/>
      <c r="BA167" s="439"/>
      <c r="BB167" s="439"/>
      <c r="BC167" s="161"/>
      <c r="BD167" s="439"/>
      <c r="BE167" s="439"/>
      <c r="BF167" s="439"/>
      <c r="BG167" s="439"/>
      <c r="BH167" s="161"/>
      <c r="BI167" s="439"/>
      <c r="BJ167" s="439"/>
      <c r="BK167" s="439"/>
      <c r="BL167" s="439"/>
      <c r="BM167" s="161"/>
      <c r="BN167" s="417">
        <v>-22.361000000000001</v>
      </c>
      <c r="BO167" s="417">
        <v>-25.565999999999999</v>
      </c>
      <c r="BP167" s="638">
        <f>-22.235</f>
        <v>-22.234999999999999</v>
      </c>
      <c r="BQ167" s="636">
        <v>-20.823</v>
      </c>
      <c r="BR167" s="540"/>
      <c r="BS167" s="636">
        <v>-25.478000000000002</v>
      </c>
      <c r="BT167" s="636">
        <f>-105.168-BS167-BU167-BV167</f>
        <v>-23.562999999999999</v>
      </c>
      <c r="BU167" s="636">
        <v>-27.827000000000002</v>
      </c>
      <c r="BV167" s="636">
        <v>-28.3</v>
      </c>
      <c r="BW167" s="630">
        <f t="shared" ref="BW167:BW173" si="273">SUM(BS167:BV167)</f>
        <v>-105.16799999999999</v>
      </c>
      <c r="BX167" s="636">
        <v>-24.388999999999999</v>
      </c>
      <c r="BY167" s="636">
        <v>-26.768999999999998</v>
      </c>
      <c r="BZ167" s="636">
        <v>-24.184000000000001</v>
      </c>
      <c r="CA167" s="636">
        <v>-33.359000000000002</v>
      </c>
      <c r="CB167" s="630">
        <f t="shared" ref="CB167:CB173" si="274">SUM(BX167:CA167)</f>
        <v>-108.70099999999999</v>
      </c>
      <c r="CC167" s="636">
        <v>-25.966999999999999</v>
      </c>
      <c r="CD167" s="636">
        <v>-25.753</v>
      </c>
      <c r="CE167" s="636">
        <v>-23.861999999999998</v>
      </c>
      <c r="CF167" s="636">
        <v>-24.341999999999999</v>
      </c>
      <c r="CG167" s="630">
        <f t="shared" ref="CG167:CG173" si="275">SUM(CC167:CF167)</f>
        <v>-99.923999999999992</v>
      </c>
      <c r="CH167" s="636">
        <v>-27.84</v>
      </c>
      <c r="CI167" s="637">
        <v>-27</v>
      </c>
      <c r="CJ167" s="637">
        <v>-23</v>
      </c>
      <c r="CK167" s="637">
        <v>-20</v>
      </c>
      <c r="CL167" s="630">
        <f>SUM(CH167:CK167)</f>
        <v>-97.84</v>
      </c>
      <c r="CM167" s="637">
        <v>-19</v>
      </c>
      <c r="CN167" s="637">
        <v>-19</v>
      </c>
      <c r="CO167" s="637">
        <v>-19.5</v>
      </c>
      <c r="CP167" s="637">
        <v>-18.899999999999999</v>
      </c>
      <c r="CQ167" s="630">
        <f>SUM(CM167:CP167)</f>
        <v>-76.400000000000006</v>
      </c>
      <c r="CR167" s="637">
        <v>-19</v>
      </c>
      <c r="CS167" s="637">
        <v>-19</v>
      </c>
      <c r="CT167" s="637">
        <v>-19</v>
      </c>
      <c r="CU167" s="637">
        <v>-19.5</v>
      </c>
      <c r="CV167" s="630">
        <f>SUM(CR167:CU167)</f>
        <v>-76.5</v>
      </c>
    </row>
    <row r="168" spans="1:100" ht="13.5" hidden="1" outlineLevel="1" x14ac:dyDescent="0.25">
      <c r="E168" s="54" t="s">
        <v>689</v>
      </c>
      <c r="F168" s="185"/>
      <c r="G168" s="185"/>
      <c r="H168" s="185"/>
      <c r="I168" s="185"/>
      <c r="J168" s="185"/>
      <c r="K168" s="122"/>
      <c r="L168" s="122"/>
      <c r="M168" s="122"/>
      <c r="N168" s="122"/>
      <c r="O168" s="161"/>
      <c r="P168" s="122"/>
      <c r="Q168" s="122"/>
      <c r="R168" s="122"/>
      <c r="S168" s="122"/>
      <c r="T168" s="161"/>
      <c r="U168" s="122"/>
      <c r="V168" s="122"/>
      <c r="W168" s="122"/>
      <c r="X168" s="122"/>
      <c r="Y168" s="161"/>
      <c r="Z168" s="128"/>
      <c r="AA168" s="128"/>
      <c r="AB168" s="128"/>
      <c r="AC168" s="128"/>
      <c r="AD168" s="161"/>
      <c r="AE168" s="128"/>
      <c r="AF168" s="128"/>
      <c r="AG168" s="128"/>
      <c r="AH168" s="128"/>
      <c r="AI168" s="140"/>
      <c r="AJ168" s="85"/>
      <c r="AK168" s="85"/>
      <c r="AL168" s="85"/>
      <c r="AM168" s="85"/>
      <c r="AN168" s="140"/>
      <c r="AO168" s="85"/>
      <c r="AP168" s="85"/>
      <c r="AQ168" s="85"/>
      <c r="AR168" s="364"/>
      <c r="AS168" s="161"/>
      <c r="AT168" s="439"/>
      <c r="AU168" s="439"/>
      <c r="AV168" s="439"/>
      <c r="AW168" s="439"/>
      <c r="AX168" s="161"/>
      <c r="AY168" s="439"/>
      <c r="AZ168" s="439"/>
      <c r="BA168" s="439"/>
      <c r="BB168" s="439"/>
      <c r="BC168" s="161"/>
      <c r="BD168" s="439"/>
      <c r="BE168" s="439"/>
      <c r="BF168" s="439"/>
      <c r="BG168" s="439"/>
      <c r="BH168" s="161"/>
      <c r="BI168" s="439"/>
      <c r="BJ168" s="439"/>
      <c r="BK168" s="439"/>
      <c r="BL168" s="439"/>
      <c r="BM168" s="161"/>
      <c r="BN168" s="635">
        <f>-Income!BN117</f>
        <v>-6.3E-2</v>
      </c>
      <c r="BO168" s="635">
        <f>-Income!BO117</f>
        <v>-3.827</v>
      </c>
      <c r="BP168" s="635">
        <f>-Income!BP117</f>
        <v>-3.7829999999999999</v>
      </c>
      <c r="BQ168" s="635">
        <f>-Income!BQ117</f>
        <v>-3.7810000000000001</v>
      </c>
      <c r="BR168" s="540"/>
      <c r="BS168" s="635">
        <f>-Income!BS117</f>
        <v>-3.754</v>
      </c>
      <c r="BT168" s="635">
        <f>-Income!BT117</f>
        <v>-3.754</v>
      </c>
      <c r="BU168" s="635">
        <f>-Income!BU117</f>
        <v>-3.754</v>
      </c>
      <c r="BV168" s="635">
        <f>-Income!BV117</f>
        <v>-4.2039999999999997</v>
      </c>
      <c r="BW168" s="630">
        <f t="shared" si="273"/>
        <v>-15.466000000000001</v>
      </c>
      <c r="BX168" s="635">
        <f>-Income!BX117</f>
        <v>-4.077</v>
      </c>
      <c r="BY168" s="635">
        <f>-Income!BY117</f>
        <v>-3.89</v>
      </c>
      <c r="BZ168" s="635">
        <f>-Income!BZ117</f>
        <v>-4.6210000000000004</v>
      </c>
      <c r="CA168" s="635">
        <f>-Income!CA117</f>
        <v>-6.056</v>
      </c>
      <c r="CB168" s="630">
        <f t="shared" si="274"/>
        <v>-18.644000000000002</v>
      </c>
      <c r="CC168" s="635">
        <f>-Income!CC117</f>
        <v>-5.9589999999999996</v>
      </c>
      <c r="CD168" s="635">
        <f>-Income!CD117</f>
        <v>-6.0149999999999997</v>
      </c>
      <c r="CE168" s="635">
        <f>-Income!CE117</f>
        <v>-5.9649999999999999</v>
      </c>
      <c r="CF168" s="635">
        <f>-Income!CF117</f>
        <v>-5.9560000000000004</v>
      </c>
      <c r="CG168" s="630">
        <f t="shared" si="275"/>
        <v>-23.895</v>
      </c>
      <c r="CH168" s="635">
        <f>-Income!CH117</f>
        <v>-5.97</v>
      </c>
      <c r="CI168" s="635">
        <f>-Income!CI117</f>
        <v>-3.548</v>
      </c>
      <c r="CJ168" s="635">
        <f>-Income!CJ117</f>
        <v>-3.54</v>
      </c>
      <c r="CK168" s="635">
        <f>-Income!CK117</f>
        <v>-3.54</v>
      </c>
      <c r="CL168" s="630">
        <f>SUM(CH168:CK168)</f>
        <v>-16.597999999999999</v>
      </c>
      <c r="CM168" s="635">
        <f>-Income!CM117</f>
        <v>-3.5</v>
      </c>
      <c r="CN168" s="635">
        <f>-Income!CN117</f>
        <v>-3.5</v>
      </c>
      <c r="CO168" s="635">
        <f>-Income!CO117</f>
        <v>-3.5</v>
      </c>
      <c r="CP168" s="635">
        <f>-Income!CP117</f>
        <v>-3.5</v>
      </c>
      <c r="CQ168" s="630">
        <f t="shared" ref="CQ168:CQ173" si="276">SUM(CM168:CP168)</f>
        <v>-14</v>
      </c>
      <c r="CR168" s="635">
        <f>-Income!CR117</f>
        <v>-3.5</v>
      </c>
      <c r="CS168" s="635">
        <f>-Income!CS117</f>
        <v>-3.5</v>
      </c>
      <c r="CT168" s="635">
        <f>-Income!CT117</f>
        <v>-3.5</v>
      </c>
      <c r="CU168" s="635">
        <f>-Income!CU117</f>
        <v>-3.5</v>
      </c>
      <c r="CV168" s="630">
        <f t="shared" ref="CV168:CV173" si="277">SUM(CR168:CU168)</f>
        <v>-14</v>
      </c>
    </row>
    <row r="169" spans="1:100" ht="13.5" hidden="1" outlineLevel="1" x14ac:dyDescent="0.25">
      <c r="E169" s="54" t="s">
        <v>690</v>
      </c>
      <c r="F169" s="185"/>
      <c r="G169" s="185"/>
      <c r="H169" s="185"/>
      <c r="I169" s="185"/>
      <c r="J169" s="185"/>
      <c r="K169" s="122"/>
      <c r="L169" s="122"/>
      <c r="M169" s="122"/>
      <c r="N169" s="122"/>
      <c r="O169" s="161"/>
      <c r="P169" s="122"/>
      <c r="Q169" s="122"/>
      <c r="R169" s="122"/>
      <c r="S169" s="122"/>
      <c r="T169" s="161"/>
      <c r="U169" s="122"/>
      <c r="V169" s="122"/>
      <c r="W169" s="122"/>
      <c r="X169" s="122"/>
      <c r="Y169" s="161"/>
      <c r="Z169" s="128"/>
      <c r="AA169" s="128"/>
      <c r="AB169" s="128"/>
      <c r="AC169" s="128"/>
      <c r="AD169" s="161"/>
      <c r="AE169" s="128"/>
      <c r="AF169" s="128"/>
      <c r="AG169" s="128"/>
      <c r="AH169" s="128"/>
      <c r="AI169" s="140"/>
      <c r="AJ169" s="85"/>
      <c r="AK169" s="85"/>
      <c r="AL169" s="85"/>
      <c r="AM169" s="85"/>
      <c r="AN169" s="140"/>
      <c r="AO169" s="85"/>
      <c r="AP169" s="85"/>
      <c r="AQ169" s="85"/>
      <c r="AR169" s="364"/>
      <c r="AS169" s="161"/>
      <c r="AT169" s="439"/>
      <c r="AU169" s="439"/>
      <c r="AV169" s="439"/>
      <c r="AW169" s="439"/>
      <c r="AX169" s="161"/>
      <c r="AY169" s="439"/>
      <c r="AZ169" s="439"/>
      <c r="BA169" s="439"/>
      <c r="BB169" s="439"/>
      <c r="BC169" s="161"/>
      <c r="BD169" s="439"/>
      <c r="BE169" s="439"/>
      <c r="BF169" s="439"/>
      <c r="BG169" s="439"/>
      <c r="BH169" s="161"/>
      <c r="BI169" s="439"/>
      <c r="BJ169" s="439"/>
      <c r="BK169" s="439"/>
      <c r="BL169" s="439"/>
      <c r="BM169" s="161"/>
      <c r="BN169" s="635">
        <f>-Income!BN118</f>
        <v>-3.9249999999999998</v>
      </c>
      <c r="BO169" s="635">
        <f>-Income!BO118</f>
        <v>-7.7249999999999996</v>
      </c>
      <c r="BP169" s="635">
        <f>-Income!BP118</f>
        <v>-8.4499999999999993</v>
      </c>
      <c r="BQ169" s="635">
        <f>-Income!BQ118</f>
        <v>-8.2159999999999993</v>
      </c>
      <c r="BR169" s="540"/>
      <c r="BS169" s="635">
        <f>-Income!BS118</f>
        <v>-8.1229999999999993</v>
      </c>
      <c r="BT169" s="635">
        <f>-Income!BT118</f>
        <v>-7.36</v>
      </c>
      <c r="BU169" s="635">
        <f>-Income!BU118</f>
        <v>-8.0459999999999994</v>
      </c>
      <c r="BV169" s="635">
        <f>-Income!BV118</f>
        <v>-7.9340000000000002</v>
      </c>
      <c r="BW169" s="630">
        <f t="shared" si="273"/>
        <v>-31.463000000000001</v>
      </c>
      <c r="BX169" s="635">
        <f>-Income!BX118</f>
        <v>-8.59</v>
      </c>
      <c r="BY169" s="635">
        <f>-Income!BY118</f>
        <v>-11.938000000000001</v>
      </c>
      <c r="BZ169" s="635">
        <f>-Income!BZ118</f>
        <v>-13.427</v>
      </c>
      <c r="CA169" s="635">
        <f>-Income!CA118</f>
        <v>-15.190000000000001</v>
      </c>
      <c r="CB169" s="630">
        <f t="shared" si="274"/>
        <v>-49.144999999999996</v>
      </c>
      <c r="CC169" s="635">
        <f>-Income!CC118</f>
        <v>-12.399999999999999</v>
      </c>
      <c r="CD169" s="635">
        <f>-Income!CD118</f>
        <v>-13.154</v>
      </c>
      <c r="CE169" s="635">
        <f>-Income!CE118</f>
        <v>-13.29</v>
      </c>
      <c r="CF169" s="635">
        <f>-Income!CF118</f>
        <v>-14.022</v>
      </c>
      <c r="CG169" s="630">
        <f t="shared" si="275"/>
        <v>-52.865999999999993</v>
      </c>
      <c r="CH169" s="635">
        <f>-Income!CH118</f>
        <v>-17.798000000000002</v>
      </c>
      <c r="CI169" s="635">
        <f>-Income!CI118</f>
        <v>-17.667000000000002</v>
      </c>
      <c r="CJ169" s="635">
        <f>-Income!CJ118</f>
        <v>-22.2</v>
      </c>
      <c r="CK169" s="635">
        <f>-Income!CK118</f>
        <v>-20.3</v>
      </c>
      <c r="CL169" s="630">
        <f t="shared" ref="CL169:CL173" si="278">SUM(CH169:CK169)</f>
        <v>-77.965000000000003</v>
      </c>
      <c r="CM169" s="635">
        <f>-Income!CM118</f>
        <v>-19</v>
      </c>
      <c r="CN169" s="635">
        <f>-Income!CN118</f>
        <v>-19</v>
      </c>
      <c r="CO169" s="635">
        <f>-Income!CO118</f>
        <v>-19</v>
      </c>
      <c r="CP169" s="635">
        <f>-Income!CP118</f>
        <v>-19</v>
      </c>
      <c r="CQ169" s="630">
        <f t="shared" si="276"/>
        <v>-76</v>
      </c>
      <c r="CR169" s="635">
        <f>-Income!CR118</f>
        <v>-18.5</v>
      </c>
      <c r="CS169" s="635">
        <f>-Income!CS118</f>
        <v>-18.5</v>
      </c>
      <c r="CT169" s="635">
        <f>-Income!CT118</f>
        <v>-18.5</v>
      </c>
      <c r="CU169" s="635">
        <f>-Income!CU118</f>
        <v>-18.5</v>
      </c>
      <c r="CV169" s="630">
        <f t="shared" si="277"/>
        <v>-74</v>
      </c>
    </row>
    <row r="170" spans="1:100" ht="13.5" hidden="1" outlineLevel="1" x14ac:dyDescent="0.25">
      <c r="E170" s="54" t="s">
        <v>536</v>
      </c>
      <c r="F170" s="185"/>
      <c r="G170" s="185"/>
      <c r="H170" s="185"/>
      <c r="I170" s="185"/>
      <c r="J170" s="185"/>
      <c r="K170" s="122"/>
      <c r="L170" s="122"/>
      <c r="M170" s="122"/>
      <c r="N170" s="122"/>
      <c r="O170" s="161"/>
      <c r="P170" s="122"/>
      <c r="Q170" s="122"/>
      <c r="R170" s="122"/>
      <c r="S170" s="122"/>
      <c r="T170" s="161"/>
      <c r="U170" s="122"/>
      <c r="V170" s="122"/>
      <c r="W170" s="122"/>
      <c r="X170" s="122"/>
      <c r="Y170" s="161"/>
      <c r="Z170" s="128"/>
      <c r="AA170" s="128"/>
      <c r="AB170" s="128"/>
      <c r="AC170" s="128"/>
      <c r="AD170" s="161"/>
      <c r="AE170" s="128"/>
      <c r="AF170" s="128"/>
      <c r="AG170" s="128"/>
      <c r="AH170" s="128"/>
      <c r="AI170" s="140"/>
      <c r="AJ170" s="85"/>
      <c r="AK170" s="85"/>
      <c r="AL170" s="85"/>
      <c r="AM170" s="85"/>
      <c r="AN170" s="140"/>
      <c r="AO170" s="85"/>
      <c r="AP170" s="85"/>
      <c r="AQ170" s="85"/>
      <c r="AR170" s="364"/>
      <c r="AS170" s="161"/>
      <c r="AT170" s="439"/>
      <c r="AU170" s="439"/>
      <c r="AV170" s="439"/>
      <c r="AW170" s="439"/>
      <c r="AX170" s="161"/>
      <c r="AY170" s="439"/>
      <c r="AZ170" s="439"/>
      <c r="BA170" s="439"/>
      <c r="BB170" s="439"/>
      <c r="BC170" s="161"/>
      <c r="BD170" s="439"/>
      <c r="BE170" s="439"/>
      <c r="BF170" s="439"/>
      <c r="BG170" s="439"/>
      <c r="BH170" s="161"/>
      <c r="BI170" s="439"/>
      <c r="BJ170" s="439"/>
      <c r="BK170" s="439"/>
      <c r="BL170" s="439"/>
      <c r="BM170" s="161"/>
      <c r="BN170" s="572"/>
      <c r="BO170" s="572"/>
      <c r="BP170" s="572"/>
      <c r="BQ170" s="572"/>
      <c r="BR170" s="540"/>
      <c r="BS170" s="636">
        <v>-0.80700000000000005</v>
      </c>
      <c r="BT170" s="636">
        <f>-12.132-6.829-BS170-BU170-BV170</f>
        <v>-3.2330000000000005</v>
      </c>
      <c r="BU170" s="636">
        <v>-4.0579999999999998</v>
      </c>
      <c r="BV170" s="636">
        <f>-4.763-6.1</f>
        <v>-10.863</v>
      </c>
      <c r="BW170" s="630">
        <f t="shared" si="273"/>
        <v>-18.960999999999999</v>
      </c>
      <c r="BX170" s="636">
        <v>-0.314</v>
      </c>
      <c r="BY170" s="636">
        <f>-0.929+0.629</f>
        <v>-0.30000000000000004</v>
      </c>
      <c r="BZ170" s="636">
        <f>-Income!BZ146</f>
        <v>-2.1110000000000002</v>
      </c>
      <c r="CA170" s="636">
        <f>-Income!CA146</f>
        <v>-5.6499999999999986</v>
      </c>
      <c r="CB170" s="630">
        <f t="shared" si="274"/>
        <v>-8.375</v>
      </c>
      <c r="CC170" s="690">
        <f>-Income!CC146</f>
        <v>3.0000000000000001E-3</v>
      </c>
      <c r="CD170" s="690">
        <f>-Income!CD146</f>
        <v>-2.8330000000000002</v>
      </c>
      <c r="CE170" s="690">
        <f>-Income!CE146</f>
        <v>0.78800000000000003</v>
      </c>
      <c r="CF170" s="690">
        <f>-Income!CF146</f>
        <v>-0.68200000000000005</v>
      </c>
      <c r="CG170" s="640">
        <f t="shared" si="275"/>
        <v>-2.7239999999999998</v>
      </c>
      <c r="CH170" s="690">
        <f>-Income!CH146</f>
        <v>-1E-3</v>
      </c>
      <c r="CI170" s="690">
        <f>-Income!CI146</f>
        <v>-0.48899999999999999</v>
      </c>
      <c r="CJ170" s="724">
        <v>0</v>
      </c>
      <c r="CK170" s="690">
        <f>-Income!CK146</f>
        <v>-1.5</v>
      </c>
      <c r="CL170" s="640">
        <f t="shared" si="278"/>
        <v>-1.99</v>
      </c>
      <c r="CM170" s="690">
        <f>-Income!CM146</f>
        <v>0</v>
      </c>
      <c r="CN170" s="690">
        <f>-Income!CN146</f>
        <v>0</v>
      </c>
      <c r="CO170" s="690">
        <f>-Income!CO146</f>
        <v>0</v>
      </c>
      <c r="CP170" s="690">
        <f>-Income!CP146</f>
        <v>0</v>
      </c>
      <c r="CQ170" s="640">
        <f t="shared" si="276"/>
        <v>0</v>
      </c>
      <c r="CR170" s="690">
        <f>-Income!CR146</f>
        <v>0</v>
      </c>
      <c r="CS170" s="690">
        <f>-Income!CS146</f>
        <v>0</v>
      </c>
      <c r="CT170" s="690">
        <f>-Income!CT146</f>
        <v>0</v>
      </c>
      <c r="CU170" s="690">
        <f>-Income!CU146</f>
        <v>0</v>
      </c>
      <c r="CV170" s="640">
        <f t="shared" si="277"/>
        <v>0</v>
      </c>
    </row>
    <row r="171" spans="1:100" ht="13.5" hidden="1" outlineLevel="1" x14ac:dyDescent="0.25">
      <c r="E171" s="54" t="s">
        <v>663</v>
      </c>
      <c r="F171" s="185"/>
      <c r="G171" s="185"/>
      <c r="H171" s="185"/>
      <c r="I171" s="185"/>
      <c r="J171" s="185"/>
      <c r="K171" s="122"/>
      <c r="L171" s="122"/>
      <c r="M171" s="122"/>
      <c r="N171" s="122"/>
      <c r="O171" s="161"/>
      <c r="P171" s="122"/>
      <c r="Q171" s="122"/>
      <c r="R171" s="122"/>
      <c r="S171" s="122"/>
      <c r="T171" s="161"/>
      <c r="U171" s="122"/>
      <c r="V171" s="122"/>
      <c r="W171" s="122"/>
      <c r="X171" s="122"/>
      <c r="Y171" s="161"/>
      <c r="Z171" s="128"/>
      <c r="AA171" s="128"/>
      <c r="AB171" s="128"/>
      <c r="AC171" s="128"/>
      <c r="AD171" s="161"/>
      <c r="AE171" s="128"/>
      <c r="AF171" s="128"/>
      <c r="AG171" s="128"/>
      <c r="AH171" s="128"/>
      <c r="AI171" s="140"/>
      <c r="AJ171" s="85"/>
      <c r="AK171" s="85"/>
      <c r="AL171" s="85"/>
      <c r="AM171" s="85"/>
      <c r="AN171" s="140"/>
      <c r="AO171" s="85"/>
      <c r="AP171" s="85"/>
      <c r="AQ171" s="85"/>
      <c r="AR171" s="364"/>
      <c r="AS171" s="161"/>
      <c r="AT171" s="439"/>
      <c r="AU171" s="439"/>
      <c r="AV171" s="439"/>
      <c r="AW171" s="439"/>
      <c r="AX171" s="161"/>
      <c r="AY171" s="439"/>
      <c r="AZ171" s="439"/>
      <c r="BA171" s="439"/>
      <c r="BB171" s="439"/>
      <c r="BC171" s="161"/>
      <c r="BD171" s="439"/>
      <c r="BE171" s="439"/>
      <c r="BF171" s="439"/>
      <c r="BG171" s="439"/>
      <c r="BH171" s="161"/>
      <c r="BI171" s="439"/>
      <c r="BJ171" s="439"/>
      <c r="BK171" s="439"/>
      <c r="BL171" s="439"/>
      <c r="BM171" s="161"/>
      <c r="BN171" s="572"/>
      <c r="BO171" s="572"/>
      <c r="BP171" s="572"/>
      <c r="BQ171" s="572"/>
      <c r="BR171" s="540"/>
      <c r="BS171" s="636">
        <v>-3.4140000000000001</v>
      </c>
      <c r="BT171" s="636">
        <f>-20.826-BS171-BU171-BV171</f>
        <v>-6.097999999999999</v>
      </c>
      <c r="BU171" s="636">
        <v>-6.6280000000000001</v>
      </c>
      <c r="BV171" s="636">
        <v>-4.6859999999999999</v>
      </c>
      <c r="BW171" s="630">
        <f>SUM(BS171:BV171)</f>
        <v>-20.826000000000001</v>
      </c>
      <c r="BX171" s="636">
        <v>0</v>
      </c>
      <c r="BY171" s="636">
        <v>-1.4550000000000001</v>
      </c>
      <c r="BZ171" s="636">
        <f>-Income!BZ148</f>
        <v>-4.1180000000000003</v>
      </c>
      <c r="CA171" s="636">
        <f>-Income!CA148</f>
        <v>-3.0659999999999998</v>
      </c>
      <c r="CB171" s="640">
        <f t="shared" si="274"/>
        <v>-8.6389999999999993</v>
      </c>
      <c r="CC171" s="690">
        <f>-Income!CC148</f>
        <v>-7.1189999999999998</v>
      </c>
      <c r="CD171" s="690">
        <f>-Income!CD148</f>
        <v>-5.4530000000000003</v>
      </c>
      <c r="CE171" s="690">
        <f>-Income!CE148</f>
        <v>-5.2140000000000004</v>
      </c>
      <c r="CF171" s="690">
        <f>-Income!CF148</f>
        <v>0</v>
      </c>
      <c r="CG171" s="640">
        <f t="shared" si="275"/>
        <v>-17.786000000000001</v>
      </c>
      <c r="CH171" s="690">
        <f>-Income!CH148</f>
        <v>0</v>
      </c>
      <c r="CI171" s="690">
        <f>-Income!CI148</f>
        <v>-2.1219999999999999</v>
      </c>
      <c r="CJ171" s="690">
        <f>-Income!CJ148</f>
        <v>-1.3</v>
      </c>
      <c r="CK171" s="690">
        <f>-Income!CK148</f>
        <v>0</v>
      </c>
      <c r="CL171" s="640">
        <f t="shared" si="278"/>
        <v>-3.4219999999999997</v>
      </c>
      <c r="CM171" s="690">
        <f>-Income!CM148</f>
        <v>0</v>
      </c>
      <c r="CN171" s="690">
        <f>-Income!CN148</f>
        <v>0</v>
      </c>
      <c r="CO171" s="690">
        <f>-Income!CO148</f>
        <v>0</v>
      </c>
      <c r="CP171" s="690">
        <f>-Income!CP148</f>
        <v>0</v>
      </c>
      <c r="CQ171" s="640">
        <f t="shared" si="276"/>
        <v>0</v>
      </c>
      <c r="CR171" s="690">
        <f>-Income!CR148</f>
        <v>0</v>
      </c>
      <c r="CS171" s="690">
        <f>-Income!CS148</f>
        <v>0</v>
      </c>
      <c r="CT171" s="690">
        <f>-Income!CT148</f>
        <v>0</v>
      </c>
      <c r="CU171" s="690">
        <f>-Income!CU148</f>
        <v>0</v>
      </c>
      <c r="CV171" s="640">
        <f t="shared" si="277"/>
        <v>0</v>
      </c>
    </row>
    <row r="172" spans="1:100" ht="13.5" hidden="1" outlineLevel="1" x14ac:dyDescent="0.25">
      <c r="E172" s="54" t="s">
        <v>664</v>
      </c>
      <c r="F172" s="185"/>
      <c r="G172" s="185"/>
      <c r="H172" s="185"/>
      <c r="I172" s="185"/>
      <c r="J172" s="185"/>
      <c r="K172" s="122"/>
      <c r="L172" s="122"/>
      <c r="M172" s="122"/>
      <c r="N172" s="122"/>
      <c r="O172" s="161"/>
      <c r="P172" s="122"/>
      <c r="Q172" s="122"/>
      <c r="R172" s="122"/>
      <c r="S172" s="122"/>
      <c r="T172" s="161"/>
      <c r="U172" s="122"/>
      <c r="V172" s="122"/>
      <c r="W172" s="122"/>
      <c r="X172" s="122"/>
      <c r="Y172" s="161"/>
      <c r="Z172" s="128"/>
      <c r="AA172" s="128"/>
      <c r="AB172" s="128"/>
      <c r="AC172" s="128"/>
      <c r="AD172" s="161"/>
      <c r="AE172" s="128"/>
      <c r="AF172" s="128"/>
      <c r="AG172" s="128"/>
      <c r="AH172" s="128"/>
      <c r="AI172" s="140"/>
      <c r="AJ172" s="85"/>
      <c r="AK172" s="85"/>
      <c r="AL172" s="85"/>
      <c r="AM172" s="85"/>
      <c r="AN172" s="140"/>
      <c r="AO172" s="85"/>
      <c r="AP172" s="85"/>
      <c r="AQ172" s="85"/>
      <c r="AR172" s="364"/>
      <c r="AS172" s="161"/>
      <c r="AT172" s="439"/>
      <c r="AU172" s="439"/>
      <c r="AV172" s="439"/>
      <c r="AW172" s="439"/>
      <c r="AX172" s="161"/>
      <c r="AY172" s="439"/>
      <c r="AZ172" s="439"/>
      <c r="BA172" s="439"/>
      <c r="BB172" s="439"/>
      <c r="BC172" s="161"/>
      <c r="BD172" s="439"/>
      <c r="BE172" s="439"/>
      <c r="BF172" s="439"/>
      <c r="BG172" s="439"/>
      <c r="BH172" s="161"/>
      <c r="BI172" s="439"/>
      <c r="BJ172" s="439"/>
      <c r="BK172" s="439"/>
      <c r="BL172" s="439"/>
      <c r="BM172" s="161"/>
      <c r="BN172" s="572"/>
      <c r="BO172" s="572"/>
      <c r="BP172" s="572"/>
      <c r="BQ172" s="572"/>
      <c r="BR172" s="540"/>
      <c r="BS172" s="572">
        <f>Income!BS30</f>
        <v>-1.4419999999999999</v>
      </c>
      <c r="BT172" s="572">
        <f>Income!BT30</f>
        <v>-7.9000000000000181E-2</v>
      </c>
      <c r="BU172" s="572">
        <f>Income!BU30</f>
        <v>-7.8E-2</v>
      </c>
      <c r="BV172" s="572">
        <f>Income!BV30</f>
        <v>-0.252</v>
      </c>
      <c r="BW172" s="630">
        <f>SUM(BS172:BV172)</f>
        <v>-1.8510000000000002</v>
      </c>
      <c r="BX172" s="572">
        <f>Income!BX30</f>
        <v>0</v>
      </c>
      <c r="BY172" s="645">
        <f>Income!BY30</f>
        <v>0</v>
      </c>
      <c r="BZ172" s="645">
        <f>Income!BZ30</f>
        <v>0</v>
      </c>
      <c r="CA172" s="645">
        <f>Income!CA30</f>
        <v>0</v>
      </c>
      <c r="CB172" s="640">
        <f t="shared" si="274"/>
        <v>0</v>
      </c>
      <c r="CC172" s="645">
        <f>Income!CC30</f>
        <v>0</v>
      </c>
      <c r="CD172" s="645">
        <f>Income!CD30</f>
        <v>0</v>
      </c>
      <c r="CE172" s="645">
        <f>Income!CE30</f>
        <v>0</v>
      </c>
      <c r="CF172" s="645">
        <f>Income!CF30</f>
        <v>0</v>
      </c>
      <c r="CG172" s="640">
        <f t="shared" si="275"/>
        <v>0</v>
      </c>
      <c r="CH172" s="645">
        <f>Income!CH30</f>
        <v>0</v>
      </c>
      <c r="CI172" s="645">
        <f>Income!CI30</f>
        <v>0</v>
      </c>
      <c r="CJ172" s="645">
        <f>Income!CJ30</f>
        <v>-1.74</v>
      </c>
      <c r="CK172" s="645">
        <f>Income!CK30</f>
        <v>-1.74</v>
      </c>
      <c r="CL172" s="640">
        <f t="shared" si="278"/>
        <v>-3.48</v>
      </c>
      <c r="CM172" s="645">
        <f>Income!CM30</f>
        <v>-1.7</v>
      </c>
      <c r="CN172" s="645">
        <f>Income!CN30</f>
        <v>-1.7</v>
      </c>
      <c r="CO172" s="645">
        <f>Income!CO30</f>
        <v>-1.7</v>
      </c>
      <c r="CP172" s="645">
        <f>Income!CP30</f>
        <v>-1.7</v>
      </c>
      <c r="CQ172" s="640">
        <f t="shared" si="276"/>
        <v>-6.8</v>
      </c>
      <c r="CR172" s="645">
        <f>Income!CR30</f>
        <v>-1.7</v>
      </c>
      <c r="CS172" s="645">
        <f>Income!CS30</f>
        <v>-1.7</v>
      </c>
      <c r="CT172" s="645">
        <f>Income!CT30</f>
        <v>-1.7</v>
      </c>
      <c r="CU172" s="645">
        <f>Income!CU30</f>
        <v>-1.7</v>
      </c>
      <c r="CV172" s="640">
        <f t="shared" si="277"/>
        <v>-6.8</v>
      </c>
    </row>
    <row r="173" spans="1:100" ht="13.5" hidden="1" outlineLevel="1" x14ac:dyDescent="0.25">
      <c r="E173" s="444" t="s">
        <v>699</v>
      </c>
      <c r="F173" s="185"/>
      <c r="G173" s="185"/>
      <c r="H173" s="185"/>
      <c r="I173" s="185"/>
      <c r="J173" s="185"/>
      <c r="K173" s="122"/>
      <c r="L173" s="122"/>
      <c r="M173" s="122"/>
      <c r="N173" s="122"/>
      <c r="O173" s="161"/>
      <c r="P173" s="122"/>
      <c r="Q173" s="122"/>
      <c r="R173" s="122"/>
      <c r="S173" s="122"/>
      <c r="T173" s="161"/>
      <c r="U173" s="122"/>
      <c r="V173" s="122"/>
      <c r="W173" s="122"/>
      <c r="X173" s="122"/>
      <c r="Y173" s="161"/>
      <c r="Z173" s="128"/>
      <c r="AA173" s="128"/>
      <c r="AB173" s="128"/>
      <c r="AC173" s="128"/>
      <c r="AD173" s="161"/>
      <c r="AE173" s="128"/>
      <c r="AF173" s="128"/>
      <c r="AG173" s="128"/>
      <c r="AH173" s="128"/>
      <c r="AI173" s="140"/>
      <c r="AJ173" s="85"/>
      <c r="AK173" s="85"/>
      <c r="AL173" s="85"/>
      <c r="AM173" s="85"/>
      <c r="AN173" s="140"/>
      <c r="AO173" s="85"/>
      <c r="AP173" s="85"/>
      <c r="AQ173" s="85"/>
      <c r="AR173" s="364"/>
      <c r="AS173" s="161"/>
      <c r="AT173" s="439"/>
      <c r="AU173" s="439"/>
      <c r="AV173" s="439"/>
      <c r="AW173" s="439"/>
      <c r="AX173" s="161"/>
      <c r="AY173" s="439"/>
      <c r="AZ173" s="439"/>
      <c r="BA173" s="439"/>
      <c r="BB173" s="439"/>
      <c r="BC173" s="161"/>
      <c r="BD173" s="439"/>
      <c r="BE173" s="439"/>
      <c r="BF173" s="439"/>
      <c r="BG173" s="439"/>
      <c r="BH173" s="161"/>
      <c r="BI173" s="439"/>
      <c r="BJ173" s="439"/>
      <c r="BK173" s="439"/>
      <c r="BL173" s="439"/>
      <c r="BM173" s="161"/>
      <c r="BN173" s="572">
        <f>-44.015</f>
        <v>-44.015000000000001</v>
      </c>
      <c r="BO173" s="572">
        <f>-46.242</f>
        <v>-46.241999999999997</v>
      </c>
      <c r="BP173" s="572">
        <f>-45.266</f>
        <v>-45.265999999999998</v>
      </c>
      <c r="BQ173" s="572">
        <f>-53.417</f>
        <v>-53.417000000000002</v>
      </c>
      <c r="BR173" s="540">
        <f>SUM(BN173:BQ173)</f>
        <v>-188.94</v>
      </c>
      <c r="BS173" s="635">
        <f>SUM(BS167:BS172)</f>
        <v>-43.018000000000008</v>
      </c>
      <c r="BT173" s="635">
        <f>SUM(BT167:BT172)</f>
        <v>-44.086999999999996</v>
      </c>
      <c r="BU173" s="635">
        <f>SUM(BU167:BU172)</f>
        <v>-50.391000000000005</v>
      </c>
      <c r="BV173" s="635">
        <f>SUM(BV167:BV172)</f>
        <v>-56.238999999999997</v>
      </c>
      <c r="BW173" s="540">
        <f t="shared" si="273"/>
        <v>-193.73500000000001</v>
      </c>
      <c r="BX173" s="635">
        <f>SUM(BX167:BX172)</f>
        <v>-37.369999999999997</v>
      </c>
      <c r="BY173" s="635">
        <f>SUM(BY167:BY172)</f>
        <v>-44.351999999999997</v>
      </c>
      <c r="BZ173" s="635">
        <f>SUM(BZ167:BZ172)</f>
        <v>-48.460999999999999</v>
      </c>
      <c r="CA173" s="635">
        <f>SUM(CA167:CA172)</f>
        <v>-63.321000000000005</v>
      </c>
      <c r="CB173" s="540">
        <f t="shared" si="274"/>
        <v>-193.50399999999999</v>
      </c>
      <c r="CC173" s="635">
        <f>SUM(CC167:CC172)</f>
        <v>-51.441999999999993</v>
      </c>
      <c r="CD173" s="635">
        <f>SUM(CD167:CD172)</f>
        <v>-53.207999999999998</v>
      </c>
      <c r="CE173" s="635">
        <f>SUM(CE167:CE172)</f>
        <v>-47.542999999999999</v>
      </c>
      <c r="CF173" s="635">
        <f>SUM(CF167:CF172)</f>
        <v>-45.002000000000002</v>
      </c>
      <c r="CG173" s="540">
        <f t="shared" si="275"/>
        <v>-197.19499999999999</v>
      </c>
      <c r="CH173" s="635">
        <f>SUM(CH167:CH172)</f>
        <v>-51.609000000000002</v>
      </c>
      <c r="CI173" s="635">
        <f>SUM(CI167:CI172)</f>
        <v>-50.826000000000001</v>
      </c>
      <c r="CJ173" s="635">
        <f>SUM(CJ167:CJ172)</f>
        <v>-51.779999999999994</v>
      </c>
      <c r="CK173" s="635">
        <f>SUM(CK167:CK172)</f>
        <v>-47.080000000000005</v>
      </c>
      <c r="CL173" s="540">
        <f t="shared" si="278"/>
        <v>-201.29500000000002</v>
      </c>
      <c r="CM173" s="635">
        <f>SUM(CM167:CM172)</f>
        <v>-43.2</v>
      </c>
      <c r="CN173" s="635">
        <f>SUM(CN167:CN172)</f>
        <v>-43.2</v>
      </c>
      <c r="CO173" s="635">
        <f>SUM(CO167:CO172)</f>
        <v>-43.7</v>
      </c>
      <c r="CP173" s="635">
        <f>SUM(CP167:CP172)</f>
        <v>-43.1</v>
      </c>
      <c r="CQ173" s="540">
        <f t="shared" si="276"/>
        <v>-173.20000000000002</v>
      </c>
      <c r="CR173" s="635">
        <f>SUM(CR167:CR172)</f>
        <v>-42.7</v>
      </c>
      <c r="CS173" s="635">
        <f>SUM(CS167:CS172)</f>
        <v>-42.7</v>
      </c>
      <c r="CT173" s="635">
        <f>SUM(CT167:CT172)</f>
        <v>-42.7</v>
      </c>
      <c r="CU173" s="635">
        <f>SUM(CU167:CU172)</f>
        <v>-43.2</v>
      </c>
      <c r="CV173" s="540">
        <f t="shared" si="277"/>
        <v>-171.3</v>
      </c>
    </row>
    <row r="174" spans="1:100" hidden="1" outlineLevel="1" x14ac:dyDescent="0.25">
      <c r="BM174" s="574"/>
      <c r="BR174" s="574"/>
      <c r="BW174" s="574"/>
      <c r="CB174" s="574"/>
      <c r="CC174" s="700"/>
      <c r="CD174" s="700"/>
      <c r="CE174" s="700"/>
      <c r="CF174" s="700"/>
      <c r="CG174" s="574"/>
      <c r="CH174" s="700"/>
      <c r="CI174" s="700"/>
      <c r="CJ174" s="700"/>
      <c r="CK174" s="700"/>
      <c r="CL174" s="574"/>
      <c r="CM174" s="700"/>
      <c r="CN174" s="700"/>
      <c r="CO174" s="700"/>
      <c r="CP174" s="700"/>
      <c r="CQ174" s="574"/>
      <c r="CR174" s="700"/>
      <c r="CS174" s="700"/>
      <c r="CT174" s="700"/>
      <c r="CU174" s="700"/>
      <c r="CV174" s="574"/>
    </row>
    <row r="175" spans="1:100" ht="13.5" hidden="1" outlineLevel="1" x14ac:dyDescent="0.25">
      <c r="E175" s="54" t="s">
        <v>673</v>
      </c>
      <c r="F175" s="542"/>
      <c r="G175" s="542"/>
      <c r="H175" s="542"/>
      <c r="I175" s="542"/>
      <c r="J175" s="542"/>
      <c r="K175" s="2"/>
      <c r="L175" s="2"/>
      <c r="M175" s="2"/>
      <c r="N175" s="2"/>
      <c r="O175" s="542"/>
      <c r="P175" s="2"/>
      <c r="Q175" s="2"/>
      <c r="R175" s="2"/>
      <c r="S175" s="2"/>
      <c r="T175" s="542"/>
      <c r="U175" s="2"/>
      <c r="V175" s="2"/>
      <c r="W175" s="2"/>
      <c r="X175" s="2"/>
      <c r="Y175" s="542"/>
      <c r="Z175" s="59"/>
      <c r="AA175" s="59"/>
      <c r="AB175" s="59"/>
      <c r="AC175" s="59"/>
      <c r="AD175" s="542"/>
      <c r="AE175" s="59"/>
      <c r="AF175" s="59"/>
      <c r="AG175" s="59"/>
      <c r="AH175" s="59"/>
      <c r="AI175" s="542"/>
      <c r="AJ175" s="59"/>
      <c r="AK175" s="59"/>
      <c r="AL175" s="59"/>
      <c r="AM175" s="59"/>
      <c r="AN175" s="542"/>
      <c r="AO175" s="59"/>
      <c r="AP175" s="59"/>
      <c r="AQ175" s="59"/>
      <c r="AR175" s="59"/>
      <c r="AS175" s="542"/>
      <c r="AT175" s="59"/>
      <c r="AU175" s="59"/>
      <c r="AV175" s="59"/>
      <c r="AW175" s="59"/>
      <c r="AX175" s="542"/>
      <c r="BC175" s="542"/>
      <c r="BD175" s="59"/>
      <c r="BE175" s="59"/>
      <c r="BF175" s="59"/>
      <c r="BG175" s="59"/>
      <c r="BH175" s="542"/>
      <c r="BM175" s="542"/>
      <c r="BN175" s="442">
        <f>Income!BN167</f>
        <v>-22.361000000000001</v>
      </c>
      <c r="BO175" s="442">
        <f>Income!BO167</f>
        <v>-25.565999999999999</v>
      </c>
      <c r="BP175" s="442">
        <f>Income!BP167</f>
        <v>-22.234999999999999</v>
      </c>
      <c r="BQ175" s="442">
        <f>Income!BQ167</f>
        <v>-20.823</v>
      </c>
      <c r="BR175" s="540">
        <f>SUM(BN175:BQ175)</f>
        <v>-90.985000000000014</v>
      </c>
      <c r="BS175" s="442">
        <f>Income!BS167</f>
        <v>-25.478000000000002</v>
      </c>
      <c r="BT175" s="442">
        <f>Income!BT167</f>
        <v>-23.562999999999999</v>
      </c>
      <c r="BU175" s="442">
        <f>Income!BU167</f>
        <v>-27.827000000000002</v>
      </c>
      <c r="BV175" s="442">
        <f>Income!BV167</f>
        <v>-28.3</v>
      </c>
      <c r="BW175" s="540">
        <f>SUM(BS175:BV175)</f>
        <v>-105.16799999999999</v>
      </c>
      <c r="BX175" s="442">
        <f>Income!BX167</f>
        <v>-24.388999999999999</v>
      </c>
      <c r="BY175" s="442">
        <f>Income!BY167</f>
        <v>-26.768999999999998</v>
      </c>
      <c r="BZ175" s="442">
        <f>Income!BZ167</f>
        <v>-24.184000000000001</v>
      </c>
      <c r="CA175" s="442">
        <f>Income!CA167</f>
        <v>-33.359000000000002</v>
      </c>
      <c r="CB175" s="540">
        <f>SUM(BX175:CA175)</f>
        <v>-108.70099999999999</v>
      </c>
      <c r="CC175" s="707">
        <f>Income!CC167</f>
        <v>-25.966999999999999</v>
      </c>
      <c r="CD175" s="707">
        <f>Income!CD167</f>
        <v>-25.753</v>
      </c>
      <c r="CE175" s="707">
        <f>Income!CE167</f>
        <v>-23.861999999999998</v>
      </c>
      <c r="CF175" s="707">
        <f>Income!CF167</f>
        <v>-24.341999999999999</v>
      </c>
      <c r="CG175" s="540">
        <f>SUM(CC175:CF175)</f>
        <v>-99.923999999999992</v>
      </c>
      <c r="CH175" s="707">
        <f>Income!CH167</f>
        <v>-27.84</v>
      </c>
      <c r="CI175" s="707">
        <f>Income!CI167</f>
        <v>-27</v>
      </c>
      <c r="CJ175" s="707">
        <f>Income!CJ167</f>
        <v>-23</v>
      </c>
      <c r="CK175" s="707">
        <f>Income!CK167</f>
        <v>-20</v>
      </c>
      <c r="CL175" s="540">
        <f>SUM(CH175:CK175)</f>
        <v>-97.84</v>
      </c>
      <c r="CM175" s="707">
        <f>Income!CM167</f>
        <v>-19</v>
      </c>
      <c r="CN175" s="707">
        <f>Income!CN167</f>
        <v>-19</v>
      </c>
      <c r="CO175" s="707">
        <f>Income!CO167</f>
        <v>-19.5</v>
      </c>
      <c r="CP175" s="707">
        <f>Income!CP167</f>
        <v>-18.899999999999999</v>
      </c>
      <c r="CQ175" s="540">
        <f>SUM(CM175:CP175)</f>
        <v>-76.400000000000006</v>
      </c>
      <c r="CR175" s="707">
        <f>Income!CR167</f>
        <v>-19</v>
      </c>
      <c r="CS175" s="707">
        <f>Income!CS167</f>
        <v>-19</v>
      </c>
      <c r="CT175" s="707">
        <f>Income!CT167</f>
        <v>-19</v>
      </c>
      <c r="CU175" s="707">
        <f>Income!CU167</f>
        <v>-19.5</v>
      </c>
      <c r="CV175" s="540">
        <f>SUM(CR175:CU175)</f>
        <v>-76.5</v>
      </c>
    </row>
    <row r="176" spans="1:100" ht="13.5" hidden="1" outlineLevel="1" x14ac:dyDescent="0.25">
      <c r="E176" s="365" t="s">
        <v>2</v>
      </c>
      <c r="F176" s="542"/>
      <c r="G176" s="542"/>
      <c r="H176" s="542"/>
      <c r="I176" s="542"/>
      <c r="J176" s="542"/>
      <c r="K176" s="2"/>
      <c r="L176" s="2"/>
      <c r="M176" s="2"/>
      <c r="N176" s="2"/>
      <c r="O176" s="542"/>
      <c r="P176" s="2"/>
      <c r="Q176" s="2"/>
      <c r="R176" s="2"/>
      <c r="S176" s="2"/>
      <c r="T176" s="542"/>
      <c r="U176" s="2"/>
      <c r="V176" s="2"/>
      <c r="W176" s="2"/>
      <c r="X176" s="2"/>
      <c r="Y176" s="542"/>
      <c r="Z176" s="59"/>
      <c r="AA176" s="59"/>
      <c r="AB176" s="59"/>
      <c r="AC176" s="59"/>
      <c r="AD176" s="542"/>
      <c r="AE176" s="59"/>
      <c r="AF176" s="59"/>
      <c r="AG176" s="59"/>
      <c r="AH176" s="59"/>
      <c r="AI176" s="542"/>
      <c r="AJ176" s="59"/>
      <c r="AK176" s="59"/>
      <c r="AL176" s="59"/>
      <c r="AM176" s="59"/>
      <c r="AN176" s="542"/>
      <c r="AO176" s="59"/>
      <c r="AP176" s="59"/>
      <c r="AQ176" s="59"/>
      <c r="AR176" s="59"/>
      <c r="AS176" s="542"/>
      <c r="AT176" s="59"/>
      <c r="AU176" s="59"/>
      <c r="AV176" s="59"/>
      <c r="AW176" s="59"/>
      <c r="AX176" s="542"/>
      <c r="BC176" s="542"/>
      <c r="BD176" s="59"/>
      <c r="BE176" s="59"/>
      <c r="BF176" s="59"/>
      <c r="BG176" s="59"/>
      <c r="BH176" s="542"/>
      <c r="BM176" s="542"/>
      <c r="BN176" s="442"/>
      <c r="BO176" s="442"/>
      <c r="BP176" s="442"/>
      <c r="BQ176" s="442"/>
      <c r="BR176" s="540"/>
      <c r="BS176" s="363">
        <f t="shared" ref="BS176:CQ176" si="279">(BS175-BN175)/ABS(BN175)</f>
        <v>-0.13939448146326197</v>
      </c>
      <c r="BT176" s="363">
        <f t="shared" si="279"/>
        <v>7.8346241101462891E-2</v>
      </c>
      <c r="BU176" s="363">
        <f t="shared" si="279"/>
        <v>-0.25149539015066347</v>
      </c>
      <c r="BV176" s="363">
        <f t="shared" si="279"/>
        <v>-0.359074100753974</v>
      </c>
      <c r="BW176" s="525">
        <f t="shared" si="279"/>
        <v>-0.15588283783041135</v>
      </c>
      <c r="BX176" s="363">
        <f t="shared" si="279"/>
        <v>4.274275845827781E-2</v>
      </c>
      <c r="BY176" s="363">
        <f t="shared" si="279"/>
        <v>-0.13606077324619104</v>
      </c>
      <c r="BZ176" s="363">
        <f t="shared" si="279"/>
        <v>0.13091601681819817</v>
      </c>
      <c r="CA176" s="363">
        <f t="shared" si="279"/>
        <v>-0.17876325088339226</v>
      </c>
      <c r="CB176" s="525">
        <f t="shared" si="279"/>
        <v>-3.3593868857447147E-2</v>
      </c>
      <c r="CC176" s="680">
        <f t="shared" si="279"/>
        <v>-6.4701299766288065E-2</v>
      </c>
      <c r="CD176" s="680">
        <f>(CD175-BY175)/ABS(BY175)</f>
        <v>3.7954350181179659E-2</v>
      </c>
      <c r="CE176" s="680">
        <f>(CE175-BZ175)/ABS(BZ175)</f>
        <v>1.3314588157459589E-2</v>
      </c>
      <c r="CF176" s="680">
        <f>(CF175-CA175)/ABS(CA175)</f>
        <v>0.27030186756197733</v>
      </c>
      <c r="CG176" s="525">
        <f t="shared" si="279"/>
        <v>8.07444273741732E-2</v>
      </c>
      <c r="CH176" s="680">
        <f t="shared" si="279"/>
        <v>-7.2130011168020994E-2</v>
      </c>
      <c r="CI176" s="680">
        <f t="shared" si="279"/>
        <v>-4.8421543121189757E-2</v>
      </c>
      <c r="CJ176" s="680">
        <f t="shared" si="279"/>
        <v>3.6124381862375259E-2</v>
      </c>
      <c r="CK176" s="680">
        <f t="shared" si="279"/>
        <v>0.17837482540465036</v>
      </c>
      <c r="CL176" s="525">
        <f t="shared" si="279"/>
        <v>2.085585044633911E-2</v>
      </c>
      <c r="CM176" s="680">
        <f t="shared" si="279"/>
        <v>0.31752873563218392</v>
      </c>
      <c r="CN176" s="680">
        <f t="shared" si="279"/>
        <v>0.29629629629629628</v>
      </c>
      <c r="CO176" s="680">
        <f t="shared" si="279"/>
        <v>0.15217391304347827</v>
      </c>
      <c r="CP176" s="680">
        <f t="shared" si="279"/>
        <v>5.500000000000007E-2</v>
      </c>
      <c r="CQ176" s="641">
        <f t="shared" si="279"/>
        <v>0.21913327882256742</v>
      </c>
      <c r="CR176" s="680">
        <f t="shared" ref="CR176" si="280">(CR175-CM175)/ABS(CM175)</f>
        <v>0</v>
      </c>
      <c r="CS176" s="680">
        <f t="shared" ref="CS176" si="281">(CS175-CN175)/ABS(CN175)</f>
        <v>0</v>
      </c>
      <c r="CT176" s="680">
        <f t="shared" ref="CT176" si="282">(CT175-CO175)/ABS(CO175)</f>
        <v>2.564102564102564E-2</v>
      </c>
      <c r="CU176" s="680">
        <f t="shared" ref="CU176" si="283">(CU175-CP175)/ABS(CP175)</f>
        <v>-3.1746031746031821E-2</v>
      </c>
      <c r="CV176" s="641">
        <f t="shared" ref="CV176" si="284">(CV175-CQ175)/ABS(CQ175)</f>
        <v>-1.3089005235601349E-3</v>
      </c>
    </row>
    <row r="177" spans="5:100" hidden="1" outlineLevel="1" x14ac:dyDescent="0.25">
      <c r="E177" s="27" t="s">
        <v>426</v>
      </c>
      <c r="F177" s="542"/>
      <c r="G177" s="542"/>
      <c r="H177" s="542"/>
      <c r="I177" s="542"/>
      <c r="J177" s="542"/>
      <c r="K177" s="2"/>
      <c r="L177" s="2"/>
      <c r="M177" s="2"/>
      <c r="N177" s="2"/>
      <c r="O177" s="542"/>
      <c r="P177" s="2"/>
      <c r="Q177" s="2"/>
      <c r="R177" s="2"/>
      <c r="S177" s="2"/>
      <c r="T177" s="542"/>
      <c r="U177" s="2"/>
      <c r="V177" s="2"/>
      <c r="W177" s="2"/>
      <c r="X177" s="2"/>
      <c r="Y177" s="542"/>
      <c r="Z177" s="59"/>
      <c r="AA177" s="59"/>
      <c r="AB177" s="59"/>
      <c r="AC177" s="59"/>
      <c r="AD177" s="542"/>
      <c r="AE177" s="59"/>
      <c r="AF177" s="59"/>
      <c r="AG177" s="59"/>
      <c r="AH177" s="59"/>
      <c r="AI177" s="542"/>
      <c r="AJ177" s="59"/>
      <c r="AK177" s="59"/>
      <c r="AL177" s="59"/>
      <c r="AM177" s="59"/>
      <c r="AN177" s="542"/>
      <c r="AO177" s="59"/>
      <c r="AP177" s="59"/>
      <c r="AQ177" s="59"/>
      <c r="AR177" s="59"/>
      <c r="AS177" s="542"/>
      <c r="AT177" s="59"/>
      <c r="AU177" s="59"/>
      <c r="AV177" s="59"/>
      <c r="AW177" s="59"/>
      <c r="AX177" s="542"/>
      <c r="BC177" s="542"/>
      <c r="BD177" s="59"/>
      <c r="BE177" s="59"/>
      <c r="BF177" s="59"/>
      <c r="BG177" s="59"/>
      <c r="BH177" s="542"/>
      <c r="BM177" s="542"/>
      <c r="BN177" s="360">
        <f>BN178*(Income!BN130-Income!BN117-Income!BN121)</f>
        <v>0.95141999999999993</v>
      </c>
      <c r="BO177" s="360">
        <f>BO178*(Income!BO130-Income!BO117-Income!BO121)</f>
        <v>1.1544000000000001</v>
      </c>
      <c r="BP177" s="360">
        <f>BP178*(Income!BP130-Income!BP117-Income!BP121)</f>
        <v>1.6727000000000001</v>
      </c>
      <c r="BQ177" s="360">
        <f>BQ178*(Income!BQ130-Income!BQ117-Income!BQ121)</f>
        <v>1.9429300000000005</v>
      </c>
      <c r="BR177" s="575">
        <f>SUM(BN177:BQ177)</f>
        <v>5.7214500000000008</v>
      </c>
      <c r="BS177" s="360">
        <f>BS178*(Income!BS130-Income!BS117-Income!BS121)</f>
        <v>1.6578999999999997</v>
      </c>
      <c r="BT177" s="360">
        <f>BT178*(Income!BT130-Income!BT117-Income!BT121)</f>
        <v>1.5962850000000002</v>
      </c>
      <c r="BU177" s="360">
        <f>BU178*(Income!BU130-Income!BU117-Income!BU121)</f>
        <v>1.6979</v>
      </c>
      <c r="BV177" s="360">
        <f>BV178*(Income!BV130-Income!BV117-Income!BV121)</f>
        <v>1.7786000000000002</v>
      </c>
      <c r="BW177" s="575">
        <f>SUM(BS177:BV177)</f>
        <v>6.7306849999999994</v>
      </c>
      <c r="BX177" s="360">
        <f>BX178*(Income!BX130-Income!BX117-Income!BX121)</f>
        <v>1.6713000000000002</v>
      </c>
      <c r="BY177" s="360">
        <f>BY178*(Income!BY130-Income!BY117-Income!BY121)</f>
        <v>1.3175999999999999</v>
      </c>
      <c r="BZ177" s="360">
        <f>BZ178*(Income!BZ130-Income!BZ117-Income!BZ121)</f>
        <v>1.5326</v>
      </c>
      <c r="CA177" s="360">
        <f>CA178*(Income!CA130-Income!CA117-Income!CA121)</f>
        <v>1.2429599999999996</v>
      </c>
      <c r="CB177" s="575">
        <f>SUM(BX177:CA177)</f>
        <v>5.7644599999999997</v>
      </c>
      <c r="CC177" s="699">
        <f>CC178*(Income!CC130-Income!CC117-Income!CC121)</f>
        <v>0.28512000000000015</v>
      </c>
      <c r="CD177" s="699">
        <f>CD178*(Income!CD130-Income!CD117-Income!CD121)</f>
        <v>0.29735999999999996</v>
      </c>
      <c r="CE177" s="699">
        <f>CE178*(Income!CE130-Income!CE117-Income!CE121)</f>
        <v>0.27412600000000004</v>
      </c>
      <c r="CF177" s="699">
        <f>CF178*(Income!CF130-Income!CF117-Income!CF121)</f>
        <v>0.35947799999999996</v>
      </c>
      <c r="CG177" s="575">
        <f>SUM(CC177:CF177)</f>
        <v>1.2160840000000002</v>
      </c>
      <c r="CH177" s="699">
        <f>CH178*(Income!CH130-Income!CH117-Income!CH121)</f>
        <v>0.29191999999999996</v>
      </c>
      <c r="CI177" s="637">
        <v>1.54</v>
      </c>
      <c r="CJ177" s="637">
        <v>1.1000000000000001</v>
      </c>
      <c r="CK177" s="637">
        <v>0.2</v>
      </c>
      <c r="CL177" s="575">
        <f>SUM(CH177:CK177)</f>
        <v>3.13192</v>
      </c>
      <c r="CM177" s="637">
        <v>0.2</v>
      </c>
      <c r="CN177" s="637">
        <v>0.2</v>
      </c>
      <c r="CO177" s="637">
        <v>0.2</v>
      </c>
      <c r="CP177" s="637">
        <v>0.2</v>
      </c>
      <c r="CQ177" s="575">
        <f>SUM(CM177:CP177)</f>
        <v>0.8</v>
      </c>
      <c r="CR177" s="637">
        <v>0.2</v>
      </c>
      <c r="CS177" s="637">
        <v>0.2</v>
      </c>
      <c r="CT177" s="637">
        <v>0.2</v>
      </c>
      <c r="CU177" s="637">
        <v>0.2</v>
      </c>
      <c r="CV177" s="575">
        <f>SUM(CR177:CU177)</f>
        <v>0.8</v>
      </c>
    </row>
    <row r="178" spans="5:100" ht="13.5" hidden="1" outlineLevel="1" x14ac:dyDescent="0.3">
      <c r="E178" s="365" t="s">
        <v>672</v>
      </c>
      <c r="F178" s="542"/>
      <c r="G178" s="542"/>
      <c r="H178" s="542"/>
      <c r="I178" s="542"/>
      <c r="J178" s="542"/>
      <c r="K178" s="2"/>
      <c r="L178" s="2"/>
      <c r="M178" s="2"/>
      <c r="N178" s="2"/>
      <c r="O178" s="542"/>
      <c r="P178" s="2"/>
      <c r="Q178" s="2"/>
      <c r="R178" s="2"/>
      <c r="S178" s="2"/>
      <c r="T178" s="542"/>
      <c r="U178" s="2"/>
      <c r="V178" s="2"/>
      <c r="W178" s="2"/>
      <c r="X178" s="2"/>
      <c r="Y178" s="542"/>
      <c r="Z178" s="59"/>
      <c r="AA178" s="59"/>
      <c r="AB178" s="59"/>
      <c r="AC178" s="59"/>
      <c r="AD178" s="542"/>
      <c r="AE178" s="59"/>
      <c r="AF178" s="59"/>
      <c r="AG178" s="59"/>
      <c r="AH178" s="59"/>
      <c r="AI178" s="542"/>
      <c r="AJ178" s="59"/>
      <c r="AK178" s="59"/>
      <c r="AL178" s="59"/>
      <c r="AM178" s="59"/>
      <c r="AN178" s="542"/>
      <c r="AO178" s="59"/>
      <c r="AP178" s="59"/>
      <c r="AQ178" s="59"/>
      <c r="AR178" s="59"/>
      <c r="AS178" s="542"/>
      <c r="AT178" s="59"/>
      <c r="AU178" s="59"/>
      <c r="AV178" s="59"/>
      <c r="AW178" s="59"/>
      <c r="AX178" s="542"/>
      <c r="BC178" s="542"/>
      <c r="BD178" s="59"/>
      <c r="BE178" s="59"/>
      <c r="BF178" s="59"/>
      <c r="BG178" s="59"/>
      <c r="BH178" s="542"/>
      <c r="BM178" s="542"/>
      <c r="BN178" s="456">
        <v>0.06</v>
      </c>
      <c r="BO178" s="456">
        <v>0.08</v>
      </c>
      <c r="BP178" s="456">
        <v>0.1</v>
      </c>
      <c r="BQ178" s="456">
        <v>0.11</v>
      </c>
      <c r="BR178" s="641">
        <f>BR177/(Income!BR130-Income!BR117-Income!BR121)</f>
        <v>8.8461895264158846E-2</v>
      </c>
      <c r="BS178" s="456">
        <v>0.1</v>
      </c>
      <c r="BT178" s="456">
        <v>9.5000000000000001E-2</v>
      </c>
      <c r="BU178" s="456">
        <v>0.1</v>
      </c>
      <c r="BV178" s="456">
        <v>0.1</v>
      </c>
      <c r="BW178" s="641">
        <f>BW177/(Income!BW130-Income!BW117-Income!BW121)</f>
        <v>9.8767150424816944E-2</v>
      </c>
      <c r="BX178" s="456">
        <v>0.1</v>
      </c>
      <c r="BY178" s="456">
        <v>0.08</v>
      </c>
      <c r="BZ178" s="481">
        <v>0.1</v>
      </c>
      <c r="CA178" s="481">
        <v>0.08</v>
      </c>
      <c r="CB178" s="641">
        <f>CB177/(Income!CB130-Income!CB117-Income!CB121)</f>
        <v>9.0004996408831153E-2</v>
      </c>
      <c r="CC178" s="712">
        <v>8.7999999999999995E-2</v>
      </c>
      <c r="CD178" s="712">
        <v>0.08</v>
      </c>
      <c r="CE178" s="712">
        <v>8.2000000000000003E-2</v>
      </c>
      <c r="CF178" s="712">
        <v>8.1000000000000003E-2</v>
      </c>
      <c r="CG178" s="641">
        <f>CG177/(Income!CG130-Income!CG117-Income!CG121)</f>
        <v>8.251350251051702E-2</v>
      </c>
      <c r="CH178" s="712">
        <v>8.2000000000000003E-2</v>
      </c>
      <c r="CI178" s="680">
        <f>CI177/(CI130-CI121-CI117)</f>
        <v>0.44482957827845182</v>
      </c>
      <c r="CJ178" s="680">
        <f>CJ177/(CJ130-CJ121-CJ117)</f>
        <v>0.32163742690058489</v>
      </c>
      <c r="CK178" s="680">
        <f>CK177/(CK130-CK121-CK117)</f>
        <v>5.8479532163742708E-2</v>
      </c>
      <c r="CL178" s="641">
        <f>CL177/(Income!CL130-Income!CL117-Income!CL121)</f>
        <v>0.22593565142115138</v>
      </c>
      <c r="CM178" s="680">
        <f>CM177/(CM130-CM121-CM117)</f>
        <v>5.7142857142857162E-2</v>
      </c>
      <c r="CN178" s="680">
        <f>CN177/(CN130-CN121-CN117)</f>
        <v>5.7971014492753624E-2</v>
      </c>
      <c r="CO178" s="680">
        <f>CO177/(CO130-CO121-CO117)</f>
        <v>5.7971014492753624E-2</v>
      </c>
      <c r="CP178" s="680">
        <f>CP177/(CP130-CP121-CP117)</f>
        <v>5.7971014492753624E-2</v>
      </c>
      <c r="CQ178" s="641">
        <f>CQ177/(Income!CQ130-Income!CQ117-Income!CQ121)</f>
        <v>5.7761732851985569E-2</v>
      </c>
      <c r="CR178" s="680">
        <f>CR177/(CR130-CR121-CR117)</f>
        <v>5.8823529411764719E-2</v>
      </c>
      <c r="CS178" s="680">
        <f>CS177/(CS130-CS121-CS117)</f>
        <v>5.8823529411764719E-2</v>
      </c>
      <c r="CT178" s="680">
        <f>CT177/(CT130-CT121-CT117)</f>
        <v>5.8823529411764719E-2</v>
      </c>
      <c r="CU178" s="680">
        <f>CU177/(CU130-CU121-CU117)</f>
        <v>5.8823529411764719E-2</v>
      </c>
      <c r="CV178" s="641">
        <f>CV177/(Income!CV130-Income!CV117-Income!CV121)</f>
        <v>5.8823529411764719E-2</v>
      </c>
    </row>
    <row r="179" spans="5:100" ht="13.5" hidden="1" outlineLevel="1" x14ac:dyDescent="0.25">
      <c r="E179" s="28" t="s">
        <v>674</v>
      </c>
      <c r="F179" s="542"/>
      <c r="G179" s="542"/>
      <c r="H179" s="542"/>
      <c r="I179" s="542"/>
      <c r="J179" s="542"/>
      <c r="K179" s="2"/>
      <c r="L179" s="2"/>
      <c r="M179" s="2"/>
      <c r="N179" s="2"/>
      <c r="O179" s="542"/>
      <c r="P179" s="2"/>
      <c r="Q179" s="2"/>
      <c r="R179" s="2"/>
      <c r="S179" s="2"/>
      <c r="T179" s="542"/>
      <c r="U179" s="2"/>
      <c r="V179" s="2"/>
      <c r="W179" s="2"/>
      <c r="X179" s="2"/>
      <c r="Y179" s="542"/>
      <c r="Z179" s="59"/>
      <c r="AA179" s="59"/>
      <c r="AB179" s="59"/>
      <c r="AC179" s="59"/>
      <c r="AD179" s="542"/>
      <c r="AE179" s="59"/>
      <c r="AF179" s="59"/>
      <c r="AG179" s="59"/>
      <c r="AH179" s="59"/>
      <c r="AI179" s="542"/>
      <c r="AJ179" s="59"/>
      <c r="AK179" s="59"/>
      <c r="AL179" s="59"/>
      <c r="AM179" s="59"/>
      <c r="AN179" s="542"/>
      <c r="AO179" s="59"/>
      <c r="AP179" s="59"/>
      <c r="AQ179" s="59"/>
      <c r="AR179" s="59"/>
      <c r="AS179" s="542"/>
      <c r="AT179" s="59"/>
      <c r="AU179" s="59"/>
      <c r="AV179" s="59"/>
      <c r="AW179" s="59"/>
      <c r="AX179" s="542"/>
      <c r="BC179" s="542"/>
      <c r="BD179" s="59"/>
      <c r="BE179" s="59"/>
      <c r="BF179" s="59"/>
      <c r="BG179" s="59"/>
      <c r="BH179" s="542"/>
      <c r="BM179" s="542"/>
      <c r="BN179" s="442">
        <f t="shared" ref="BN179:CQ179" si="285">BN175+BN177</f>
        <v>-21.409580000000002</v>
      </c>
      <c r="BO179" s="442">
        <f t="shared" si="285"/>
        <v>-24.4116</v>
      </c>
      <c r="BP179" s="633">
        <f t="shared" si="285"/>
        <v>-20.5623</v>
      </c>
      <c r="BQ179" s="442">
        <f t="shared" si="285"/>
        <v>-18.88007</v>
      </c>
      <c r="BR179" s="540">
        <f t="shared" si="285"/>
        <v>-85.263550000000009</v>
      </c>
      <c r="BS179" s="442">
        <f t="shared" si="285"/>
        <v>-23.820100000000004</v>
      </c>
      <c r="BT179" s="442">
        <f t="shared" si="285"/>
        <v>-21.966714999999997</v>
      </c>
      <c r="BU179" s="442">
        <f t="shared" si="285"/>
        <v>-26.129100000000001</v>
      </c>
      <c r="BV179" s="442">
        <f t="shared" si="285"/>
        <v>-26.5214</v>
      </c>
      <c r="BW179" s="540">
        <f>BW175+BW177</f>
        <v>-98.437314999999998</v>
      </c>
      <c r="BX179" s="442">
        <f t="shared" si="285"/>
        <v>-22.717700000000001</v>
      </c>
      <c r="BY179" s="442">
        <f t="shared" si="285"/>
        <v>-25.4514</v>
      </c>
      <c r="BZ179" s="442">
        <f t="shared" si="285"/>
        <v>-22.651400000000002</v>
      </c>
      <c r="CA179" s="442">
        <f>CA175+CA177</f>
        <v>-32.116040000000005</v>
      </c>
      <c r="CB179" s="540">
        <f t="shared" si="285"/>
        <v>-102.93653999999999</v>
      </c>
      <c r="CC179" s="707">
        <f t="shared" si="285"/>
        <v>-25.68188</v>
      </c>
      <c r="CD179" s="707">
        <f>CD175+CD177</f>
        <v>-25.455639999999999</v>
      </c>
      <c r="CE179" s="707">
        <f>CE175+CE177</f>
        <v>-23.587873999999999</v>
      </c>
      <c r="CF179" s="707">
        <f>CF175+CF177</f>
        <v>-23.982521999999999</v>
      </c>
      <c r="CG179" s="540">
        <f t="shared" si="285"/>
        <v>-98.707915999999997</v>
      </c>
      <c r="CH179" s="707">
        <f>CH175+CH177</f>
        <v>-27.548079999999999</v>
      </c>
      <c r="CI179" s="707">
        <f t="shared" si="285"/>
        <v>-25.46</v>
      </c>
      <c r="CJ179" s="707">
        <f t="shared" si="285"/>
        <v>-21.9</v>
      </c>
      <c r="CK179" s="707">
        <f t="shared" si="285"/>
        <v>-19.8</v>
      </c>
      <c r="CL179" s="540">
        <f t="shared" si="285"/>
        <v>-94.70808000000001</v>
      </c>
      <c r="CM179" s="707">
        <f>CM175+CM177</f>
        <v>-18.8</v>
      </c>
      <c r="CN179" s="707">
        <f>CN175+CN177</f>
        <v>-18.8</v>
      </c>
      <c r="CO179" s="707">
        <f>CO175+CO177</f>
        <v>-19.3</v>
      </c>
      <c r="CP179" s="707">
        <f>CP175+CP177</f>
        <v>-18.7</v>
      </c>
      <c r="CQ179" s="540">
        <f t="shared" si="285"/>
        <v>-75.600000000000009</v>
      </c>
      <c r="CR179" s="707">
        <f t="shared" ref="CR179:CV179" si="286">CR175+CR177</f>
        <v>-18.8</v>
      </c>
      <c r="CS179" s="707">
        <f t="shared" si="286"/>
        <v>-18.8</v>
      </c>
      <c r="CT179" s="707">
        <f t="shared" si="286"/>
        <v>-18.8</v>
      </c>
      <c r="CU179" s="707">
        <f t="shared" si="286"/>
        <v>-19.3</v>
      </c>
      <c r="CV179" s="540">
        <f t="shared" si="286"/>
        <v>-75.7</v>
      </c>
    </row>
    <row r="180" spans="5:100" ht="3.75" customHeight="1" collapsed="1" x14ac:dyDescent="0.25">
      <c r="CC180" s="700"/>
      <c r="CD180" s="700"/>
      <c r="CE180" s="700"/>
      <c r="CF180" s="700"/>
      <c r="CH180" s="700"/>
      <c r="CI180" s="700"/>
      <c r="CJ180" s="700"/>
      <c r="CK180" s="700"/>
      <c r="CM180" s="700"/>
      <c r="CN180" s="700"/>
      <c r="CO180" s="700"/>
      <c r="CP180" s="700"/>
    </row>
    <row r="181" spans="5:100" x14ac:dyDescent="0.25">
      <c r="E181" s="6" t="s">
        <v>18</v>
      </c>
      <c r="CC181" s="700"/>
      <c r="CD181" s="700"/>
      <c r="CE181" s="700"/>
      <c r="CF181" s="700"/>
      <c r="CH181" s="730"/>
      <c r="CI181" s="645"/>
      <c r="CJ181" s="645"/>
      <c r="CK181" s="645"/>
      <c r="CM181" s="645"/>
      <c r="CN181" s="645"/>
      <c r="CO181" s="645"/>
      <c r="CP181" s="645"/>
      <c r="CQ181" s="645"/>
    </row>
    <row r="182" spans="5:100" x14ac:dyDescent="0.25">
      <c r="CC182" s="730"/>
      <c r="CD182" s="730"/>
      <c r="CE182" s="730"/>
      <c r="CF182" s="730"/>
      <c r="CG182" s="730"/>
      <c r="CH182" s="730"/>
      <c r="CI182" s="798"/>
      <c r="CJ182" s="730"/>
      <c r="CK182" s="730"/>
      <c r="CL182" s="730"/>
      <c r="CM182" s="730"/>
      <c r="CN182" s="730"/>
      <c r="CO182" s="730"/>
      <c r="CP182" s="730"/>
      <c r="CQ182" s="730"/>
      <c r="CR182" s="730"/>
      <c r="CS182" s="730"/>
      <c r="CT182" s="730"/>
      <c r="CU182" s="730"/>
      <c r="CV182" s="730"/>
    </row>
  </sheetData>
  <phoneticPr fontId="0" type="noConversion"/>
  <printOptions horizontalCentered="1"/>
  <pageMargins left="0" right="0" top="0" bottom="0" header="0" footer="0"/>
  <pageSetup scale="60" pageOrder="overThenDown" orientation="portrait" horizontalDpi="1200" verticalDpi="1200" r:id="rId1"/>
  <headerFooter alignWithMargins="0">
    <oddFooter>&amp;RDaniel Salmon
BMO Capital Markets
(212) 885-4029</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IV72"/>
  <sheetViews>
    <sheetView showGridLines="0" topLeftCell="E1" zoomScaleNormal="100" workbookViewId="0">
      <pane xSplit="1" ySplit="6" topLeftCell="CG16" activePane="bottomRight" state="frozen"/>
      <selection activeCell="E1" sqref="E1"/>
      <selection pane="topRight" activeCell="F1" sqref="F1"/>
      <selection pane="bottomLeft" activeCell="E7" sqref="E7"/>
      <selection pane="bottomRight" activeCell="CJ61" sqref="CJ61"/>
    </sheetView>
  </sheetViews>
  <sheetFormatPr defaultColWidth="9" defaultRowHeight="12.75" outlineLevelCol="1" x14ac:dyDescent="0.25"/>
  <cols>
    <col min="1" max="4" width="9" style="2" hidden="1" customWidth="1" outlineLevel="1"/>
    <col min="5" max="5" width="41.1640625" style="6" customWidth="1" collapsed="1"/>
    <col min="6" max="16" width="9.33203125" style="6" hidden="1" customWidth="1"/>
    <col min="17" max="18" width="5.33203125" style="6" hidden="1" customWidth="1"/>
    <col min="19" max="19" width="7.33203125" style="6" hidden="1" customWidth="1"/>
    <col min="20" max="20" width="9.33203125" style="6" hidden="1" customWidth="1"/>
    <col min="21" max="23" width="5.33203125" style="6" hidden="1" customWidth="1"/>
    <col min="24" max="24" width="8.5" style="6" hidden="1" customWidth="1"/>
    <col min="25" max="25" width="9.33203125" style="6" hidden="1" customWidth="1"/>
    <col min="26" max="26" width="7.1640625" style="6" hidden="1" customWidth="1"/>
    <col min="27" max="27" width="7.5" style="6" hidden="1" customWidth="1"/>
    <col min="28" max="28" width="7" style="6" hidden="1" customWidth="1"/>
    <col min="29" max="29" width="7.33203125" style="6" hidden="1" customWidth="1"/>
    <col min="30" max="30" width="9.33203125" style="6" hidden="1" customWidth="1"/>
    <col min="31" max="31" width="7.1640625" style="6" hidden="1" customWidth="1"/>
    <col min="32" max="32" width="7.5" style="6" hidden="1" customWidth="1"/>
    <col min="33" max="33" width="7" style="6" hidden="1" customWidth="1"/>
    <col min="34" max="34" width="7.33203125" style="6" hidden="1" customWidth="1"/>
    <col min="35" max="43" width="9.33203125" style="6" hidden="1" customWidth="1"/>
    <col min="44" max="44" width="7.33203125" style="6" hidden="1" customWidth="1"/>
    <col min="45" max="46" width="9.33203125" style="6" hidden="1" customWidth="1"/>
    <col min="47" max="47" width="7.5" style="6" hidden="1" customWidth="1"/>
    <col min="48" max="48" width="7" style="6" hidden="1" customWidth="1"/>
    <col min="49" max="49" width="7.33203125" style="6" hidden="1" customWidth="1"/>
    <col min="50" max="53" width="9.33203125" style="6" hidden="1" customWidth="1"/>
    <col min="54" max="54" width="7.33203125" style="6" hidden="1" customWidth="1"/>
    <col min="55" max="55" width="9.33203125" style="6" hidden="1" customWidth="1"/>
    <col min="56" max="56" width="7.1640625" style="6" hidden="1" customWidth="1"/>
    <col min="57" max="57" width="7.5" style="6" hidden="1" customWidth="1"/>
    <col min="58" max="58" width="7" style="6" hidden="1" customWidth="1"/>
    <col min="59" max="59" width="7.33203125" style="6" hidden="1" customWidth="1"/>
    <col min="60" max="63" width="9.33203125" style="6" hidden="1" customWidth="1"/>
    <col min="64" max="64" width="6.33203125" style="6" hidden="1" customWidth="1"/>
    <col min="65" max="65" width="9.33203125" style="6" hidden="1" customWidth="1"/>
    <col min="66" max="67" width="6.33203125" style="6" hidden="1" customWidth="1"/>
    <col min="68" max="68" width="6.1640625" style="6" hidden="1" customWidth="1"/>
    <col min="69" max="69" width="6.33203125" style="6" hidden="1" customWidth="1"/>
    <col min="70" max="74" width="9" style="6" hidden="1" customWidth="1"/>
    <col min="75" max="75" width="9.83203125" style="6" hidden="1" customWidth="1"/>
    <col min="76" max="79" width="9" style="6" hidden="1" customWidth="1"/>
    <col min="80" max="80" width="9.83203125" style="6" hidden="1" customWidth="1"/>
    <col min="81" max="84" width="9" style="6" hidden="1" customWidth="1"/>
    <col min="85" max="85" width="9.83203125" style="6" customWidth="1"/>
    <col min="86" max="89" width="9" style="6" customWidth="1"/>
    <col min="90" max="90" width="9.83203125" style="6" customWidth="1"/>
    <col min="91" max="94" width="9" style="6" customWidth="1"/>
    <col min="95" max="95" width="9.5" style="6" customWidth="1"/>
    <col min="96" max="99" width="9" style="6" hidden="1" customWidth="1"/>
    <col min="100" max="16384" width="9" style="6"/>
  </cols>
  <sheetData>
    <row r="1" spans="1:256" s="2" customFormat="1" ht="12.75" customHeight="1" x14ac:dyDescent="0.25">
      <c r="Y1" s="6"/>
      <c r="CB1" s="122"/>
      <c r="CC1" s="803"/>
      <c r="CD1" s="803"/>
      <c r="CE1" s="803"/>
      <c r="CF1" s="122"/>
      <c r="CG1" s="122"/>
      <c r="CH1" s="122"/>
      <c r="CI1" s="122"/>
      <c r="CJ1" s="122"/>
      <c r="CK1" s="122"/>
      <c r="CL1" s="122"/>
      <c r="CM1" s="122"/>
      <c r="CN1" s="122"/>
      <c r="CO1" s="122"/>
      <c r="CP1" s="122"/>
      <c r="CQ1" s="122"/>
      <c r="CR1" s="122">
        <f t="shared" ref="CR1:CU1" si="0">CR28-CR54</f>
        <v>0</v>
      </c>
      <c r="CS1" s="122">
        <f t="shared" si="0"/>
        <v>0</v>
      </c>
      <c r="CT1" s="122">
        <f t="shared" si="0"/>
        <v>0</v>
      </c>
      <c r="CU1" s="122">
        <f t="shared" si="0"/>
        <v>0</v>
      </c>
      <c r="CV1" s="122"/>
    </row>
    <row r="2" spans="1:256" ht="12.75" customHeight="1" x14ac:dyDescent="0.25">
      <c r="E2" s="13" t="str">
        <f>Income!E2</f>
        <v>LiveRamp</v>
      </c>
      <c r="CE2" s="27"/>
      <c r="CF2" s="27"/>
      <c r="CG2" s="27"/>
      <c r="CH2" s="27"/>
      <c r="CI2" s="27"/>
      <c r="CJ2" s="27"/>
      <c r="CK2" s="27"/>
      <c r="CL2" s="27"/>
      <c r="CM2" s="27"/>
      <c r="CN2" s="27"/>
      <c r="CO2" s="27"/>
      <c r="CP2" s="27"/>
      <c r="CQ2" s="27"/>
    </row>
    <row r="3" spans="1:256" x14ac:dyDescent="0.25">
      <c r="E3" s="93" t="s">
        <v>200</v>
      </c>
    </row>
    <row r="4" spans="1:256"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102" t="str">
        <f>Income!CR4</f>
        <v>F2021E</v>
      </c>
      <c r="CS4" s="102"/>
      <c r="CT4" s="102"/>
      <c r="CU4" s="102"/>
      <c r="CV4" s="106" t="str">
        <f>Income!CV4</f>
        <v>Fiscal Year</v>
      </c>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c r="HO4" s="6"/>
      <c r="HP4" s="6"/>
      <c r="HQ4" s="6"/>
      <c r="HR4" s="6"/>
      <c r="HS4" s="6"/>
      <c r="HT4" s="6"/>
      <c r="HU4" s="6"/>
      <c r="HV4" s="6"/>
      <c r="HW4" s="6"/>
      <c r="HX4" s="6"/>
      <c r="HY4" s="6"/>
      <c r="HZ4" s="6"/>
      <c r="IA4" s="6"/>
      <c r="IB4" s="6"/>
      <c r="IC4" s="6"/>
      <c r="ID4" s="6"/>
      <c r="IE4" s="6"/>
      <c r="IF4" s="6"/>
      <c r="IG4" s="6"/>
      <c r="IH4" s="6"/>
      <c r="II4" s="6"/>
      <c r="IJ4" s="6"/>
      <c r="IK4" s="6"/>
      <c r="IL4" s="6"/>
      <c r="IM4" s="6"/>
      <c r="IN4" s="6"/>
      <c r="IO4" s="6"/>
      <c r="IP4" s="6"/>
      <c r="IQ4" s="6"/>
      <c r="IR4" s="6"/>
      <c r="IS4" s="6"/>
      <c r="IT4" s="6"/>
      <c r="IU4" s="6"/>
      <c r="IV4" s="6"/>
    </row>
    <row r="5" spans="1:256"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88" t="str">
        <f>Income!CR5</f>
        <v>F1QE</v>
      </c>
      <c r="CS5" s="88" t="str">
        <f>Income!CS5</f>
        <v>F2QE</v>
      </c>
      <c r="CT5" s="88" t="str">
        <f>Income!CT5</f>
        <v>F3QE</v>
      </c>
      <c r="CU5" s="88" t="str">
        <f>Income!CU5</f>
        <v>F4QE</v>
      </c>
      <c r="CV5" s="88" t="str">
        <f>Income!CV5</f>
        <v>F2021E</v>
      </c>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c r="HO5" s="6"/>
      <c r="HP5" s="6"/>
      <c r="HQ5" s="6"/>
      <c r="HR5" s="6"/>
      <c r="HS5" s="6"/>
      <c r="HT5" s="6"/>
      <c r="HU5" s="6"/>
      <c r="HV5" s="6"/>
      <c r="HW5" s="6"/>
      <c r="HX5" s="6"/>
      <c r="HY5" s="6"/>
      <c r="HZ5" s="6"/>
      <c r="IA5" s="6"/>
      <c r="IB5" s="6"/>
      <c r="IC5" s="6"/>
      <c r="ID5" s="6"/>
      <c r="IE5" s="6"/>
      <c r="IF5" s="6"/>
      <c r="IG5" s="6"/>
      <c r="IH5" s="6"/>
      <c r="II5" s="6"/>
      <c r="IJ5" s="6"/>
      <c r="IK5" s="6"/>
      <c r="IL5" s="6"/>
      <c r="IM5" s="6"/>
      <c r="IN5" s="6"/>
      <c r="IO5" s="6"/>
      <c r="IP5" s="6"/>
      <c r="IQ5" s="6"/>
      <c r="IR5" s="6"/>
      <c r="IS5" s="6"/>
      <c r="IT5" s="6"/>
      <c r="IU5" s="6"/>
      <c r="IV5" s="6"/>
    </row>
    <row r="6" spans="1:256" s="113" customFormat="1" ht="12" customHeight="1" x14ac:dyDescent="0.25">
      <c r="A6" s="2"/>
      <c r="B6" s="2"/>
      <c r="C6" s="2"/>
      <c r="D6" s="2"/>
      <c r="E6" s="112" t="str">
        <f>Income!E6</f>
        <v>Calendar quarter</v>
      </c>
      <c r="F6" s="88"/>
      <c r="G6" s="88"/>
      <c r="H6" s="88"/>
      <c r="I6" s="88"/>
      <c r="J6" s="88"/>
      <c r="K6" s="88"/>
      <c r="L6" s="88"/>
      <c r="M6" s="88"/>
      <c r="N6" s="88"/>
      <c r="O6" s="88"/>
      <c r="P6" s="88"/>
      <c r="Q6" s="88"/>
      <c r="R6" s="88"/>
      <c r="S6" s="88" t="str">
        <f>Income!S6</f>
        <v>Mar. '05</v>
      </c>
      <c r="T6" s="88"/>
      <c r="U6" s="88" t="str">
        <f>Income!U6</f>
        <v>June '05</v>
      </c>
      <c r="V6" s="88" t="str">
        <f>Income!V6</f>
        <v>Sept. '05</v>
      </c>
      <c r="W6" s="88" t="str">
        <f>Income!W6</f>
        <v>Dec. '05</v>
      </c>
      <c r="X6" s="88" t="str">
        <f>Income!X6</f>
        <v>Mar. '06</v>
      </c>
      <c r="Y6" s="88"/>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88" t="str">
        <f>Income!CR6</f>
        <v>June '20</v>
      </c>
      <c r="CS6" s="88" t="str">
        <f>Income!CS6</f>
        <v>Sept. '20</v>
      </c>
      <c r="CT6" s="88" t="str">
        <f>Income!CT6</f>
        <v>Dec. '20</v>
      </c>
      <c r="CU6" s="88" t="str">
        <f>Income!CU6</f>
        <v>Mar. '21</v>
      </c>
      <c r="CV6" s="88"/>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row>
    <row r="7" spans="1:256" ht="3.95" customHeight="1" x14ac:dyDescent="0.25">
      <c r="E7" s="152"/>
      <c r="F7" s="137"/>
      <c r="G7" s="137"/>
      <c r="H7" s="137"/>
      <c r="I7" s="137"/>
      <c r="J7" s="137"/>
      <c r="K7" s="10"/>
      <c r="L7" s="10"/>
      <c r="M7" s="10"/>
      <c r="N7" s="10"/>
      <c r="O7" s="137"/>
      <c r="P7" s="10"/>
      <c r="Q7" s="10"/>
      <c r="R7" s="10"/>
      <c r="S7" s="10"/>
      <c r="T7" s="137"/>
      <c r="U7" s="10"/>
      <c r="V7" s="10"/>
      <c r="W7" s="10"/>
      <c r="X7" s="10"/>
      <c r="Y7" s="137"/>
      <c r="Z7" s="10"/>
      <c r="AA7" s="10"/>
      <c r="AB7" s="10"/>
      <c r="AC7" s="10"/>
      <c r="AD7" s="137"/>
      <c r="AE7" s="10"/>
      <c r="AF7" s="10"/>
      <c r="AG7" s="10"/>
      <c r="AH7" s="10"/>
      <c r="AI7" s="137"/>
      <c r="AJ7" s="10"/>
      <c r="AK7" s="10"/>
      <c r="AL7" s="10"/>
      <c r="AM7" s="10"/>
      <c r="AN7" s="137"/>
      <c r="AO7" s="10"/>
      <c r="AP7" s="10"/>
      <c r="AQ7" s="10"/>
      <c r="AR7" s="10"/>
      <c r="AS7" s="137"/>
      <c r="AT7" s="10"/>
      <c r="AU7" s="10"/>
      <c r="AV7" s="10"/>
      <c r="AW7" s="10"/>
      <c r="AX7" s="137"/>
      <c r="AY7" s="10"/>
      <c r="AZ7" s="10"/>
      <c r="BA7" s="10"/>
      <c r="BB7" s="10"/>
      <c r="BC7" s="137"/>
      <c r="BD7" s="10"/>
      <c r="BE7" s="10"/>
      <c r="BF7" s="10"/>
      <c r="BG7" s="10"/>
      <c r="BH7" s="137"/>
      <c r="BI7" s="10"/>
      <c r="BJ7" s="10"/>
      <c r="BK7" s="10"/>
      <c r="BL7" s="10"/>
      <c r="BM7" s="137"/>
      <c r="BN7" s="10"/>
      <c r="BO7" s="10"/>
      <c r="BP7" s="10"/>
      <c r="BQ7" s="10"/>
      <c r="BR7" s="137"/>
      <c r="BS7" s="10"/>
      <c r="BT7" s="10"/>
      <c r="BU7" s="10"/>
      <c r="BV7" s="10"/>
      <c r="BW7" s="137"/>
      <c r="BX7" s="10"/>
      <c r="BY7" s="10"/>
      <c r="BZ7" s="10"/>
      <c r="CA7" s="10"/>
      <c r="CB7" s="137"/>
      <c r="CC7" s="788"/>
      <c r="CD7" s="788"/>
      <c r="CE7" s="788"/>
      <c r="CF7" s="788"/>
      <c r="CG7" s="137"/>
      <c r="CH7" s="788"/>
      <c r="CI7" s="788"/>
      <c r="CJ7" s="788"/>
      <c r="CK7" s="788"/>
      <c r="CL7" s="137"/>
      <c r="CM7" s="788"/>
      <c r="CN7" s="788"/>
      <c r="CO7" s="788"/>
      <c r="CP7" s="788"/>
      <c r="CQ7" s="137"/>
      <c r="CR7" s="788"/>
      <c r="CS7" s="788"/>
      <c r="CT7" s="788"/>
      <c r="CU7" s="788"/>
      <c r="CV7" s="137"/>
    </row>
    <row r="8" spans="1:256" ht="12" customHeight="1" x14ac:dyDescent="0.25">
      <c r="E8" s="93" t="s">
        <v>7</v>
      </c>
      <c r="F8" s="33"/>
      <c r="G8" s="33"/>
      <c r="H8" s="33"/>
      <c r="I8" s="33"/>
      <c r="J8" s="33"/>
      <c r="O8" s="33"/>
      <c r="T8" s="33"/>
      <c r="Y8" s="33"/>
      <c r="AD8" s="33"/>
      <c r="AI8" s="33"/>
      <c r="AK8" s="96"/>
      <c r="AN8" s="33"/>
      <c r="AS8" s="33"/>
      <c r="AT8" s="119"/>
      <c r="AU8" s="119"/>
      <c r="AV8" s="119"/>
      <c r="AW8" s="119"/>
      <c r="AX8" s="33"/>
      <c r="BC8" s="33"/>
      <c r="BD8" s="119"/>
      <c r="BE8" s="119"/>
      <c r="BF8" s="119"/>
      <c r="BG8" s="119"/>
      <c r="BH8" s="33"/>
      <c r="BM8" s="33"/>
      <c r="BR8" s="33"/>
      <c r="BW8" s="33"/>
      <c r="CB8" s="33"/>
      <c r="CC8" s="700"/>
      <c r="CD8" s="700"/>
      <c r="CE8" s="700"/>
      <c r="CF8" s="700"/>
      <c r="CG8" s="33"/>
      <c r="CH8" s="700"/>
      <c r="CI8" s="700"/>
      <c r="CJ8" s="700"/>
      <c r="CK8" s="700"/>
      <c r="CL8" s="33"/>
      <c r="CM8" s="700"/>
      <c r="CN8" s="700"/>
      <c r="CO8" s="700"/>
      <c r="CP8" s="700"/>
      <c r="CQ8" s="33"/>
      <c r="CR8" s="700"/>
      <c r="CS8" s="700"/>
      <c r="CT8" s="700"/>
      <c r="CU8" s="700"/>
      <c r="CV8" s="33"/>
    </row>
    <row r="9" spans="1:256" s="27" customFormat="1" ht="12" customHeight="1" x14ac:dyDescent="0.25">
      <c r="A9" s="153" t="s">
        <v>430</v>
      </c>
      <c r="B9" s="153" t="s">
        <v>431</v>
      </c>
      <c r="C9" s="153" t="s">
        <v>432</v>
      </c>
      <c r="D9" s="153" t="s">
        <v>433</v>
      </c>
      <c r="E9" s="27" t="s">
        <v>317</v>
      </c>
      <c r="F9" s="139"/>
      <c r="G9" s="139"/>
      <c r="H9" s="139"/>
      <c r="I9" s="139"/>
      <c r="J9" s="139"/>
      <c r="O9" s="139"/>
      <c r="S9" s="85">
        <f>'Cash Flow'!T48</f>
        <v>4.23000000000002</v>
      </c>
      <c r="T9" s="139">
        <f t="shared" ref="T9:T15" si="1">S9</f>
        <v>4.23000000000002</v>
      </c>
      <c r="X9" s="85">
        <f>'Cash Flow'!Y48</f>
        <v>7.7500000000000213</v>
      </c>
      <c r="Y9" s="139">
        <f t="shared" ref="Y9:Y15" si="2">X9</f>
        <v>7.7500000000000213</v>
      </c>
      <c r="AC9" s="85">
        <f>'Cash Flow'!AD48</f>
        <v>37.821000000000041</v>
      </c>
      <c r="AD9" s="139">
        <f t="shared" ref="AD9:AD15" si="3">AC9</f>
        <v>37.821000000000041</v>
      </c>
      <c r="AH9" s="85">
        <f>'Cash Flow'!AH48</f>
        <v>62.706000000000031</v>
      </c>
      <c r="AI9" s="139">
        <f t="shared" ref="AI9:AI15" si="4">AH9</f>
        <v>62.706000000000031</v>
      </c>
      <c r="AJ9" s="85">
        <f>'Cash Flow'!AJ48</f>
        <v>51.84400000000003</v>
      </c>
      <c r="AK9" s="85">
        <f>'Cash Flow'!AK48</f>
        <v>93.41500000000002</v>
      </c>
      <c r="AL9" s="27">
        <f>'Cash Flow'!AL48</f>
        <v>138.12</v>
      </c>
      <c r="AM9" s="85">
        <f>'Cash Flow'!AM48</f>
        <v>177.21100000000001</v>
      </c>
      <c r="AN9" s="139">
        <f t="shared" ref="AN9:AN15" si="5">AM9</f>
        <v>177.21100000000001</v>
      </c>
      <c r="AO9" s="27">
        <f>'Cash Flow'!AO48</f>
        <v>167.715</v>
      </c>
      <c r="AP9" s="27">
        <f>'Cash Flow'!AP48</f>
        <v>167.679</v>
      </c>
      <c r="AQ9" s="27">
        <f>'Cash Flow'!AQ48</f>
        <v>200.62700000000001</v>
      </c>
      <c r="AR9" s="27">
        <f>'Cash Flow'!AR48</f>
        <v>224.149</v>
      </c>
      <c r="AS9" s="139">
        <f t="shared" ref="AS9:AS15" si="6">AR9</f>
        <v>224.149</v>
      </c>
      <c r="AT9" s="27">
        <f>'Cash Flow'!AT48</f>
        <v>218.45700000000002</v>
      </c>
      <c r="AU9" s="27">
        <f>'Cash Flow'!AU48</f>
        <v>199.38400000000001</v>
      </c>
      <c r="AV9" s="27">
        <f>'Cash Flow'!AV48</f>
        <v>203.93600000000004</v>
      </c>
      <c r="AW9" s="27">
        <f>'Cash Flow'!AW48</f>
        <v>207.02300000000002</v>
      </c>
      <c r="AX9" s="139">
        <f t="shared" ref="AX9:AX15" si="7">AW9</f>
        <v>207.02300000000002</v>
      </c>
      <c r="AY9" s="27">
        <f>'Cash Flow'!AY48</f>
        <v>191.09400000000002</v>
      </c>
      <c r="AZ9" s="27">
        <f>'Cash Flow'!AZ48</f>
        <v>119.11300000000003</v>
      </c>
      <c r="BA9" s="27">
        <f>'Cash Flow'!BA48</f>
        <v>145.86300000000003</v>
      </c>
      <c r="BB9" s="27">
        <f>'Cash Flow'!BB48</f>
        <v>229.64800000000002</v>
      </c>
      <c r="BC9" s="139">
        <f t="shared" ref="BC9:BC15" si="8">BB9</f>
        <v>229.64800000000002</v>
      </c>
      <c r="BD9" s="27">
        <f>'Cash Flow'!BD48</f>
        <v>179.28200000000004</v>
      </c>
      <c r="BE9" s="27">
        <f>'Cash Flow'!BE48</f>
        <v>188.40400000000005</v>
      </c>
      <c r="BF9" s="27">
        <f>'Cash Flow'!BF48</f>
        <v>186.22000000000006</v>
      </c>
      <c r="BG9" s="27">
        <f>'Cash Flow'!BG48</f>
        <v>222.97400000000005</v>
      </c>
      <c r="BH9" s="139">
        <f t="shared" ref="BH9:BH15" si="9">BG9</f>
        <v>222.97400000000005</v>
      </c>
      <c r="BI9" s="27">
        <f>'Cash Flow'!BI48</f>
        <v>207.63000000000005</v>
      </c>
      <c r="BJ9" s="27">
        <f>'Cash Flow'!BJ48</f>
        <v>216.61600000000004</v>
      </c>
      <c r="BK9" s="27">
        <f>'Cash Flow'!BK48</f>
        <v>380.90800000000002</v>
      </c>
      <c r="BL9" s="27">
        <f>'Cash Flow'!BL48</f>
        <v>418.58600000000001</v>
      </c>
      <c r="BM9" s="139">
        <f t="shared" ref="BM9:BM15" si="10">BL9</f>
        <v>418.58600000000001</v>
      </c>
      <c r="BN9" s="27">
        <f>'Cash Flow'!BN48</f>
        <v>392.91840000000002</v>
      </c>
      <c r="BO9" s="27">
        <f>'Cash Flow'!BO48</f>
        <v>109.81040000000007</v>
      </c>
      <c r="BP9" s="27">
        <f>'Cash Flow'!BP48</f>
        <v>126.89140000000008</v>
      </c>
      <c r="BQ9" s="27">
        <f>'Cash Flow'!BQ48</f>
        <v>141.01040000000006</v>
      </c>
      <c r="BR9" s="139">
        <f t="shared" ref="BR9:BR15" si="11">BQ9</f>
        <v>141.01040000000006</v>
      </c>
      <c r="BS9" s="27">
        <f>'Cash Flow'!BS48</f>
        <v>123.19240000000005</v>
      </c>
      <c r="BT9" s="27">
        <f>'Cash Flow'!BT48</f>
        <v>180.94540000000006</v>
      </c>
      <c r="BU9" s="27">
        <f>'Cash Flow'!BU48</f>
        <v>186.39040000000008</v>
      </c>
      <c r="BV9" s="27">
        <f>'Cash Flow'!BV48</f>
        <v>189.62940000000009</v>
      </c>
      <c r="BW9" s="139">
        <f t="shared" ref="BW9:BW14" si="12">BV9</f>
        <v>189.62940000000009</v>
      </c>
      <c r="BX9" s="27">
        <f>'Cash Flow'!BX48</f>
        <v>150.1604000000001</v>
      </c>
      <c r="BY9" s="27">
        <f>'Cash Flow'!BY48</f>
        <v>175.40940000000009</v>
      </c>
      <c r="BZ9" s="27">
        <f>'Cash Flow'!BZ48</f>
        <v>137.85040000000009</v>
      </c>
      <c r="CA9" s="27">
        <f>'Cash Flow'!CA48</f>
        <v>170.34340000000009</v>
      </c>
      <c r="CB9" s="139">
        <f t="shared" ref="CB9:CB15" si="13">CA9</f>
        <v>170.34340000000009</v>
      </c>
      <c r="CC9" s="645">
        <f>'Cash Flow'!CC48</f>
        <v>162.173</v>
      </c>
      <c r="CD9" s="645">
        <f>'Cash Flow'!CD48</f>
        <v>168.352</v>
      </c>
      <c r="CE9" s="645">
        <f>'Cash Flow'!CE48</f>
        <v>175.77100000000002</v>
      </c>
      <c r="CF9" s="645">
        <f>'Cash Flow'!CF48</f>
        <v>160.03700000000001</v>
      </c>
      <c r="CG9" s="139">
        <f>CF9</f>
        <v>160.03700000000001</v>
      </c>
      <c r="CH9" s="645">
        <f>'Cash Flow'!CH48</f>
        <v>93.555000000000007</v>
      </c>
      <c r="CI9" s="645">
        <f>'Cash Flow'!CI48</f>
        <v>87.046999999999997</v>
      </c>
      <c r="CJ9" s="645">
        <f>'Cash Flow'!CJ48</f>
        <v>1603.7117380000002</v>
      </c>
      <c r="CK9" s="645">
        <f>'Cash Flow'!CK48</f>
        <v>1001.6681068537501</v>
      </c>
      <c r="CL9" s="139">
        <f>CK9</f>
        <v>1001.6681068537501</v>
      </c>
      <c r="CM9" s="645">
        <f>'Cash Flow'!CM48</f>
        <v>907.99699378459206</v>
      </c>
      <c r="CN9" s="645">
        <f>'Cash Flow'!CN48</f>
        <v>810.9815750808458</v>
      </c>
      <c r="CO9" s="645">
        <f>'Cash Flow'!CO48</f>
        <v>732.10270019184986</v>
      </c>
      <c r="CP9" s="645">
        <f>'Cash Flow'!CP48</f>
        <v>661.05203097623507</v>
      </c>
      <c r="CQ9" s="139">
        <f>CP9</f>
        <v>661.05203097623507</v>
      </c>
      <c r="CR9" s="645">
        <f>'Cash Flow'!CR48</f>
        <v>636.84673735711624</v>
      </c>
      <c r="CS9" s="645">
        <f>'Cash Flow'!CS48</f>
        <v>611.37101318367149</v>
      </c>
      <c r="CT9" s="645">
        <f>'Cash Flow'!CT48</f>
        <v>593.47067663215239</v>
      </c>
      <c r="CU9" s="645">
        <f>'Cash Flow'!CU48</f>
        <v>578.00855648671825</v>
      </c>
      <c r="CV9" s="139">
        <f>CU9</f>
        <v>578.00855648671825</v>
      </c>
    </row>
    <row r="10" spans="1:256" s="27" customFormat="1" ht="12" customHeight="1" x14ac:dyDescent="0.25">
      <c r="A10" s="154">
        <v>0</v>
      </c>
      <c r="B10" s="154">
        <v>0</v>
      </c>
      <c r="C10" s="154">
        <v>0</v>
      </c>
      <c r="D10" s="154">
        <v>0</v>
      </c>
      <c r="E10" s="27" t="s">
        <v>44</v>
      </c>
      <c r="F10" s="140"/>
      <c r="G10" s="140"/>
      <c r="H10" s="140"/>
      <c r="I10" s="140"/>
      <c r="J10" s="140"/>
      <c r="K10" s="124"/>
      <c r="L10" s="124"/>
      <c r="M10" s="124"/>
      <c r="N10" s="124"/>
      <c r="O10" s="139"/>
      <c r="P10" s="124"/>
      <c r="Q10" s="124"/>
      <c r="R10" s="124"/>
      <c r="S10" s="124">
        <v>0</v>
      </c>
      <c r="T10" s="139">
        <f t="shared" si="1"/>
        <v>0</v>
      </c>
      <c r="U10" s="124"/>
      <c r="V10" s="124"/>
      <c r="W10" s="124"/>
      <c r="X10" s="124">
        <v>0</v>
      </c>
      <c r="Y10" s="139">
        <f t="shared" si="2"/>
        <v>0</v>
      </c>
      <c r="Z10" s="124"/>
      <c r="AA10" s="124"/>
      <c r="AB10" s="124"/>
      <c r="AC10" s="124">
        <v>0</v>
      </c>
      <c r="AD10" s="139">
        <f t="shared" si="3"/>
        <v>0</v>
      </c>
      <c r="AE10" s="124"/>
      <c r="AF10" s="124"/>
      <c r="AG10" s="124"/>
      <c r="AH10" s="124">
        <v>0</v>
      </c>
      <c r="AI10" s="139">
        <f t="shared" si="4"/>
        <v>0</v>
      </c>
      <c r="AJ10" s="124">
        <v>0</v>
      </c>
      <c r="AK10" s="124">
        <v>0</v>
      </c>
      <c r="AL10" s="124">
        <v>0</v>
      </c>
      <c r="AM10" s="124">
        <v>0</v>
      </c>
      <c r="AN10" s="139">
        <f t="shared" si="5"/>
        <v>0</v>
      </c>
      <c r="AO10" s="124">
        <v>0</v>
      </c>
      <c r="AP10" s="124">
        <v>0</v>
      </c>
      <c r="AQ10" s="124">
        <v>0</v>
      </c>
      <c r="AR10" s="124">
        <v>0</v>
      </c>
      <c r="AS10" s="139">
        <f t="shared" si="6"/>
        <v>0</v>
      </c>
      <c r="AT10" s="124">
        <v>0</v>
      </c>
      <c r="AU10" s="124">
        <v>0</v>
      </c>
      <c r="AV10" s="124">
        <v>0</v>
      </c>
      <c r="AW10" s="124">
        <v>0</v>
      </c>
      <c r="AX10" s="139">
        <f t="shared" si="7"/>
        <v>0</v>
      </c>
      <c r="AY10" s="124">
        <v>0</v>
      </c>
      <c r="AZ10" s="124">
        <v>0</v>
      </c>
      <c r="BA10" s="124">
        <v>0</v>
      </c>
      <c r="BB10" s="124">
        <v>0</v>
      </c>
      <c r="BC10" s="139">
        <f t="shared" si="8"/>
        <v>0</v>
      </c>
      <c r="BD10" s="124">
        <v>0</v>
      </c>
      <c r="BE10" s="124">
        <v>0</v>
      </c>
      <c r="BF10" s="124">
        <v>0</v>
      </c>
      <c r="BG10" s="124">
        <v>0</v>
      </c>
      <c r="BH10" s="139">
        <f t="shared" si="9"/>
        <v>0</v>
      </c>
      <c r="BI10" s="124">
        <v>0</v>
      </c>
      <c r="BJ10" s="124">
        <v>0</v>
      </c>
      <c r="BK10" s="124">
        <v>0</v>
      </c>
      <c r="BL10" s="124">
        <v>0</v>
      </c>
      <c r="BM10" s="139">
        <f t="shared" si="10"/>
        <v>0</v>
      </c>
      <c r="BN10" s="124">
        <v>0</v>
      </c>
      <c r="BO10" s="124">
        <v>0</v>
      </c>
      <c r="BP10" s="124">
        <v>0</v>
      </c>
      <c r="BQ10" s="124">
        <v>0</v>
      </c>
      <c r="BR10" s="139">
        <f t="shared" si="11"/>
        <v>0</v>
      </c>
      <c r="BS10" s="124">
        <v>0</v>
      </c>
      <c r="BT10" s="124">
        <v>0</v>
      </c>
      <c r="BU10" s="124">
        <v>0</v>
      </c>
      <c r="BV10" s="124">
        <v>0</v>
      </c>
      <c r="BW10" s="139">
        <f t="shared" si="12"/>
        <v>0</v>
      </c>
      <c r="BX10" s="124">
        <v>0</v>
      </c>
      <c r="BY10" s="124">
        <v>0</v>
      </c>
      <c r="BZ10" s="124">
        <v>0</v>
      </c>
      <c r="CA10" s="124">
        <v>0</v>
      </c>
      <c r="CB10" s="139">
        <f t="shared" si="13"/>
        <v>0</v>
      </c>
      <c r="CC10" s="703">
        <f>CD10</f>
        <v>0</v>
      </c>
      <c r="CD10" s="703">
        <f>CE10</f>
        <v>0</v>
      </c>
      <c r="CE10" s="703">
        <f>CF10</f>
        <v>0</v>
      </c>
      <c r="CF10" s="636">
        <v>0</v>
      </c>
      <c r="CG10" s="139">
        <f t="shared" ref="CG10:CG15" si="14">CF10</f>
        <v>0</v>
      </c>
      <c r="CH10" s="703">
        <f t="shared" ref="CH10:CH15" si="15">CI10</f>
        <v>0</v>
      </c>
      <c r="CI10" s="636">
        <v>0</v>
      </c>
      <c r="CJ10" s="645">
        <f>CI10</f>
        <v>0</v>
      </c>
      <c r="CK10" s="645">
        <f>CJ10</f>
        <v>0</v>
      </c>
      <c r="CL10" s="139">
        <f t="shared" ref="CL10:CL14" si="16">CK10</f>
        <v>0</v>
      </c>
      <c r="CM10" s="645">
        <f>CL10</f>
        <v>0</v>
      </c>
      <c r="CN10" s="645">
        <f>CM10</f>
        <v>0</v>
      </c>
      <c r="CO10" s="645">
        <f>CN10</f>
        <v>0</v>
      </c>
      <c r="CP10" s="645">
        <f>CO10</f>
        <v>0</v>
      </c>
      <c r="CQ10" s="139">
        <f t="shared" ref="CQ10:CQ15" si="17">CP10</f>
        <v>0</v>
      </c>
      <c r="CR10" s="645">
        <f>CQ10</f>
        <v>0</v>
      </c>
      <c r="CS10" s="645">
        <f>CR10</f>
        <v>0</v>
      </c>
      <c r="CT10" s="645">
        <f>CS10</f>
        <v>0</v>
      </c>
      <c r="CU10" s="645">
        <f>CT10</f>
        <v>0</v>
      </c>
      <c r="CV10" s="139">
        <f t="shared" ref="CV10:CV15" si="18">CU10</f>
        <v>0</v>
      </c>
    </row>
    <row r="11" spans="1:256" s="27" customFormat="1" ht="12" customHeight="1" x14ac:dyDescent="0.25">
      <c r="A11" s="154">
        <v>0.75</v>
      </c>
      <c r="B11" s="154">
        <v>0.75</v>
      </c>
      <c r="C11" s="154">
        <v>0.75</v>
      </c>
      <c r="D11" s="154">
        <v>0.75</v>
      </c>
      <c r="E11" s="27" t="s">
        <v>318</v>
      </c>
      <c r="F11" s="140"/>
      <c r="G11" s="140"/>
      <c r="H11" s="140"/>
      <c r="I11" s="140"/>
      <c r="J11" s="140"/>
      <c r="K11" s="124"/>
      <c r="L11" s="124"/>
      <c r="M11" s="124"/>
      <c r="N11" s="124"/>
      <c r="O11" s="139"/>
      <c r="P11" s="124"/>
      <c r="Q11" s="124"/>
      <c r="R11" s="124"/>
      <c r="S11" s="124">
        <v>250.65299999999999</v>
      </c>
      <c r="T11" s="139">
        <f t="shared" si="1"/>
        <v>250.65299999999999</v>
      </c>
      <c r="U11" s="124"/>
      <c r="V11" s="124"/>
      <c r="W11" s="124"/>
      <c r="X11" s="124">
        <v>261.62400000000002</v>
      </c>
      <c r="Y11" s="139">
        <f t="shared" si="2"/>
        <v>261.62400000000002</v>
      </c>
      <c r="Z11" s="124"/>
      <c r="AA11" s="124"/>
      <c r="AB11" s="124"/>
      <c r="AC11" s="124">
        <v>285.85000000000002</v>
      </c>
      <c r="AD11" s="139">
        <f t="shared" si="3"/>
        <v>285.85000000000002</v>
      </c>
      <c r="AE11" s="124"/>
      <c r="AF11" s="124"/>
      <c r="AG11" s="124"/>
      <c r="AH11" s="124">
        <v>216.46199999999999</v>
      </c>
      <c r="AI11" s="139">
        <f t="shared" si="4"/>
        <v>216.46199999999999</v>
      </c>
      <c r="AJ11" s="124">
        <v>231.68799999999999</v>
      </c>
      <c r="AK11" s="124">
        <v>220.14699999999999</v>
      </c>
      <c r="AL11" s="124">
        <v>212.84100000000001</v>
      </c>
      <c r="AM11" s="124">
        <v>184.81399999999999</v>
      </c>
      <c r="AN11" s="139">
        <f t="shared" si="5"/>
        <v>184.81399999999999</v>
      </c>
      <c r="AO11" s="124">
        <v>189.98</v>
      </c>
      <c r="AP11" s="124">
        <v>182.61199999999999</v>
      </c>
      <c r="AQ11" s="124">
        <v>180.54599999999999</v>
      </c>
      <c r="AR11" s="124">
        <v>168.52199999999999</v>
      </c>
      <c r="AS11" s="139">
        <f t="shared" si="6"/>
        <v>168.52199999999999</v>
      </c>
      <c r="AT11" s="124">
        <v>183.64400000000001</v>
      </c>
      <c r="AU11" s="124">
        <v>174.35300000000001</v>
      </c>
      <c r="AV11" s="124">
        <v>171.69499999999999</v>
      </c>
      <c r="AW11" s="124">
        <v>171.25200000000001</v>
      </c>
      <c r="AX11" s="139">
        <f t="shared" si="7"/>
        <v>171.25200000000001</v>
      </c>
      <c r="AY11" s="124">
        <v>180.61</v>
      </c>
      <c r="AZ11" s="124">
        <v>181.423</v>
      </c>
      <c r="BA11" s="124">
        <v>170.73500000000001</v>
      </c>
      <c r="BB11" s="124">
        <v>169.446</v>
      </c>
      <c r="BC11" s="139">
        <f t="shared" si="8"/>
        <v>169.446</v>
      </c>
      <c r="BD11" s="124">
        <v>172.54900000000001</v>
      </c>
      <c r="BE11" s="124">
        <v>166.67500000000001</v>
      </c>
      <c r="BF11" s="124">
        <v>182.45699999999999</v>
      </c>
      <c r="BG11" s="124">
        <v>159.88200000000001</v>
      </c>
      <c r="BH11" s="139">
        <f t="shared" si="9"/>
        <v>159.88200000000001</v>
      </c>
      <c r="BI11" s="124">
        <v>159.654</v>
      </c>
      <c r="BJ11" s="124">
        <v>167.97900000000001</v>
      </c>
      <c r="BK11" s="124">
        <v>168.93100000000001</v>
      </c>
      <c r="BL11" s="124">
        <v>167.16900000000001</v>
      </c>
      <c r="BM11" s="139">
        <f t="shared" si="10"/>
        <v>167.16900000000001</v>
      </c>
      <c r="BN11" s="124">
        <v>150.60499999999999</v>
      </c>
      <c r="BO11" s="124">
        <v>156.5</v>
      </c>
      <c r="BP11" s="124">
        <v>155.86699999999999</v>
      </c>
      <c r="BQ11" s="124">
        <v>162.63900000000001</v>
      </c>
      <c r="BR11" s="139">
        <f t="shared" si="11"/>
        <v>162.63900000000001</v>
      </c>
      <c r="BS11" s="124">
        <v>135.626</v>
      </c>
      <c r="BT11" s="124">
        <v>135.89400000000001</v>
      </c>
      <c r="BU11" s="124">
        <v>140.821</v>
      </c>
      <c r="BV11" s="124">
        <v>138.65</v>
      </c>
      <c r="BW11" s="139">
        <f t="shared" si="12"/>
        <v>138.65</v>
      </c>
      <c r="BX11" s="124">
        <v>127.655</v>
      </c>
      <c r="BY11" s="124">
        <v>130.50899999999999</v>
      </c>
      <c r="BZ11" s="124">
        <v>137.523</v>
      </c>
      <c r="CA11" s="124">
        <v>142.768</v>
      </c>
      <c r="CB11" s="139">
        <f t="shared" si="13"/>
        <v>142.768</v>
      </c>
      <c r="CC11" s="703">
        <f>CD11</f>
        <v>57.046999999999997</v>
      </c>
      <c r="CD11" s="703">
        <f>CE11+5</f>
        <v>57.046999999999997</v>
      </c>
      <c r="CE11" s="703">
        <f>CF11</f>
        <v>52.046999999999997</v>
      </c>
      <c r="CF11" s="636">
        <v>52.046999999999997</v>
      </c>
      <c r="CG11" s="139">
        <f t="shared" si="14"/>
        <v>52.046999999999997</v>
      </c>
      <c r="CH11" s="703">
        <f t="shared" si="15"/>
        <v>41.11</v>
      </c>
      <c r="CI11" s="636">
        <v>41.11</v>
      </c>
      <c r="CJ11" s="796">
        <f>CI11</f>
        <v>41.11</v>
      </c>
      <c r="CK11" s="796">
        <f>CJ11+5</f>
        <v>46.11</v>
      </c>
      <c r="CL11" s="139">
        <f t="shared" si="16"/>
        <v>46.11</v>
      </c>
      <c r="CM11" s="796">
        <f>CK11-5</f>
        <v>41.11</v>
      </c>
      <c r="CN11" s="796">
        <f>CM11+3</f>
        <v>44.11</v>
      </c>
      <c r="CO11" s="796">
        <f>CN11+2</f>
        <v>46.11</v>
      </c>
      <c r="CP11" s="796">
        <f>CO11+1</f>
        <v>47.11</v>
      </c>
      <c r="CQ11" s="139">
        <f t="shared" si="17"/>
        <v>47.11</v>
      </c>
      <c r="CR11" s="796">
        <f>CP11-6</f>
        <v>41.11</v>
      </c>
      <c r="CS11" s="796">
        <f>CR11+2</f>
        <v>43.11</v>
      </c>
      <c r="CT11" s="796">
        <f>CS11+2</f>
        <v>45.11</v>
      </c>
      <c r="CU11" s="796">
        <f>CT11+2</f>
        <v>47.11</v>
      </c>
      <c r="CV11" s="139">
        <f t="shared" si="18"/>
        <v>47.11</v>
      </c>
    </row>
    <row r="12" spans="1:256" s="27" customFormat="1" ht="12" customHeight="1" x14ac:dyDescent="0.25">
      <c r="A12" s="154">
        <v>0</v>
      </c>
      <c r="B12" s="154">
        <v>0</v>
      </c>
      <c r="C12" s="154">
        <v>0</v>
      </c>
      <c r="D12" s="154">
        <v>0</v>
      </c>
      <c r="E12" s="27" t="s">
        <v>319</v>
      </c>
      <c r="F12" s="140"/>
      <c r="G12" s="140"/>
      <c r="H12" s="140"/>
      <c r="I12" s="140"/>
      <c r="J12" s="140"/>
      <c r="K12" s="124"/>
      <c r="L12" s="124"/>
      <c r="M12" s="124"/>
      <c r="N12" s="124"/>
      <c r="O12" s="139"/>
      <c r="P12" s="124"/>
      <c r="Q12" s="124"/>
      <c r="R12" s="124"/>
      <c r="S12" s="124">
        <v>0</v>
      </c>
      <c r="T12" s="139">
        <f t="shared" si="1"/>
        <v>0</v>
      </c>
      <c r="U12" s="124"/>
      <c r="V12" s="124"/>
      <c r="W12" s="124"/>
      <c r="X12" s="124">
        <v>0</v>
      </c>
      <c r="Y12" s="139">
        <f t="shared" si="2"/>
        <v>0</v>
      </c>
      <c r="Z12" s="124"/>
      <c r="AA12" s="124"/>
      <c r="AB12" s="124"/>
      <c r="AC12" s="124">
        <v>7.657</v>
      </c>
      <c r="AD12" s="139">
        <f t="shared" si="3"/>
        <v>7.657</v>
      </c>
      <c r="AE12" s="124"/>
      <c r="AF12" s="124"/>
      <c r="AG12" s="124"/>
      <c r="AH12" s="124">
        <v>16.079999999999998</v>
      </c>
      <c r="AI12" s="139">
        <f t="shared" si="4"/>
        <v>16.079999999999998</v>
      </c>
      <c r="AJ12" s="124">
        <v>12.096</v>
      </c>
      <c r="AK12" s="124">
        <v>1.0309999999999999</v>
      </c>
      <c r="AL12" s="124">
        <v>6.133</v>
      </c>
      <c r="AM12" s="124">
        <v>4.0279999999999996</v>
      </c>
      <c r="AN12" s="139">
        <f t="shared" si="5"/>
        <v>4.0279999999999996</v>
      </c>
      <c r="AO12" s="124">
        <v>0</v>
      </c>
      <c r="AP12" s="124">
        <v>0</v>
      </c>
      <c r="AQ12" s="124">
        <v>0</v>
      </c>
      <c r="AR12" s="124">
        <v>0</v>
      </c>
      <c r="AS12" s="139">
        <f t="shared" si="6"/>
        <v>0</v>
      </c>
      <c r="AT12" s="124">
        <v>0</v>
      </c>
      <c r="AU12" s="124">
        <v>7.9420000000000002</v>
      </c>
      <c r="AV12" s="124">
        <v>2.0710000000000002</v>
      </c>
      <c r="AW12" s="124">
        <v>0</v>
      </c>
      <c r="AX12" s="139">
        <f t="shared" si="7"/>
        <v>0</v>
      </c>
      <c r="AY12" s="124">
        <v>1.9</v>
      </c>
      <c r="AZ12" s="124">
        <v>0</v>
      </c>
      <c r="BA12" s="124">
        <v>0</v>
      </c>
      <c r="BB12" s="124">
        <v>0</v>
      </c>
      <c r="BC12" s="139">
        <f t="shared" si="8"/>
        <v>0</v>
      </c>
      <c r="BD12" s="124">
        <v>0</v>
      </c>
      <c r="BE12" s="124">
        <v>0</v>
      </c>
      <c r="BF12" s="124">
        <v>0</v>
      </c>
      <c r="BG12" s="124">
        <v>5.8090000000000002</v>
      </c>
      <c r="BH12" s="139">
        <f t="shared" si="9"/>
        <v>5.8090000000000002</v>
      </c>
      <c r="BI12" s="124">
        <v>0</v>
      </c>
      <c r="BJ12" s="124">
        <v>1.881</v>
      </c>
      <c r="BK12" s="124">
        <v>0</v>
      </c>
      <c r="BL12" s="124">
        <v>11.535</v>
      </c>
      <c r="BM12" s="139">
        <f t="shared" si="10"/>
        <v>11.535</v>
      </c>
      <c r="BN12" s="124">
        <v>11.436</v>
      </c>
      <c r="BO12" s="124">
        <v>5.1280000000000001</v>
      </c>
      <c r="BP12" s="124">
        <v>11.823</v>
      </c>
      <c r="BQ12" s="124">
        <v>5.2389999999999999</v>
      </c>
      <c r="BR12" s="139">
        <f t="shared" si="11"/>
        <v>5.2389999999999999</v>
      </c>
      <c r="BS12" s="124">
        <v>2.1000000000000001E-2</v>
      </c>
      <c r="BT12" s="124">
        <v>5.0970000000000004</v>
      </c>
      <c r="BU12" s="124">
        <v>6.899</v>
      </c>
      <c r="BV12" s="124">
        <v>9.8339999999999996</v>
      </c>
      <c r="BW12" s="139">
        <f t="shared" si="12"/>
        <v>9.8339999999999996</v>
      </c>
      <c r="BX12" s="124">
        <v>7.6059999999999999</v>
      </c>
      <c r="BY12" s="124">
        <v>5.3470000000000004</v>
      </c>
      <c r="BZ12" s="124">
        <v>0.52600000000000002</v>
      </c>
      <c r="CA12" s="124">
        <v>7.0979999999999999</v>
      </c>
      <c r="CB12" s="139">
        <f t="shared" si="13"/>
        <v>7.0979999999999999</v>
      </c>
      <c r="CC12" s="703">
        <f>CD12</f>
        <v>9.9770000000000003</v>
      </c>
      <c r="CD12" s="703">
        <f>CE12</f>
        <v>9.9770000000000003</v>
      </c>
      <c r="CE12" s="703">
        <f>CF12</f>
        <v>9.9770000000000003</v>
      </c>
      <c r="CF12" s="636">
        <v>9.9770000000000003</v>
      </c>
      <c r="CG12" s="139">
        <f t="shared" si="14"/>
        <v>9.9770000000000003</v>
      </c>
      <c r="CH12" s="703">
        <f t="shared" si="15"/>
        <v>19.285</v>
      </c>
      <c r="CI12" s="636">
        <v>19.285</v>
      </c>
      <c r="CJ12" s="796">
        <f>CI12-7.256</f>
        <v>12.029</v>
      </c>
      <c r="CK12" s="645">
        <f>CJ12</f>
        <v>12.029</v>
      </c>
      <c r="CL12" s="139">
        <f t="shared" si="16"/>
        <v>12.029</v>
      </c>
      <c r="CM12" s="645">
        <f>CL12</f>
        <v>12.029</v>
      </c>
      <c r="CN12" s="645">
        <f t="shared" ref="CN12:CN15" si="19">CM12</f>
        <v>12.029</v>
      </c>
      <c r="CO12" s="645">
        <f t="shared" ref="CO12:CO15" si="20">CN12</f>
        <v>12.029</v>
      </c>
      <c r="CP12" s="645">
        <f t="shared" ref="CP12:CP15" si="21">CO12</f>
        <v>12.029</v>
      </c>
      <c r="CQ12" s="139">
        <f t="shared" si="17"/>
        <v>12.029</v>
      </c>
      <c r="CR12" s="645">
        <f>CQ12</f>
        <v>12.029</v>
      </c>
      <c r="CS12" s="645">
        <f t="shared" ref="CS12:CS15" si="22">CR12</f>
        <v>12.029</v>
      </c>
      <c r="CT12" s="645">
        <f t="shared" ref="CT12:CT15" si="23">CS12</f>
        <v>12.029</v>
      </c>
      <c r="CU12" s="645">
        <f t="shared" ref="CU12:CU15" si="24">CT12</f>
        <v>12.029</v>
      </c>
      <c r="CV12" s="139">
        <f t="shared" si="18"/>
        <v>12.029</v>
      </c>
    </row>
    <row r="13" spans="1:256" s="27" customFormat="1" ht="12" customHeight="1" x14ac:dyDescent="0.25">
      <c r="A13" s="154">
        <v>0</v>
      </c>
      <c r="B13" s="154">
        <v>0</v>
      </c>
      <c r="C13" s="154">
        <v>0</v>
      </c>
      <c r="D13" s="154">
        <v>0</v>
      </c>
      <c r="E13" s="27" t="s">
        <v>320</v>
      </c>
      <c r="F13" s="140"/>
      <c r="G13" s="140"/>
      <c r="H13" s="140"/>
      <c r="I13" s="140"/>
      <c r="J13" s="140"/>
      <c r="K13" s="124"/>
      <c r="L13" s="124"/>
      <c r="M13" s="124"/>
      <c r="N13" s="124"/>
      <c r="O13" s="139"/>
      <c r="P13" s="124"/>
      <c r="Q13" s="124"/>
      <c r="R13" s="124"/>
      <c r="S13" s="124">
        <v>31.414999999999999</v>
      </c>
      <c r="T13" s="139">
        <f t="shared" si="1"/>
        <v>31.414999999999999</v>
      </c>
      <c r="U13" s="124"/>
      <c r="V13" s="124"/>
      <c r="W13" s="124"/>
      <c r="X13" s="124">
        <v>24.587</v>
      </c>
      <c r="Y13" s="139">
        <f t="shared" si="2"/>
        <v>24.587</v>
      </c>
      <c r="Z13" s="124"/>
      <c r="AA13" s="124"/>
      <c r="AB13" s="124"/>
      <c r="AC13" s="124">
        <v>22.341000000000001</v>
      </c>
      <c r="AD13" s="139">
        <f t="shared" si="3"/>
        <v>22.341000000000001</v>
      </c>
      <c r="AE13" s="124"/>
      <c r="AF13" s="124"/>
      <c r="AG13" s="124"/>
      <c r="AH13" s="124">
        <v>44.210999999999999</v>
      </c>
      <c r="AI13" s="139">
        <f t="shared" si="4"/>
        <v>44.210999999999999</v>
      </c>
      <c r="AJ13" s="124">
        <v>44.203000000000003</v>
      </c>
      <c r="AK13" s="124">
        <v>47.366</v>
      </c>
      <c r="AL13" s="124">
        <v>47.411000000000001</v>
      </c>
      <c r="AM13" s="124">
        <v>45.640999999999998</v>
      </c>
      <c r="AN13" s="139">
        <f t="shared" si="5"/>
        <v>45.640999999999998</v>
      </c>
      <c r="AO13" s="124">
        <v>45.698</v>
      </c>
      <c r="AP13" s="124">
        <v>45.503</v>
      </c>
      <c r="AQ13" s="124">
        <v>45.481000000000002</v>
      </c>
      <c r="AR13" s="124">
        <v>11.874000000000001</v>
      </c>
      <c r="AS13" s="139">
        <f t="shared" si="6"/>
        <v>11.874000000000001</v>
      </c>
      <c r="AT13" s="124">
        <v>11.765000000000001</v>
      </c>
      <c r="AU13" s="124">
        <v>11.885</v>
      </c>
      <c r="AV13" s="124">
        <v>11.863</v>
      </c>
      <c r="AW13" s="124">
        <v>12.48</v>
      </c>
      <c r="AX13" s="139">
        <f t="shared" si="7"/>
        <v>12.48</v>
      </c>
      <c r="AY13" s="124">
        <v>12.773</v>
      </c>
      <c r="AZ13" s="124">
        <v>11.778</v>
      </c>
      <c r="BA13" s="124">
        <v>11.516</v>
      </c>
      <c r="BB13" s="124">
        <v>15.106999999999999</v>
      </c>
      <c r="BC13" s="139">
        <f t="shared" si="8"/>
        <v>15.106999999999999</v>
      </c>
      <c r="BD13" s="124">
        <v>14.688000000000001</v>
      </c>
      <c r="BE13" s="124">
        <v>14.837</v>
      </c>
      <c r="BF13" s="124">
        <v>15.082000000000001</v>
      </c>
      <c r="BG13" s="124">
        <v>13.496</v>
      </c>
      <c r="BH13" s="139">
        <f t="shared" si="9"/>
        <v>13.496</v>
      </c>
      <c r="BI13" s="124">
        <v>13.574999999999999</v>
      </c>
      <c r="BJ13" s="124">
        <v>13.944000000000001</v>
      </c>
      <c r="BK13" s="124">
        <v>14.055</v>
      </c>
      <c r="BL13" s="124">
        <v>12.87</v>
      </c>
      <c r="BM13" s="139">
        <f t="shared" si="10"/>
        <v>12.87</v>
      </c>
      <c r="BN13" s="124">
        <v>12.285</v>
      </c>
      <c r="BO13" s="124">
        <v>18.09</v>
      </c>
      <c r="BP13" s="124">
        <v>15.808999999999999</v>
      </c>
      <c r="BQ13" s="124">
        <v>28.372</v>
      </c>
      <c r="BR13" s="139">
        <f t="shared" si="11"/>
        <v>28.372</v>
      </c>
      <c r="BS13" s="124">
        <v>23.111000000000001</v>
      </c>
      <c r="BT13" s="124">
        <v>15.510999999999999</v>
      </c>
      <c r="BU13" s="124">
        <v>16.475000000000001</v>
      </c>
      <c r="BV13" s="417">
        <v>0</v>
      </c>
      <c r="BW13" s="139">
        <f t="shared" si="12"/>
        <v>0</v>
      </c>
      <c r="BX13" s="417">
        <v>0</v>
      </c>
      <c r="BY13" s="417">
        <v>0</v>
      </c>
      <c r="BZ13" s="417">
        <v>0</v>
      </c>
      <c r="CA13" s="417">
        <v>0</v>
      </c>
      <c r="CB13" s="139">
        <f>CA13</f>
        <v>0</v>
      </c>
      <c r="CC13" s="703">
        <f>CD13</f>
        <v>0</v>
      </c>
      <c r="CD13" s="703">
        <f>CE13</f>
        <v>0</v>
      </c>
      <c r="CE13" s="703">
        <f>CF13</f>
        <v>0</v>
      </c>
      <c r="CF13" s="636">
        <v>0</v>
      </c>
      <c r="CG13" s="139">
        <f>CF13</f>
        <v>0</v>
      </c>
      <c r="CH13" s="703">
        <f t="shared" si="15"/>
        <v>0</v>
      </c>
      <c r="CI13" s="636">
        <v>0</v>
      </c>
      <c r="CJ13" s="645">
        <f>CI13</f>
        <v>0</v>
      </c>
      <c r="CK13" s="645">
        <f t="shared" ref="CK13:CK14" si="25">CJ13</f>
        <v>0</v>
      </c>
      <c r="CL13" s="139">
        <f t="shared" si="16"/>
        <v>0</v>
      </c>
      <c r="CM13" s="645">
        <f>CL13</f>
        <v>0</v>
      </c>
      <c r="CN13" s="645">
        <f t="shared" si="19"/>
        <v>0</v>
      </c>
      <c r="CO13" s="645">
        <f t="shared" si="20"/>
        <v>0</v>
      </c>
      <c r="CP13" s="645">
        <f t="shared" si="21"/>
        <v>0</v>
      </c>
      <c r="CQ13" s="139">
        <f t="shared" si="17"/>
        <v>0</v>
      </c>
      <c r="CR13" s="645">
        <f>CQ13</f>
        <v>0</v>
      </c>
      <c r="CS13" s="645">
        <f t="shared" si="22"/>
        <v>0</v>
      </c>
      <c r="CT13" s="645">
        <f t="shared" si="23"/>
        <v>0</v>
      </c>
      <c r="CU13" s="645">
        <f t="shared" si="24"/>
        <v>0</v>
      </c>
      <c r="CV13" s="139">
        <f t="shared" si="18"/>
        <v>0</v>
      </c>
    </row>
    <row r="14" spans="1:256" s="27" customFormat="1" ht="12" customHeight="1" x14ac:dyDescent="0.25">
      <c r="A14" s="154"/>
      <c r="B14" s="154"/>
      <c r="C14" s="154"/>
      <c r="D14" s="154"/>
      <c r="E14" s="27" t="s">
        <v>806</v>
      </c>
      <c r="F14" s="140"/>
      <c r="G14" s="140"/>
      <c r="H14" s="140"/>
      <c r="I14" s="140"/>
      <c r="J14" s="140"/>
      <c r="K14" s="124"/>
      <c r="L14" s="124"/>
      <c r="M14" s="124"/>
      <c r="N14" s="124"/>
      <c r="O14" s="139"/>
      <c r="P14" s="124"/>
      <c r="Q14" s="124"/>
      <c r="R14" s="124"/>
      <c r="S14" s="124"/>
      <c r="T14" s="139"/>
      <c r="U14" s="124"/>
      <c r="V14" s="124"/>
      <c r="W14" s="124"/>
      <c r="X14" s="124"/>
      <c r="Y14" s="139"/>
      <c r="Z14" s="124"/>
      <c r="AA14" s="124"/>
      <c r="AB14" s="124"/>
      <c r="AC14" s="124"/>
      <c r="AD14" s="139"/>
      <c r="AE14" s="124"/>
      <c r="AF14" s="124"/>
      <c r="AG14" s="124"/>
      <c r="AH14" s="124"/>
      <c r="AI14" s="139"/>
      <c r="AJ14" s="124"/>
      <c r="AK14" s="124"/>
      <c r="AL14" s="124"/>
      <c r="AM14" s="124"/>
      <c r="AN14" s="139"/>
      <c r="AO14" s="124"/>
      <c r="AP14" s="124"/>
      <c r="AQ14" s="124"/>
      <c r="AR14" s="124"/>
      <c r="AS14" s="139"/>
      <c r="AT14" s="124"/>
      <c r="AU14" s="124"/>
      <c r="AV14" s="124"/>
      <c r="AW14" s="124">
        <v>26.501000000000001</v>
      </c>
      <c r="AX14" s="139">
        <f t="shared" si="7"/>
        <v>26.501000000000001</v>
      </c>
      <c r="AY14" s="124"/>
      <c r="AZ14" s="124"/>
      <c r="BA14" s="124">
        <v>28.44</v>
      </c>
      <c r="BB14" s="124">
        <v>0</v>
      </c>
      <c r="BC14" s="139">
        <f t="shared" si="8"/>
        <v>0</v>
      </c>
      <c r="BD14" s="124">
        <v>0</v>
      </c>
      <c r="BE14" s="124">
        <v>0</v>
      </c>
      <c r="BF14" s="124">
        <v>0</v>
      </c>
      <c r="BG14" s="124">
        <v>0</v>
      </c>
      <c r="BH14" s="139">
        <f t="shared" si="9"/>
        <v>0</v>
      </c>
      <c r="BI14" s="124">
        <v>0</v>
      </c>
      <c r="BJ14" s="27">
        <v>0</v>
      </c>
      <c r="BK14" s="124">
        <v>0</v>
      </c>
      <c r="BL14" s="124">
        <v>0</v>
      </c>
      <c r="BM14" s="139">
        <f t="shared" si="10"/>
        <v>0</v>
      </c>
      <c r="BN14" s="124">
        <v>1.1399999999999999</v>
      </c>
      <c r="BO14" s="124">
        <v>0.95199999999999996</v>
      </c>
      <c r="BP14" s="124">
        <v>0.47799999999999998</v>
      </c>
      <c r="BQ14" s="124">
        <v>0.112</v>
      </c>
      <c r="BR14" s="139">
        <f t="shared" si="11"/>
        <v>0.112</v>
      </c>
      <c r="BS14" s="124">
        <v>163.768</v>
      </c>
      <c r="BT14" s="417">
        <v>0</v>
      </c>
      <c r="BU14" s="417">
        <v>0</v>
      </c>
      <c r="BV14" s="417">
        <v>0</v>
      </c>
      <c r="BW14" s="139">
        <f t="shared" si="12"/>
        <v>0</v>
      </c>
      <c r="BX14" s="417">
        <v>0</v>
      </c>
      <c r="BY14" s="417">
        <v>0</v>
      </c>
      <c r="BZ14" s="417">
        <v>0</v>
      </c>
      <c r="CA14" s="417">
        <v>0</v>
      </c>
      <c r="CB14" s="139">
        <f t="shared" si="13"/>
        <v>0</v>
      </c>
      <c r="CC14" s="703">
        <f>CD14</f>
        <v>136.667</v>
      </c>
      <c r="CD14" s="703">
        <f>CE14</f>
        <v>136.667</v>
      </c>
      <c r="CE14" s="703">
        <f>CF14-1.707</f>
        <v>136.667</v>
      </c>
      <c r="CF14" s="636">
        <v>138.374</v>
      </c>
      <c r="CG14" s="139">
        <f t="shared" si="14"/>
        <v>138.374</v>
      </c>
      <c r="CH14" s="703">
        <f t="shared" si="15"/>
        <v>703.00400000000002</v>
      </c>
      <c r="CI14" s="636">
        <v>703.00400000000002</v>
      </c>
      <c r="CJ14" s="796">
        <v>0</v>
      </c>
      <c r="CK14" s="645">
        <f t="shared" si="25"/>
        <v>0</v>
      </c>
      <c r="CL14" s="139">
        <f t="shared" si="16"/>
        <v>0</v>
      </c>
      <c r="CM14" s="645">
        <f>CL14</f>
        <v>0</v>
      </c>
      <c r="CN14" s="645">
        <f t="shared" si="19"/>
        <v>0</v>
      </c>
      <c r="CO14" s="645">
        <f t="shared" si="20"/>
        <v>0</v>
      </c>
      <c r="CP14" s="645">
        <f t="shared" si="21"/>
        <v>0</v>
      </c>
      <c r="CQ14" s="139">
        <f t="shared" si="17"/>
        <v>0</v>
      </c>
      <c r="CR14" s="645">
        <f>CQ14</f>
        <v>0</v>
      </c>
      <c r="CS14" s="645">
        <f t="shared" si="22"/>
        <v>0</v>
      </c>
      <c r="CT14" s="645">
        <f t="shared" si="23"/>
        <v>0</v>
      </c>
      <c r="CU14" s="645">
        <f t="shared" si="24"/>
        <v>0</v>
      </c>
      <c r="CV14" s="139">
        <f t="shared" si="18"/>
        <v>0</v>
      </c>
    </row>
    <row r="15" spans="1:256" s="27" customFormat="1" ht="12" customHeight="1" x14ac:dyDescent="0.25">
      <c r="A15" s="154">
        <v>0</v>
      </c>
      <c r="B15" s="154">
        <v>0</v>
      </c>
      <c r="C15" s="154">
        <v>0</v>
      </c>
      <c r="D15" s="154">
        <v>0</v>
      </c>
      <c r="E15" s="29" t="s">
        <v>64</v>
      </c>
      <c r="F15" s="141"/>
      <c r="G15" s="141"/>
      <c r="H15" s="141"/>
      <c r="I15" s="141"/>
      <c r="J15" s="141"/>
      <c r="K15" s="125"/>
      <c r="L15" s="125"/>
      <c r="M15" s="125"/>
      <c r="N15" s="125"/>
      <c r="O15" s="149"/>
      <c r="P15" s="125"/>
      <c r="Q15" s="125"/>
      <c r="R15" s="125"/>
      <c r="S15" s="125">
        <f>333.632-SUM(S9:S13)</f>
        <v>47.334000000000003</v>
      </c>
      <c r="T15" s="149">
        <f t="shared" si="1"/>
        <v>47.334000000000003</v>
      </c>
      <c r="U15" s="125"/>
      <c r="V15" s="125"/>
      <c r="W15" s="125"/>
      <c r="X15" s="125">
        <f>338.853-SUM(X9:X13)</f>
        <v>44.891999999999996</v>
      </c>
      <c r="Y15" s="149">
        <f t="shared" si="2"/>
        <v>44.891999999999996</v>
      </c>
      <c r="Z15" s="125"/>
      <c r="AA15" s="125"/>
      <c r="AB15" s="125"/>
      <c r="AC15" s="125">
        <f>412.876-SUM(AC9:AC13)</f>
        <v>59.206999999999937</v>
      </c>
      <c r="AD15" s="149">
        <f t="shared" si="3"/>
        <v>59.206999999999937</v>
      </c>
      <c r="AE15" s="125"/>
      <c r="AF15" s="125"/>
      <c r="AG15" s="125"/>
      <c r="AH15" s="125">
        <f>385.059-SUM(AH9:AH13)</f>
        <v>45.600000000000023</v>
      </c>
      <c r="AI15" s="149">
        <f t="shared" si="4"/>
        <v>45.600000000000023</v>
      </c>
      <c r="AJ15" s="125">
        <f>385.165-SUM(AJ9:AJ13)</f>
        <v>45.334000000000003</v>
      </c>
      <c r="AK15" s="125">
        <f>413.208-SUM(AK9:AK13)</f>
        <v>51.249000000000024</v>
      </c>
      <c r="AL15" s="125">
        <f>446.652-SUM(AL9:AL13)</f>
        <v>42.146999999999991</v>
      </c>
      <c r="AM15" s="125">
        <f>458.522-SUM(AM9:AM13)</f>
        <v>46.827999999999975</v>
      </c>
      <c r="AN15" s="149">
        <f t="shared" si="5"/>
        <v>46.827999999999975</v>
      </c>
      <c r="AO15" s="125">
        <f>456.026-SUM(AO9:AO13)</f>
        <v>52.633000000000038</v>
      </c>
      <c r="AP15" s="125">
        <f>447.751-SUM(AP9:AP13)</f>
        <v>51.956999999999994</v>
      </c>
      <c r="AQ15" s="125">
        <f>472.651-SUM(AQ9:AQ13)</f>
        <v>45.997000000000014</v>
      </c>
      <c r="AR15" s="125">
        <f>458.705-SUM(AR9:AR13)</f>
        <v>54.159999999999968</v>
      </c>
      <c r="AS15" s="149">
        <f t="shared" si="6"/>
        <v>54.159999999999968</v>
      </c>
      <c r="AT15" s="125">
        <f>466.665-SUM(AT9:AT13)</f>
        <v>52.799000000000035</v>
      </c>
      <c r="AU15" s="125">
        <f>445.562-SUM(AU9:AU13)</f>
        <v>51.99799999999999</v>
      </c>
      <c r="AV15" s="125">
        <f>445.033-SUM(AV9:AV13)</f>
        <v>55.467999999999961</v>
      </c>
      <c r="AW15" s="125">
        <f>480.276-SUM(AW9:AW14)</f>
        <v>63.019999999999982</v>
      </c>
      <c r="AX15" s="149">
        <f t="shared" si="7"/>
        <v>63.019999999999982</v>
      </c>
      <c r="AY15" s="125">
        <f>450.533-SUM(AY9:AY13)</f>
        <v>64.155999999999949</v>
      </c>
      <c r="AZ15" s="125">
        <f>369.079-SUM(AZ9:AZ13)</f>
        <v>56.76499999999993</v>
      </c>
      <c r="BA15" s="125">
        <f>408.599-SUM(BA9:BA14)</f>
        <v>52.044999999999902</v>
      </c>
      <c r="BB15" s="125">
        <f>472.005-SUM(BB9:BB14)</f>
        <v>57.803999999999974</v>
      </c>
      <c r="BC15" s="149">
        <f t="shared" si="8"/>
        <v>57.803999999999974</v>
      </c>
      <c r="BD15" s="125">
        <f>424.583-SUM(BD9:BD14)</f>
        <v>58.064000000000021</v>
      </c>
      <c r="BE15" s="125">
        <f>428.906-SUM(BE9:BE14)</f>
        <v>58.989999999999952</v>
      </c>
      <c r="BF15" s="125">
        <f>436.509-SUM(BF9:BF14)</f>
        <v>52.75</v>
      </c>
      <c r="BG15" s="125">
        <f>461.096-SUM(BG9:BG14)</f>
        <v>58.934999999999945</v>
      </c>
      <c r="BH15" s="149">
        <f t="shared" si="9"/>
        <v>58.934999999999945</v>
      </c>
      <c r="BI15" s="125">
        <f>436.814-SUM(BI9:BI14)</f>
        <v>55.954999999999984</v>
      </c>
      <c r="BJ15" s="125">
        <f>460.472-SUM(BJ9:BJ14)</f>
        <v>60.051999999999964</v>
      </c>
      <c r="BK15" s="125">
        <f>617.299-SUM(BK9:BK14)</f>
        <v>53.404999999999973</v>
      </c>
      <c r="BL15" s="125">
        <f>665.525-SUM(BL9:BL14)</f>
        <v>55.365000000000009</v>
      </c>
      <c r="BM15" s="149">
        <f t="shared" si="10"/>
        <v>55.365000000000009</v>
      </c>
      <c r="BN15" s="125">
        <f>620.028-SUM(BN9:BN14)</f>
        <v>51.643599999999992</v>
      </c>
      <c r="BO15" s="125">
        <f>378.853-SUM(BO9:BO14)</f>
        <v>88.372599999999977</v>
      </c>
      <c r="BP15" s="125">
        <f>392.031-SUM(BP9:BP14)</f>
        <v>81.162599999999941</v>
      </c>
      <c r="BQ15" s="125">
        <f>414.054-SUM(BQ9:BQ14)</f>
        <v>76.681599999999889</v>
      </c>
      <c r="BR15" s="149">
        <f t="shared" si="11"/>
        <v>76.681599999999889</v>
      </c>
      <c r="BS15" s="125">
        <f>513.905-SUM(BS9:BS14)</f>
        <v>68.186599999999885</v>
      </c>
      <c r="BT15" s="125">
        <f>377.384-SUM(BT9:BT14)</f>
        <v>39.936599999999942</v>
      </c>
      <c r="BU15" s="125">
        <f>386.503-SUM(BU9:BU14)</f>
        <v>35.917599999999879</v>
      </c>
      <c r="BV15" s="125">
        <f>376.01-SUM(BV9:BV14)</f>
        <v>37.896599999999864</v>
      </c>
      <c r="BW15" s="149">
        <f>BV15</f>
        <v>37.896599999999864</v>
      </c>
      <c r="BX15" s="125">
        <f>320.34-SUM(BX9:BX14)</f>
        <v>34.918599999999913</v>
      </c>
      <c r="BY15" s="125">
        <f>354.181-SUM(BY9:BY14)</f>
        <v>42.915599999999927</v>
      </c>
      <c r="BZ15" s="125">
        <f>323.934-SUM(BZ9:BZ14)</f>
        <v>48.034599999999955</v>
      </c>
      <c r="CA15" s="125">
        <f>368.519-SUM(CA9:CA14)</f>
        <v>48.309599999999875</v>
      </c>
      <c r="CB15" s="149">
        <f t="shared" si="13"/>
        <v>48.309599999999875</v>
      </c>
      <c r="CC15" s="801">
        <f>CD15</f>
        <v>0.15399999999999636</v>
      </c>
      <c r="CD15" s="801">
        <f>CE15</f>
        <v>0.15399999999999636</v>
      </c>
      <c r="CE15" s="801">
        <f>CF15</f>
        <v>0.15399999999999636</v>
      </c>
      <c r="CF15" s="789">
        <f>360.589-SUM(CF9:CF14)</f>
        <v>0.15399999999999636</v>
      </c>
      <c r="CG15" s="149">
        <f t="shared" si="14"/>
        <v>0.15399999999999636</v>
      </c>
      <c r="CH15" s="801">
        <f t="shared" si="15"/>
        <v>23.196000000000026</v>
      </c>
      <c r="CI15" s="789">
        <f>873.642-SUM(CI9:CI14)</f>
        <v>23.196000000000026</v>
      </c>
      <c r="CJ15" s="783">
        <f>CI15</f>
        <v>23.196000000000026</v>
      </c>
      <c r="CK15" s="783">
        <f>CJ15</f>
        <v>23.196000000000026</v>
      </c>
      <c r="CL15" s="149">
        <f>CK15</f>
        <v>23.196000000000026</v>
      </c>
      <c r="CM15" s="783">
        <f>CL15</f>
        <v>23.196000000000026</v>
      </c>
      <c r="CN15" s="783">
        <f t="shared" si="19"/>
        <v>23.196000000000026</v>
      </c>
      <c r="CO15" s="783">
        <f t="shared" si="20"/>
        <v>23.196000000000026</v>
      </c>
      <c r="CP15" s="783">
        <f t="shared" si="21"/>
        <v>23.196000000000026</v>
      </c>
      <c r="CQ15" s="149">
        <f t="shared" si="17"/>
        <v>23.196000000000026</v>
      </c>
      <c r="CR15" s="783">
        <f>CQ15</f>
        <v>23.196000000000026</v>
      </c>
      <c r="CS15" s="783">
        <f t="shared" si="22"/>
        <v>23.196000000000026</v>
      </c>
      <c r="CT15" s="783">
        <f t="shared" si="23"/>
        <v>23.196000000000026</v>
      </c>
      <c r="CU15" s="783">
        <f t="shared" si="24"/>
        <v>23.196000000000026</v>
      </c>
      <c r="CV15" s="149">
        <f t="shared" si="18"/>
        <v>23.196000000000026</v>
      </c>
    </row>
    <row r="16" spans="1:256" s="130" customFormat="1" ht="12" customHeight="1" x14ac:dyDescent="0.25">
      <c r="A16" s="155"/>
      <c r="B16" s="155"/>
      <c r="C16" s="155"/>
      <c r="D16" s="155"/>
      <c r="E16" s="130" t="s">
        <v>8</v>
      </c>
      <c r="F16" s="127"/>
      <c r="G16" s="127"/>
      <c r="H16" s="127"/>
      <c r="I16" s="127"/>
      <c r="J16" s="127"/>
      <c r="O16" s="127"/>
      <c r="S16" s="130">
        <f>SUM(S9:S15)</f>
        <v>333.63200000000001</v>
      </c>
      <c r="T16" s="127">
        <f>SUM(T9:T15)</f>
        <v>333.63200000000001</v>
      </c>
      <c r="X16" s="130">
        <f>SUM(X9:X15)</f>
        <v>338.85300000000001</v>
      </c>
      <c r="Y16" s="127">
        <f>SUM(Y9:Y15)</f>
        <v>338.85300000000001</v>
      </c>
      <c r="AC16" s="130">
        <f>SUM(AC9:AC15)</f>
        <v>412.87599999999998</v>
      </c>
      <c r="AD16" s="127">
        <f>SUM(AD9:AD15)</f>
        <v>412.87599999999998</v>
      </c>
      <c r="AH16" s="130">
        <f t="shared" ref="AH16:AT16" si="26">SUM(AH9:AH15)</f>
        <v>385.05900000000003</v>
      </c>
      <c r="AI16" s="127">
        <f t="shared" si="26"/>
        <v>385.05900000000003</v>
      </c>
      <c r="AJ16" s="130">
        <f t="shared" si="26"/>
        <v>385.16500000000002</v>
      </c>
      <c r="AK16" s="130">
        <f t="shared" si="26"/>
        <v>413.20800000000003</v>
      </c>
      <c r="AL16" s="130">
        <f t="shared" si="26"/>
        <v>446.65199999999999</v>
      </c>
      <c r="AM16" s="130">
        <f t="shared" si="26"/>
        <v>458.52199999999999</v>
      </c>
      <c r="AN16" s="127">
        <f t="shared" si="26"/>
        <v>458.52199999999999</v>
      </c>
      <c r="AO16" s="130">
        <f t="shared" si="26"/>
        <v>456.02600000000001</v>
      </c>
      <c r="AP16" s="130">
        <f t="shared" si="26"/>
        <v>447.75099999999998</v>
      </c>
      <c r="AQ16" s="130">
        <f t="shared" si="26"/>
        <v>472.65100000000001</v>
      </c>
      <c r="AR16" s="130">
        <f t="shared" si="26"/>
        <v>458.70499999999998</v>
      </c>
      <c r="AS16" s="127">
        <f t="shared" si="26"/>
        <v>458.70499999999998</v>
      </c>
      <c r="AT16" s="130">
        <f t="shared" si="26"/>
        <v>466.66500000000002</v>
      </c>
      <c r="AU16" s="130">
        <f t="shared" ref="AU16:BM16" si="27">SUM(AU9:AU15)</f>
        <v>445.56200000000001</v>
      </c>
      <c r="AV16" s="130">
        <f t="shared" si="27"/>
        <v>445.03300000000002</v>
      </c>
      <c r="AW16" s="130">
        <f t="shared" si="27"/>
        <v>480.27600000000001</v>
      </c>
      <c r="AX16" s="127">
        <f t="shared" si="27"/>
        <v>480.27600000000001</v>
      </c>
      <c r="AY16" s="130">
        <f t="shared" si="27"/>
        <v>450.53300000000002</v>
      </c>
      <c r="AZ16" s="130">
        <f t="shared" si="27"/>
        <v>369.07900000000001</v>
      </c>
      <c r="BA16" s="130">
        <f t="shared" si="27"/>
        <v>408.59899999999999</v>
      </c>
      <c r="BB16" s="130">
        <f t="shared" si="27"/>
        <v>472.005</v>
      </c>
      <c r="BC16" s="127">
        <f t="shared" si="27"/>
        <v>472.005</v>
      </c>
      <c r="BD16" s="130">
        <f t="shared" si="27"/>
        <v>424.58300000000003</v>
      </c>
      <c r="BE16" s="130">
        <f t="shared" si="27"/>
        <v>428.90600000000001</v>
      </c>
      <c r="BF16" s="130">
        <f t="shared" si="27"/>
        <v>436.50900000000001</v>
      </c>
      <c r="BG16" s="130">
        <f t="shared" si="27"/>
        <v>461.096</v>
      </c>
      <c r="BH16" s="127">
        <f t="shared" si="27"/>
        <v>461.096</v>
      </c>
      <c r="BI16" s="130">
        <f t="shared" si="27"/>
        <v>436.81400000000002</v>
      </c>
      <c r="BJ16" s="130">
        <f t="shared" si="27"/>
        <v>460.47199999999998</v>
      </c>
      <c r="BK16" s="130">
        <f t="shared" si="27"/>
        <v>617.29899999999998</v>
      </c>
      <c r="BL16" s="130">
        <f t="shared" si="27"/>
        <v>665.52499999999998</v>
      </c>
      <c r="BM16" s="127">
        <f t="shared" si="27"/>
        <v>665.52499999999998</v>
      </c>
      <c r="BN16" s="130">
        <f t="shared" ref="BN16:CB16" si="28">SUM(BN9:BN15)</f>
        <v>620.02800000000002</v>
      </c>
      <c r="BO16" s="130">
        <f t="shared" si="28"/>
        <v>378.85300000000001</v>
      </c>
      <c r="BP16" s="130">
        <f t="shared" si="28"/>
        <v>392.03100000000001</v>
      </c>
      <c r="BQ16" s="130">
        <f t="shared" si="28"/>
        <v>414.05399999999997</v>
      </c>
      <c r="BR16" s="127">
        <f t="shared" si="28"/>
        <v>414.05399999999997</v>
      </c>
      <c r="BS16" s="130">
        <f t="shared" si="28"/>
        <v>513.90499999999997</v>
      </c>
      <c r="BT16" s="130">
        <f t="shared" si="28"/>
        <v>377.38400000000001</v>
      </c>
      <c r="BU16" s="130">
        <f>SUM(BU9:BU15)</f>
        <v>386.50299999999999</v>
      </c>
      <c r="BV16" s="130">
        <f>SUM(BV9:BV15)</f>
        <v>376.01</v>
      </c>
      <c r="BW16" s="127">
        <f t="shared" si="28"/>
        <v>376.01</v>
      </c>
      <c r="BX16" s="130">
        <f>SUM(BX9:BX15)</f>
        <v>320.33999999999997</v>
      </c>
      <c r="BY16" s="130">
        <f>SUM(BY9:BY15)</f>
        <v>354.18099999999998</v>
      </c>
      <c r="BZ16" s="130">
        <f>SUM(BZ9:BZ15)</f>
        <v>323.93400000000003</v>
      </c>
      <c r="CA16" s="130">
        <f>SUM(CA9:CA15)</f>
        <v>368.51900000000001</v>
      </c>
      <c r="CB16" s="127">
        <f t="shared" si="28"/>
        <v>368.51900000000001</v>
      </c>
      <c r="CC16" s="794">
        <f>SUM(CC9:CC15)</f>
        <v>366.01800000000003</v>
      </c>
      <c r="CD16" s="794">
        <f>SUM(CD9:CD15)</f>
        <v>372.197</v>
      </c>
      <c r="CE16" s="794">
        <f>SUM(CE9:CE15)</f>
        <v>374.61599999999999</v>
      </c>
      <c r="CF16" s="794">
        <f>SUM(CF9:CF15)</f>
        <v>360.589</v>
      </c>
      <c r="CG16" s="127">
        <f t="shared" ref="CG16:CL16" si="29">SUM(CG9:CG15)</f>
        <v>360.589</v>
      </c>
      <c r="CH16" s="794">
        <f>SUM(CH9:CH15)</f>
        <v>880.15000000000009</v>
      </c>
      <c r="CI16" s="794">
        <f t="shared" si="29"/>
        <v>873.64200000000005</v>
      </c>
      <c r="CJ16" s="794">
        <f>SUM(CJ9:CJ15)</f>
        <v>1680.046738</v>
      </c>
      <c r="CK16" s="794">
        <f t="shared" si="29"/>
        <v>1083.0031068537501</v>
      </c>
      <c r="CL16" s="127">
        <f t="shared" si="29"/>
        <v>1083.0031068537501</v>
      </c>
      <c r="CM16" s="794">
        <f t="shared" ref="CM16:CQ16" si="30">SUM(CM9:CM15)</f>
        <v>984.3319937845921</v>
      </c>
      <c r="CN16" s="794">
        <f t="shared" si="30"/>
        <v>890.31657508084584</v>
      </c>
      <c r="CO16" s="794">
        <f t="shared" si="30"/>
        <v>813.4377001918499</v>
      </c>
      <c r="CP16" s="794">
        <f t="shared" si="30"/>
        <v>743.38703097623511</v>
      </c>
      <c r="CQ16" s="127">
        <f t="shared" si="30"/>
        <v>743.38703097623511</v>
      </c>
      <c r="CR16" s="794">
        <f t="shared" ref="CR16:CV16" si="31">SUM(CR9:CR15)</f>
        <v>713.18173735711628</v>
      </c>
      <c r="CS16" s="794">
        <f t="shared" si="31"/>
        <v>689.70601318367153</v>
      </c>
      <c r="CT16" s="794">
        <f t="shared" si="31"/>
        <v>673.80567663215243</v>
      </c>
      <c r="CU16" s="794">
        <f t="shared" si="31"/>
        <v>660.34355648671828</v>
      </c>
      <c r="CV16" s="127">
        <f t="shared" si="31"/>
        <v>660.34355648671828</v>
      </c>
    </row>
    <row r="17" spans="1:100" s="27" customFormat="1" ht="3.95" customHeight="1" x14ac:dyDescent="0.25">
      <c r="A17" s="154"/>
      <c r="B17" s="154"/>
      <c r="C17" s="154"/>
      <c r="D17" s="154"/>
      <c r="F17" s="139"/>
      <c r="G17" s="139"/>
      <c r="H17" s="139"/>
      <c r="I17" s="139"/>
      <c r="J17" s="139"/>
      <c r="O17" s="139"/>
      <c r="T17" s="139"/>
      <c r="Y17" s="139"/>
      <c r="AD17" s="139"/>
      <c r="AI17" s="139"/>
      <c r="AN17" s="139"/>
      <c r="AS17" s="139"/>
      <c r="AX17" s="139"/>
      <c r="BC17" s="139"/>
      <c r="BH17" s="139"/>
      <c r="BM17" s="139"/>
      <c r="BR17" s="139"/>
      <c r="BW17" s="139"/>
      <c r="CB17" s="139"/>
      <c r="CC17" s="645"/>
      <c r="CD17" s="645"/>
      <c r="CE17" s="645"/>
      <c r="CF17" s="645"/>
      <c r="CG17" s="139"/>
      <c r="CH17" s="645"/>
      <c r="CI17" s="645"/>
      <c r="CJ17" s="645"/>
      <c r="CK17" s="645"/>
      <c r="CL17" s="139"/>
      <c r="CM17" s="645"/>
      <c r="CN17" s="645"/>
      <c r="CO17" s="645"/>
      <c r="CP17" s="645"/>
      <c r="CQ17" s="139"/>
      <c r="CR17" s="645"/>
      <c r="CS17" s="645"/>
      <c r="CT17" s="645"/>
      <c r="CU17" s="645"/>
      <c r="CV17" s="139"/>
    </row>
    <row r="18" spans="1:100" s="27" customFormat="1" ht="12" customHeight="1" x14ac:dyDescent="0.25">
      <c r="A18" s="154"/>
      <c r="B18" s="154"/>
      <c r="C18" s="154"/>
      <c r="D18" s="154"/>
      <c r="E18" s="27" t="s">
        <v>321</v>
      </c>
      <c r="F18" s="139"/>
      <c r="G18" s="139"/>
      <c r="H18" s="139"/>
      <c r="I18" s="139"/>
      <c r="J18" s="139"/>
      <c r="O18" s="139"/>
      <c r="S18" s="124"/>
      <c r="T18" s="139"/>
      <c r="X18" s="124"/>
      <c r="Y18" s="139"/>
      <c r="AC18" s="124"/>
      <c r="AD18" s="139"/>
      <c r="AH18" s="124">
        <v>765.04600000000005</v>
      </c>
      <c r="AI18" s="139">
        <f t="shared" ref="AI18:AI25" si="32">AH18</f>
        <v>765.04600000000005</v>
      </c>
      <c r="AJ18" s="124">
        <v>768.91399999999999</v>
      </c>
      <c r="AK18" s="124">
        <v>737.29899999999998</v>
      </c>
      <c r="AL18" s="124">
        <v>738.28899999999999</v>
      </c>
      <c r="AM18" s="124">
        <v>745.99900000000002</v>
      </c>
      <c r="AN18" s="139">
        <f t="shared" ref="AN18:AN25" si="33">AM18</f>
        <v>745.99900000000002</v>
      </c>
      <c r="AO18" s="124">
        <v>760.66899999999998</v>
      </c>
      <c r="AP18" s="124">
        <v>778.697</v>
      </c>
      <c r="AQ18" s="124">
        <v>797.029</v>
      </c>
      <c r="AR18" s="124">
        <v>824.08399999999995</v>
      </c>
      <c r="AS18" s="139">
        <f>AR18</f>
        <v>824.08399999999995</v>
      </c>
      <c r="AT18" s="124">
        <v>840.17899999999997</v>
      </c>
      <c r="AU18" s="124">
        <v>869.61099999999999</v>
      </c>
      <c r="AV18" s="124">
        <v>877.19200000000001</v>
      </c>
      <c r="AW18" s="124">
        <v>886.96699999999998</v>
      </c>
      <c r="AX18" s="139">
        <f>AW18</f>
        <v>886.96699999999998</v>
      </c>
      <c r="AY18" s="124">
        <v>899.04700000000003</v>
      </c>
      <c r="AZ18" s="124">
        <v>899.68399999999997</v>
      </c>
      <c r="BA18" s="124">
        <v>908.36699999999996</v>
      </c>
      <c r="BB18" s="124">
        <v>913.07299999999998</v>
      </c>
      <c r="BC18" s="139">
        <f>BB18</f>
        <v>913.07299999999998</v>
      </c>
      <c r="BD18" s="124">
        <v>798.90800000000002</v>
      </c>
      <c r="BE18" s="124">
        <v>805.62</v>
      </c>
      <c r="BF18" s="124">
        <v>811.41600000000005</v>
      </c>
      <c r="BG18" s="124">
        <v>822.43899999999996</v>
      </c>
      <c r="BH18" s="139">
        <f>BG18</f>
        <v>822.43899999999996</v>
      </c>
      <c r="BI18" s="124">
        <v>830.26900000000001</v>
      </c>
      <c r="BJ18" s="124">
        <v>839.82799999999997</v>
      </c>
      <c r="BK18" s="124">
        <v>846.95</v>
      </c>
      <c r="BL18" s="124">
        <v>852.23599999999999</v>
      </c>
      <c r="BM18" s="139">
        <f>BL18</f>
        <v>852.23599999999999</v>
      </c>
      <c r="BN18" s="124">
        <v>854.54399999999998</v>
      </c>
      <c r="BO18" s="124">
        <v>859.57399999999996</v>
      </c>
      <c r="BP18" s="124">
        <v>733.38699999999994</v>
      </c>
      <c r="BQ18" s="124">
        <v>723.00599999999997</v>
      </c>
      <c r="BR18" s="139">
        <f>BQ18</f>
        <v>723.00599999999997</v>
      </c>
      <c r="BS18" s="124">
        <v>505.73599999999999</v>
      </c>
      <c r="BT18" s="124">
        <v>509.57299999999998</v>
      </c>
      <c r="BU18" s="124">
        <v>520.26199999999994</v>
      </c>
      <c r="BV18" s="124">
        <v>528.67499999999995</v>
      </c>
      <c r="BW18" s="139">
        <f>BV18</f>
        <v>528.67499999999995</v>
      </c>
      <c r="BX18" s="124">
        <v>530.58799999999997</v>
      </c>
      <c r="BY18" s="124">
        <v>521.79300000000001</v>
      </c>
      <c r="BZ18" s="124">
        <v>526.84699999999998</v>
      </c>
      <c r="CA18" s="124">
        <v>476.28100000000001</v>
      </c>
      <c r="CB18" s="139">
        <f>CA18</f>
        <v>476.28100000000001</v>
      </c>
      <c r="CC18" s="703">
        <f t="shared" ref="CC18:CE19" si="34">CD18</f>
        <v>62.353000000000002</v>
      </c>
      <c r="CD18" s="703">
        <f t="shared" si="34"/>
        <v>62.353000000000002</v>
      </c>
      <c r="CE18" s="703">
        <f t="shared" si="34"/>
        <v>62.353000000000002</v>
      </c>
      <c r="CF18" s="636">
        <v>62.353000000000002</v>
      </c>
      <c r="CG18" s="139">
        <f>CF18</f>
        <v>62.353000000000002</v>
      </c>
      <c r="CH18" s="703">
        <f>CI18</f>
        <v>58.451000000000001</v>
      </c>
      <c r="CI18" s="636">
        <v>58.451000000000001</v>
      </c>
      <c r="CJ18" s="645">
        <f>CI18-'Cash Flow'!CJ26</f>
        <v>60.451000000000001</v>
      </c>
      <c r="CK18" s="645">
        <f>CJ18-'Cash Flow'!CK26</f>
        <v>63.850999999999999</v>
      </c>
      <c r="CL18" s="139">
        <f>CK18</f>
        <v>63.850999999999999</v>
      </c>
      <c r="CM18" s="645">
        <f>CL18-'Cash Flow'!CM26</f>
        <v>66.20191955</v>
      </c>
      <c r="CN18" s="645">
        <f>CM18-'Cash Flow'!CN26</f>
        <v>68.719904349999993</v>
      </c>
      <c r="CO18" s="645">
        <f>CN18-'Cash Flow'!CO26</f>
        <v>71.494072500629997</v>
      </c>
      <c r="CP18" s="645">
        <f>CO18-'Cash Flow'!CP26</f>
        <v>74.07706167968</v>
      </c>
      <c r="CQ18" s="139">
        <f>CP18</f>
        <v>74.07706167968</v>
      </c>
      <c r="CR18" s="645">
        <f>CQ18-'Cash Flow'!CR26</f>
        <v>76.580318453680007</v>
      </c>
      <c r="CS18" s="645">
        <f>CR18-'Cash Flow'!CS26</f>
        <v>79.323614956080007</v>
      </c>
      <c r="CT18" s="645">
        <f>CS18-'Cash Flow'!CT26</f>
        <v>82.686139379113413</v>
      </c>
      <c r="CU18" s="645">
        <f>CT18-'Cash Flow'!CU26</f>
        <v>86.051534865445419</v>
      </c>
      <c r="CV18" s="139">
        <f>CU18</f>
        <v>86.051534865445419</v>
      </c>
    </row>
    <row r="19" spans="1:100" s="29" customFormat="1" ht="12" customHeight="1" x14ac:dyDescent="0.25">
      <c r="A19" s="369"/>
      <c r="B19" s="369"/>
      <c r="C19" s="369"/>
      <c r="D19" s="369"/>
      <c r="E19" s="27" t="s">
        <v>323</v>
      </c>
      <c r="F19" s="149"/>
      <c r="G19" s="149"/>
      <c r="H19" s="149"/>
      <c r="I19" s="149"/>
      <c r="J19" s="149"/>
      <c r="O19" s="149"/>
      <c r="S19" s="125"/>
      <c r="T19" s="149"/>
      <c r="X19" s="125"/>
      <c r="Y19" s="149"/>
      <c r="AC19" s="125"/>
      <c r="AD19" s="149"/>
      <c r="AH19" s="125">
        <v>-498.77699999999999</v>
      </c>
      <c r="AI19" s="149">
        <f t="shared" si="32"/>
        <v>-498.77699999999999</v>
      </c>
      <c r="AJ19" s="125">
        <v>-515.23900000000003</v>
      </c>
      <c r="AK19" s="125">
        <v>-513.24400000000003</v>
      </c>
      <c r="AL19" s="125">
        <v>-523.48599999999999</v>
      </c>
      <c r="AM19" s="125">
        <v>-531.41</v>
      </c>
      <c r="AN19" s="149">
        <f t="shared" si="33"/>
        <v>-531.41</v>
      </c>
      <c r="AO19" s="125">
        <v>-548.03</v>
      </c>
      <c r="AP19" s="125">
        <v>-559.89099999999996</v>
      </c>
      <c r="AQ19" s="125">
        <v>-576.04999999999995</v>
      </c>
      <c r="AR19" s="125">
        <v>-587.245</v>
      </c>
      <c r="AS19" s="149">
        <f>AR19</f>
        <v>-587.245</v>
      </c>
      <c r="AT19" s="125">
        <v>-599.83900000000006</v>
      </c>
      <c r="AU19" s="125">
        <v>-616.03499999999997</v>
      </c>
      <c r="AV19" s="125">
        <v>-618.49</v>
      </c>
      <c r="AW19" s="125">
        <v>-632.29700000000003</v>
      </c>
      <c r="AX19" s="149">
        <f>AW19</f>
        <v>-632.29700000000003</v>
      </c>
      <c r="AY19" s="125">
        <v>-643.61800000000005</v>
      </c>
      <c r="AZ19" s="125">
        <v>-648.38300000000004</v>
      </c>
      <c r="BA19" s="125">
        <v>-654.39200000000005</v>
      </c>
      <c r="BB19" s="125">
        <v>-659.7</v>
      </c>
      <c r="BC19" s="149">
        <f>BB19</f>
        <v>-659.7</v>
      </c>
      <c r="BD19" s="125">
        <v>-555.97299999999996</v>
      </c>
      <c r="BE19" s="125">
        <v>-569.34</v>
      </c>
      <c r="BF19" s="125">
        <v>-579.64200000000005</v>
      </c>
      <c r="BG19" s="125">
        <v>-591.68700000000001</v>
      </c>
      <c r="BH19" s="149">
        <f>BG19</f>
        <v>-591.68700000000001</v>
      </c>
      <c r="BI19" s="125">
        <v>-603.66200000000003</v>
      </c>
      <c r="BJ19" s="125">
        <v>-617.49199999999996</v>
      </c>
      <c r="BK19" s="125">
        <v>-632.17200000000003</v>
      </c>
      <c r="BL19" s="125">
        <v>-635.33000000000004</v>
      </c>
      <c r="BM19" s="149">
        <f>BL19</f>
        <v>-635.33000000000004</v>
      </c>
      <c r="BN19" s="125">
        <v>-638.22199999999998</v>
      </c>
      <c r="BO19" s="125">
        <v>-637.76400000000001</v>
      </c>
      <c r="BP19" s="125">
        <v>-516.899</v>
      </c>
      <c r="BQ19" s="125">
        <v>-502.416</v>
      </c>
      <c r="BR19" s="149">
        <f>BQ19</f>
        <v>-502.416</v>
      </c>
      <c r="BS19" s="125">
        <v>-325.995</v>
      </c>
      <c r="BT19" s="125">
        <v>-333.40499999999997</v>
      </c>
      <c r="BU19" s="125">
        <v>-341.86799999999999</v>
      </c>
      <c r="BV19" s="125">
        <v>-345.63200000000001</v>
      </c>
      <c r="BW19" s="149">
        <f>BV19</f>
        <v>-345.63200000000001</v>
      </c>
      <c r="BX19" s="125">
        <v>-351.37700000000001</v>
      </c>
      <c r="BY19" s="125">
        <v>-346.85700000000003</v>
      </c>
      <c r="BZ19" s="125">
        <v>-352.84199999999998</v>
      </c>
      <c r="CA19" s="125">
        <v>-320.30700000000002</v>
      </c>
      <c r="CB19" s="149">
        <f>CA19</f>
        <v>-320.30700000000002</v>
      </c>
      <c r="CC19" s="801">
        <f t="shared" si="34"/>
        <v>-30.013000000000002</v>
      </c>
      <c r="CD19" s="801">
        <f t="shared" si="34"/>
        <v>-30.013000000000002</v>
      </c>
      <c r="CE19" s="801">
        <f t="shared" si="34"/>
        <v>-30.013000000000002</v>
      </c>
      <c r="CF19" s="789">
        <v>-30.013000000000002</v>
      </c>
      <c r="CG19" s="149">
        <f>CF19</f>
        <v>-30.013000000000002</v>
      </c>
      <c r="CH19" s="801">
        <f>CI19</f>
        <v>-29.966000000000001</v>
      </c>
      <c r="CI19" s="789">
        <v>-29.966000000000001</v>
      </c>
      <c r="CJ19" s="783">
        <f>CI19-(('Cash Flow'!CJ10-Income!CJ117))</f>
        <v>-35.125999999999998</v>
      </c>
      <c r="CK19" s="783">
        <f>CJ19-(('Cash Flow'!CK10-Income!CK117))</f>
        <v>-40.285999999999994</v>
      </c>
      <c r="CL19" s="149">
        <f>CK19</f>
        <v>-40.285999999999994</v>
      </c>
      <c r="CM19" s="783">
        <f>CL19-(('Cash Flow'!CM10-Income!CM117))</f>
        <v>-45.48599999999999</v>
      </c>
      <c r="CN19" s="783">
        <f>CM19-(('Cash Flow'!CN10-Income!CN117))</f>
        <v>-50.635999999999989</v>
      </c>
      <c r="CO19" s="783">
        <f>CN19-(('Cash Flow'!CO10-Income!CO117))</f>
        <v>-55.785999999999987</v>
      </c>
      <c r="CP19" s="783">
        <f>CO19-(('Cash Flow'!CP10-Income!CP117))</f>
        <v>-60.935999999999986</v>
      </c>
      <c r="CQ19" s="149">
        <f>CP19</f>
        <v>-60.935999999999986</v>
      </c>
      <c r="CR19" s="783">
        <f>CQ19-(('Cash Flow'!CR10-Income!CR117))</f>
        <v>-66.035999999999987</v>
      </c>
      <c r="CS19" s="783">
        <f>CR19-(('Cash Flow'!CS10-Income!CS117))</f>
        <v>-71.135999999999981</v>
      </c>
      <c r="CT19" s="783">
        <f>CS19-(('Cash Flow'!CT10-Income!CT117))</f>
        <v>-76.235999999999976</v>
      </c>
      <c r="CU19" s="783">
        <f>CT19-(('Cash Flow'!CU10-Income!CU117))</f>
        <v>-81.33599999999997</v>
      </c>
      <c r="CV19" s="149">
        <f>CU19</f>
        <v>-81.33599999999997</v>
      </c>
    </row>
    <row r="20" spans="1:100" s="130" customFormat="1" ht="12" customHeight="1" x14ac:dyDescent="0.25">
      <c r="A20" s="155"/>
      <c r="B20" s="155"/>
      <c r="C20" s="155"/>
      <c r="D20" s="155"/>
      <c r="E20" s="130" t="s">
        <v>322</v>
      </c>
      <c r="F20" s="370"/>
      <c r="G20" s="370"/>
      <c r="H20" s="370"/>
      <c r="I20" s="370"/>
      <c r="J20" s="370"/>
      <c r="K20" s="107"/>
      <c r="L20" s="107"/>
      <c r="M20" s="107"/>
      <c r="N20" s="107"/>
      <c r="O20" s="127"/>
      <c r="P20" s="107"/>
      <c r="Q20" s="107"/>
      <c r="R20" s="107"/>
      <c r="S20" s="124">
        <v>323.38600000000002</v>
      </c>
      <c r="T20" s="139">
        <f t="shared" ref="T20:T26" si="35">S20</f>
        <v>323.38600000000002</v>
      </c>
      <c r="U20" s="107"/>
      <c r="V20" s="107"/>
      <c r="W20" s="107"/>
      <c r="X20" s="124">
        <v>333.77100000000002</v>
      </c>
      <c r="Y20" s="139">
        <f t="shared" ref="Y20:Y26" si="36">X20</f>
        <v>333.77100000000002</v>
      </c>
      <c r="AC20" s="124">
        <v>312.29199999999997</v>
      </c>
      <c r="AD20" s="139">
        <f t="shared" ref="AD20:AD26" si="37">AC20</f>
        <v>312.29199999999997</v>
      </c>
      <c r="AH20" s="130">
        <f t="shared" ref="AH20:AT20" si="38">AH18+AH19</f>
        <v>266.26900000000006</v>
      </c>
      <c r="AI20" s="127">
        <f t="shared" si="38"/>
        <v>266.26900000000006</v>
      </c>
      <c r="AJ20" s="130">
        <f t="shared" si="38"/>
        <v>253.67499999999995</v>
      </c>
      <c r="AK20" s="130">
        <f t="shared" si="38"/>
        <v>224.05499999999995</v>
      </c>
      <c r="AL20" s="130">
        <f t="shared" si="38"/>
        <v>214.803</v>
      </c>
      <c r="AM20" s="130">
        <f t="shared" si="38"/>
        <v>214.58900000000006</v>
      </c>
      <c r="AN20" s="127">
        <f t="shared" si="38"/>
        <v>214.58900000000006</v>
      </c>
      <c r="AO20" s="130">
        <f t="shared" si="38"/>
        <v>212.63900000000001</v>
      </c>
      <c r="AP20" s="130">
        <f t="shared" si="38"/>
        <v>218.80600000000004</v>
      </c>
      <c r="AQ20" s="130">
        <f t="shared" si="38"/>
        <v>220.97900000000004</v>
      </c>
      <c r="AR20" s="130">
        <f t="shared" si="38"/>
        <v>236.83899999999994</v>
      </c>
      <c r="AS20" s="127">
        <f t="shared" si="38"/>
        <v>236.83899999999994</v>
      </c>
      <c r="AT20" s="130">
        <f t="shared" si="38"/>
        <v>240.33999999999992</v>
      </c>
      <c r="AU20" s="91">
        <f t="shared" ref="AU20:BM20" si="39">AU18+AU19</f>
        <v>253.57600000000002</v>
      </c>
      <c r="AV20" s="91">
        <f t="shared" si="39"/>
        <v>258.702</v>
      </c>
      <c r="AW20" s="130">
        <f t="shared" si="39"/>
        <v>254.66999999999996</v>
      </c>
      <c r="AX20" s="127">
        <f t="shared" si="39"/>
        <v>254.66999999999996</v>
      </c>
      <c r="AY20" s="91">
        <f t="shared" si="39"/>
        <v>255.42899999999997</v>
      </c>
      <c r="AZ20" s="91">
        <f t="shared" si="39"/>
        <v>251.30099999999993</v>
      </c>
      <c r="BA20" s="91">
        <f t="shared" si="39"/>
        <v>253.97499999999991</v>
      </c>
      <c r="BB20" s="91">
        <f t="shared" si="39"/>
        <v>253.37299999999993</v>
      </c>
      <c r="BC20" s="127">
        <f t="shared" si="39"/>
        <v>253.37299999999993</v>
      </c>
      <c r="BD20" s="91">
        <f t="shared" si="39"/>
        <v>242.93500000000006</v>
      </c>
      <c r="BE20" s="91">
        <f t="shared" si="39"/>
        <v>236.27999999999997</v>
      </c>
      <c r="BF20" s="91">
        <f t="shared" si="39"/>
        <v>231.774</v>
      </c>
      <c r="BG20" s="91">
        <f t="shared" si="39"/>
        <v>230.75199999999995</v>
      </c>
      <c r="BH20" s="127">
        <f t="shared" si="39"/>
        <v>230.75199999999995</v>
      </c>
      <c r="BI20" s="91">
        <f t="shared" si="39"/>
        <v>226.60699999999997</v>
      </c>
      <c r="BJ20" s="91">
        <f t="shared" si="39"/>
        <v>222.33600000000001</v>
      </c>
      <c r="BK20" s="91">
        <f t="shared" si="39"/>
        <v>214.77800000000002</v>
      </c>
      <c r="BL20" s="91">
        <f t="shared" si="39"/>
        <v>216.90599999999995</v>
      </c>
      <c r="BM20" s="127">
        <f t="shared" si="39"/>
        <v>216.90599999999995</v>
      </c>
      <c r="BN20" s="91">
        <f t="shared" ref="BN20:BW20" si="40">BN18+BN19</f>
        <v>216.322</v>
      </c>
      <c r="BO20" s="91">
        <f t="shared" si="40"/>
        <v>221.80999999999995</v>
      </c>
      <c r="BP20" s="91">
        <f t="shared" si="40"/>
        <v>216.48799999999994</v>
      </c>
      <c r="BQ20" s="91">
        <f t="shared" si="40"/>
        <v>220.58999999999997</v>
      </c>
      <c r="BR20" s="127">
        <f t="shared" si="40"/>
        <v>220.58999999999997</v>
      </c>
      <c r="BS20" s="91">
        <f t="shared" si="40"/>
        <v>179.74099999999999</v>
      </c>
      <c r="BT20" s="91">
        <f>BT18+BT19</f>
        <v>176.16800000000001</v>
      </c>
      <c r="BU20" s="91">
        <f>BU18+BU19</f>
        <v>178.39399999999995</v>
      </c>
      <c r="BV20" s="91">
        <f>BV18+BV19</f>
        <v>183.04299999999995</v>
      </c>
      <c r="BW20" s="127">
        <f t="shared" si="40"/>
        <v>183.04299999999995</v>
      </c>
      <c r="BX20" s="91">
        <f>BX18+BX19</f>
        <v>179.21099999999996</v>
      </c>
      <c r="BY20" s="91">
        <f t="shared" ref="BY20:CB20" si="41">BY18+BY19</f>
        <v>174.93599999999998</v>
      </c>
      <c r="BZ20" s="91">
        <f>BZ18+BZ19</f>
        <v>174.005</v>
      </c>
      <c r="CA20" s="91">
        <f>CA18+CA19</f>
        <v>155.97399999999999</v>
      </c>
      <c r="CB20" s="127">
        <f t="shared" si="41"/>
        <v>155.97399999999999</v>
      </c>
      <c r="CC20" s="794">
        <f>CC18+CC19</f>
        <v>32.340000000000003</v>
      </c>
      <c r="CD20" s="794">
        <f>CD18+CD19</f>
        <v>32.340000000000003</v>
      </c>
      <c r="CE20" s="794">
        <f>CE18+CE19</f>
        <v>32.340000000000003</v>
      </c>
      <c r="CF20" s="794">
        <f>CF18+CF19</f>
        <v>32.340000000000003</v>
      </c>
      <c r="CG20" s="127">
        <f t="shared" ref="CG20:CL20" si="42">CG18+CG19</f>
        <v>32.340000000000003</v>
      </c>
      <c r="CH20" s="794">
        <f>CH18+CH19</f>
        <v>28.484999999999999</v>
      </c>
      <c r="CI20" s="794">
        <f>CI18+CI19</f>
        <v>28.484999999999999</v>
      </c>
      <c r="CJ20" s="794">
        <f>CJ18+CJ19</f>
        <v>25.325000000000003</v>
      </c>
      <c r="CK20" s="794">
        <f t="shared" si="42"/>
        <v>23.565000000000005</v>
      </c>
      <c r="CL20" s="127">
        <f t="shared" si="42"/>
        <v>23.565000000000005</v>
      </c>
      <c r="CM20" s="794">
        <f>CM18+CM19</f>
        <v>20.71591955000001</v>
      </c>
      <c r="CN20" s="794">
        <f t="shared" ref="CN20:CQ20" si="43">CN18+CN19</f>
        <v>18.083904350000005</v>
      </c>
      <c r="CO20" s="794">
        <f t="shared" si="43"/>
        <v>15.70807250063001</v>
      </c>
      <c r="CP20" s="794">
        <f t="shared" si="43"/>
        <v>13.141061679680014</v>
      </c>
      <c r="CQ20" s="127">
        <f t="shared" si="43"/>
        <v>13.141061679680014</v>
      </c>
      <c r="CR20" s="794">
        <f t="shared" ref="CR20:CV20" si="44">CR18+CR19</f>
        <v>10.54431845368002</v>
      </c>
      <c r="CS20" s="794">
        <f t="shared" si="44"/>
        <v>8.1876149560800258</v>
      </c>
      <c r="CT20" s="794">
        <f t="shared" si="44"/>
        <v>6.4501393791134376</v>
      </c>
      <c r="CU20" s="794">
        <f t="shared" si="44"/>
        <v>4.7155348654454485</v>
      </c>
      <c r="CV20" s="127">
        <f t="shared" si="44"/>
        <v>4.7155348654454485</v>
      </c>
    </row>
    <row r="21" spans="1:100" s="27" customFormat="1" ht="12" customHeight="1" x14ac:dyDescent="0.25">
      <c r="A21" s="155"/>
      <c r="B21" s="155"/>
      <c r="C21" s="155"/>
      <c r="D21" s="155"/>
      <c r="E21" s="27" t="s">
        <v>324</v>
      </c>
      <c r="F21" s="140"/>
      <c r="G21" s="140"/>
      <c r="H21" s="140"/>
      <c r="I21" s="140"/>
      <c r="J21" s="140"/>
      <c r="K21" s="124"/>
      <c r="L21" s="124"/>
      <c r="M21" s="124"/>
      <c r="N21" s="124"/>
      <c r="O21" s="139"/>
      <c r="P21" s="124"/>
      <c r="Q21" s="124"/>
      <c r="R21" s="124"/>
      <c r="S21" s="124">
        <v>57.134999999999998</v>
      </c>
      <c r="T21" s="139">
        <f t="shared" si="35"/>
        <v>57.134999999999998</v>
      </c>
      <c r="U21" s="124"/>
      <c r="V21" s="124"/>
      <c r="W21" s="124"/>
      <c r="X21" s="124">
        <v>45.509</v>
      </c>
      <c r="Y21" s="139">
        <f t="shared" si="36"/>
        <v>45.509</v>
      </c>
      <c r="Z21" s="124"/>
      <c r="AA21" s="124"/>
      <c r="AB21" s="124"/>
      <c r="AC21" s="124">
        <v>44.289000000000001</v>
      </c>
      <c r="AD21" s="139">
        <f t="shared" si="37"/>
        <v>44.289000000000001</v>
      </c>
      <c r="AE21" s="124"/>
      <c r="AF21" s="124"/>
      <c r="AG21" s="124"/>
      <c r="AH21" s="124">
        <v>59.262999999999998</v>
      </c>
      <c r="AI21" s="139">
        <f t="shared" si="32"/>
        <v>59.262999999999998</v>
      </c>
      <c r="AJ21" s="124">
        <v>57.093000000000004</v>
      </c>
      <c r="AK21" s="124">
        <v>56.371000000000002</v>
      </c>
      <c r="AL21" s="124">
        <v>53.9</v>
      </c>
      <c r="AM21" s="124">
        <v>52.798000000000002</v>
      </c>
      <c r="AN21" s="139">
        <f t="shared" si="33"/>
        <v>52.798000000000002</v>
      </c>
      <c r="AO21" s="124">
        <v>49.301000000000002</v>
      </c>
      <c r="AP21" s="124">
        <v>45.819000000000003</v>
      </c>
      <c r="AQ21" s="124">
        <v>43.076999999999998</v>
      </c>
      <c r="AR21" s="124">
        <v>38.844999999999999</v>
      </c>
      <c r="AS21" s="139">
        <f t="shared" ref="AS21:AS26" si="45">AR21</f>
        <v>38.844999999999999</v>
      </c>
      <c r="AT21" s="124">
        <v>34.771000000000001</v>
      </c>
      <c r="AU21" s="124">
        <v>34.820999999999998</v>
      </c>
      <c r="AV21" s="124">
        <v>31.018000000000001</v>
      </c>
      <c r="AW21" s="124">
        <v>26.03</v>
      </c>
      <c r="AX21" s="139">
        <f t="shared" ref="AX21:AX26" si="46">AW21</f>
        <v>26.03</v>
      </c>
      <c r="AY21" s="124">
        <v>22.896000000000001</v>
      </c>
      <c r="AZ21" s="124">
        <v>19.189</v>
      </c>
      <c r="BA21" s="124">
        <v>14.468</v>
      </c>
      <c r="BB21" s="124">
        <v>13.211</v>
      </c>
      <c r="BC21" s="139">
        <f t="shared" ref="BC21:BC26" si="47">BB21</f>
        <v>13.211</v>
      </c>
      <c r="BD21" s="124">
        <v>14.500999999999999</v>
      </c>
      <c r="BE21" s="124">
        <v>16.28</v>
      </c>
      <c r="BF21" s="124">
        <v>19.491</v>
      </c>
      <c r="BG21" s="124">
        <v>24.471</v>
      </c>
      <c r="BH21" s="139">
        <f t="shared" ref="BH21:BH26" si="48">BG21</f>
        <v>24.471</v>
      </c>
      <c r="BI21" s="124">
        <v>28.823</v>
      </c>
      <c r="BJ21" s="124">
        <v>34.384999999999998</v>
      </c>
      <c r="BK21" s="124">
        <v>37.063000000000002</v>
      </c>
      <c r="BL21" s="124">
        <v>39.424999999999997</v>
      </c>
      <c r="BM21" s="139">
        <f t="shared" ref="BM21:BM26" si="49">BL21</f>
        <v>39.424999999999997</v>
      </c>
      <c r="BN21" s="124">
        <v>40.765999999999998</v>
      </c>
      <c r="BO21" s="124">
        <v>79.768000000000001</v>
      </c>
      <c r="BP21" s="124">
        <v>77.033000000000001</v>
      </c>
      <c r="BQ21" s="124">
        <v>68.962000000000003</v>
      </c>
      <c r="BR21" s="139">
        <f t="shared" ref="BR21:BR26" si="50">BQ21</f>
        <v>68.962000000000003</v>
      </c>
      <c r="BS21" s="124">
        <v>63.241999999999997</v>
      </c>
      <c r="BT21" s="124">
        <v>59.975000000000001</v>
      </c>
      <c r="BU21" s="124">
        <v>58.947000000000003</v>
      </c>
      <c r="BV21" s="124">
        <v>55.734999999999999</v>
      </c>
      <c r="BW21" s="139">
        <f t="shared" ref="BW21:BW26" si="51">BV21</f>
        <v>55.734999999999999</v>
      </c>
      <c r="BX21" s="124">
        <v>52.536999999999999</v>
      </c>
      <c r="BY21" s="124">
        <v>45.048000000000002</v>
      </c>
      <c r="BZ21" s="124">
        <v>51.308</v>
      </c>
      <c r="CA21" s="124">
        <v>47.637999999999998</v>
      </c>
      <c r="CB21" s="139">
        <f t="shared" ref="CB21:CB25" si="52">CA21</f>
        <v>47.637999999999998</v>
      </c>
      <c r="CC21" s="703">
        <f t="shared" ref="CC21:CE25" si="53">CD21</f>
        <v>13.97</v>
      </c>
      <c r="CD21" s="703">
        <f t="shared" si="53"/>
        <v>13.97</v>
      </c>
      <c r="CE21" s="703">
        <f t="shared" si="53"/>
        <v>13.97</v>
      </c>
      <c r="CF21" s="636">
        <v>13.97</v>
      </c>
      <c r="CG21" s="139">
        <f>CF21</f>
        <v>13.97</v>
      </c>
      <c r="CH21" s="703">
        <f>CI21</f>
        <v>9.5129999999999999</v>
      </c>
      <c r="CI21" s="636">
        <v>9.5129999999999999</v>
      </c>
      <c r="CJ21" s="645">
        <f>CI21-'Cash Flow'!CJ25-Income!CJ117</f>
        <v>6.9729999999999999</v>
      </c>
      <c r="CK21" s="645">
        <f>CJ21-'Cash Flow'!CK25-Income!CK117</f>
        <v>7.4329999999999989</v>
      </c>
      <c r="CL21" s="139">
        <f>CK21</f>
        <v>7.4329999999999989</v>
      </c>
      <c r="CM21" s="645">
        <f>CL21-'Cash Flow'!CM25-Income!CM117</f>
        <v>6.3329999999999984</v>
      </c>
      <c r="CN21" s="645">
        <f>CM21-'Cash Flow'!CN25-Income!CN117</f>
        <v>5.6329999999999991</v>
      </c>
      <c r="CO21" s="645">
        <f>CN21-'Cash Flow'!CO25-Income!CO117</f>
        <v>5.2329999999999988</v>
      </c>
      <c r="CP21" s="645">
        <f>CO21-'Cash Flow'!CP25-Income!CP117</f>
        <v>5.1329999999999991</v>
      </c>
      <c r="CQ21" s="139">
        <f>CP21</f>
        <v>5.1329999999999991</v>
      </c>
      <c r="CR21" s="645">
        <f>CQ21-'Cash Flow'!CR25-Income!CR117</f>
        <v>5.3329999999999984</v>
      </c>
      <c r="CS21" s="645">
        <f>CR21-'Cash Flow'!CS25-Income!CS117</f>
        <v>5.8329999999999984</v>
      </c>
      <c r="CT21" s="645">
        <f>CS21-'Cash Flow'!CT25-Income!CT117</f>
        <v>6.6329999999999973</v>
      </c>
      <c r="CU21" s="645">
        <f>CT21-'Cash Flow'!CU25-Income!CU117</f>
        <v>7.5629999999999953</v>
      </c>
      <c r="CV21" s="139">
        <f>CU21</f>
        <v>7.5629999999999953</v>
      </c>
    </row>
    <row r="22" spans="1:100" s="27" customFormat="1" ht="12" customHeight="1" x14ac:dyDescent="0.25">
      <c r="A22" s="155"/>
      <c r="B22" s="155"/>
      <c r="C22" s="155"/>
      <c r="D22" s="155"/>
      <c r="E22" s="27" t="s">
        <v>138</v>
      </c>
      <c r="F22" s="140"/>
      <c r="G22" s="140"/>
      <c r="H22" s="140"/>
      <c r="I22" s="140"/>
      <c r="J22" s="140"/>
      <c r="K22" s="124"/>
      <c r="L22" s="124"/>
      <c r="M22" s="124"/>
      <c r="N22" s="124"/>
      <c r="O22" s="139"/>
      <c r="P22" s="124"/>
      <c r="Q22" s="124"/>
      <c r="R22" s="124"/>
      <c r="S22" s="124">
        <v>354.18200000000002</v>
      </c>
      <c r="T22" s="139">
        <f t="shared" si="35"/>
        <v>354.18200000000002</v>
      </c>
      <c r="U22" s="124"/>
      <c r="V22" s="124"/>
      <c r="W22" s="124"/>
      <c r="X22" s="124">
        <v>472.40100000000001</v>
      </c>
      <c r="Y22" s="139">
        <f t="shared" si="36"/>
        <v>472.40100000000001</v>
      </c>
      <c r="Z22" s="124"/>
      <c r="AA22" s="124"/>
      <c r="AB22" s="124"/>
      <c r="AC22" s="124">
        <v>522.04600000000005</v>
      </c>
      <c r="AD22" s="139">
        <f t="shared" si="37"/>
        <v>522.04600000000005</v>
      </c>
      <c r="AE22" s="124"/>
      <c r="AF22" s="124"/>
      <c r="AG22" s="124"/>
      <c r="AH22" s="124">
        <v>484.79599999999999</v>
      </c>
      <c r="AI22" s="139">
        <f t="shared" si="32"/>
        <v>484.79599999999999</v>
      </c>
      <c r="AJ22" s="124">
        <v>486.23</v>
      </c>
      <c r="AK22" s="124">
        <v>473.86700000000002</v>
      </c>
      <c r="AL22" s="124">
        <v>467.46699999999998</v>
      </c>
      <c r="AM22" s="124">
        <v>454.94400000000002</v>
      </c>
      <c r="AN22" s="139">
        <f t="shared" si="33"/>
        <v>454.94400000000002</v>
      </c>
      <c r="AO22" s="124">
        <v>465.00299999999999</v>
      </c>
      <c r="AP22" s="124">
        <v>470.62099999999998</v>
      </c>
      <c r="AQ22" s="124">
        <v>474.59699999999998</v>
      </c>
      <c r="AR22" s="124">
        <v>470.26100000000002</v>
      </c>
      <c r="AS22" s="139">
        <f t="shared" si="45"/>
        <v>470.26100000000002</v>
      </c>
      <c r="AT22" s="124">
        <v>464.37400000000002</v>
      </c>
      <c r="AU22" s="124">
        <v>488.16</v>
      </c>
      <c r="AV22" s="124">
        <v>488.38099999999997</v>
      </c>
      <c r="AW22" s="124">
        <v>397.98899999999998</v>
      </c>
      <c r="AX22" s="139">
        <f t="shared" si="46"/>
        <v>397.98899999999998</v>
      </c>
      <c r="AY22" s="124">
        <v>418.988</v>
      </c>
      <c r="AZ22" s="124">
        <v>413.66199999999998</v>
      </c>
      <c r="BA22" s="124">
        <v>380.834</v>
      </c>
      <c r="BB22" s="124">
        <v>382.28500000000003</v>
      </c>
      <c r="BC22" s="139">
        <f t="shared" si="47"/>
        <v>382.28500000000003</v>
      </c>
      <c r="BD22" s="124">
        <v>381.43900000000002</v>
      </c>
      <c r="BE22" s="124">
        <v>382.27199999999999</v>
      </c>
      <c r="BF22" s="124">
        <v>382.70400000000001</v>
      </c>
      <c r="BG22" s="124">
        <v>381.12900000000002</v>
      </c>
      <c r="BH22" s="139">
        <f t="shared" si="48"/>
        <v>381.12900000000002</v>
      </c>
      <c r="BI22" s="124">
        <v>379.20299999999997</v>
      </c>
      <c r="BJ22" s="124">
        <v>380.96300000000002</v>
      </c>
      <c r="BK22" s="124">
        <v>380.59100000000001</v>
      </c>
      <c r="BL22" s="124">
        <v>358.38400000000001</v>
      </c>
      <c r="BM22" s="139">
        <f t="shared" si="49"/>
        <v>358.38400000000001</v>
      </c>
      <c r="BN22" s="124">
        <v>358.67099999999999</v>
      </c>
      <c r="BO22" s="124">
        <v>573.46799999999996</v>
      </c>
      <c r="BP22" s="124">
        <v>572.58900000000006</v>
      </c>
      <c r="BQ22" s="124">
        <v>568.87</v>
      </c>
      <c r="BR22" s="139">
        <f t="shared" si="50"/>
        <v>568.87</v>
      </c>
      <c r="BS22" s="124">
        <v>497.45600000000002</v>
      </c>
      <c r="BT22" s="124">
        <v>495.84300000000002</v>
      </c>
      <c r="BU22" s="124">
        <v>497.62799999999999</v>
      </c>
      <c r="BV22" s="124">
        <v>492.745</v>
      </c>
      <c r="BW22" s="139">
        <f t="shared" si="51"/>
        <v>492.745</v>
      </c>
      <c r="BX22" s="124">
        <v>492.59800000000001</v>
      </c>
      <c r="BY22" s="124">
        <v>487.05500000000001</v>
      </c>
      <c r="BZ22" s="124">
        <v>591.10199999999998</v>
      </c>
      <c r="CA22" s="124">
        <v>592.73099999999999</v>
      </c>
      <c r="CB22" s="139">
        <f t="shared" si="52"/>
        <v>592.73099999999999</v>
      </c>
      <c r="CC22" s="703">
        <f t="shared" si="53"/>
        <v>203.63900000000001</v>
      </c>
      <c r="CD22" s="703">
        <f t="shared" si="53"/>
        <v>203.63900000000001</v>
      </c>
      <c r="CE22" s="703">
        <f t="shared" si="53"/>
        <v>203.63900000000001</v>
      </c>
      <c r="CF22" s="636">
        <v>203.63900000000001</v>
      </c>
      <c r="CG22" s="139">
        <f t="shared" ref="CG22:CG25" si="54">CF22</f>
        <v>203.63900000000001</v>
      </c>
      <c r="CH22" s="703">
        <f>CI22</f>
        <v>204.869</v>
      </c>
      <c r="CI22" s="636">
        <v>204.869</v>
      </c>
      <c r="CJ22" s="645">
        <f>CI22</f>
        <v>204.869</v>
      </c>
      <c r="CK22" s="645">
        <f>CJ22</f>
        <v>204.869</v>
      </c>
      <c r="CL22" s="139">
        <f t="shared" ref="CL22:CL26" si="55">CK22</f>
        <v>204.869</v>
      </c>
      <c r="CM22" s="645">
        <f>CL22</f>
        <v>204.869</v>
      </c>
      <c r="CN22" s="645">
        <f>CM22</f>
        <v>204.869</v>
      </c>
      <c r="CO22" s="645">
        <f>CN22</f>
        <v>204.869</v>
      </c>
      <c r="CP22" s="645">
        <f>CO22</f>
        <v>204.869</v>
      </c>
      <c r="CQ22" s="139">
        <f t="shared" ref="CQ22:CQ26" si="56">CP22</f>
        <v>204.869</v>
      </c>
      <c r="CR22" s="645">
        <f>CQ22</f>
        <v>204.869</v>
      </c>
      <c r="CS22" s="645">
        <f>CR22</f>
        <v>204.869</v>
      </c>
      <c r="CT22" s="645">
        <f>CS22</f>
        <v>204.869</v>
      </c>
      <c r="CU22" s="645">
        <f>CT22</f>
        <v>204.869</v>
      </c>
      <c r="CV22" s="139">
        <f t="shared" ref="CV22:CV26" si="57">CU22</f>
        <v>204.869</v>
      </c>
    </row>
    <row r="23" spans="1:100" s="27" customFormat="1" ht="12" customHeight="1" x14ac:dyDescent="0.25">
      <c r="A23" s="155"/>
      <c r="B23" s="155"/>
      <c r="C23" s="155"/>
      <c r="D23" s="155"/>
      <c r="E23" s="27" t="s">
        <v>325</v>
      </c>
      <c r="F23" s="140"/>
      <c r="G23" s="140"/>
      <c r="H23" s="140"/>
      <c r="I23" s="140"/>
      <c r="J23" s="140"/>
      <c r="K23" s="124"/>
      <c r="L23" s="124"/>
      <c r="M23" s="124"/>
      <c r="N23" s="124"/>
      <c r="O23" s="139"/>
      <c r="P23" s="124"/>
      <c r="Q23" s="124"/>
      <c r="R23" s="124"/>
      <c r="S23" s="124">
        <v>157.999</v>
      </c>
      <c r="T23" s="139">
        <f t="shared" si="35"/>
        <v>157.999</v>
      </c>
      <c r="U23" s="124"/>
      <c r="V23" s="124"/>
      <c r="W23" s="124"/>
      <c r="X23" s="124">
        <v>155.518</v>
      </c>
      <c r="Y23" s="139">
        <f t="shared" si="36"/>
        <v>155.518</v>
      </c>
      <c r="Z23" s="124"/>
      <c r="AA23" s="124"/>
      <c r="AB23" s="124"/>
      <c r="AC23" s="124">
        <v>151.32599999999999</v>
      </c>
      <c r="AD23" s="139">
        <f t="shared" si="37"/>
        <v>151.32599999999999</v>
      </c>
      <c r="AE23" s="124"/>
      <c r="AF23" s="124"/>
      <c r="AG23" s="124"/>
      <c r="AH23" s="124">
        <v>111.574</v>
      </c>
      <c r="AI23" s="139">
        <f t="shared" si="32"/>
        <v>111.574</v>
      </c>
      <c r="AJ23" s="124">
        <v>98.138999999999996</v>
      </c>
      <c r="AK23" s="124">
        <v>88.53</v>
      </c>
      <c r="AL23" s="124">
        <v>63.73</v>
      </c>
      <c r="AM23" s="124">
        <v>65.340999999999994</v>
      </c>
      <c r="AN23" s="139">
        <f t="shared" si="33"/>
        <v>65.340999999999994</v>
      </c>
      <c r="AO23" s="124">
        <v>59.283000000000001</v>
      </c>
      <c r="AP23" s="124">
        <v>55.564</v>
      </c>
      <c r="AQ23" s="124">
        <v>51.499000000000002</v>
      </c>
      <c r="AR23" s="124">
        <v>51.356000000000002</v>
      </c>
      <c r="AS23" s="139">
        <f t="shared" si="45"/>
        <v>51.356000000000002</v>
      </c>
      <c r="AT23" s="124">
        <v>49.005000000000003</v>
      </c>
      <c r="AU23" s="124">
        <v>46.521999999999998</v>
      </c>
      <c r="AV23" s="124">
        <v>43.076999999999998</v>
      </c>
      <c r="AW23" s="124">
        <v>38.472000000000001</v>
      </c>
      <c r="AX23" s="139">
        <f t="shared" si="46"/>
        <v>38.472000000000001</v>
      </c>
      <c r="AY23" s="124">
        <v>36.067</v>
      </c>
      <c r="AZ23" s="124">
        <v>34.973999999999997</v>
      </c>
      <c r="BA23" s="124">
        <v>27.832999999999998</v>
      </c>
      <c r="BB23" s="124">
        <v>25.294</v>
      </c>
      <c r="BC23" s="139">
        <f t="shared" si="47"/>
        <v>25.294</v>
      </c>
      <c r="BD23" s="124">
        <v>24.547999999999998</v>
      </c>
      <c r="BE23" s="124">
        <v>23.791</v>
      </c>
      <c r="BF23" s="124">
        <v>21.582999999999998</v>
      </c>
      <c r="BG23" s="124">
        <v>23.603999999999999</v>
      </c>
      <c r="BH23" s="139">
        <f t="shared" si="48"/>
        <v>23.603999999999999</v>
      </c>
      <c r="BI23" s="124">
        <v>23.931000000000001</v>
      </c>
      <c r="BJ23" s="124">
        <v>21.795000000000002</v>
      </c>
      <c r="BK23" s="124">
        <v>19.509</v>
      </c>
      <c r="BL23" s="124">
        <v>18.584</v>
      </c>
      <c r="BM23" s="139">
        <f t="shared" si="49"/>
        <v>18.584</v>
      </c>
      <c r="BN23" s="124">
        <v>19.079000000000001</v>
      </c>
      <c r="BO23" s="124">
        <v>16.114000000000001</v>
      </c>
      <c r="BP23" s="124">
        <v>14.555</v>
      </c>
      <c r="BQ23" s="124">
        <v>13.494</v>
      </c>
      <c r="BR23" s="139">
        <f t="shared" si="50"/>
        <v>13.494</v>
      </c>
      <c r="BS23" s="124">
        <v>9.4920000000000009</v>
      </c>
      <c r="BT23" s="124">
        <v>13.037000000000001</v>
      </c>
      <c r="BU23" s="124">
        <v>10.042999999999999</v>
      </c>
      <c r="BV23" s="124">
        <v>10.116</v>
      </c>
      <c r="BW23" s="139">
        <f t="shared" si="51"/>
        <v>10.116</v>
      </c>
      <c r="BX23" s="124">
        <v>9.5609999999999999</v>
      </c>
      <c r="BY23" s="124">
        <v>8.7919999999999998</v>
      </c>
      <c r="BZ23" s="124">
        <v>7.9889999999999999</v>
      </c>
      <c r="CA23" s="124">
        <v>7.9720000000000004</v>
      </c>
      <c r="CB23" s="139">
        <f t="shared" si="52"/>
        <v>7.9720000000000004</v>
      </c>
      <c r="CC23" s="703">
        <f t="shared" si="53"/>
        <v>0</v>
      </c>
      <c r="CD23" s="703">
        <f t="shared" si="53"/>
        <v>0</v>
      </c>
      <c r="CE23" s="703">
        <f t="shared" si="53"/>
        <v>0</v>
      </c>
      <c r="CF23" s="636">
        <v>0</v>
      </c>
      <c r="CG23" s="139">
        <f t="shared" si="54"/>
        <v>0</v>
      </c>
      <c r="CH23" s="703">
        <f>CI23</f>
        <v>0</v>
      </c>
      <c r="CI23" s="636">
        <v>0</v>
      </c>
      <c r="CJ23" s="796">
        <v>0</v>
      </c>
      <c r="CK23" s="796">
        <v>0</v>
      </c>
      <c r="CL23" s="139">
        <f t="shared" si="55"/>
        <v>0</v>
      </c>
      <c r="CM23" s="796">
        <v>0</v>
      </c>
      <c r="CN23" s="796">
        <v>0</v>
      </c>
      <c r="CO23" s="796">
        <v>0</v>
      </c>
      <c r="CP23" s="796">
        <v>0</v>
      </c>
      <c r="CQ23" s="139">
        <f t="shared" si="56"/>
        <v>0</v>
      </c>
      <c r="CR23" s="796">
        <v>0</v>
      </c>
      <c r="CS23" s="796">
        <v>0</v>
      </c>
      <c r="CT23" s="796">
        <v>0</v>
      </c>
      <c r="CU23" s="796">
        <v>0</v>
      </c>
      <c r="CV23" s="139">
        <f t="shared" si="57"/>
        <v>0</v>
      </c>
    </row>
    <row r="24" spans="1:100" s="27" customFormat="1" ht="12" customHeight="1" x14ac:dyDescent="0.25">
      <c r="A24" s="154">
        <v>0.1</v>
      </c>
      <c r="B24" s="154">
        <v>0.1</v>
      </c>
      <c r="C24" s="154">
        <v>0.1</v>
      </c>
      <c r="D24" s="154">
        <v>0.1</v>
      </c>
      <c r="E24" s="27" t="s">
        <v>326</v>
      </c>
      <c r="F24" s="140"/>
      <c r="G24" s="140"/>
      <c r="H24" s="140"/>
      <c r="I24" s="140"/>
      <c r="J24" s="140"/>
      <c r="K24" s="124"/>
      <c r="L24" s="124"/>
      <c r="M24" s="124"/>
      <c r="N24" s="124"/>
      <c r="O24" s="139"/>
      <c r="P24" s="124"/>
      <c r="Q24" s="124"/>
      <c r="R24" s="124"/>
      <c r="S24" s="124">
        <v>88.850999999999999</v>
      </c>
      <c r="T24" s="139">
        <f t="shared" si="35"/>
        <v>88.850999999999999</v>
      </c>
      <c r="U24" s="124"/>
      <c r="V24" s="124"/>
      <c r="W24" s="124"/>
      <c r="X24" s="124">
        <v>112.81699999999999</v>
      </c>
      <c r="Y24" s="139">
        <f t="shared" si="36"/>
        <v>112.81699999999999</v>
      </c>
      <c r="Z24" s="124"/>
      <c r="AA24" s="124"/>
      <c r="AB24" s="124"/>
      <c r="AC24" s="124">
        <v>137.684</v>
      </c>
      <c r="AD24" s="139">
        <f t="shared" si="37"/>
        <v>137.684</v>
      </c>
      <c r="AE24" s="124"/>
      <c r="AF24" s="124"/>
      <c r="AG24" s="124"/>
      <c r="AH24" s="124">
        <v>90.706999999999994</v>
      </c>
      <c r="AI24" s="139">
        <f t="shared" si="32"/>
        <v>90.706999999999994</v>
      </c>
      <c r="AJ24" s="124">
        <v>85.575999999999993</v>
      </c>
      <c r="AK24" s="124">
        <v>80.369</v>
      </c>
      <c r="AL24" s="124">
        <v>76.370999999999995</v>
      </c>
      <c r="AM24" s="124">
        <v>70.343000000000004</v>
      </c>
      <c r="AN24" s="139">
        <f t="shared" si="33"/>
        <v>70.343000000000004</v>
      </c>
      <c r="AO24" s="124">
        <v>67.799000000000007</v>
      </c>
      <c r="AP24" s="124">
        <v>64.698999999999998</v>
      </c>
      <c r="AQ24" s="124">
        <v>71.512</v>
      </c>
      <c r="AR24" s="124">
        <v>68.914000000000001</v>
      </c>
      <c r="AS24" s="139">
        <f t="shared" si="45"/>
        <v>68.914000000000001</v>
      </c>
      <c r="AT24" s="124">
        <v>72.983000000000004</v>
      </c>
      <c r="AU24" s="124">
        <v>82.465000000000003</v>
      </c>
      <c r="AV24" s="124">
        <v>85.792000000000002</v>
      </c>
      <c r="AW24" s="124">
        <v>81.837000000000003</v>
      </c>
      <c r="AX24" s="139">
        <f t="shared" si="46"/>
        <v>81.837000000000003</v>
      </c>
      <c r="AY24" s="124">
        <v>75.757000000000005</v>
      </c>
      <c r="AZ24" s="124">
        <v>70.501999999999995</v>
      </c>
      <c r="BA24" s="124">
        <v>65.760000000000005</v>
      </c>
      <c r="BB24" s="124">
        <v>61.976999999999997</v>
      </c>
      <c r="BC24" s="139">
        <f t="shared" si="47"/>
        <v>61.976999999999997</v>
      </c>
      <c r="BD24" s="124">
        <v>56.6</v>
      </c>
      <c r="BE24" s="124">
        <v>52.286000000000001</v>
      </c>
      <c r="BF24" s="124">
        <v>47.210999999999999</v>
      </c>
      <c r="BG24" s="124">
        <v>42.970999999999997</v>
      </c>
      <c r="BH24" s="139">
        <f t="shared" si="48"/>
        <v>42.970999999999997</v>
      </c>
      <c r="BI24" s="124">
        <v>37.194000000000003</v>
      </c>
      <c r="BJ24" s="124">
        <v>32.834000000000003</v>
      </c>
      <c r="BK24" s="124">
        <v>24.564</v>
      </c>
      <c r="BL24" s="124">
        <v>16.143000000000001</v>
      </c>
      <c r="BM24" s="139">
        <f t="shared" si="49"/>
        <v>16.143000000000001</v>
      </c>
      <c r="BN24" s="124">
        <v>0</v>
      </c>
      <c r="BO24" s="124">
        <v>0</v>
      </c>
      <c r="BP24" s="124">
        <v>0</v>
      </c>
      <c r="BQ24" s="124">
        <v>0</v>
      </c>
      <c r="BR24" s="139">
        <f t="shared" si="50"/>
        <v>0</v>
      </c>
      <c r="BS24" s="124">
        <v>0</v>
      </c>
      <c r="BT24" s="124">
        <v>0</v>
      </c>
      <c r="BU24" s="124">
        <v>0</v>
      </c>
      <c r="BV24" s="124">
        <v>0</v>
      </c>
      <c r="BW24" s="139">
        <f t="shared" si="51"/>
        <v>0</v>
      </c>
      <c r="BX24" s="124">
        <v>0</v>
      </c>
      <c r="BY24" s="124">
        <v>0</v>
      </c>
      <c r="BZ24" s="124">
        <v>0</v>
      </c>
      <c r="CA24" s="124">
        <v>0</v>
      </c>
      <c r="CB24" s="139">
        <f t="shared" si="52"/>
        <v>0</v>
      </c>
      <c r="CC24" s="703">
        <f t="shared" si="53"/>
        <v>0</v>
      </c>
      <c r="CD24" s="703">
        <f t="shared" si="53"/>
        <v>0</v>
      </c>
      <c r="CE24" s="703">
        <f t="shared" si="53"/>
        <v>0</v>
      </c>
      <c r="CF24" s="636">
        <v>0</v>
      </c>
      <c r="CG24" s="139">
        <f t="shared" si="54"/>
        <v>0</v>
      </c>
      <c r="CH24" s="703">
        <f>CI24</f>
        <v>0</v>
      </c>
      <c r="CI24" s="636">
        <v>0</v>
      </c>
      <c r="CJ24" s="645">
        <f>CI24</f>
        <v>0</v>
      </c>
      <c r="CK24" s="645">
        <f t="shared" ref="CK24:CK25" si="58">CJ24</f>
        <v>0</v>
      </c>
      <c r="CL24" s="139">
        <f t="shared" si="55"/>
        <v>0</v>
      </c>
      <c r="CM24" s="645">
        <f t="shared" ref="CM24:CM26" si="59">CL24</f>
        <v>0</v>
      </c>
      <c r="CN24" s="645">
        <f t="shared" ref="CN24:CN26" si="60">CM24</f>
        <v>0</v>
      </c>
      <c r="CO24" s="645">
        <f t="shared" ref="CO24:CO26" si="61">CN24</f>
        <v>0</v>
      </c>
      <c r="CP24" s="645">
        <f t="shared" ref="CP24:CP26" si="62">CO24</f>
        <v>0</v>
      </c>
      <c r="CQ24" s="139">
        <f t="shared" si="56"/>
        <v>0</v>
      </c>
      <c r="CR24" s="645">
        <f t="shared" ref="CR24:CR26" si="63">CQ24</f>
        <v>0</v>
      </c>
      <c r="CS24" s="645">
        <f t="shared" ref="CS24:CS26" si="64">CR24</f>
        <v>0</v>
      </c>
      <c r="CT24" s="645">
        <f t="shared" ref="CT24:CT26" si="65">CS24</f>
        <v>0</v>
      </c>
      <c r="CU24" s="645">
        <f t="shared" ref="CU24:CU26" si="66">CT24</f>
        <v>0</v>
      </c>
      <c r="CV24" s="139">
        <f t="shared" si="57"/>
        <v>0</v>
      </c>
    </row>
    <row r="25" spans="1:100" s="27" customFormat="1" ht="12" customHeight="1" x14ac:dyDescent="0.25">
      <c r="A25" s="155"/>
      <c r="B25" s="155"/>
      <c r="C25" s="155"/>
      <c r="D25" s="155"/>
      <c r="E25" s="27" t="s">
        <v>327</v>
      </c>
      <c r="F25" s="140"/>
      <c r="G25" s="140"/>
      <c r="H25" s="140"/>
      <c r="I25" s="140"/>
      <c r="J25" s="140"/>
      <c r="K25" s="124"/>
      <c r="L25" s="124"/>
      <c r="M25" s="124"/>
      <c r="N25" s="124"/>
      <c r="O25" s="139"/>
      <c r="P25" s="124"/>
      <c r="Q25" s="124"/>
      <c r="R25" s="124"/>
      <c r="S25" s="124">
        <v>48.914999999999999</v>
      </c>
      <c r="T25" s="139">
        <f t="shared" si="35"/>
        <v>48.914999999999999</v>
      </c>
      <c r="U25" s="124"/>
      <c r="V25" s="124"/>
      <c r="W25" s="124"/>
      <c r="X25" s="124">
        <v>40.828000000000003</v>
      </c>
      <c r="Y25" s="139">
        <f t="shared" si="36"/>
        <v>40.828000000000003</v>
      </c>
      <c r="Z25" s="124"/>
      <c r="AA25" s="124"/>
      <c r="AB25" s="124"/>
      <c r="AC25" s="124">
        <v>35.398000000000003</v>
      </c>
      <c r="AD25" s="139">
        <f t="shared" si="37"/>
        <v>35.398000000000003</v>
      </c>
      <c r="AE25" s="124"/>
      <c r="AF25" s="124"/>
      <c r="AG25" s="124"/>
      <c r="AH25" s="124">
        <v>51.566000000000003</v>
      </c>
      <c r="AI25" s="139">
        <f t="shared" si="32"/>
        <v>51.566000000000003</v>
      </c>
      <c r="AJ25" s="124">
        <v>48.593000000000004</v>
      </c>
      <c r="AK25" s="124">
        <v>42.384999999999998</v>
      </c>
      <c r="AL25" s="124">
        <v>34.594000000000001</v>
      </c>
      <c r="AM25" s="124">
        <v>31.317</v>
      </c>
      <c r="AN25" s="139">
        <f t="shared" si="33"/>
        <v>31.317</v>
      </c>
      <c r="AO25" s="124">
        <v>30.835000000000001</v>
      </c>
      <c r="AP25" s="124">
        <v>26.623999999999999</v>
      </c>
      <c r="AQ25" s="124">
        <v>24.870999999999999</v>
      </c>
      <c r="AR25" s="124">
        <v>21.931000000000001</v>
      </c>
      <c r="AS25" s="139">
        <f t="shared" si="45"/>
        <v>21.931000000000001</v>
      </c>
      <c r="AT25" s="124">
        <v>20.945</v>
      </c>
      <c r="AU25" s="124">
        <v>20.216000000000001</v>
      </c>
      <c r="AV25" s="124">
        <v>19.82</v>
      </c>
      <c r="AW25" s="124">
        <v>17.626999999999999</v>
      </c>
      <c r="AX25" s="139">
        <f t="shared" si="46"/>
        <v>17.626999999999999</v>
      </c>
      <c r="AY25" s="124">
        <v>16.975999999999999</v>
      </c>
      <c r="AZ25" s="124">
        <v>14.038</v>
      </c>
      <c r="BA25" s="124">
        <v>14.612</v>
      </c>
      <c r="BB25" s="124">
        <v>15.009</v>
      </c>
      <c r="BC25" s="139">
        <f t="shared" si="47"/>
        <v>15.009</v>
      </c>
      <c r="BD25" s="124">
        <v>13.785</v>
      </c>
      <c r="BE25" s="124">
        <v>11.984999999999999</v>
      </c>
      <c r="BF25" s="124">
        <v>11.54</v>
      </c>
      <c r="BG25" s="124">
        <v>10.631</v>
      </c>
      <c r="BH25" s="139">
        <f t="shared" si="48"/>
        <v>10.631</v>
      </c>
      <c r="BI25" s="124">
        <v>9.8490000000000002</v>
      </c>
      <c r="BJ25" s="124">
        <v>8.6069999999999993</v>
      </c>
      <c r="BK25" s="124">
        <v>8.1419999999999995</v>
      </c>
      <c r="BL25" s="124">
        <v>4.5019999999999998</v>
      </c>
      <c r="BM25" s="139">
        <f t="shared" si="49"/>
        <v>4.5019999999999998</v>
      </c>
      <c r="BN25" s="124">
        <v>0</v>
      </c>
      <c r="BO25" s="124">
        <v>0</v>
      </c>
      <c r="BP25" s="124">
        <v>0</v>
      </c>
      <c r="BQ25" s="124">
        <v>0</v>
      </c>
      <c r="BR25" s="139">
        <f t="shared" si="50"/>
        <v>0</v>
      </c>
      <c r="BS25" s="124">
        <v>0</v>
      </c>
      <c r="BT25" s="124">
        <v>0</v>
      </c>
      <c r="BU25" s="124">
        <v>0</v>
      </c>
      <c r="BV25" s="124">
        <v>0</v>
      </c>
      <c r="BW25" s="139">
        <f t="shared" si="51"/>
        <v>0</v>
      </c>
      <c r="BX25" s="124">
        <v>0</v>
      </c>
      <c r="BY25" s="124">
        <v>0</v>
      </c>
      <c r="BZ25" s="124">
        <v>0</v>
      </c>
      <c r="CA25" s="124">
        <v>0</v>
      </c>
      <c r="CB25" s="139">
        <f t="shared" si="52"/>
        <v>0</v>
      </c>
      <c r="CC25" s="703">
        <f t="shared" si="53"/>
        <v>0</v>
      </c>
      <c r="CD25" s="703">
        <f t="shared" si="53"/>
        <v>0</v>
      </c>
      <c r="CE25" s="703">
        <f t="shared" si="53"/>
        <v>0</v>
      </c>
      <c r="CF25" s="636">
        <v>0</v>
      </c>
      <c r="CG25" s="139">
        <f t="shared" si="54"/>
        <v>0</v>
      </c>
      <c r="CH25" s="703">
        <f>CI25</f>
        <v>0</v>
      </c>
      <c r="CI25" s="636">
        <v>0</v>
      </c>
      <c r="CJ25" s="645">
        <f>CI25</f>
        <v>0</v>
      </c>
      <c r="CK25" s="645">
        <f t="shared" si="58"/>
        <v>0</v>
      </c>
      <c r="CL25" s="139">
        <f t="shared" si="55"/>
        <v>0</v>
      </c>
      <c r="CM25" s="645">
        <f t="shared" si="59"/>
        <v>0</v>
      </c>
      <c r="CN25" s="645">
        <f t="shared" si="60"/>
        <v>0</v>
      </c>
      <c r="CO25" s="645">
        <f t="shared" si="61"/>
        <v>0</v>
      </c>
      <c r="CP25" s="645">
        <f t="shared" si="62"/>
        <v>0</v>
      </c>
      <c r="CQ25" s="139">
        <f t="shared" si="56"/>
        <v>0</v>
      </c>
      <c r="CR25" s="645">
        <f t="shared" si="63"/>
        <v>0</v>
      </c>
      <c r="CS25" s="645">
        <f t="shared" si="64"/>
        <v>0</v>
      </c>
      <c r="CT25" s="645">
        <f t="shared" si="65"/>
        <v>0</v>
      </c>
      <c r="CU25" s="645">
        <f t="shared" si="66"/>
        <v>0</v>
      </c>
      <c r="CV25" s="139">
        <f t="shared" si="57"/>
        <v>0</v>
      </c>
    </row>
    <row r="26" spans="1:100" s="27" customFormat="1" ht="12" customHeight="1" x14ac:dyDescent="0.25">
      <c r="A26" s="154"/>
      <c r="B26" s="154"/>
      <c r="C26" s="154"/>
      <c r="D26" s="154"/>
      <c r="E26" s="27" t="s">
        <v>328</v>
      </c>
      <c r="F26" s="140"/>
      <c r="G26" s="140"/>
      <c r="H26" s="140"/>
      <c r="I26" s="140"/>
      <c r="J26" s="140"/>
      <c r="K26" s="124"/>
      <c r="L26" s="124"/>
      <c r="M26" s="124"/>
      <c r="N26" s="124"/>
      <c r="O26" s="139"/>
      <c r="P26" s="124"/>
      <c r="Q26" s="124"/>
      <c r="R26" s="124"/>
      <c r="S26" s="124">
        <f>1399.879-SUM(S20:S25,S16)</f>
        <v>35.778999999999769</v>
      </c>
      <c r="T26" s="139">
        <f t="shared" si="35"/>
        <v>35.778999999999769</v>
      </c>
      <c r="U26" s="124"/>
      <c r="V26" s="124"/>
      <c r="W26" s="124"/>
      <c r="X26" s="124">
        <f>1540.498-SUM(X20:X25,X16)</f>
        <v>40.800999999999931</v>
      </c>
      <c r="Y26" s="139">
        <f t="shared" si="36"/>
        <v>40.800999999999931</v>
      </c>
      <c r="Z26" s="124"/>
      <c r="AA26" s="124"/>
      <c r="AB26" s="124"/>
      <c r="AC26" s="124">
        <f>1655.904-SUM(AC20:AC25,AC16)</f>
        <v>39.993000000000166</v>
      </c>
      <c r="AD26" s="139">
        <f t="shared" si="37"/>
        <v>39.993000000000166</v>
      </c>
      <c r="AE26" s="124"/>
      <c r="AF26" s="124"/>
      <c r="AG26" s="124"/>
      <c r="AH26" s="124">
        <f>1471.855-SUM(AH20:AH25,AH16)</f>
        <v>22.621000000000095</v>
      </c>
      <c r="AI26" s="139">
        <f>AH26</f>
        <v>22.621000000000095</v>
      </c>
      <c r="AJ26" s="124">
        <f>1435.406-SUM(AJ20:AJ25,AJ16)</f>
        <v>20.934999999999945</v>
      </c>
      <c r="AK26" s="124">
        <f>1402.542-SUM(AK20:AK25,AK16)</f>
        <v>23.757000000000062</v>
      </c>
      <c r="AL26" s="124">
        <f>1379.035-SUM(AL20:AL25,AL16)</f>
        <v>21.518000000000029</v>
      </c>
      <c r="AM26" s="124">
        <f>1366.792-SUM(AM20:AM25,AM16)</f>
        <v>18.937999999999874</v>
      </c>
      <c r="AN26" s="139">
        <f>AM26</f>
        <v>18.937999999999874</v>
      </c>
      <c r="AO26" s="124">
        <f>1357.352-SUM(AO20:AO25,AO16)</f>
        <v>16.466000000000122</v>
      </c>
      <c r="AP26" s="124">
        <f>1347.462-SUM(AP20:AP25,AP16)</f>
        <v>17.577999999999975</v>
      </c>
      <c r="AQ26" s="124">
        <f>1377.552-SUM(AQ20:AQ25,AQ16)</f>
        <v>18.365999999999985</v>
      </c>
      <c r="AR26" s="124">
        <f>1363.42-SUM(AR20:AR25,AR16)</f>
        <v>16.569000000000187</v>
      </c>
      <c r="AS26" s="139">
        <f t="shared" si="45"/>
        <v>16.569000000000187</v>
      </c>
      <c r="AT26" s="124">
        <f>1364.027-SUM(AT20:AT25,AT16)</f>
        <v>14.94399999999996</v>
      </c>
      <c r="AU26" s="124">
        <f>1387.622-SUM(AU20:AU25,AU16)</f>
        <v>16.299999999999955</v>
      </c>
      <c r="AV26" s="124">
        <f>1386.252-SUM(AV20:AV25,AV16)</f>
        <v>14.42899999999986</v>
      </c>
      <c r="AW26" s="124">
        <f>1306.625-SUM(AW20:AW25,AW16)</f>
        <v>9.7240000000001601</v>
      </c>
      <c r="AX26" s="139">
        <f t="shared" si="46"/>
        <v>9.7240000000001601</v>
      </c>
      <c r="AY26" s="124">
        <f>1285.225-SUM(AY20:AY25,AY16)</f>
        <v>8.5789999999999509</v>
      </c>
      <c r="AZ26" s="124">
        <f>1179.733-SUM(AZ20:AZ25,AZ16)</f>
        <v>6.9880000000000564</v>
      </c>
      <c r="BA26" s="124">
        <f>1170.487-SUM(BA20:BA25,BA16)</f>
        <v>4.4060000000001764</v>
      </c>
      <c r="BB26" s="124">
        <f>1232.777-SUM(BB20:BB25,BB16)</f>
        <v>9.6230000000000473</v>
      </c>
      <c r="BC26" s="139">
        <f t="shared" si="47"/>
        <v>9.6230000000000473</v>
      </c>
      <c r="BD26" s="124">
        <f>1161.554-SUM(BD20:BD25,BD16)</f>
        <v>3.1630000000000109</v>
      </c>
      <c r="BE26" s="124">
        <f>1154.733-SUM(BE20:BE25,BE16)</f>
        <v>2.9329999999997654</v>
      </c>
      <c r="BF26" s="124">
        <f>1153.643-SUM(BF20:BF25,BF16)</f>
        <v>2.831000000000131</v>
      </c>
      <c r="BG26" s="124">
        <f>1187.706-SUM(BG20:BG25,BG16)</f>
        <v>13.051999999999907</v>
      </c>
      <c r="BH26" s="139">
        <f t="shared" si="48"/>
        <v>13.051999999999907</v>
      </c>
      <c r="BI26" s="124">
        <f>1155.289-SUM(BI20:BI25,BI16)</f>
        <v>12.867999999999938</v>
      </c>
      <c r="BJ26" s="124">
        <f>1174.211-SUM(BJ20:BJ25,BJ16)</f>
        <v>12.819000000000187</v>
      </c>
      <c r="BK26" s="124">
        <f>1313.881-SUM(BK20:BK25,BK16)</f>
        <v>11.935000000000173</v>
      </c>
      <c r="BL26" s="124">
        <f>1323.301-SUM(BL20:BL25,BL16)</f>
        <v>3.8320000000001073</v>
      </c>
      <c r="BM26" s="139">
        <f t="shared" si="49"/>
        <v>3.8320000000001073</v>
      </c>
      <c r="BN26" s="124">
        <f>1277.473-SUM(BN20:BN25,BN16)</f>
        <v>22.606999999999971</v>
      </c>
      <c r="BO26" s="124">
        <f>1315.228-SUM(BO20:BO25,BO16)</f>
        <v>45.215000000000146</v>
      </c>
      <c r="BP26" s="124">
        <f>1313.953-SUM(BP20:BP25,BP16)</f>
        <v>41.257000000000062</v>
      </c>
      <c r="BQ26" s="124">
        <f>1322.424-SUM(BQ20:BQ25,BQ16)</f>
        <v>36.453999999999951</v>
      </c>
      <c r="BR26" s="139">
        <f t="shared" si="50"/>
        <v>36.453999999999951</v>
      </c>
      <c r="BS26" s="124">
        <f>1295.031-SUM(BS20:BS25,BS16)</f>
        <v>31.195000000000164</v>
      </c>
      <c r="BT26" s="124">
        <f>1152.621-SUM(BT20:BT25,BT16)</f>
        <v>30.213999999999942</v>
      </c>
      <c r="BU26" s="124">
        <f>1161.564-SUM(BU20:BU25,BU16)</f>
        <v>30.049000000000206</v>
      </c>
      <c r="BV26" s="124">
        <f>1149.849-SUM(BV20:BV25,BV16)</f>
        <v>32.200000000000045</v>
      </c>
      <c r="BW26" s="139">
        <f t="shared" si="51"/>
        <v>32.200000000000045</v>
      </c>
      <c r="BX26" s="124">
        <f>1083.964-SUM(BX20:BX25,BX16)</f>
        <v>29.716999999999871</v>
      </c>
      <c r="BY26" s="124">
        <f>1102.057-SUM(BY20:BY25,BY16)</f>
        <v>32.045000000000073</v>
      </c>
      <c r="BZ26" s="124">
        <f>1209.874-SUM(BZ20:BZ25,BZ16)</f>
        <v>61.536000000000058</v>
      </c>
      <c r="CA26" s="124">
        <f>1234.538-SUM(CA20:CA25,CA16)</f>
        <v>61.704000000000178</v>
      </c>
      <c r="CB26" s="139">
        <f t="shared" ref="CB26:CG26" si="67">CA26</f>
        <v>61.704000000000178</v>
      </c>
      <c r="CC26" s="703">
        <f>CD26+6.529</f>
        <v>594.59400000000005</v>
      </c>
      <c r="CD26" s="703">
        <f>CE26+2.773</f>
        <v>588.06500000000005</v>
      </c>
      <c r="CE26" s="703">
        <f>CF26-13.667</f>
        <v>585.29200000000003</v>
      </c>
      <c r="CF26" s="636">
        <f>1209.497-SUM(CF20:CF25,CF16)</f>
        <v>598.95900000000006</v>
      </c>
      <c r="CG26" s="139">
        <f t="shared" si="67"/>
        <v>598.95900000000006</v>
      </c>
      <c r="CH26" s="703">
        <f>CI26-4.053</f>
        <v>67.229999999999905</v>
      </c>
      <c r="CI26" s="636">
        <f>1187.792-SUM(CI20:CI25,CI16)</f>
        <v>71.282999999999902</v>
      </c>
      <c r="CJ26" s="645">
        <f>CI26</f>
        <v>71.282999999999902</v>
      </c>
      <c r="CK26" s="645">
        <f>CJ26</f>
        <v>71.282999999999902</v>
      </c>
      <c r="CL26" s="139">
        <f t="shared" si="55"/>
        <v>71.282999999999902</v>
      </c>
      <c r="CM26" s="645">
        <f t="shared" si="59"/>
        <v>71.282999999999902</v>
      </c>
      <c r="CN26" s="645">
        <f t="shared" si="60"/>
        <v>71.282999999999902</v>
      </c>
      <c r="CO26" s="645">
        <f t="shared" si="61"/>
        <v>71.282999999999902</v>
      </c>
      <c r="CP26" s="645">
        <f t="shared" si="62"/>
        <v>71.282999999999902</v>
      </c>
      <c r="CQ26" s="139">
        <f t="shared" si="56"/>
        <v>71.282999999999902</v>
      </c>
      <c r="CR26" s="645">
        <f t="shared" si="63"/>
        <v>71.282999999999902</v>
      </c>
      <c r="CS26" s="645">
        <f t="shared" si="64"/>
        <v>71.282999999999902</v>
      </c>
      <c r="CT26" s="645">
        <f t="shared" si="65"/>
        <v>71.282999999999902</v>
      </c>
      <c r="CU26" s="645">
        <f t="shared" si="66"/>
        <v>71.282999999999902</v>
      </c>
      <c r="CV26" s="139">
        <f t="shared" si="57"/>
        <v>71.282999999999902</v>
      </c>
    </row>
    <row r="27" spans="1:100" s="27" customFormat="1" ht="3.95" customHeight="1" x14ac:dyDescent="0.25">
      <c r="A27" s="153"/>
      <c r="B27" s="153"/>
      <c r="C27" s="153"/>
      <c r="D27" s="153"/>
      <c r="F27" s="139"/>
      <c r="G27" s="139"/>
      <c r="H27" s="139"/>
      <c r="I27" s="139"/>
      <c r="J27" s="139"/>
      <c r="O27" s="139"/>
      <c r="T27" s="139"/>
      <c r="Y27" s="139"/>
      <c r="AD27" s="139"/>
      <c r="AI27" s="139"/>
      <c r="AN27" s="139"/>
      <c r="AS27" s="139"/>
      <c r="AX27" s="139"/>
      <c r="BC27" s="139"/>
      <c r="BH27" s="139"/>
      <c r="BM27" s="139"/>
      <c r="BR27" s="139"/>
      <c r="BW27" s="139"/>
      <c r="CB27" s="139"/>
      <c r="CC27" s="645"/>
      <c r="CD27" s="645"/>
      <c r="CE27" s="645"/>
      <c r="CF27" s="645"/>
      <c r="CG27" s="139"/>
      <c r="CH27" s="645"/>
      <c r="CI27" s="645"/>
      <c r="CJ27" s="645"/>
      <c r="CK27" s="645"/>
      <c r="CL27" s="139"/>
      <c r="CM27" s="645"/>
      <c r="CN27" s="645"/>
      <c r="CO27" s="645"/>
      <c r="CP27" s="645"/>
      <c r="CQ27" s="139"/>
      <c r="CR27" s="645"/>
      <c r="CS27" s="645"/>
      <c r="CT27" s="645"/>
      <c r="CU27" s="645"/>
      <c r="CV27" s="139"/>
    </row>
    <row r="28" spans="1:100" s="28" customFormat="1" ht="12" customHeight="1" x14ac:dyDescent="0.25">
      <c r="E28" s="35" t="s">
        <v>7</v>
      </c>
      <c r="F28" s="35"/>
      <c r="G28" s="35"/>
      <c r="H28" s="35"/>
      <c r="I28" s="35"/>
      <c r="J28" s="35"/>
      <c r="K28" s="35"/>
      <c r="L28" s="35"/>
      <c r="M28" s="35"/>
      <c r="N28" s="35"/>
      <c r="O28" s="35"/>
      <c r="P28" s="35"/>
      <c r="Q28" s="35"/>
      <c r="R28" s="35"/>
      <c r="S28" s="35">
        <f>SUM(S20:S26)+S16</f>
        <v>1399.8789999999999</v>
      </c>
      <c r="T28" s="35">
        <f>SUM(T20:T26)+T16</f>
        <v>1399.8789999999999</v>
      </c>
      <c r="U28" s="35"/>
      <c r="V28" s="35"/>
      <c r="W28" s="35"/>
      <c r="X28" s="35">
        <f>SUM(X20:X26)+X16</f>
        <v>1540.498</v>
      </c>
      <c r="Y28" s="35">
        <f>SUM(Y20:Y26)+Y16</f>
        <v>1540.498</v>
      </c>
      <c r="Z28" s="35"/>
      <c r="AA28" s="35"/>
      <c r="AB28" s="35"/>
      <c r="AC28" s="35">
        <f>SUM(AC20:AC26)+AC16</f>
        <v>1655.904</v>
      </c>
      <c r="AD28" s="35">
        <f>SUM(AD20:AD26)+AD16</f>
        <v>1655.904</v>
      </c>
      <c r="AE28" s="35"/>
      <c r="AF28" s="35"/>
      <c r="AG28" s="35"/>
      <c r="AH28" s="35">
        <f t="shared" ref="AH28:AQ28" si="68">SUM(AH20:AH26)+AH16</f>
        <v>1471.855</v>
      </c>
      <c r="AI28" s="35">
        <f t="shared" si="68"/>
        <v>1471.855</v>
      </c>
      <c r="AJ28" s="35">
        <f t="shared" si="68"/>
        <v>1435.4059999999999</v>
      </c>
      <c r="AK28" s="35">
        <f t="shared" si="68"/>
        <v>1402.5419999999999</v>
      </c>
      <c r="AL28" s="35">
        <f t="shared" si="68"/>
        <v>1379.0350000000001</v>
      </c>
      <c r="AM28" s="35">
        <f t="shared" si="68"/>
        <v>1366.7919999999999</v>
      </c>
      <c r="AN28" s="35">
        <f t="shared" si="68"/>
        <v>1366.7919999999999</v>
      </c>
      <c r="AO28" s="35">
        <f t="shared" si="68"/>
        <v>1357.3520000000001</v>
      </c>
      <c r="AP28" s="35">
        <f t="shared" si="68"/>
        <v>1347.462</v>
      </c>
      <c r="AQ28" s="35">
        <f t="shared" si="68"/>
        <v>1377.5519999999999</v>
      </c>
      <c r="AR28" s="35">
        <f t="shared" ref="AR28:BM28" si="69">SUM(AR20:AR26)+AR16</f>
        <v>1363.42</v>
      </c>
      <c r="AS28" s="35">
        <f t="shared" si="69"/>
        <v>1363.42</v>
      </c>
      <c r="AT28" s="35">
        <f>SUM(AT20:AT26)+AT16</f>
        <v>1364.027</v>
      </c>
      <c r="AU28" s="35">
        <f t="shared" si="69"/>
        <v>1387.6220000000001</v>
      </c>
      <c r="AV28" s="35">
        <f t="shared" si="69"/>
        <v>1386.252</v>
      </c>
      <c r="AW28" s="35">
        <f>SUM(AW20:AW26)+AW16</f>
        <v>1306.625</v>
      </c>
      <c r="AX28" s="35">
        <f t="shared" si="69"/>
        <v>1306.625</v>
      </c>
      <c r="AY28" s="35">
        <f t="shared" si="69"/>
        <v>1285.2249999999999</v>
      </c>
      <c r="AZ28" s="35">
        <f t="shared" si="69"/>
        <v>1179.7329999999999</v>
      </c>
      <c r="BA28" s="35">
        <f t="shared" si="69"/>
        <v>1170.4870000000001</v>
      </c>
      <c r="BB28" s="35">
        <f t="shared" si="69"/>
        <v>1232.777</v>
      </c>
      <c r="BC28" s="35">
        <f t="shared" si="69"/>
        <v>1232.777</v>
      </c>
      <c r="BD28" s="35">
        <f t="shared" si="69"/>
        <v>1161.5540000000001</v>
      </c>
      <c r="BE28" s="35">
        <f t="shared" si="69"/>
        <v>1154.7329999999999</v>
      </c>
      <c r="BF28" s="35">
        <f t="shared" si="69"/>
        <v>1153.643</v>
      </c>
      <c r="BG28" s="35">
        <f>SUM(BG20:BG26)+BG16</f>
        <v>1187.7059999999999</v>
      </c>
      <c r="BH28" s="35">
        <f t="shared" si="69"/>
        <v>1187.7059999999999</v>
      </c>
      <c r="BI28" s="35">
        <f t="shared" si="69"/>
        <v>1155.289</v>
      </c>
      <c r="BJ28" s="35">
        <f t="shared" si="69"/>
        <v>1174.211</v>
      </c>
      <c r="BK28" s="35">
        <f t="shared" si="69"/>
        <v>1313.8810000000003</v>
      </c>
      <c r="BL28" s="35">
        <f t="shared" si="69"/>
        <v>1323.3009999999999</v>
      </c>
      <c r="BM28" s="35">
        <f t="shared" si="69"/>
        <v>1323.3009999999999</v>
      </c>
      <c r="BN28" s="35">
        <f t="shared" ref="BN28:BT28" si="70">SUM(BN20:BN26)+BN16</f>
        <v>1277.473</v>
      </c>
      <c r="BO28" s="35">
        <f t="shared" si="70"/>
        <v>1315.2280000000001</v>
      </c>
      <c r="BP28" s="35">
        <f t="shared" si="70"/>
        <v>1313.953</v>
      </c>
      <c r="BQ28" s="35">
        <f t="shared" si="70"/>
        <v>1322.424</v>
      </c>
      <c r="BR28" s="35">
        <f>SUM(BR20:BR26)+BR16</f>
        <v>1322.424</v>
      </c>
      <c r="BS28" s="35">
        <f t="shared" si="70"/>
        <v>1295.0309999999999</v>
      </c>
      <c r="BT28" s="35">
        <f t="shared" si="70"/>
        <v>1152.6210000000001</v>
      </c>
      <c r="BU28" s="35">
        <f>SUM(BU20:BU26)+BU16</f>
        <v>1161.5640000000001</v>
      </c>
      <c r="BV28" s="35">
        <f>SUM(BV20:BV26)+BV16</f>
        <v>1149.8489999999999</v>
      </c>
      <c r="BW28" s="35">
        <f>SUM(BW20:BW26)+BW16</f>
        <v>1149.8489999999999</v>
      </c>
      <c r="BX28" s="35">
        <f>SUM(BX20:BX26)+BX16</f>
        <v>1083.9639999999999</v>
      </c>
      <c r="BY28" s="35">
        <f t="shared" ref="BY28:CG28" si="71">SUM(BY20:BY26)+BY16</f>
        <v>1102.057</v>
      </c>
      <c r="BZ28" s="35">
        <f t="shared" si="71"/>
        <v>1209.874</v>
      </c>
      <c r="CA28" s="35">
        <f t="shared" si="71"/>
        <v>1234.538</v>
      </c>
      <c r="CB28" s="35">
        <f>SUM(CB20:CB26)+CB16</f>
        <v>1234.538</v>
      </c>
      <c r="CC28" s="35">
        <f>SUM(CC20:CC26)+CC16</f>
        <v>1210.5610000000001</v>
      </c>
      <c r="CD28" s="35">
        <f t="shared" si="71"/>
        <v>1210.2110000000002</v>
      </c>
      <c r="CE28" s="35">
        <f>SUM(CE20:CE26)+CE16</f>
        <v>1209.857</v>
      </c>
      <c r="CF28" s="35">
        <f>SUM(CF20:CF26)+CF16</f>
        <v>1209.4970000000001</v>
      </c>
      <c r="CG28" s="35">
        <f t="shared" si="71"/>
        <v>1209.4970000000001</v>
      </c>
      <c r="CH28" s="35">
        <f t="shared" ref="CH28:CQ28" si="72">SUM(CH20:CH26)+CH16</f>
        <v>1190.2469999999998</v>
      </c>
      <c r="CI28" s="35">
        <f t="shared" si="72"/>
        <v>1187.7919999999999</v>
      </c>
      <c r="CJ28" s="35">
        <f>SUM(CJ20:CJ26)+CJ16</f>
        <v>1988.4967379999998</v>
      </c>
      <c r="CK28" s="35">
        <f t="shared" si="72"/>
        <v>1390.1531068537499</v>
      </c>
      <c r="CL28" s="35">
        <f t="shared" si="72"/>
        <v>1390.1531068537499</v>
      </c>
      <c r="CM28" s="35">
        <f t="shared" si="72"/>
        <v>1287.532913334592</v>
      </c>
      <c r="CN28" s="35">
        <f t="shared" si="72"/>
        <v>1190.1854794308456</v>
      </c>
      <c r="CO28" s="35">
        <f t="shared" si="72"/>
        <v>1110.5307726924798</v>
      </c>
      <c r="CP28" s="35">
        <f t="shared" si="72"/>
        <v>1037.8130926559152</v>
      </c>
      <c r="CQ28" s="35">
        <f t="shared" si="72"/>
        <v>1037.8130926559152</v>
      </c>
      <c r="CR28" s="35">
        <f t="shared" ref="CR28:CV28" si="73">SUM(CR20:CR26)+CR16</f>
        <v>1005.2110558107962</v>
      </c>
      <c r="CS28" s="35">
        <f t="shared" si="73"/>
        <v>979.87862813975153</v>
      </c>
      <c r="CT28" s="35">
        <f t="shared" si="73"/>
        <v>963.04081601126575</v>
      </c>
      <c r="CU28" s="35">
        <f t="shared" si="73"/>
        <v>948.77409135216362</v>
      </c>
      <c r="CV28" s="35">
        <f t="shared" si="73"/>
        <v>948.77409135216362</v>
      </c>
    </row>
    <row r="29" spans="1:100" ht="12" customHeight="1" x14ac:dyDescent="0.25">
      <c r="F29" s="33"/>
      <c r="G29" s="33"/>
      <c r="H29" s="33"/>
      <c r="I29" s="33"/>
      <c r="J29" s="33"/>
      <c r="O29" s="33"/>
      <c r="T29" s="33"/>
      <c r="Y29" s="33"/>
      <c r="AD29" s="33"/>
      <c r="AI29" s="33"/>
      <c r="AN29" s="33"/>
      <c r="AS29" s="33"/>
      <c r="AX29" s="33"/>
      <c r="BC29" s="33"/>
      <c r="BH29" s="33"/>
      <c r="BM29" s="33"/>
      <c r="BR29" s="33"/>
      <c r="BS29" s="101"/>
      <c r="BT29" s="101"/>
      <c r="BU29" s="101"/>
      <c r="BV29" s="101"/>
      <c r="BW29" s="33"/>
      <c r="BX29" s="101"/>
      <c r="BY29" s="101"/>
      <c r="BZ29" s="101"/>
      <c r="CA29" s="101"/>
      <c r="CB29" s="33"/>
      <c r="CC29" s="550"/>
      <c r="CD29" s="550"/>
      <c r="CE29" s="550"/>
      <c r="CF29" s="550"/>
      <c r="CG29" s="33"/>
      <c r="CH29" s="550"/>
      <c r="CI29" s="550"/>
      <c r="CJ29" s="550"/>
      <c r="CK29" s="550"/>
      <c r="CL29" s="33"/>
      <c r="CM29" s="101"/>
      <c r="CN29" s="101"/>
      <c r="CO29" s="101"/>
      <c r="CP29" s="101"/>
      <c r="CQ29" s="33"/>
      <c r="CR29" s="101"/>
      <c r="CS29" s="101"/>
      <c r="CT29" s="101"/>
      <c r="CU29" s="101"/>
      <c r="CV29" s="33"/>
    </row>
    <row r="30" spans="1:100" ht="12" customHeight="1" x14ac:dyDescent="0.25">
      <c r="A30" s="153" t="s">
        <v>430</v>
      </c>
      <c r="B30" s="153" t="s">
        <v>431</v>
      </c>
      <c r="C30" s="153" t="s">
        <v>432</v>
      </c>
      <c r="D30" s="153" t="s">
        <v>433</v>
      </c>
      <c r="E30" s="93" t="s">
        <v>9</v>
      </c>
      <c r="F30" s="33"/>
      <c r="G30" s="33"/>
      <c r="H30" s="33"/>
      <c r="I30" s="33"/>
      <c r="J30" s="33"/>
      <c r="O30" s="33"/>
      <c r="T30" s="33"/>
      <c r="Y30" s="33"/>
      <c r="AD30" s="33"/>
      <c r="AI30" s="33"/>
      <c r="AN30" s="33"/>
      <c r="AS30" s="33"/>
      <c r="AX30" s="33"/>
      <c r="BC30" s="33"/>
      <c r="BH30" s="33"/>
      <c r="BM30" s="33"/>
      <c r="BR30" s="33"/>
      <c r="BW30" s="33"/>
      <c r="CB30" s="33"/>
      <c r="CC30" s="700"/>
      <c r="CD30" s="700"/>
      <c r="CE30" s="700"/>
      <c r="CF30" s="700"/>
      <c r="CG30" s="33"/>
      <c r="CH30" s="700"/>
      <c r="CI30" s="700"/>
      <c r="CJ30" s="700"/>
      <c r="CK30" s="700"/>
      <c r="CL30" s="33"/>
      <c r="CQ30" s="33"/>
      <c r="CR30" s="717"/>
      <c r="CS30" s="717"/>
      <c r="CT30" s="717"/>
      <c r="CU30" s="717"/>
      <c r="CV30" s="33"/>
    </row>
    <row r="31" spans="1:100" s="27" customFormat="1" ht="12" customHeight="1" x14ac:dyDescent="0.25">
      <c r="A31" s="156">
        <v>0</v>
      </c>
      <c r="B31" s="156">
        <v>0</v>
      </c>
      <c r="C31" s="156">
        <v>0</v>
      </c>
      <c r="D31" s="156">
        <v>0</v>
      </c>
      <c r="E31" s="27" t="s">
        <v>329</v>
      </c>
      <c r="F31" s="161"/>
      <c r="G31" s="161"/>
      <c r="H31" s="161"/>
      <c r="I31" s="161"/>
      <c r="J31" s="161"/>
      <c r="K31" s="157"/>
      <c r="L31" s="157"/>
      <c r="M31" s="157"/>
      <c r="N31" s="157"/>
      <c r="O31" s="161"/>
      <c r="P31" s="157"/>
      <c r="Q31" s="157"/>
      <c r="R31" s="157"/>
      <c r="S31" s="157">
        <f>-Debt!S10</f>
        <v>83.004999999999995</v>
      </c>
      <c r="T31" s="139">
        <f t="shared" ref="T31:T37" si="74">S31</f>
        <v>83.004999999999995</v>
      </c>
      <c r="U31" s="157"/>
      <c r="V31" s="157"/>
      <c r="W31" s="157"/>
      <c r="X31" s="157">
        <f>-Debt!X10</f>
        <v>93.518000000000001</v>
      </c>
      <c r="Y31" s="139">
        <f t="shared" ref="Y31:Y37" si="75">X31</f>
        <v>93.518000000000001</v>
      </c>
      <c r="Z31" s="157"/>
      <c r="AA31" s="157"/>
      <c r="AB31" s="157"/>
      <c r="AC31" s="157">
        <f>-Debt!AC10</f>
        <v>106.92100000000001</v>
      </c>
      <c r="AD31" s="139">
        <f t="shared" ref="AD31:AD37" si="76">AC31</f>
        <v>106.92100000000001</v>
      </c>
      <c r="AE31" s="157"/>
      <c r="AF31" s="157"/>
      <c r="AG31" s="157"/>
      <c r="AH31" s="157">
        <f>-Debt!AH10</f>
        <v>69.259</v>
      </c>
      <c r="AI31" s="139">
        <f t="shared" ref="AI31:AI37" si="77">AH31</f>
        <v>69.259</v>
      </c>
      <c r="AJ31" s="157">
        <f>-Debt!AJ10</f>
        <v>58.731999999999999</v>
      </c>
      <c r="AK31" s="157">
        <f>-Debt!AK10</f>
        <v>49.243000000000002</v>
      </c>
      <c r="AL31" s="157">
        <f>-Debt!AL10</f>
        <v>44.341000000000001</v>
      </c>
      <c r="AM31" s="157">
        <f>-Debt!AM10</f>
        <v>40.966999999999999</v>
      </c>
      <c r="AN31" s="139">
        <f t="shared" ref="AN31:AN37" si="78">AM31</f>
        <v>40.966999999999999</v>
      </c>
      <c r="AO31" s="157">
        <f>-Debt!AO10</f>
        <v>34.984999999999999</v>
      </c>
      <c r="AP31" s="157">
        <f>-Debt!AP10</f>
        <v>43.636000000000003</v>
      </c>
      <c r="AQ31" s="157">
        <f>-Debt!AQ10</f>
        <v>41.484999999999999</v>
      </c>
      <c r="AR31" s="157">
        <f>-Debt!AR10</f>
        <v>42.106000000000002</v>
      </c>
      <c r="AS31" s="139">
        <f t="shared" ref="AS31:AS37" si="79">AR31</f>
        <v>42.106000000000002</v>
      </c>
      <c r="AT31" s="157">
        <f>-Debt!AT10</f>
        <v>42.168999999999997</v>
      </c>
      <c r="AU31" s="157">
        <f>-Debt!AU10</f>
        <v>31.366</v>
      </c>
      <c r="AV31" s="157">
        <f>-Debt!AV10</f>
        <v>30.763999999999999</v>
      </c>
      <c r="AW31" s="157">
        <f>-Debt!AW10</f>
        <v>27.978000000000002</v>
      </c>
      <c r="AX31" s="139">
        <f t="shared" ref="AX31:AX37" si="80">AW31</f>
        <v>27.978000000000002</v>
      </c>
      <c r="AY31" s="157">
        <f>-Debt!AY10</f>
        <v>28.111999999999998</v>
      </c>
      <c r="AZ31" s="439">
        <f>-Debt!AZ10</f>
        <v>27.826000000000001</v>
      </c>
      <c r="BA31" s="439">
        <f>-Debt!BA10</f>
        <v>27.852</v>
      </c>
      <c r="BB31" s="157">
        <f>-Debt!BB10</f>
        <v>26.366</v>
      </c>
      <c r="BC31" s="139">
        <f t="shared" ref="BC31:BC37" si="81">BB31</f>
        <v>26.366</v>
      </c>
      <c r="BD31" s="157">
        <f>-Debt!BD10</f>
        <v>24.905000000000001</v>
      </c>
      <c r="BE31" s="157">
        <f>-Debt!BE10</f>
        <v>22.492000000000001</v>
      </c>
      <c r="BF31" s="157">
        <f>-Debt!BF10</f>
        <v>19.814</v>
      </c>
      <c r="BG31" s="157">
        <f>-Debt!BG10</f>
        <v>16.105</v>
      </c>
      <c r="BH31" s="139">
        <f t="shared" ref="BH31:BH37" si="82">BG31</f>
        <v>16.105</v>
      </c>
      <c r="BI31" s="157">
        <f>-Debt!BI10</f>
        <v>14.776999999999999</v>
      </c>
      <c r="BJ31" s="157">
        <f>-Debt!BJ10</f>
        <v>13.56</v>
      </c>
      <c r="BK31" s="157">
        <f>-Debt!BK10</f>
        <v>25.635999999999999</v>
      </c>
      <c r="BL31" s="157">
        <f>-Debt!BL10</f>
        <v>28.567</v>
      </c>
      <c r="BM31" s="139">
        <f t="shared" ref="BM31:BM37" si="83">BL31</f>
        <v>28.567</v>
      </c>
      <c r="BN31" s="439">
        <f>-Debt!BN10</f>
        <v>31.367999999999999</v>
      </c>
      <c r="BO31" s="157">
        <f>-Debt!BO10</f>
        <v>34.118000000000002</v>
      </c>
      <c r="BP31" s="157">
        <f>-Debt!BP10</f>
        <v>33.268999999999998</v>
      </c>
      <c r="BQ31" s="157">
        <f>-Debt!BQ10</f>
        <v>32.884999999999998</v>
      </c>
      <c r="BR31" s="139">
        <f t="shared" ref="BR31:BR37" si="84">BQ31</f>
        <v>32.884999999999998</v>
      </c>
      <c r="BS31" s="157">
        <f>-Debt!BS10</f>
        <v>87.186000000000007</v>
      </c>
      <c r="BT31" s="549">
        <f>-Debt!BT10</f>
        <v>32.204999999999998</v>
      </c>
      <c r="BU31" s="157">
        <f>-Debt!BU10</f>
        <v>32.222999999999999</v>
      </c>
      <c r="BV31" s="157">
        <f>-Debt!BV10</f>
        <v>32.243000000000002</v>
      </c>
      <c r="BW31" s="139">
        <f t="shared" ref="BW31:BW37" si="85">BV31</f>
        <v>32.243000000000002</v>
      </c>
      <c r="BX31" s="157">
        <f>-Debt!BX10</f>
        <v>32.262</v>
      </c>
      <c r="BY31" s="157">
        <f>-Debt!BY10</f>
        <v>32.280999999999999</v>
      </c>
      <c r="BZ31" s="157">
        <f>-Debt!BZ10</f>
        <v>36.049999999999997</v>
      </c>
      <c r="CA31" s="157">
        <f>-Debt!CA10</f>
        <v>39.819000000000003</v>
      </c>
      <c r="CB31" s="139">
        <f t="shared" ref="CB31:CB37" si="86">CA31</f>
        <v>39.819000000000003</v>
      </c>
      <c r="CC31" s="549">
        <f>-Debt!CC10</f>
        <v>2.339</v>
      </c>
      <c r="CD31" s="549">
        <f>-Debt!CD10</f>
        <v>2.089</v>
      </c>
      <c r="CE31" s="549">
        <f>-Debt!CE10</f>
        <v>1.837</v>
      </c>
      <c r="CF31" s="549">
        <f>-Debt!CF10</f>
        <v>1.583</v>
      </c>
      <c r="CG31" s="139">
        <f>CF31</f>
        <v>1.583</v>
      </c>
      <c r="CH31" s="549">
        <f>-Debt!CH10</f>
        <v>1.327</v>
      </c>
      <c r="CI31" s="549">
        <f>-Debt!CI10</f>
        <v>0</v>
      </c>
      <c r="CJ31" s="549">
        <f>-Debt!CJ10</f>
        <v>0</v>
      </c>
      <c r="CK31" s="549">
        <f>-Debt!CK10</f>
        <v>0</v>
      </c>
      <c r="CL31" s="139">
        <f>CK31</f>
        <v>0</v>
      </c>
      <c r="CM31" s="157">
        <f>-Debt!CM10</f>
        <v>0</v>
      </c>
      <c r="CN31" s="157">
        <f>-Debt!CN10</f>
        <v>0</v>
      </c>
      <c r="CO31" s="157">
        <f>-Debt!CO10</f>
        <v>0</v>
      </c>
      <c r="CP31" s="157">
        <f>-Debt!CP10</f>
        <v>0</v>
      </c>
      <c r="CQ31" s="139">
        <f>CP31</f>
        <v>0</v>
      </c>
      <c r="CR31" s="157">
        <f>-Debt!CR10</f>
        <v>0</v>
      </c>
      <c r="CS31" s="157">
        <f>-Debt!CS10</f>
        <v>0</v>
      </c>
      <c r="CT31" s="157">
        <f>-Debt!CT10</f>
        <v>0</v>
      </c>
      <c r="CU31" s="157">
        <f>-Debt!CU10</f>
        <v>0</v>
      </c>
      <c r="CV31" s="139">
        <f>CU31</f>
        <v>0</v>
      </c>
    </row>
    <row r="32" spans="1:100" s="27" customFormat="1" ht="12" customHeight="1" x14ac:dyDescent="0.25">
      <c r="A32" s="156">
        <v>0.2</v>
      </c>
      <c r="B32" s="156">
        <v>0.2</v>
      </c>
      <c r="C32" s="156">
        <v>0.2</v>
      </c>
      <c r="D32" s="156">
        <v>0.2</v>
      </c>
      <c r="E32" s="27" t="s">
        <v>330</v>
      </c>
      <c r="F32" s="140"/>
      <c r="G32" s="140"/>
      <c r="H32" s="140"/>
      <c r="I32" s="140"/>
      <c r="J32" s="140"/>
      <c r="K32" s="124"/>
      <c r="L32" s="124"/>
      <c r="M32" s="124"/>
      <c r="N32" s="124"/>
      <c r="O32" s="139"/>
      <c r="P32" s="124"/>
      <c r="Q32" s="124"/>
      <c r="R32" s="124"/>
      <c r="S32" s="124">
        <v>63.295000000000002</v>
      </c>
      <c r="T32" s="139">
        <f t="shared" si="74"/>
        <v>63.295000000000002</v>
      </c>
      <c r="U32" s="124"/>
      <c r="V32" s="124"/>
      <c r="W32" s="124"/>
      <c r="X32" s="124">
        <v>44.143999999999998</v>
      </c>
      <c r="Y32" s="139">
        <f t="shared" si="75"/>
        <v>44.143999999999998</v>
      </c>
      <c r="Z32" s="124"/>
      <c r="AA32" s="124"/>
      <c r="AB32" s="124"/>
      <c r="AC32" s="124">
        <v>54.808</v>
      </c>
      <c r="AD32" s="139">
        <f t="shared" si="76"/>
        <v>54.808</v>
      </c>
      <c r="AE32" s="124"/>
      <c r="AF32" s="124"/>
      <c r="AG32" s="124"/>
      <c r="AH32" s="124">
        <v>45.749000000000002</v>
      </c>
      <c r="AI32" s="139">
        <f t="shared" si="77"/>
        <v>45.749000000000002</v>
      </c>
      <c r="AJ32" s="124">
        <v>32.933</v>
      </c>
      <c r="AK32" s="124">
        <v>35.954000000000001</v>
      </c>
      <c r="AL32" s="124">
        <v>33.866999999999997</v>
      </c>
      <c r="AM32" s="124">
        <v>27.701000000000001</v>
      </c>
      <c r="AN32" s="139">
        <f t="shared" si="78"/>
        <v>27.701000000000001</v>
      </c>
      <c r="AO32" s="124">
        <v>27.283999999999999</v>
      </c>
      <c r="AP32" s="124">
        <v>32.241999999999997</v>
      </c>
      <c r="AQ32" s="124">
        <v>23.574999999999999</v>
      </c>
      <c r="AR32" s="124">
        <v>42.774000000000001</v>
      </c>
      <c r="AS32" s="139">
        <f t="shared" si="79"/>
        <v>42.774000000000001</v>
      </c>
      <c r="AT32" s="124">
        <v>40.040999999999997</v>
      </c>
      <c r="AU32" s="124">
        <v>34.097000000000001</v>
      </c>
      <c r="AV32" s="124">
        <v>43.756999999999998</v>
      </c>
      <c r="AW32" s="124">
        <v>27.53</v>
      </c>
      <c r="AX32" s="139">
        <f t="shared" si="80"/>
        <v>27.53</v>
      </c>
      <c r="AY32" s="124">
        <v>28.998999999999999</v>
      </c>
      <c r="AZ32" s="124">
        <v>25.524999999999999</v>
      </c>
      <c r="BA32" s="124">
        <v>28.513000000000002</v>
      </c>
      <c r="BB32" s="124">
        <v>31.03</v>
      </c>
      <c r="BC32" s="139">
        <f t="shared" si="81"/>
        <v>31.03</v>
      </c>
      <c r="BD32" s="124">
        <v>23.442</v>
      </c>
      <c r="BE32" s="124">
        <v>17.780999999999999</v>
      </c>
      <c r="BF32" s="124">
        <v>19.873000000000001</v>
      </c>
      <c r="BG32" s="124">
        <v>35.786000000000001</v>
      </c>
      <c r="BH32" s="139">
        <f t="shared" si="82"/>
        <v>35.786000000000001</v>
      </c>
      <c r="BI32" s="124">
        <v>34.555999999999997</v>
      </c>
      <c r="BJ32" s="124">
        <v>28.628</v>
      </c>
      <c r="BK32" s="124">
        <v>23.562000000000001</v>
      </c>
      <c r="BL32" s="124">
        <v>36.183</v>
      </c>
      <c r="BM32" s="139">
        <f t="shared" si="83"/>
        <v>36.183</v>
      </c>
      <c r="BN32" s="124">
        <v>42.802999999999997</v>
      </c>
      <c r="BO32" s="124">
        <v>50.112499999999997</v>
      </c>
      <c r="BP32" s="124">
        <v>33.527000000000001</v>
      </c>
      <c r="BQ32" s="124">
        <v>38.951000000000001</v>
      </c>
      <c r="BR32" s="139">
        <f t="shared" si="84"/>
        <v>38.951000000000001</v>
      </c>
      <c r="BS32" s="124">
        <v>39.606000000000002</v>
      </c>
      <c r="BT32" s="124">
        <v>40.798000000000002</v>
      </c>
      <c r="BU32" s="124">
        <v>30.69</v>
      </c>
      <c r="BV32" s="124">
        <v>37.716999999999999</v>
      </c>
      <c r="BW32" s="139">
        <f t="shared" si="85"/>
        <v>37.716999999999999</v>
      </c>
      <c r="BX32" s="124">
        <v>26.216000000000001</v>
      </c>
      <c r="BY32" s="124">
        <v>36.299999999999997</v>
      </c>
      <c r="BZ32" s="124">
        <v>43.116999999999997</v>
      </c>
      <c r="CA32" s="124">
        <v>40.207999999999998</v>
      </c>
      <c r="CB32" s="139">
        <f t="shared" si="86"/>
        <v>40.207999999999998</v>
      </c>
      <c r="CC32" s="703">
        <f t="shared" ref="CC32:CE37" si="87">CD32</f>
        <v>18.759</v>
      </c>
      <c r="CD32" s="703">
        <f t="shared" si="87"/>
        <v>18.759</v>
      </c>
      <c r="CE32" s="703">
        <f t="shared" si="87"/>
        <v>18.759</v>
      </c>
      <c r="CF32" s="636">
        <v>18.759</v>
      </c>
      <c r="CG32" s="139">
        <f t="shared" ref="CG32:CG37" si="88">CF32</f>
        <v>18.759</v>
      </c>
      <c r="CH32" s="703">
        <f t="shared" ref="CH32:CH37" si="89">CI32</f>
        <v>15.853999999999999</v>
      </c>
      <c r="CI32" s="636">
        <v>15.853999999999999</v>
      </c>
      <c r="CJ32" s="796">
        <f>CI32</f>
        <v>15.853999999999999</v>
      </c>
      <c r="CK32" s="796">
        <f>CJ32+1</f>
        <v>16.853999999999999</v>
      </c>
      <c r="CL32" s="139">
        <f t="shared" ref="CL32:CL37" si="90">CK32</f>
        <v>16.853999999999999</v>
      </c>
      <c r="CM32" s="724">
        <f>CL32</f>
        <v>16.853999999999999</v>
      </c>
      <c r="CN32" s="724">
        <f>CM32</f>
        <v>16.853999999999999</v>
      </c>
      <c r="CO32" s="724">
        <f>CN32+0.5</f>
        <v>17.353999999999999</v>
      </c>
      <c r="CP32" s="724">
        <f>CO32+2</f>
        <v>19.353999999999999</v>
      </c>
      <c r="CQ32" s="139">
        <f t="shared" ref="CQ32:CQ37" si="91">CP32</f>
        <v>19.353999999999999</v>
      </c>
      <c r="CR32" s="724">
        <f>CQ32+1</f>
        <v>20.353999999999999</v>
      </c>
      <c r="CS32" s="724">
        <f>CR32+1.5</f>
        <v>21.853999999999999</v>
      </c>
      <c r="CT32" s="724">
        <f>CS32+0.1</f>
        <v>21.954000000000001</v>
      </c>
      <c r="CU32" s="724">
        <f>CT32+1</f>
        <v>22.954000000000001</v>
      </c>
      <c r="CV32" s="139">
        <f t="shared" ref="CV32:CV37" si="92">CU32</f>
        <v>22.954000000000001</v>
      </c>
    </row>
    <row r="33" spans="1:100" s="27" customFormat="1" ht="12" customHeight="1" x14ac:dyDescent="0.25">
      <c r="A33" s="156">
        <v>0.1</v>
      </c>
      <c r="B33" s="156">
        <v>0.1</v>
      </c>
      <c r="C33" s="156">
        <v>0.1</v>
      </c>
      <c r="D33" s="156">
        <v>0.14000000000000001</v>
      </c>
      <c r="E33" s="27" t="s">
        <v>331</v>
      </c>
      <c r="F33" s="140"/>
      <c r="G33" s="140"/>
      <c r="H33" s="140"/>
      <c r="I33" s="140"/>
      <c r="J33" s="140"/>
      <c r="K33" s="124"/>
      <c r="L33" s="124"/>
      <c r="M33" s="124"/>
      <c r="N33" s="124"/>
      <c r="O33" s="139"/>
      <c r="P33" s="124"/>
      <c r="Q33" s="124"/>
      <c r="R33" s="124"/>
      <c r="S33" s="124">
        <v>27.434999999999999</v>
      </c>
      <c r="T33" s="139">
        <f t="shared" si="74"/>
        <v>27.434999999999999</v>
      </c>
      <c r="U33" s="124"/>
      <c r="V33" s="124"/>
      <c r="W33" s="124"/>
      <c r="X33" s="124">
        <v>32.139000000000003</v>
      </c>
      <c r="Y33" s="139">
        <f t="shared" si="75"/>
        <v>32.139000000000003</v>
      </c>
      <c r="Z33" s="124"/>
      <c r="AA33" s="124"/>
      <c r="AB33" s="124"/>
      <c r="AC33" s="124">
        <v>33.633000000000003</v>
      </c>
      <c r="AD33" s="139">
        <f t="shared" si="76"/>
        <v>33.633000000000003</v>
      </c>
      <c r="AE33" s="124"/>
      <c r="AF33" s="124"/>
      <c r="AG33" s="124"/>
      <c r="AH33" s="124">
        <v>39.061</v>
      </c>
      <c r="AI33" s="139">
        <f t="shared" si="77"/>
        <v>39.061</v>
      </c>
      <c r="AJ33" s="124">
        <v>33.563000000000002</v>
      </c>
      <c r="AK33" s="124">
        <v>39.762</v>
      </c>
      <c r="AL33" s="124">
        <v>45.332999999999998</v>
      </c>
      <c r="AM33" s="124">
        <v>44.823</v>
      </c>
      <c r="AN33" s="139">
        <f t="shared" si="78"/>
        <v>44.823</v>
      </c>
      <c r="AO33" s="124">
        <v>22.670999999999999</v>
      </c>
      <c r="AP33" s="124">
        <v>24.379000000000001</v>
      </c>
      <c r="AQ33" s="124">
        <v>28.105</v>
      </c>
      <c r="AR33" s="124">
        <v>36.517000000000003</v>
      </c>
      <c r="AS33" s="139">
        <f t="shared" si="79"/>
        <v>36.517000000000003</v>
      </c>
      <c r="AT33" s="124">
        <v>27.664000000000001</v>
      </c>
      <c r="AU33" s="124">
        <v>34.271999999999998</v>
      </c>
      <c r="AV33" s="124">
        <v>32.484999999999999</v>
      </c>
      <c r="AW33" s="124">
        <v>41.783999999999999</v>
      </c>
      <c r="AX33" s="139">
        <f t="shared" si="80"/>
        <v>41.783999999999999</v>
      </c>
      <c r="AY33" s="124">
        <v>30.893000000000001</v>
      </c>
      <c r="AZ33" s="124">
        <v>34.476999999999997</v>
      </c>
      <c r="BA33" s="124">
        <v>41.566000000000003</v>
      </c>
      <c r="BB33" s="124">
        <v>54.838999999999999</v>
      </c>
      <c r="BC33" s="139">
        <f t="shared" si="81"/>
        <v>54.838999999999999</v>
      </c>
      <c r="BD33" s="124">
        <v>31.585000000000001</v>
      </c>
      <c r="BE33" s="124">
        <v>39.381999999999998</v>
      </c>
      <c r="BF33" s="124">
        <v>47.040999999999997</v>
      </c>
      <c r="BG33" s="124">
        <v>62.39</v>
      </c>
      <c r="BH33" s="139">
        <f t="shared" si="82"/>
        <v>62.39</v>
      </c>
      <c r="BI33" s="124">
        <v>30.486999999999998</v>
      </c>
      <c r="BJ33" s="124">
        <v>37.802999999999997</v>
      </c>
      <c r="BK33" s="124">
        <v>51.286999999999999</v>
      </c>
      <c r="BL33" s="124">
        <v>63.972000000000001</v>
      </c>
      <c r="BM33" s="139">
        <f t="shared" si="83"/>
        <v>63.972000000000001</v>
      </c>
      <c r="BN33" s="124">
        <v>31.01</v>
      </c>
      <c r="BO33" s="124">
        <v>31.956</v>
      </c>
      <c r="BP33" s="124">
        <v>35.718000000000004</v>
      </c>
      <c r="BQ33" s="124">
        <v>39.026000000000003</v>
      </c>
      <c r="BR33" s="139">
        <f t="shared" si="84"/>
        <v>39.026000000000003</v>
      </c>
      <c r="BS33" s="124">
        <v>26.013000000000002</v>
      </c>
      <c r="BT33" s="124">
        <v>32.683999999999997</v>
      </c>
      <c r="BU33" s="124">
        <v>46.661999999999999</v>
      </c>
      <c r="BV33" s="124">
        <v>61.308999999999997</v>
      </c>
      <c r="BW33" s="139">
        <f t="shared" si="85"/>
        <v>61.308999999999997</v>
      </c>
      <c r="BX33" s="124">
        <v>27.733000000000001</v>
      </c>
      <c r="BY33" s="124">
        <v>35.412999999999997</v>
      </c>
      <c r="BZ33" s="124">
        <v>45.082000000000001</v>
      </c>
      <c r="CA33" s="124">
        <v>53.238</v>
      </c>
      <c r="CB33" s="139">
        <f t="shared" si="86"/>
        <v>53.238</v>
      </c>
      <c r="CC33" s="703">
        <f t="shared" si="87"/>
        <v>13.773999999999999</v>
      </c>
      <c r="CD33" s="703">
        <f t="shared" si="87"/>
        <v>13.773999999999999</v>
      </c>
      <c r="CE33" s="703">
        <f t="shared" si="87"/>
        <v>13.773999999999999</v>
      </c>
      <c r="CF33" s="636">
        <v>13.773999999999999</v>
      </c>
      <c r="CG33" s="139">
        <f t="shared" si="88"/>
        <v>13.773999999999999</v>
      </c>
      <c r="CH33" s="703">
        <f t="shared" si="89"/>
        <v>14.329000000000001</v>
      </c>
      <c r="CI33" s="636">
        <v>14.329000000000001</v>
      </c>
      <c r="CJ33" s="796">
        <f>CI33</f>
        <v>14.329000000000001</v>
      </c>
      <c r="CK33" s="645">
        <f>CJ33</f>
        <v>14.329000000000001</v>
      </c>
      <c r="CL33" s="139">
        <f t="shared" si="90"/>
        <v>14.329000000000001</v>
      </c>
      <c r="CM33" s="27">
        <f t="shared" ref="CM33:CP33" si="93">CL33</f>
        <v>14.329000000000001</v>
      </c>
      <c r="CN33" s="27">
        <f t="shared" si="93"/>
        <v>14.329000000000001</v>
      </c>
      <c r="CO33" s="27">
        <f t="shared" si="93"/>
        <v>14.329000000000001</v>
      </c>
      <c r="CP33" s="27">
        <f t="shared" si="93"/>
        <v>14.329000000000001</v>
      </c>
      <c r="CQ33" s="139">
        <f t="shared" si="91"/>
        <v>14.329000000000001</v>
      </c>
      <c r="CR33" s="27">
        <f t="shared" ref="CR33" si="94">CQ33</f>
        <v>14.329000000000001</v>
      </c>
      <c r="CS33" s="27">
        <f t="shared" ref="CS33" si="95">CR33</f>
        <v>14.329000000000001</v>
      </c>
      <c r="CT33" s="27">
        <f t="shared" ref="CT33" si="96">CS33</f>
        <v>14.329000000000001</v>
      </c>
      <c r="CU33" s="27">
        <f t="shared" ref="CU33" si="97">CT33</f>
        <v>14.329000000000001</v>
      </c>
      <c r="CV33" s="139">
        <f t="shared" si="92"/>
        <v>14.329000000000001</v>
      </c>
    </row>
    <row r="34" spans="1:100" s="27" customFormat="1" ht="12" customHeight="1" x14ac:dyDescent="0.25">
      <c r="A34" s="156">
        <v>0.3</v>
      </c>
      <c r="B34" s="156">
        <v>0.3</v>
      </c>
      <c r="C34" s="156">
        <v>0.3</v>
      </c>
      <c r="D34" s="156">
        <v>0.25</v>
      </c>
      <c r="E34" s="27" t="s">
        <v>332</v>
      </c>
      <c r="F34" s="140"/>
      <c r="G34" s="140"/>
      <c r="H34" s="140"/>
      <c r="I34" s="140"/>
      <c r="J34" s="140"/>
      <c r="K34" s="124"/>
      <c r="L34" s="124"/>
      <c r="M34" s="124"/>
      <c r="N34" s="124"/>
      <c r="O34" s="139"/>
      <c r="P34" s="124"/>
      <c r="Q34" s="124"/>
      <c r="R34" s="124"/>
      <c r="S34" s="124">
        <v>74.635000000000005</v>
      </c>
      <c r="T34" s="139">
        <f t="shared" si="74"/>
        <v>74.635000000000005</v>
      </c>
      <c r="U34" s="124"/>
      <c r="V34" s="124"/>
      <c r="W34" s="124"/>
      <c r="X34" s="124">
        <v>81.427999999999997</v>
      </c>
      <c r="Y34" s="139">
        <f t="shared" si="75"/>
        <v>81.427999999999997</v>
      </c>
      <c r="Z34" s="124"/>
      <c r="AA34" s="124"/>
      <c r="AB34" s="124"/>
      <c r="AC34" s="124">
        <v>79.078000000000003</v>
      </c>
      <c r="AD34" s="139">
        <f t="shared" si="76"/>
        <v>79.078000000000003</v>
      </c>
      <c r="AE34" s="124"/>
      <c r="AF34" s="124"/>
      <c r="AG34" s="124"/>
      <c r="AH34" s="124">
        <v>121.441</v>
      </c>
      <c r="AI34" s="139">
        <f t="shared" si="77"/>
        <v>121.441</v>
      </c>
      <c r="AJ34" s="124">
        <v>108.30800000000001</v>
      </c>
      <c r="AK34" s="124">
        <v>95.975999999999999</v>
      </c>
      <c r="AL34" s="124">
        <v>109.11499999999999</v>
      </c>
      <c r="AM34" s="124">
        <v>86.072000000000003</v>
      </c>
      <c r="AN34" s="139">
        <f t="shared" si="78"/>
        <v>86.072000000000003</v>
      </c>
      <c r="AO34" s="124">
        <v>82.704999999999998</v>
      </c>
      <c r="AP34" s="124">
        <v>85.712999999999994</v>
      </c>
      <c r="AQ34" s="124">
        <v>85.769000000000005</v>
      </c>
      <c r="AR34" s="124">
        <v>75.632000000000005</v>
      </c>
      <c r="AS34" s="139">
        <f t="shared" si="79"/>
        <v>75.632000000000005</v>
      </c>
      <c r="AT34" s="124">
        <v>74.825999999999993</v>
      </c>
      <c r="AU34" s="124">
        <v>80.724000000000004</v>
      </c>
      <c r="AV34" s="124">
        <v>69.786000000000001</v>
      </c>
      <c r="AW34" s="124">
        <v>73.84</v>
      </c>
      <c r="AX34" s="139">
        <f t="shared" si="80"/>
        <v>73.84</v>
      </c>
      <c r="AY34" s="124">
        <v>76.831000000000003</v>
      </c>
      <c r="AZ34" s="124">
        <v>81.819999999999993</v>
      </c>
      <c r="BA34" s="124">
        <v>66.215000000000003</v>
      </c>
      <c r="BB34" s="124">
        <v>67.846999999999994</v>
      </c>
      <c r="BC34" s="139">
        <f t="shared" si="81"/>
        <v>67.846999999999994</v>
      </c>
      <c r="BD34" s="124">
        <v>78.534999999999997</v>
      </c>
      <c r="BE34" s="124">
        <v>81.072999999999993</v>
      </c>
      <c r="BF34" s="124">
        <v>73.695999999999998</v>
      </c>
      <c r="BG34" s="124">
        <v>68.27</v>
      </c>
      <c r="BH34" s="139">
        <f t="shared" si="82"/>
        <v>68.27</v>
      </c>
      <c r="BI34" s="124">
        <v>67.951999999999998</v>
      </c>
      <c r="BJ34" s="124">
        <v>77.822000000000003</v>
      </c>
      <c r="BK34" s="124">
        <v>75.394000000000005</v>
      </c>
      <c r="BL34" s="124">
        <v>72.762</v>
      </c>
      <c r="BM34" s="139">
        <f t="shared" si="83"/>
        <v>72.762</v>
      </c>
      <c r="BN34" s="124">
        <v>67.777000000000001</v>
      </c>
      <c r="BO34" s="124">
        <v>67.228999999999999</v>
      </c>
      <c r="BP34" s="124">
        <v>69.337999999999994</v>
      </c>
      <c r="BQ34" s="124">
        <v>67.867000000000004</v>
      </c>
      <c r="BR34" s="139">
        <f t="shared" si="84"/>
        <v>67.867000000000004</v>
      </c>
      <c r="BS34" s="124">
        <v>55.024999999999999</v>
      </c>
      <c r="BT34" s="124">
        <v>46.018999999999998</v>
      </c>
      <c r="BU34" s="124">
        <v>49.704999999999998</v>
      </c>
      <c r="BV34" s="124">
        <v>48.253999999999998</v>
      </c>
      <c r="BW34" s="139">
        <f t="shared" si="85"/>
        <v>48.253999999999998</v>
      </c>
      <c r="BX34" s="124">
        <v>47.976999999999997</v>
      </c>
      <c r="BY34" s="124">
        <v>46.581000000000003</v>
      </c>
      <c r="BZ34" s="124">
        <v>57.186999999999998</v>
      </c>
      <c r="CA34" s="124">
        <v>59.860999999999997</v>
      </c>
      <c r="CB34" s="139">
        <f t="shared" si="86"/>
        <v>59.860999999999997</v>
      </c>
      <c r="CC34" s="703">
        <f t="shared" si="87"/>
        <v>39.624000000000002</v>
      </c>
      <c r="CD34" s="703">
        <f t="shared" si="87"/>
        <v>39.624000000000002</v>
      </c>
      <c r="CE34" s="703">
        <f t="shared" si="87"/>
        <v>39.624000000000002</v>
      </c>
      <c r="CF34" s="636">
        <v>39.624000000000002</v>
      </c>
      <c r="CG34" s="139">
        <f t="shared" si="88"/>
        <v>39.624000000000002</v>
      </c>
      <c r="CH34" s="703">
        <f t="shared" si="89"/>
        <v>44.433999999999997</v>
      </c>
      <c r="CI34" s="636">
        <v>44.433999999999997</v>
      </c>
      <c r="CJ34" s="796">
        <f>CI34</f>
        <v>44.433999999999997</v>
      </c>
      <c r="CK34" s="645">
        <f>CJ34+1</f>
        <v>45.433999999999997</v>
      </c>
      <c r="CL34" s="139">
        <f t="shared" si="90"/>
        <v>45.433999999999997</v>
      </c>
      <c r="CM34" s="27">
        <f>CL34-1</f>
        <v>44.433999999999997</v>
      </c>
      <c r="CN34" s="27">
        <f>CM34+0.2</f>
        <v>44.634</v>
      </c>
      <c r="CO34" s="27">
        <f>CN34+0.5</f>
        <v>45.134</v>
      </c>
      <c r="CP34" s="27">
        <f>CO34+2</f>
        <v>47.134</v>
      </c>
      <c r="CQ34" s="139">
        <f t="shared" si="91"/>
        <v>47.134</v>
      </c>
      <c r="CR34" s="27">
        <f>CQ34-1</f>
        <v>46.134</v>
      </c>
      <c r="CS34" s="27">
        <f>CR34+0.2</f>
        <v>46.334000000000003</v>
      </c>
      <c r="CT34" s="27">
        <f>CS34+0.5</f>
        <v>46.834000000000003</v>
      </c>
      <c r="CU34" s="27">
        <f>CT34+2</f>
        <v>48.834000000000003</v>
      </c>
      <c r="CV34" s="139">
        <f t="shared" si="92"/>
        <v>48.834000000000003</v>
      </c>
    </row>
    <row r="35" spans="1:100" s="27" customFormat="1" ht="12" customHeight="1" x14ac:dyDescent="0.25">
      <c r="A35" s="156">
        <v>0.18</v>
      </c>
      <c r="B35" s="156">
        <v>0.18</v>
      </c>
      <c r="C35" s="156">
        <v>0.18</v>
      </c>
      <c r="D35" s="156">
        <v>0.18</v>
      </c>
      <c r="E35" s="27" t="s">
        <v>333</v>
      </c>
      <c r="F35" s="140"/>
      <c r="G35" s="140"/>
      <c r="H35" s="140"/>
      <c r="I35" s="140"/>
      <c r="J35" s="140"/>
      <c r="K35" s="124"/>
      <c r="L35" s="124"/>
      <c r="M35" s="124"/>
      <c r="N35" s="124"/>
      <c r="O35" s="139"/>
      <c r="P35" s="124"/>
      <c r="Q35" s="124"/>
      <c r="R35" s="124"/>
      <c r="S35" s="124">
        <v>115.892</v>
      </c>
      <c r="T35" s="139">
        <f t="shared" si="74"/>
        <v>115.892</v>
      </c>
      <c r="U35" s="124"/>
      <c r="V35" s="124"/>
      <c r="W35" s="124"/>
      <c r="X35" s="124">
        <v>123.916</v>
      </c>
      <c r="Y35" s="139">
        <f t="shared" si="75"/>
        <v>123.916</v>
      </c>
      <c r="Z35" s="124"/>
      <c r="AA35" s="124"/>
      <c r="AB35" s="124"/>
      <c r="AC35" s="124">
        <v>113.318</v>
      </c>
      <c r="AD35" s="139">
        <f t="shared" si="76"/>
        <v>113.318</v>
      </c>
      <c r="AE35" s="124"/>
      <c r="AF35" s="124"/>
      <c r="AG35" s="124"/>
      <c r="AH35" s="124">
        <v>64.116</v>
      </c>
      <c r="AI35" s="139">
        <f t="shared" si="77"/>
        <v>64.116</v>
      </c>
      <c r="AJ35" s="124">
        <v>64.182000000000002</v>
      </c>
      <c r="AK35" s="124">
        <v>57.625999999999998</v>
      </c>
      <c r="AL35" s="124">
        <v>57.2</v>
      </c>
      <c r="AM35" s="124">
        <v>54.991</v>
      </c>
      <c r="AN35" s="139">
        <f t="shared" si="78"/>
        <v>54.991</v>
      </c>
      <c r="AO35" s="124">
        <v>55.098999999999997</v>
      </c>
      <c r="AP35" s="124">
        <v>50.118000000000002</v>
      </c>
      <c r="AQ35" s="124">
        <v>57.426000000000002</v>
      </c>
      <c r="AR35" s="124">
        <v>55.567</v>
      </c>
      <c r="AS35" s="139">
        <f t="shared" si="79"/>
        <v>55.567</v>
      </c>
      <c r="AT35" s="124">
        <v>56.335000000000001</v>
      </c>
      <c r="AU35" s="124">
        <v>55.603000000000002</v>
      </c>
      <c r="AV35" s="417">
        <v>66.441000000000003</v>
      </c>
      <c r="AW35" s="124">
        <v>55.920999999999999</v>
      </c>
      <c r="AX35" s="139">
        <f t="shared" si="80"/>
        <v>55.920999999999999</v>
      </c>
      <c r="AY35" s="124">
        <v>57.426000000000002</v>
      </c>
      <c r="AZ35" s="124">
        <v>52.746000000000002</v>
      </c>
      <c r="BA35" s="124">
        <v>69.837999999999994</v>
      </c>
      <c r="BB35" s="124">
        <v>59.948999999999998</v>
      </c>
      <c r="BC35" s="139">
        <f t="shared" si="81"/>
        <v>59.948999999999998</v>
      </c>
      <c r="BD35" s="124">
        <v>52.588000000000001</v>
      </c>
      <c r="BE35" s="124">
        <v>47.432000000000002</v>
      </c>
      <c r="BF35" s="124">
        <v>47.389000000000003</v>
      </c>
      <c r="BG35" s="124">
        <v>41.387999999999998</v>
      </c>
      <c r="BH35" s="139">
        <f t="shared" si="82"/>
        <v>41.387999999999998</v>
      </c>
      <c r="BI35" s="124">
        <v>44.36</v>
      </c>
      <c r="BJ35" s="124">
        <v>47.401000000000003</v>
      </c>
      <c r="BK35" s="124">
        <v>50.1449</v>
      </c>
      <c r="BL35" s="124">
        <v>47.744</v>
      </c>
      <c r="BM35" s="139">
        <f t="shared" si="83"/>
        <v>47.744</v>
      </c>
      <c r="BN35" s="124">
        <v>43.481000000000002</v>
      </c>
      <c r="BO35" s="124">
        <v>35.677999999999997</v>
      </c>
      <c r="BP35" s="124">
        <v>37.944000000000003</v>
      </c>
      <c r="BQ35" s="124">
        <v>37.277999999999999</v>
      </c>
      <c r="BR35" s="139">
        <f t="shared" si="84"/>
        <v>37.277999999999999</v>
      </c>
      <c r="BS35" s="124">
        <v>33.554000000000002</v>
      </c>
      <c r="BT35" s="124">
        <v>36.051000000000002</v>
      </c>
      <c r="BU35" s="124">
        <v>42.680999999999997</v>
      </c>
      <c r="BV35" s="124">
        <v>44.476999999999997</v>
      </c>
      <c r="BW35" s="139">
        <f t="shared" si="85"/>
        <v>44.476999999999997</v>
      </c>
      <c r="BX35" s="124">
        <v>38.378</v>
      </c>
      <c r="BY35" s="124">
        <v>33.393999999999998</v>
      </c>
      <c r="BZ35" s="124">
        <v>32.643999999999998</v>
      </c>
      <c r="CA35" s="124">
        <v>37.087000000000003</v>
      </c>
      <c r="CB35" s="139">
        <f t="shared" si="86"/>
        <v>37.087000000000003</v>
      </c>
      <c r="CC35" s="703">
        <f t="shared" si="87"/>
        <v>4.5060000000000002</v>
      </c>
      <c r="CD35" s="703">
        <f t="shared" si="87"/>
        <v>4.5060000000000002</v>
      </c>
      <c r="CE35" s="703">
        <f t="shared" si="87"/>
        <v>4.5060000000000002</v>
      </c>
      <c r="CF35" s="636">
        <v>4.5060000000000002</v>
      </c>
      <c r="CG35" s="139">
        <f t="shared" si="88"/>
        <v>4.5060000000000002</v>
      </c>
      <c r="CH35" s="703">
        <f t="shared" si="89"/>
        <v>2.9820000000000002</v>
      </c>
      <c r="CI35" s="636">
        <v>2.9820000000000002</v>
      </c>
      <c r="CJ35" s="796">
        <f>CI35</f>
        <v>2.9820000000000002</v>
      </c>
      <c r="CK35" s="645">
        <f>CJ35</f>
        <v>2.9820000000000002</v>
      </c>
      <c r="CL35" s="139">
        <f t="shared" si="90"/>
        <v>2.9820000000000002</v>
      </c>
      <c r="CM35" s="27">
        <f t="shared" ref="CM35:CM36" si="98">CL35</f>
        <v>2.9820000000000002</v>
      </c>
      <c r="CN35" s="27">
        <f t="shared" ref="CN35:CN36" si="99">CM35</f>
        <v>2.9820000000000002</v>
      </c>
      <c r="CO35" s="27">
        <f t="shared" ref="CO35:CO36" si="100">CN35</f>
        <v>2.9820000000000002</v>
      </c>
      <c r="CP35" s="27">
        <f t="shared" ref="CP35:CP36" si="101">CO35</f>
        <v>2.9820000000000002</v>
      </c>
      <c r="CQ35" s="139">
        <f t="shared" si="91"/>
        <v>2.9820000000000002</v>
      </c>
      <c r="CR35" s="27">
        <f t="shared" ref="CR35:CR36" si="102">CQ35</f>
        <v>2.9820000000000002</v>
      </c>
      <c r="CS35" s="27">
        <f t="shared" ref="CS35:CS36" si="103">CR35</f>
        <v>2.9820000000000002</v>
      </c>
      <c r="CT35" s="27">
        <f t="shared" ref="CT35:CT36" si="104">CS35</f>
        <v>2.9820000000000002</v>
      </c>
      <c r="CU35" s="27">
        <f t="shared" ref="CU35:CU36" si="105">CT35</f>
        <v>2.9820000000000002</v>
      </c>
      <c r="CV35" s="139">
        <f t="shared" si="92"/>
        <v>2.9820000000000002</v>
      </c>
    </row>
    <row r="36" spans="1:100" s="27" customFormat="1" ht="12" customHeight="1" x14ac:dyDescent="0.25">
      <c r="A36" s="156"/>
      <c r="B36" s="156"/>
      <c r="C36" s="156"/>
      <c r="D36" s="156"/>
      <c r="E36" s="27" t="s">
        <v>452</v>
      </c>
      <c r="F36" s="140"/>
      <c r="G36" s="140"/>
      <c r="H36" s="140"/>
      <c r="I36" s="140"/>
      <c r="J36" s="140"/>
      <c r="K36" s="124"/>
      <c r="L36" s="124"/>
      <c r="M36" s="124"/>
      <c r="N36" s="124"/>
      <c r="O36" s="139"/>
      <c r="P36" s="124"/>
      <c r="Q36" s="124"/>
      <c r="R36" s="124"/>
      <c r="S36" s="124"/>
      <c r="T36" s="139"/>
      <c r="U36" s="124"/>
      <c r="V36" s="124"/>
      <c r="W36" s="124"/>
      <c r="X36" s="124"/>
      <c r="Y36" s="139"/>
      <c r="Z36" s="124"/>
      <c r="AA36" s="124"/>
      <c r="AB36" s="124"/>
      <c r="AC36" s="124"/>
      <c r="AD36" s="139"/>
      <c r="AE36" s="124"/>
      <c r="AF36" s="124"/>
      <c r="AG36" s="124"/>
      <c r="AH36" s="124"/>
      <c r="AI36" s="139"/>
      <c r="AJ36" s="124"/>
      <c r="AK36" s="124"/>
      <c r="AL36" s="124"/>
      <c r="AM36" s="124"/>
      <c r="AN36" s="139"/>
      <c r="AO36" s="124"/>
      <c r="AP36" s="124"/>
      <c r="AQ36" s="124"/>
      <c r="AR36" s="124"/>
      <c r="AS36" s="139"/>
      <c r="AT36" s="124"/>
      <c r="AU36" s="124"/>
      <c r="AV36" s="417"/>
      <c r="AW36" s="124">
        <v>2.4409999999999998</v>
      </c>
      <c r="AX36" s="139">
        <f t="shared" si="80"/>
        <v>2.4409999999999998</v>
      </c>
      <c r="AY36" s="124"/>
      <c r="AZ36" s="124"/>
      <c r="BA36" s="124">
        <v>2.8490000000000002</v>
      </c>
      <c r="BB36" s="124">
        <v>0</v>
      </c>
      <c r="BC36" s="139">
        <f t="shared" si="81"/>
        <v>0</v>
      </c>
      <c r="BD36" s="124">
        <v>0</v>
      </c>
      <c r="BE36" s="124">
        <v>0</v>
      </c>
      <c r="BF36" s="124">
        <v>0</v>
      </c>
      <c r="BG36" s="124">
        <v>0</v>
      </c>
      <c r="BH36" s="139">
        <f t="shared" si="82"/>
        <v>0</v>
      </c>
      <c r="BI36" s="124">
        <v>0</v>
      </c>
      <c r="BJ36" s="124">
        <v>0</v>
      </c>
      <c r="BK36" s="124">
        <v>0</v>
      </c>
      <c r="BL36" s="124">
        <v>0</v>
      </c>
      <c r="BM36" s="139">
        <f t="shared" si="83"/>
        <v>0</v>
      </c>
      <c r="BN36" s="124">
        <v>0</v>
      </c>
      <c r="BO36" s="124">
        <v>1.671</v>
      </c>
      <c r="BP36" s="124">
        <v>1.548</v>
      </c>
      <c r="BQ36" s="124">
        <v>1.008</v>
      </c>
      <c r="BR36" s="139">
        <f t="shared" si="84"/>
        <v>1.008</v>
      </c>
      <c r="BS36" s="124">
        <v>50.764000000000003</v>
      </c>
      <c r="BT36" s="124">
        <v>2.4359999999999999</v>
      </c>
      <c r="BU36" s="124">
        <v>4.0650000000000004</v>
      </c>
      <c r="BV36" s="124">
        <v>0</v>
      </c>
      <c r="BW36" s="139">
        <f>BV36</f>
        <v>0</v>
      </c>
      <c r="BX36" s="124">
        <v>0</v>
      </c>
      <c r="BY36" s="124">
        <v>0</v>
      </c>
      <c r="BZ36" s="124">
        <v>0</v>
      </c>
      <c r="CA36" s="124">
        <v>0</v>
      </c>
      <c r="CB36" s="139">
        <f t="shared" si="86"/>
        <v>0</v>
      </c>
      <c r="CC36" s="703">
        <f t="shared" si="87"/>
        <v>100.35299999999999</v>
      </c>
      <c r="CD36" s="703">
        <f t="shared" si="87"/>
        <v>100.35299999999999</v>
      </c>
      <c r="CE36" s="703">
        <f t="shared" si="87"/>
        <v>100.35299999999999</v>
      </c>
      <c r="CF36" s="636">
        <v>100.35299999999999</v>
      </c>
      <c r="CG36" s="139">
        <f t="shared" si="88"/>
        <v>100.35299999999999</v>
      </c>
      <c r="CH36" s="703">
        <f t="shared" si="89"/>
        <v>97.162999999999997</v>
      </c>
      <c r="CI36" s="636">
        <v>97.162999999999997</v>
      </c>
      <c r="CJ36" s="796">
        <v>0</v>
      </c>
      <c r="CK36" s="645">
        <f>CJ36</f>
        <v>0</v>
      </c>
      <c r="CL36" s="139">
        <f t="shared" si="90"/>
        <v>0</v>
      </c>
      <c r="CM36" s="27">
        <f t="shared" si="98"/>
        <v>0</v>
      </c>
      <c r="CN36" s="27">
        <f t="shared" si="99"/>
        <v>0</v>
      </c>
      <c r="CO36" s="27">
        <f t="shared" si="100"/>
        <v>0</v>
      </c>
      <c r="CP36" s="27">
        <f t="shared" si="101"/>
        <v>0</v>
      </c>
      <c r="CQ36" s="139">
        <f t="shared" si="91"/>
        <v>0</v>
      </c>
      <c r="CR36" s="27">
        <f t="shared" si="102"/>
        <v>0</v>
      </c>
      <c r="CS36" s="27">
        <f t="shared" si="103"/>
        <v>0</v>
      </c>
      <c r="CT36" s="27">
        <f t="shared" si="104"/>
        <v>0</v>
      </c>
      <c r="CU36" s="27">
        <f t="shared" si="105"/>
        <v>0</v>
      </c>
      <c r="CV36" s="139">
        <f t="shared" si="92"/>
        <v>0</v>
      </c>
    </row>
    <row r="37" spans="1:100" s="27" customFormat="1" ht="12" customHeight="1" x14ac:dyDescent="0.25">
      <c r="A37" s="156">
        <v>0</v>
      </c>
      <c r="B37" s="156">
        <v>0</v>
      </c>
      <c r="C37" s="156">
        <v>0</v>
      </c>
      <c r="D37" s="156">
        <v>0</v>
      </c>
      <c r="E37" s="29" t="s">
        <v>334</v>
      </c>
      <c r="F37" s="141"/>
      <c r="G37" s="141"/>
      <c r="H37" s="141"/>
      <c r="I37" s="141"/>
      <c r="J37" s="141"/>
      <c r="K37" s="125"/>
      <c r="L37" s="125"/>
      <c r="M37" s="125"/>
      <c r="N37" s="125"/>
      <c r="O37" s="149"/>
      <c r="P37" s="125"/>
      <c r="Q37" s="125"/>
      <c r="R37" s="125"/>
      <c r="S37" s="125">
        <f>364.262-SUM(S31:S35)</f>
        <v>0</v>
      </c>
      <c r="T37" s="149">
        <f t="shared" si="74"/>
        <v>0</v>
      </c>
      <c r="U37" s="125"/>
      <c r="V37" s="125"/>
      <c r="W37" s="125"/>
      <c r="X37" s="125">
        <f>379.99-SUM(X31:X35)</f>
        <v>4.8450000000000273</v>
      </c>
      <c r="Y37" s="149">
        <f t="shared" si="75"/>
        <v>4.8450000000000273</v>
      </c>
      <c r="Z37" s="125"/>
      <c r="AA37" s="125"/>
      <c r="AB37" s="125"/>
      <c r="AC37" s="125">
        <f>387.788-SUM(AC31:AC35)</f>
        <v>2.9999999999972715E-2</v>
      </c>
      <c r="AD37" s="149">
        <f t="shared" si="76"/>
        <v>2.9999999999972715E-2</v>
      </c>
      <c r="AE37" s="125"/>
      <c r="AF37" s="125"/>
      <c r="AG37" s="125"/>
      <c r="AH37" s="125">
        <f>339.626-SUM(AH31:AH35)</f>
        <v>0</v>
      </c>
      <c r="AI37" s="149">
        <f t="shared" si="77"/>
        <v>0</v>
      </c>
      <c r="AJ37" s="125">
        <f>297.718-SUM(AJ31:AJ35)</f>
        <v>0</v>
      </c>
      <c r="AK37" s="125">
        <f>278.561-SUM(AK31:AK35)</f>
        <v>0</v>
      </c>
      <c r="AL37" s="125">
        <f>289.856-SUM(AL31:AL35)</f>
        <v>0</v>
      </c>
      <c r="AM37" s="125">
        <f>254.554-SUM(AM31:AM35)</f>
        <v>0</v>
      </c>
      <c r="AN37" s="149">
        <f t="shared" si="78"/>
        <v>0</v>
      </c>
      <c r="AO37" s="125">
        <f>223.361-SUM(AO31:AO35)</f>
        <v>0.61700000000001864</v>
      </c>
      <c r="AP37" s="125">
        <f>236.259-SUM(AP31:AP35)</f>
        <v>0.17099999999999227</v>
      </c>
      <c r="AQ37" s="125">
        <f>236.481-SUM(AQ31:AQ35)</f>
        <v>0.1209999999999809</v>
      </c>
      <c r="AR37" s="125">
        <f>255.056-SUM(AR31:AR35)</f>
        <v>2.460000000000008</v>
      </c>
      <c r="AS37" s="149">
        <f t="shared" si="79"/>
        <v>2.460000000000008</v>
      </c>
      <c r="AT37" s="125">
        <f>245-SUM(AT31:AT35)</f>
        <v>3.9650000000000034</v>
      </c>
      <c r="AU37" s="125">
        <f>236.062-SUM(AU31:AU35)</f>
        <v>0</v>
      </c>
      <c r="AV37" s="125">
        <f>243.233-SUM(AV31:AV35)</f>
        <v>0</v>
      </c>
      <c r="AW37" s="125">
        <f>229.493-SUM(AW31:AW36)</f>
        <v>-1.0000000000047748E-3</v>
      </c>
      <c r="AX37" s="149">
        <f t="shared" si="80"/>
        <v>-1.0000000000047748E-3</v>
      </c>
      <c r="AY37" s="125">
        <f>222.261-SUM(AY31:AY35)</f>
        <v>0</v>
      </c>
      <c r="AZ37" s="125">
        <f>225.372-SUM(AZ31:AZ35)</f>
        <v>2.9780000000000086</v>
      </c>
      <c r="BA37" s="125">
        <f>238.977-SUM(BA31:BA36)</f>
        <v>2.1440000000000055</v>
      </c>
      <c r="BB37" s="125">
        <f>256.401-SUM(BB31:BB36)</f>
        <v>16.370000000000005</v>
      </c>
      <c r="BC37" s="149">
        <f t="shared" si="81"/>
        <v>16.370000000000005</v>
      </c>
      <c r="BD37" s="125">
        <f>221.021-SUM(BD31:BD36)</f>
        <v>9.9660000000000082</v>
      </c>
      <c r="BE37" s="125">
        <f>210.659-SUM(BE31:BE36)</f>
        <v>2.4989999999999668</v>
      </c>
      <c r="BF37" s="125">
        <f>211.042-SUM(BF31:BF36)</f>
        <v>3.2290000000000134</v>
      </c>
      <c r="BG37" s="125">
        <f>224.576-SUM(BG31:BG36)</f>
        <v>0.63700000000000045</v>
      </c>
      <c r="BH37" s="149">
        <f t="shared" si="82"/>
        <v>0.63700000000000045</v>
      </c>
      <c r="BI37" s="125">
        <f>194.528-SUM(BI31:BI36)</f>
        <v>2.3959999999999866</v>
      </c>
      <c r="BJ37" s="125">
        <f>205.781-SUM(BJ31:BJ36)</f>
        <v>0.56700000000000728</v>
      </c>
      <c r="BK37" s="125">
        <f>227.747-SUM(BK31:BK36)</f>
        <v>1.7230999999999881</v>
      </c>
      <c r="BL37" s="125">
        <f>249.469-SUM(BL31:BL36)</f>
        <v>0.24099999999998545</v>
      </c>
      <c r="BM37" s="149">
        <f t="shared" si="83"/>
        <v>0.24099999999998545</v>
      </c>
      <c r="BN37" s="125">
        <f>218.12-SUM(BN31:BN36)</f>
        <v>1.6810000000000116</v>
      </c>
      <c r="BO37" s="125">
        <f>251.764-SUM(BO31:BO36)</f>
        <v>30.999500000000012</v>
      </c>
      <c r="BP37" s="125">
        <f>242.344-SUM(BP31:BP36)</f>
        <v>31</v>
      </c>
      <c r="BQ37" s="125">
        <f>248.015-SUM(BQ31:BQ36)</f>
        <v>31</v>
      </c>
      <c r="BR37" s="149">
        <f t="shared" si="84"/>
        <v>31</v>
      </c>
      <c r="BS37" s="125">
        <f>323.148-SUM(BS31:BS36)</f>
        <v>31</v>
      </c>
      <c r="BT37" s="125">
        <f>190.323-SUM(BT31:BT36)</f>
        <v>0.12999999999999545</v>
      </c>
      <c r="BU37" s="125">
        <f>206.026-SUM(BU31:BU36)</f>
        <v>0</v>
      </c>
      <c r="BV37" s="125">
        <f>224-SUM(BV31:BV36)</f>
        <v>0</v>
      </c>
      <c r="BW37" s="149">
        <f t="shared" si="85"/>
        <v>0</v>
      </c>
      <c r="BX37" s="125">
        <f>172.566-SUM(BX31:BX36)</f>
        <v>0</v>
      </c>
      <c r="BY37" s="125">
        <f>183.969-SUM(BY31:BY36)</f>
        <v>0</v>
      </c>
      <c r="BZ37" s="125">
        <f>214.08-SUM(BZ31:BZ36)</f>
        <v>0</v>
      </c>
      <c r="CA37" s="125">
        <f>230.213-SUM(CA31:CA36)</f>
        <v>0</v>
      </c>
      <c r="CB37" s="149">
        <f t="shared" si="86"/>
        <v>0</v>
      </c>
      <c r="CC37" s="801">
        <f t="shared" si="87"/>
        <v>0</v>
      </c>
      <c r="CD37" s="801">
        <f t="shared" si="87"/>
        <v>0</v>
      </c>
      <c r="CE37" s="801">
        <f t="shared" si="87"/>
        <v>0</v>
      </c>
      <c r="CF37" s="789">
        <f>178.599-SUM(CF31:CF36)</f>
        <v>0</v>
      </c>
      <c r="CG37" s="149">
        <f t="shared" si="88"/>
        <v>0</v>
      </c>
      <c r="CH37" s="801">
        <f t="shared" si="89"/>
        <v>0</v>
      </c>
      <c r="CI37" s="789">
        <f>174.762-SUM(CI31:CI36)</f>
        <v>0</v>
      </c>
      <c r="CJ37" s="783">
        <f>CI37</f>
        <v>0</v>
      </c>
      <c r="CK37" s="783">
        <f>CJ37</f>
        <v>0</v>
      </c>
      <c r="CL37" s="149">
        <f t="shared" si="90"/>
        <v>0</v>
      </c>
      <c r="CM37" s="29">
        <f>CL37</f>
        <v>0</v>
      </c>
      <c r="CN37" s="29">
        <f>CM37</f>
        <v>0</v>
      </c>
      <c r="CO37" s="29">
        <f>CN37</f>
        <v>0</v>
      </c>
      <c r="CP37" s="29">
        <f>CO37</f>
        <v>0</v>
      </c>
      <c r="CQ37" s="149">
        <f t="shared" si="91"/>
        <v>0</v>
      </c>
      <c r="CR37" s="29">
        <f>CQ37</f>
        <v>0</v>
      </c>
      <c r="CS37" s="29">
        <f>CR37</f>
        <v>0</v>
      </c>
      <c r="CT37" s="29">
        <f>CS37</f>
        <v>0</v>
      </c>
      <c r="CU37" s="29">
        <f>CT37</f>
        <v>0</v>
      </c>
      <c r="CV37" s="149">
        <f t="shared" si="92"/>
        <v>0</v>
      </c>
    </row>
    <row r="38" spans="1:100" s="130" customFormat="1" ht="12" customHeight="1" x14ac:dyDescent="0.25">
      <c r="A38" s="153"/>
      <c r="B38" s="153"/>
      <c r="C38" s="153"/>
      <c r="D38" s="153"/>
      <c r="E38" s="130" t="s">
        <v>10</v>
      </c>
      <c r="F38" s="127"/>
      <c r="G38" s="127"/>
      <c r="H38" s="127"/>
      <c r="I38" s="127"/>
      <c r="J38" s="127"/>
      <c r="O38" s="127"/>
      <c r="S38" s="130">
        <f>SUM(S31:S37)</f>
        <v>364.262</v>
      </c>
      <c r="T38" s="127">
        <f>SUM(T31:T37)</f>
        <v>364.262</v>
      </c>
      <c r="X38" s="130">
        <f>SUM(X31:X37)</f>
        <v>379.99</v>
      </c>
      <c r="Y38" s="127">
        <f>SUM(Y31:Y37)</f>
        <v>379.99</v>
      </c>
      <c r="AC38" s="130">
        <f>SUM(AC31:AC37)</f>
        <v>387.78800000000001</v>
      </c>
      <c r="AD38" s="127">
        <f>SUM(AD31:AD37)</f>
        <v>387.78800000000001</v>
      </c>
      <c r="AH38" s="130">
        <f t="shared" ref="AH38:AT38" si="106">SUM(AH31:AH37)</f>
        <v>339.62599999999998</v>
      </c>
      <c r="AI38" s="127">
        <f t="shared" si="106"/>
        <v>339.62599999999998</v>
      </c>
      <c r="AJ38" s="130">
        <f t="shared" si="106"/>
        <v>297.71800000000002</v>
      </c>
      <c r="AK38" s="130">
        <f t="shared" si="106"/>
        <v>278.56099999999998</v>
      </c>
      <c r="AL38" s="130">
        <f t="shared" si="106"/>
        <v>289.85599999999999</v>
      </c>
      <c r="AM38" s="130">
        <f t="shared" si="106"/>
        <v>254.55400000000003</v>
      </c>
      <c r="AN38" s="127">
        <f t="shared" si="106"/>
        <v>254.55400000000003</v>
      </c>
      <c r="AO38" s="130">
        <f t="shared" si="106"/>
        <v>223.36099999999999</v>
      </c>
      <c r="AP38" s="130">
        <f t="shared" si="106"/>
        <v>236.25899999999999</v>
      </c>
      <c r="AQ38" s="130">
        <f t="shared" si="106"/>
        <v>236.48099999999999</v>
      </c>
      <c r="AR38" s="130">
        <f t="shared" si="106"/>
        <v>255.05600000000001</v>
      </c>
      <c r="AS38" s="127">
        <f t="shared" si="106"/>
        <v>255.05600000000001</v>
      </c>
      <c r="AT38" s="130">
        <f t="shared" si="106"/>
        <v>245</v>
      </c>
      <c r="AU38" s="130">
        <f t="shared" ref="AU38:BM38" si="107">SUM(AU31:AU37)</f>
        <v>236.06200000000001</v>
      </c>
      <c r="AV38" s="130">
        <f t="shared" si="107"/>
        <v>243.233</v>
      </c>
      <c r="AW38" s="130">
        <f t="shared" si="107"/>
        <v>229.49299999999999</v>
      </c>
      <c r="AX38" s="127">
        <f t="shared" si="107"/>
        <v>229.49299999999999</v>
      </c>
      <c r="AY38" s="130">
        <f t="shared" si="107"/>
        <v>222.26099999999997</v>
      </c>
      <c r="AZ38" s="130">
        <f t="shared" si="107"/>
        <v>225.37200000000001</v>
      </c>
      <c r="BA38" s="130">
        <f t="shared" si="107"/>
        <v>238.977</v>
      </c>
      <c r="BB38" s="130">
        <f t="shared" si="107"/>
        <v>256.40100000000001</v>
      </c>
      <c r="BC38" s="127">
        <f t="shared" si="107"/>
        <v>256.40100000000001</v>
      </c>
      <c r="BD38" s="130">
        <f t="shared" si="107"/>
        <v>221.02099999999999</v>
      </c>
      <c r="BE38" s="130">
        <f t="shared" si="107"/>
        <v>210.65899999999999</v>
      </c>
      <c r="BF38" s="130">
        <f t="shared" si="107"/>
        <v>211.042</v>
      </c>
      <c r="BG38" s="130">
        <f t="shared" si="107"/>
        <v>224.57599999999999</v>
      </c>
      <c r="BH38" s="127">
        <f t="shared" si="107"/>
        <v>224.57599999999999</v>
      </c>
      <c r="BI38" s="130">
        <f t="shared" si="107"/>
        <v>194.52799999999999</v>
      </c>
      <c r="BJ38" s="130">
        <f t="shared" si="107"/>
        <v>205.78100000000001</v>
      </c>
      <c r="BK38" s="130">
        <f t="shared" si="107"/>
        <v>227.74700000000001</v>
      </c>
      <c r="BL38" s="130">
        <f t="shared" si="107"/>
        <v>249.46899999999999</v>
      </c>
      <c r="BM38" s="127">
        <f t="shared" si="107"/>
        <v>249.46899999999999</v>
      </c>
      <c r="BN38" s="130">
        <f t="shared" ref="BN38:BW38" si="108">SUM(BN31:BN37)</f>
        <v>218.12</v>
      </c>
      <c r="BO38" s="130">
        <f t="shared" si="108"/>
        <v>251.76400000000001</v>
      </c>
      <c r="BP38" s="130">
        <f t="shared" si="108"/>
        <v>242.34399999999999</v>
      </c>
      <c r="BQ38" s="130">
        <f t="shared" si="108"/>
        <v>248.01499999999999</v>
      </c>
      <c r="BR38" s="127">
        <f t="shared" si="108"/>
        <v>248.01499999999999</v>
      </c>
      <c r="BS38" s="130">
        <f>SUM(BS31:BS37)</f>
        <v>323.14800000000002</v>
      </c>
      <c r="BT38" s="130">
        <f>SUM(BT31:BT37)</f>
        <v>190.32300000000001</v>
      </c>
      <c r="BU38" s="130">
        <f>SUM(BU31:BU37)</f>
        <v>206.02599999999995</v>
      </c>
      <c r="BV38" s="130">
        <f>SUM(BV31:BV37)</f>
        <v>224</v>
      </c>
      <c r="BW38" s="127">
        <f t="shared" si="108"/>
        <v>224</v>
      </c>
      <c r="BX38" s="130">
        <f>SUM(BX31:BX37)</f>
        <v>172.56599999999997</v>
      </c>
      <c r="BY38" s="130">
        <f>SUM(BY31:BY37)</f>
        <v>183.96899999999999</v>
      </c>
      <c r="BZ38" s="130">
        <f t="shared" ref="BZ38:CB38" si="109">SUM(BZ31:BZ37)</f>
        <v>214.07999999999998</v>
      </c>
      <c r="CA38" s="130">
        <f t="shared" si="109"/>
        <v>230.21299999999997</v>
      </c>
      <c r="CB38" s="127">
        <f t="shared" si="109"/>
        <v>230.21299999999997</v>
      </c>
      <c r="CC38" s="794">
        <f>SUM(CC31:CC37)</f>
        <v>179.35500000000002</v>
      </c>
      <c r="CD38" s="794">
        <f>SUM(CD31:CD37)</f>
        <v>179.10500000000002</v>
      </c>
      <c r="CE38" s="794">
        <f>SUM(CE31:CE37)</f>
        <v>178.85300000000001</v>
      </c>
      <c r="CF38" s="794">
        <f>SUM(CF31:CF37)</f>
        <v>178.59899999999999</v>
      </c>
      <c r="CG38" s="127">
        <f t="shared" ref="CG38:CL38" si="110">SUM(CG31:CG37)</f>
        <v>178.59899999999999</v>
      </c>
      <c r="CH38" s="794">
        <f>SUM(CH31:CH37)</f>
        <v>176.089</v>
      </c>
      <c r="CI38" s="794">
        <f t="shared" si="110"/>
        <v>174.762</v>
      </c>
      <c r="CJ38" s="794">
        <f>SUM(CJ31:CJ37)</f>
        <v>77.59899999999999</v>
      </c>
      <c r="CK38" s="794">
        <f>SUM(CK31:CK37)</f>
        <v>79.59899999999999</v>
      </c>
      <c r="CL38" s="127">
        <f t="shared" si="110"/>
        <v>79.59899999999999</v>
      </c>
      <c r="CM38" s="130">
        <f t="shared" ref="CM38:CQ38" si="111">SUM(CM31:CM37)</f>
        <v>78.59899999999999</v>
      </c>
      <c r="CN38" s="130">
        <f t="shared" si="111"/>
        <v>78.799000000000007</v>
      </c>
      <c r="CO38" s="130">
        <f t="shared" si="111"/>
        <v>79.799000000000007</v>
      </c>
      <c r="CP38" s="130">
        <f t="shared" si="111"/>
        <v>83.799000000000007</v>
      </c>
      <c r="CQ38" s="127">
        <f t="shared" si="111"/>
        <v>83.799000000000007</v>
      </c>
      <c r="CR38" s="130">
        <f t="shared" ref="CR38:CV38" si="112">SUM(CR31:CR37)</f>
        <v>83.799000000000007</v>
      </c>
      <c r="CS38" s="130">
        <f t="shared" si="112"/>
        <v>85.498999999999995</v>
      </c>
      <c r="CT38" s="130">
        <f t="shared" si="112"/>
        <v>86.099000000000004</v>
      </c>
      <c r="CU38" s="130">
        <f t="shared" si="112"/>
        <v>89.099000000000004</v>
      </c>
      <c r="CV38" s="127">
        <f t="shared" si="112"/>
        <v>89.099000000000004</v>
      </c>
    </row>
    <row r="39" spans="1:100" s="27" customFormat="1" ht="3.95" customHeight="1" x14ac:dyDescent="0.25">
      <c r="A39" s="122"/>
      <c r="B39" s="122"/>
      <c r="C39" s="122"/>
      <c r="D39" s="122"/>
      <c r="F39" s="139"/>
      <c r="G39" s="139"/>
      <c r="H39" s="139"/>
      <c r="I39" s="139"/>
      <c r="J39" s="139"/>
      <c r="O39" s="139"/>
      <c r="T39" s="139"/>
      <c r="Y39" s="139"/>
      <c r="AD39" s="139"/>
      <c r="AI39" s="139"/>
      <c r="AN39" s="139"/>
      <c r="AS39" s="139"/>
      <c r="AX39" s="139"/>
      <c r="BC39" s="139"/>
      <c r="BH39" s="139"/>
      <c r="BM39" s="139"/>
      <c r="BR39" s="139"/>
      <c r="BW39" s="139"/>
      <c r="CB39" s="139"/>
      <c r="CC39" s="645"/>
      <c r="CD39" s="645"/>
      <c r="CE39" s="645"/>
      <c r="CF39" s="645"/>
      <c r="CG39" s="139"/>
      <c r="CH39" s="645"/>
      <c r="CI39" s="645"/>
      <c r="CJ39" s="645"/>
      <c r="CK39" s="645"/>
      <c r="CL39" s="139"/>
      <c r="CQ39" s="139"/>
      <c r="CV39" s="139"/>
    </row>
    <row r="40" spans="1:100" s="27" customFormat="1" ht="12" customHeight="1" x14ac:dyDescent="0.25">
      <c r="A40" s="122"/>
      <c r="B40" s="122"/>
      <c r="C40" s="122"/>
      <c r="D40" s="122"/>
      <c r="E40" s="27" t="s">
        <v>87</v>
      </c>
      <c r="F40" s="139"/>
      <c r="G40" s="139"/>
      <c r="H40" s="139"/>
      <c r="I40" s="139"/>
      <c r="J40" s="139"/>
      <c r="O40" s="139"/>
      <c r="S40" s="27">
        <f>-Debt!S18</f>
        <v>141.70400000000001</v>
      </c>
      <c r="T40" s="139">
        <f>S40</f>
        <v>141.70400000000001</v>
      </c>
      <c r="X40" s="27">
        <f>-Debt!X18</f>
        <v>376.41500000000002</v>
      </c>
      <c r="Y40" s="139">
        <f>X40</f>
        <v>376.41500000000002</v>
      </c>
      <c r="AC40" s="27">
        <f>-Debt!AC18</f>
        <v>648.87900000000002</v>
      </c>
      <c r="AD40" s="139">
        <f>AC40</f>
        <v>648.87900000000002</v>
      </c>
      <c r="AH40" s="27">
        <f>-Debt!AH18</f>
        <v>575.30799999999999</v>
      </c>
      <c r="AI40" s="139">
        <f>AH40</f>
        <v>575.30799999999999</v>
      </c>
      <c r="AJ40" s="27">
        <f>-Debt!AJ18</f>
        <v>564.37699999999995</v>
      </c>
      <c r="AK40" s="27">
        <f>-Debt!AK18</f>
        <v>542.97</v>
      </c>
      <c r="AL40" s="27">
        <f>-Debt!AL18</f>
        <v>535.75900000000001</v>
      </c>
      <c r="AM40" s="27">
        <f>-Debt!AM18</f>
        <v>537.27200000000005</v>
      </c>
      <c r="AN40" s="139">
        <f>AM40</f>
        <v>537.27200000000005</v>
      </c>
      <c r="AO40" s="27">
        <f>-Debt!AO18</f>
        <v>533.47</v>
      </c>
      <c r="AP40" s="27">
        <f>-Debt!AP18</f>
        <v>490.608</v>
      </c>
      <c r="AQ40" s="27">
        <f>-Debt!AQ18</f>
        <v>483.846</v>
      </c>
      <c r="AR40" s="27">
        <f>-Debt!AR18</f>
        <v>458.62900000000002</v>
      </c>
      <c r="AS40" s="139">
        <f>AR40</f>
        <v>458.62900000000002</v>
      </c>
      <c r="AT40" s="27">
        <f>-Debt!AT18</f>
        <v>459.83300000000003</v>
      </c>
      <c r="AU40" s="27">
        <f>-Debt!AU18</f>
        <v>450.452</v>
      </c>
      <c r="AV40" s="27">
        <f>-Debt!AV18</f>
        <v>414.30700000000002</v>
      </c>
      <c r="AW40" s="27">
        <f>-Debt!AW18</f>
        <v>394.26</v>
      </c>
      <c r="AX40" s="139">
        <f>AW40</f>
        <v>394.26</v>
      </c>
      <c r="AY40" s="85">
        <f>-Debt!AY18</f>
        <v>365.565</v>
      </c>
      <c r="AZ40" s="27">
        <f>-Debt!AZ18</f>
        <v>284.95699999999999</v>
      </c>
      <c r="BA40" s="85">
        <f>-Debt!BA18</f>
        <v>256.97500000000002</v>
      </c>
      <c r="BB40" s="27">
        <f>-Debt!BB18</f>
        <v>251.886</v>
      </c>
      <c r="BC40" s="139">
        <f>BB40</f>
        <v>251.886</v>
      </c>
      <c r="BD40" s="27">
        <f>-Debt!BD18</f>
        <v>248.613</v>
      </c>
      <c r="BE40" s="27">
        <f>-Debt!BE18</f>
        <v>244.34700000000004</v>
      </c>
      <c r="BF40" s="27">
        <f>-Debt!BF18</f>
        <v>240.774</v>
      </c>
      <c r="BG40" s="27">
        <f>-Debt!BG18</f>
        <v>237.4</v>
      </c>
      <c r="BH40" s="139">
        <f>BG40</f>
        <v>237.4</v>
      </c>
      <c r="BI40" s="27">
        <f>-Debt!BI18</f>
        <v>233.83799999999999</v>
      </c>
      <c r="BJ40" s="27">
        <f>-Debt!BJ18</f>
        <v>230.71299999999999</v>
      </c>
      <c r="BK40" s="27">
        <f>-Debt!BK18</f>
        <v>297.70299999999997</v>
      </c>
      <c r="BL40" s="27">
        <f>-Debt!BL18</f>
        <v>289.04300000000001</v>
      </c>
      <c r="BM40" s="139">
        <f>BL40</f>
        <v>289.04300000000001</v>
      </c>
      <c r="BN40" s="27">
        <f>-Debt!BN18</f>
        <v>278.97500000000002</v>
      </c>
      <c r="BO40" s="27">
        <f>-Debt!BO18</f>
        <v>270.86900000000003</v>
      </c>
      <c r="BP40" s="27">
        <f>-Debt!BP18</f>
        <v>262.76100000000002</v>
      </c>
      <c r="BQ40" s="27">
        <f>-Debt!BQ18</f>
        <v>254.53899999999999</v>
      </c>
      <c r="BR40" s="139">
        <f>BQ40</f>
        <v>254.53899999999999</v>
      </c>
      <c r="BS40" s="27">
        <f>-Debt!BS18</f>
        <v>184.80199999999999</v>
      </c>
      <c r="BT40" s="550">
        <f>-Debt!BT18</f>
        <v>176.744</v>
      </c>
      <c r="BU40" s="27">
        <f>-Debt!BU18</f>
        <v>168.68100000000001</v>
      </c>
      <c r="BV40" s="27">
        <f>-Debt!BV18</f>
        <v>157.89699999999999</v>
      </c>
      <c r="BW40" s="139">
        <f>BV40</f>
        <v>157.89699999999999</v>
      </c>
      <c r="BX40" s="27">
        <f>-Debt!BX18</f>
        <v>150.124</v>
      </c>
      <c r="BY40" s="27">
        <f>-Debt!BY18</f>
        <v>142.34100000000001</v>
      </c>
      <c r="BZ40" s="645">
        <f>-Debt!BZ18</f>
        <v>200.798</v>
      </c>
      <c r="CA40" s="27">
        <f>-Debt!CA18</f>
        <v>189.24100000000001</v>
      </c>
      <c r="CB40" s="139">
        <f>CA40</f>
        <v>189.24100000000001</v>
      </c>
      <c r="CC40" s="645">
        <f>-Debt!CC18</f>
        <v>228.14500000000001</v>
      </c>
      <c r="CD40" s="645">
        <f>-Debt!CD18</f>
        <v>228.04499999999999</v>
      </c>
      <c r="CE40" s="645">
        <f>-Debt!CE18</f>
        <v>227.94300000000001</v>
      </c>
      <c r="CF40" s="645">
        <f>-Debt!CF18</f>
        <v>227.83699999999999</v>
      </c>
      <c r="CG40" s="139">
        <f>CF40</f>
        <v>227.83699999999999</v>
      </c>
      <c r="CH40" s="645">
        <f>-Debt!CH18</f>
        <v>227.435</v>
      </c>
      <c r="CI40" s="645">
        <f>-Debt!CI18</f>
        <v>226.30699999999999</v>
      </c>
      <c r="CJ40" s="645">
        <f>-Debt!CJ18</f>
        <v>0</v>
      </c>
      <c r="CK40" s="645">
        <f>-Debt!CK18</f>
        <v>0</v>
      </c>
      <c r="CL40" s="139">
        <f>CK40</f>
        <v>0</v>
      </c>
      <c r="CM40" s="27">
        <f>-Debt!CM18</f>
        <v>0</v>
      </c>
      <c r="CN40" s="27">
        <f>-Debt!CN18</f>
        <v>0</v>
      </c>
      <c r="CO40" s="27">
        <f>-Debt!CO18</f>
        <v>0</v>
      </c>
      <c r="CP40" s="27">
        <f>-Debt!CP18</f>
        <v>0</v>
      </c>
      <c r="CQ40" s="139">
        <f>CP40</f>
        <v>0</v>
      </c>
      <c r="CR40" s="27">
        <f>-Debt!CR18</f>
        <v>0</v>
      </c>
      <c r="CS40" s="27">
        <f>-Debt!CS18</f>
        <v>0</v>
      </c>
      <c r="CT40" s="27">
        <f>-Debt!CT18</f>
        <v>0</v>
      </c>
      <c r="CU40" s="27">
        <f>-Debt!CU18</f>
        <v>0</v>
      </c>
      <c r="CV40" s="139">
        <f>CU40</f>
        <v>0</v>
      </c>
    </row>
    <row r="41" spans="1:100" s="27" customFormat="1" ht="12" customHeight="1" x14ac:dyDescent="0.25">
      <c r="A41" s="122"/>
      <c r="B41" s="122"/>
      <c r="C41" s="122"/>
      <c r="D41" s="122"/>
      <c r="E41" s="27" t="s">
        <v>67</v>
      </c>
      <c r="F41" s="139"/>
      <c r="G41" s="139"/>
      <c r="H41" s="139"/>
      <c r="I41" s="139"/>
      <c r="J41" s="139"/>
      <c r="O41" s="139"/>
      <c r="S41" s="27">
        <f>-Debt!S20</f>
        <v>0</v>
      </c>
      <c r="T41" s="139">
        <f>S41</f>
        <v>0</v>
      </c>
      <c r="X41" s="27">
        <f>-Debt!X20</f>
        <v>0</v>
      </c>
      <c r="Y41" s="139">
        <f>X41</f>
        <v>0</v>
      </c>
      <c r="AC41" s="27">
        <f>-Debt!AC20</f>
        <v>0</v>
      </c>
      <c r="AD41" s="139">
        <f>AC41</f>
        <v>0</v>
      </c>
      <c r="AH41" s="27">
        <f>-Debt!AH20</f>
        <v>0</v>
      </c>
      <c r="AI41" s="139">
        <f>AH41</f>
        <v>0</v>
      </c>
      <c r="AJ41" s="27">
        <f>-Debt!AJ20</f>
        <v>0</v>
      </c>
      <c r="AK41" s="27">
        <f>-Debt!AK20</f>
        <v>0</v>
      </c>
      <c r="AL41" s="27">
        <f>-Debt!AL20</f>
        <v>0</v>
      </c>
      <c r="AM41" s="27">
        <f>-Debt!AM20</f>
        <v>0</v>
      </c>
      <c r="AN41" s="139">
        <f>AM41</f>
        <v>0</v>
      </c>
      <c r="AO41" s="27">
        <f>-Debt!AO20</f>
        <v>0</v>
      </c>
      <c r="AP41" s="27">
        <f>-Debt!AP20</f>
        <v>0</v>
      </c>
      <c r="AQ41" s="27">
        <f>-Debt!AQ20</f>
        <v>0</v>
      </c>
      <c r="AR41" s="27">
        <f>-Debt!AR20</f>
        <v>0</v>
      </c>
      <c r="AS41" s="139">
        <f>AR41</f>
        <v>0</v>
      </c>
      <c r="AT41" s="27">
        <f>-Debt!AT20</f>
        <v>0</v>
      </c>
      <c r="AU41" s="27">
        <f>-Debt!AU20</f>
        <v>0</v>
      </c>
      <c r="AV41" s="27">
        <f>-Debt!AV20</f>
        <v>0</v>
      </c>
      <c r="AW41" s="27">
        <f>-Debt!AW20</f>
        <v>0</v>
      </c>
      <c r="AX41" s="139">
        <f>AW41</f>
        <v>0</v>
      </c>
      <c r="AY41" s="27">
        <f>-Debt!AY20</f>
        <v>0</v>
      </c>
      <c r="AZ41" s="27">
        <f>-Debt!AZ20</f>
        <v>0</v>
      </c>
      <c r="BA41" s="27">
        <f>-Debt!BA20</f>
        <v>0</v>
      </c>
      <c r="BB41" s="27">
        <f>-Debt!BB20</f>
        <v>0</v>
      </c>
      <c r="BC41" s="139">
        <f>BB41</f>
        <v>0</v>
      </c>
      <c r="BD41" s="27">
        <f>-Debt!BD20</f>
        <v>0</v>
      </c>
      <c r="BE41" s="27">
        <f>-Debt!BE20</f>
        <v>0</v>
      </c>
      <c r="BF41" s="27">
        <f>-Debt!BF20</f>
        <v>0</v>
      </c>
      <c r="BG41" s="27">
        <f>-Debt!BG20</f>
        <v>0</v>
      </c>
      <c r="BH41" s="139">
        <f>BG41</f>
        <v>0</v>
      </c>
      <c r="BI41" s="27">
        <f>-Debt!BI20</f>
        <v>0</v>
      </c>
      <c r="BJ41" s="27">
        <f>-Debt!BJ20</f>
        <v>0</v>
      </c>
      <c r="BK41" s="27">
        <f>-Debt!BK20</f>
        <v>0</v>
      </c>
      <c r="BL41" s="27">
        <f>-Debt!BL20</f>
        <v>0</v>
      </c>
      <c r="BM41" s="139">
        <f>BL41</f>
        <v>0</v>
      </c>
      <c r="BN41" s="27">
        <f>-Debt!BN20</f>
        <v>0</v>
      </c>
      <c r="BO41" s="27">
        <f>-Debt!BO20</f>
        <v>0</v>
      </c>
      <c r="BP41" s="27">
        <f>-Debt!BP20</f>
        <v>0</v>
      </c>
      <c r="BQ41" s="27">
        <f>-Debt!BQ20</f>
        <v>0</v>
      </c>
      <c r="BR41" s="139">
        <f>BQ41</f>
        <v>0</v>
      </c>
      <c r="BS41" s="27">
        <f>-Debt!BS20</f>
        <v>0</v>
      </c>
      <c r="BT41" s="85">
        <f>-Debt!BT20</f>
        <v>0</v>
      </c>
      <c r="BU41" s="27">
        <f>-Debt!BU20</f>
        <v>0</v>
      </c>
      <c r="BV41" s="27">
        <f>-Debt!BV20</f>
        <v>0</v>
      </c>
      <c r="BW41" s="139">
        <f>BV41</f>
        <v>0</v>
      </c>
      <c r="BX41" s="27">
        <f>-Debt!BX20</f>
        <v>0</v>
      </c>
      <c r="BY41" s="27">
        <f>-Debt!BY20</f>
        <v>0</v>
      </c>
      <c r="BZ41" s="27">
        <f>-Debt!BZ20</f>
        <v>0</v>
      </c>
      <c r="CA41" s="27">
        <f>-Debt!CA20</f>
        <v>0</v>
      </c>
      <c r="CB41" s="139">
        <f>CA41</f>
        <v>0</v>
      </c>
      <c r="CC41" s="645">
        <f>-Debt!CC20</f>
        <v>0</v>
      </c>
      <c r="CD41" s="645">
        <f>-Debt!CD20</f>
        <v>0</v>
      </c>
      <c r="CE41" s="645">
        <f>-Debt!CE20</f>
        <v>0</v>
      </c>
      <c r="CF41" s="645">
        <f>-Debt!CF20</f>
        <v>0</v>
      </c>
      <c r="CG41" s="139">
        <f>CF41</f>
        <v>0</v>
      </c>
      <c r="CH41" s="645">
        <f>-Debt!CH20</f>
        <v>0</v>
      </c>
      <c r="CI41" s="645">
        <f>-Debt!CI20</f>
        <v>0</v>
      </c>
      <c r="CJ41" s="645">
        <f>-Debt!CJ20</f>
        <v>0</v>
      </c>
      <c r="CK41" s="645">
        <f>-Debt!CK20</f>
        <v>0</v>
      </c>
      <c r="CL41" s="139">
        <f>CK41</f>
        <v>0</v>
      </c>
      <c r="CM41" s="27">
        <f>-Debt!CM20</f>
        <v>0</v>
      </c>
      <c r="CN41" s="27">
        <f>-Debt!CN20</f>
        <v>0</v>
      </c>
      <c r="CO41" s="27">
        <f>-Debt!CO20</f>
        <v>0</v>
      </c>
      <c r="CP41" s="27">
        <f>-Debt!CP20</f>
        <v>0</v>
      </c>
      <c r="CQ41" s="139">
        <f>CP41</f>
        <v>0</v>
      </c>
      <c r="CR41" s="27">
        <f>-Debt!CR20</f>
        <v>0</v>
      </c>
      <c r="CS41" s="27">
        <f>-Debt!CS20</f>
        <v>0</v>
      </c>
      <c r="CT41" s="27">
        <f>-Debt!CT20</f>
        <v>0</v>
      </c>
      <c r="CU41" s="27">
        <f>-Debt!CU20</f>
        <v>0</v>
      </c>
      <c r="CV41" s="139">
        <f>CU41</f>
        <v>0</v>
      </c>
    </row>
    <row r="42" spans="1:100" s="27" customFormat="1" ht="12" customHeight="1" x14ac:dyDescent="0.25">
      <c r="A42" s="122"/>
      <c r="B42" s="122"/>
      <c r="C42" s="122"/>
      <c r="D42" s="122"/>
      <c r="E42" s="27" t="s">
        <v>320</v>
      </c>
      <c r="F42" s="139"/>
      <c r="G42" s="139"/>
      <c r="H42" s="139"/>
      <c r="I42" s="139"/>
      <c r="J42" s="139"/>
      <c r="O42" s="139"/>
      <c r="S42" s="124">
        <v>79.078999999999994</v>
      </c>
      <c r="T42" s="139">
        <f>S42</f>
        <v>79.078999999999994</v>
      </c>
      <c r="X42" s="124">
        <v>77.915999999999997</v>
      </c>
      <c r="Y42" s="139">
        <f>X42</f>
        <v>77.915999999999997</v>
      </c>
      <c r="Z42" s="124"/>
      <c r="AA42" s="124"/>
      <c r="AB42" s="124"/>
      <c r="AC42" s="124">
        <v>97.926000000000002</v>
      </c>
      <c r="AD42" s="139">
        <f>AC42</f>
        <v>97.926000000000002</v>
      </c>
      <c r="AE42" s="124"/>
      <c r="AF42" s="124"/>
      <c r="AG42" s="124"/>
      <c r="AH42" s="124">
        <v>51.429000000000002</v>
      </c>
      <c r="AI42" s="139">
        <f>AH42</f>
        <v>51.429000000000002</v>
      </c>
      <c r="AJ42" s="124">
        <v>54.06</v>
      </c>
      <c r="AK42" s="124">
        <v>62.353000000000002</v>
      </c>
      <c r="AL42" s="124">
        <v>57.088999999999999</v>
      </c>
      <c r="AM42" s="124">
        <v>62.231000000000002</v>
      </c>
      <c r="AN42" s="139">
        <f>AM42</f>
        <v>62.231000000000002</v>
      </c>
      <c r="AO42" s="124">
        <v>60.982999999999997</v>
      </c>
      <c r="AP42" s="124">
        <v>65.585999999999999</v>
      </c>
      <c r="AQ42" s="124">
        <v>79.504999999999995</v>
      </c>
      <c r="AR42" s="124">
        <v>61.283999999999999</v>
      </c>
      <c r="AS42" s="139">
        <f>AR42</f>
        <v>61.283999999999999</v>
      </c>
      <c r="AT42" s="124">
        <v>63.594999999999999</v>
      </c>
      <c r="AU42" s="124">
        <v>65.043999999999997</v>
      </c>
      <c r="AV42" s="124">
        <v>69.174000000000007</v>
      </c>
      <c r="AW42" s="124">
        <v>84.36</v>
      </c>
      <c r="AX42" s="139">
        <f>AW42</f>
        <v>84.36</v>
      </c>
      <c r="AY42" s="124">
        <v>84.445999999999998</v>
      </c>
      <c r="AZ42" s="124">
        <v>85.352999999999994</v>
      </c>
      <c r="BA42" s="124">
        <v>86.766999999999996</v>
      </c>
      <c r="BB42" s="124">
        <v>98.965000000000003</v>
      </c>
      <c r="BC42" s="139">
        <f>BB42</f>
        <v>98.965000000000003</v>
      </c>
      <c r="BD42" s="124">
        <v>91.643000000000001</v>
      </c>
      <c r="BE42" s="124">
        <v>89.578000000000003</v>
      </c>
      <c r="BF42" s="124">
        <v>86.614000000000004</v>
      </c>
      <c r="BG42" s="124">
        <v>94.918000000000006</v>
      </c>
      <c r="BH42" s="139">
        <f>BG42</f>
        <v>94.918000000000006</v>
      </c>
      <c r="BI42" s="124">
        <v>94.26</v>
      </c>
      <c r="BJ42" s="124">
        <v>94.634</v>
      </c>
      <c r="BK42" s="124">
        <v>91.822999999999993</v>
      </c>
      <c r="BL42" s="124">
        <v>90.225999999999999</v>
      </c>
      <c r="BM42" s="139">
        <f>BL42</f>
        <v>90.225999999999999</v>
      </c>
      <c r="BN42" s="124">
        <v>88.48</v>
      </c>
      <c r="BO42" s="124">
        <v>101.42400000000001</v>
      </c>
      <c r="BP42" s="124">
        <v>103.498</v>
      </c>
      <c r="BQ42" s="124">
        <v>103.39100000000001</v>
      </c>
      <c r="BR42" s="139">
        <f>BQ42</f>
        <v>103.39100000000001</v>
      </c>
      <c r="BS42" s="124">
        <v>76.653999999999996</v>
      </c>
      <c r="BT42" s="124">
        <v>70.875</v>
      </c>
      <c r="BU42" s="124">
        <v>66.709000000000003</v>
      </c>
      <c r="BV42" s="124">
        <v>53.963999999999999</v>
      </c>
      <c r="BW42" s="139">
        <f>BV42</f>
        <v>53.963999999999999</v>
      </c>
      <c r="BX42" s="124">
        <v>52.570999999999998</v>
      </c>
      <c r="BY42" s="124">
        <v>53.531999999999996</v>
      </c>
      <c r="BZ42" s="124">
        <v>57.164999999999999</v>
      </c>
      <c r="CA42" s="124">
        <v>58.374000000000002</v>
      </c>
      <c r="CB42" s="139">
        <f>CA42</f>
        <v>58.374000000000002</v>
      </c>
      <c r="CC42" s="703">
        <f t="shared" ref="CC42:CE43" si="113">CD42</f>
        <v>40.243000000000002</v>
      </c>
      <c r="CD42" s="703">
        <f t="shared" si="113"/>
        <v>40.243000000000002</v>
      </c>
      <c r="CE42" s="703">
        <f t="shared" si="113"/>
        <v>40.243000000000002</v>
      </c>
      <c r="CF42" s="636">
        <v>40.243000000000002</v>
      </c>
      <c r="CG42" s="139">
        <f>CF42</f>
        <v>40.243000000000002</v>
      </c>
      <c r="CH42" s="703">
        <f>CI42</f>
        <v>15.952</v>
      </c>
      <c r="CI42" s="636">
        <v>15.952</v>
      </c>
      <c r="CJ42" s="802">
        <v>496</v>
      </c>
      <c r="CK42" s="645">
        <f>CJ42+'Cash Flow'!CK13</f>
        <v>0</v>
      </c>
      <c r="CL42" s="139">
        <f>CK42</f>
        <v>0</v>
      </c>
      <c r="CM42" s="27">
        <f>CL42+'Cash Flow'!CM13</f>
        <v>-11.064058055747438</v>
      </c>
      <c r="CN42" s="27">
        <f>CM42+'Cash Flow'!CN13</f>
        <v>-21.144288226871318</v>
      </c>
      <c r="CO42" s="27">
        <f>CN42+'Cash Flow'!CO13</f>
        <v>-29.394700248381106</v>
      </c>
      <c r="CP42" s="27">
        <f>CO42+'Cash Flow'!CP13</f>
        <v>-38.202004259350524</v>
      </c>
      <c r="CQ42" s="139">
        <f>CP42</f>
        <v>-38.202004259350524</v>
      </c>
      <c r="CR42" s="27">
        <f>CQ42+'Cash Flow'!CR13</f>
        <v>-47.124615312886164</v>
      </c>
      <c r="CS42" s="27">
        <f>CR42+'Cash Flow'!CS13</f>
        <v>-54.446343614199598</v>
      </c>
      <c r="CT42" s="27">
        <f>CS42+'Cash Flow'!CT13</f>
        <v>-58.959687252745312</v>
      </c>
      <c r="CU42" s="27">
        <f>CT42+'Cash Flow'!CU13</f>
        <v>-63.56170465047596</v>
      </c>
      <c r="CV42" s="139">
        <f>CU42</f>
        <v>-63.56170465047596</v>
      </c>
    </row>
    <row r="43" spans="1:100" s="27" customFormat="1" ht="12" customHeight="1" x14ac:dyDescent="0.25">
      <c r="A43" s="156">
        <v>0</v>
      </c>
      <c r="B43" s="156">
        <v>0</v>
      </c>
      <c r="C43" s="156">
        <v>0</v>
      </c>
      <c r="D43" s="156">
        <v>0</v>
      </c>
      <c r="E43" s="27" t="s">
        <v>65</v>
      </c>
      <c r="F43" s="140"/>
      <c r="G43" s="140"/>
      <c r="H43" s="140"/>
      <c r="I43" s="140"/>
      <c r="J43" s="140"/>
      <c r="K43" s="124"/>
      <c r="L43" s="124"/>
      <c r="M43" s="124"/>
      <c r="N43" s="124"/>
      <c r="O43" s="139"/>
      <c r="P43" s="124"/>
      <c r="Q43" s="124"/>
      <c r="R43" s="124"/>
      <c r="S43" s="124">
        <v>0</v>
      </c>
      <c r="T43" s="139">
        <f>S43</f>
        <v>0</v>
      </c>
      <c r="U43" s="124"/>
      <c r="V43" s="124"/>
      <c r="W43" s="124"/>
      <c r="X43" s="124">
        <v>0</v>
      </c>
      <c r="Y43" s="139">
        <f>X43</f>
        <v>0</v>
      </c>
      <c r="Z43" s="124"/>
      <c r="AA43" s="124"/>
      <c r="AB43" s="124"/>
      <c r="AC43" s="124">
        <v>0</v>
      </c>
      <c r="AD43" s="139">
        <f>AC43</f>
        <v>0</v>
      </c>
      <c r="AE43" s="124"/>
      <c r="AF43" s="124"/>
      <c r="AG43" s="124"/>
      <c r="AH43" s="124">
        <v>4.9800000000000004</v>
      </c>
      <c r="AI43" s="139">
        <f>AH43</f>
        <v>4.9800000000000004</v>
      </c>
      <c r="AJ43" s="124">
        <v>5.08</v>
      </c>
      <c r="AK43" s="124">
        <v>5.1689999999999996</v>
      </c>
      <c r="AL43" s="124">
        <v>9.1289999999999996</v>
      </c>
      <c r="AM43" s="124">
        <v>9.3209999999999997</v>
      </c>
      <c r="AN43" s="139">
        <f>AM43</f>
        <v>9.3209999999999997</v>
      </c>
      <c r="AO43" s="124">
        <v>8.7650000000000006</v>
      </c>
      <c r="AP43" s="124">
        <v>9.1560000000000006</v>
      </c>
      <c r="AQ43" s="124">
        <v>10.587999999999999</v>
      </c>
      <c r="AR43" s="124">
        <v>9.9540000000000006</v>
      </c>
      <c r="AS43" s="139">
        <f>AR43</f>
        <v>9.9540000000000006</v>
      </c>
      <c r="AT43" s="124">
        <v>9.9149999999999991</v>
      </c>
      <c r="AU43" s="124">
        <v>13.367000000000001</v>
      </c>
      <c r="AV43" s="124">
        <v>8.8339999999999996</v>
      </c>
      <c r="AW43" s="124">
        <v>7.4779999999999998</v>
      </c>
      <c r="AX43" s="139">
        <f>AW43</f>
        <v>7.4779999999999998</v>
      </c>
      <c r="AY43" s="124">
        <v>6.5060000000000002</v>
      </c>
      <c r="AZ43" s="124">
        <v>7.109</v>
      </c>
      <c r="BA43" s="124">
        <v>3.9889999999999999</v>
      </c>
      <c r="BB43" s="124">
        <v>13.67</v>
      </c>
      <c r="BC43" s="139">
        <f>BB43</f>
        <v>13.67</v>
      </c>
      <c r="BD43" s="124">
        <v>4.1340000000000003</v>
      </c>
      <c r="BE43" s="124">
        <v>4.3540000000000001</v>
      </c>
      <c r="BF43" s="124">
        <v>4.1779999999999999</v>
      </c>
      <c r="BG43" s="124">
        <v>11.444000000000001</v>
      </c>
      <c r="BH43" s="139">
        <f>BG43</f>
        <v>11.444000000000001</v>
      </c>
      <c r="BI43" s="124">
        <v>9.952</v>
      </c>
      <c r="BJ43" s="124">
        <v>12.814</v>
      </c>
      <c r="BK43" s="124">
        <v>11.253</v>
      </c>
      <c r="BL43" s="124">
        <v>11.706</v>
      </c>
      <c r="BM43" s="139">
        <f>BL43</f>
        <v>11.706</v>
      </c>
      <c r="BN43" s="124">
        <v>12.464</v>
      </c>
      <c r="BO43" s="124">
        <v>12.689</v>
      </c>
      <c r="BP43" s="124">
        <v>14.942</v>
      </c>
      <c r="BQ43" s="124">
        <v>13.222</v>
      </c>
      <c r="BR43" s="139">
        <f>BQ43</f>
        <v>13.222</v>
      </c>
      <c r="BS43" s="124">
        <v>12.125</v>
      </c>
      <c r="BT43" s="124">
        <v>10.702999999999999</v>
      </c>
      <c r="BU43" s="124">
        <v>15.705</v>
      </c>
      <c r="BV43" s="124">
        <v>15.02</v>
      </c>
      <c r="BW43" s="139">
        <f>BV43</f>
        <v>15.02</v>
      </c>
      <c r="BX43" s="124">
        <v>14.939</v>
      </c>
      <c r="BY43" s="124">
        <v>14.727</v>
      </c>
      <c r="BZ43" s="124">
        <v>14.721</v>
      </c>
      <c r="CA43" s="124">
        <v>17.73</v>
      </c>
      <c r="CB43" s="139">
        <f>CA43</f>
        <v>17.73</v>
      </c>
      <c r="CC43" s="703">
        <f t="shared" si="113"/>
        <v>13.722999999999999</v>
      </c>
      <c r="CD43" s="703">
        <f t="shared" si="113"/>
        <v>13.722999999999999</v>
      </c>
      <c r="CE43" s="703">
        <f t="shared" si="113"/>
        <v>13.722999999999999</v>
      </c>
      <c r="CF43" s="636">
        <f>3.707+10.016</f>
        <v>13.722999999999999</v>
      </c>
      <c r="CG43" s="139">
        <f>CF43</f>
        <v>13.722999999999999</v>
      </c>
      <c r="CH43" s="703">
        <f>CI43</f>
        <v>10.093</v>
      </c>
      <c r="CI43" s="636">
        <v>10.093</v>
      </c>
      <c r="CJ43" s="645">
        <f>CI43</f>
        <v>10.093</v>
      </c>
      <c r="CK43" s="645">
        <f>CJ43</f>
        <v>10.093</v>
      </c>
      <c r="CL43" s="139">
        <f>CK43</f>
        <v>10.093</v>
      </c>
      <c r="CM43" s="27">
        <f t="shared" ref="CM43" si="114">CL43</f>
        <v>10.093</v>
      </c>
      <c r="CN43" s="27">
        <f t="shared" ref="CN43" si="115">CM43</f>
        <v>10.093</v>
      </c>
      <c r="CO43" s="27">
        <f t="shared" ref="CO43" si="116">CN43</f>
        <v>10.093</v>
      </c>
      <c r="CP43" s="27">
        <f t="shared" ref="CP43" si="117">CO43</f>
        <v>10.093</v>
      </c>
      <c r="CQ43" s="139">
        <f>CP43</f>
        <v>10.093</v>
      </c>
      <c r="CR43" s="27">
        <f t="shared" ref="CR43" si="118">CQ43</f>
        <v>10.093</v>
      </c>
      <c r="CS43" s="27">
        <f t="shared" ref="CS43" si="119">CR43</f>
        <v>10.093</v>
      </c>
      <c r="CT43" s="27">
        <f t="shared" ref="CT43" si="120">CS43</f>
        <v>10.093</v>
      </c>
      <c r="CU43" s="27">
        <f t="shared" ref="CU43" si="121">CT43</f>
        <v>10.093</v>
      </c>
      <c r="CV43" s="139">
        <f>CU43</f>
        <v>10.093</v>
      </c>
    </row>
    <row r="44" spans="1:100" s="27" customFormat="1" ht="3.95" customHeight="1" x14ac:dyDescent="0.25">
      <c r="A44" s="122"/>
      <c r="B44" s="122"/>
      <c r="C44" s="122"/>
      <c r="D44" s="122"/>
      <c r="F44" s="140"/>
      <c r="G44" s="140"/>
      <c r="H44" s="140"/>
      <c r="I44" s="140"/>
      <c r="J44" s="140"/>
      <c r="K44" s="124"/>
      <c r="L44" s="124"/>
      <c r="M44" s="124"/>
      <c r="N44" s="124"/>
      <c r="O44" s="139"/>
      <c r="P44" s="124"/>
      <c r="Q44" s="124"/>
      <c r="R44" s="124"/>
      <c r="S44" s="124"/>
      <c r="T44" s="139"/>
      <c r="U44" s="124"/>
      <c r="V44" s="124"/>
      <c r="W44" s="124"/>
      <c r="X44" s="124"/>
      <c r="Y44" s="139"/>
      <c r="Z44" s="124"/>
      <c r="AA44" s="124"/>
      <c r="AB44" s="124"/>
      <c r="AC44" s="124"/>
      <c r="AD44" s="139"/>
      <c r="AE44" s="124"/>
      <c r="AF44" s="124"/>
      <c r="AG44" s="124"/>
      <c r="AH44" s="124"/>
      <c r="AI44" s="139"/>
      <c r="AJ44" s="124"/>
      <c r="AK44" s="124"/>
      <c r="AL44" s="124"/>
      <c r="AM44" s="124"/>
      <c r="AN44" s="139"/>
      <c r="AO44" s="124"/>
      <c r="AP44" s="124"/>
      <c r="AQ44" s="124"/>
      <c r="AR44" s="124"/>
      <c r="AS44" s="139"/>
      <c r="AT44" s="124"/>
      <c r="AW44" s="124"/>
      <c r="AX44" s="139"/>
      <c r="BC44" s="139"/>
      <c r="BH44" s="139"/>
      <c r="BM44" s="139"/>
      <c r="BR44" s="139"/>
      <c r="BW44" s="139"/>
      <c r="CB44" s="139"/>
      <c r="CC44" s="645"/>
      <c r="CD44" s="645"/>
      <c r="CE44" s="645"/>
      <c r="CF44" s="645"/>
      <c r="CG44" s="139"/>
      <c r="CH44" s="645"/>
      <c r="CI44" s="645"/>
      <c r="CJ44" s="645"/>
      <c r="CK44" s="645"/>
      <c r="CL44" s="139"/>
      <c r="CQ44" s="139"/>
      <c r="CV44" s="139"/>
    </row>
    <row r="45" spans="1:100" s="130" customFormat="1" ht="12" customHeight="1" x14ac:dyDescent="0.25">
      <c r="A45" s="153"/>
      <c r="B45" s="153"/>
      <c r="C45" s="153"/>
      <c r="D45" s="153"/>
      <c r="E45" s="130" t="s">
        <v>335</v>
      </c>
      <c r="F45" s="127"/>
      <c r="G45" s="127"/>
      <c r="H45" s="127"/>
      <c r="I45" s="127"/>
      <c r="J45" s="127"/>
      <c r="O45" s="127"/>
      <c r="T45" s="127"/>
      <c r="Y45" s="127"/>
      <c r="AD45" s="127"/>
      <c r="AI45" s="127"/>
      <c r="AN45" s="127"/>
      <c r="AS45" s="127"/>
      <c r="AX45" s="127"/>
      <c r="BC45" s="127"/>
      <c r="BH45" s="127"/>
      <c r="BM45" s="127"/>
      <c r="BR45" s="127"/>
      <c r="BW45" s="127"/>
      <c r="CB45" s="127"/>
      <c r="CC45" s="794"/>
      <c r="CD45" s="794"/>
      <c r="CE45" s="794"/>
      <c r="CF45" s="794"/>
      <c r="CG45" s="127"/>
      <c r="CH45" s="794"/>
      <c r="CI45" s="794"/>
      <c r="CJ45" s="794"/>
      <c r="CK45" s="794"/>
      <c r="CL45" s="127"/>
      <c r="CQ45" s="127"/>
      <c r="CV45" s="127"/>
    </row>
    <row r="46" spans="1:100" s="27" customFormat="1" ht="12" customHeight="1" x14ac:dyDescent="0.25">
      <c r="A46" s="122"/>
      <c r="B46" s="122"/>
      <c r="C46" s="122"/>
      <c r="D46" s="122"/>
      <c r="E46" s="27" t="s">
        <v>115</v>
      </c>
      <c r="F46" s="140"/>
      <c r="G46" s="140"/>
      <c r="H46" s="140"/>
      <c r="I46" s="140"/>
      <c r="J46" s="140"/>
      <c r="K46" s="124"/>
      <c r="L46" s="124"/>
      <c r="M46" s="124"/>
      <c r="N46" s="124"/>
      <c r="O46" s="139"/>
      <c r="P46" s="124"/>
      <c r="Q46" s="124"/>
      <c r="R46" s="124"/>
      <c r="S46" s="27">
        <f>814.834-S47-S49-S48</f>
        <v>598.596</v>
      </c>
      <c r="T46" s="139">
        <f t="shared" ref="T46:T52" si="122">S46</f>
        <v>598.596</v>
      </c>
      <c r="U46" s="124"/>
      <c r="V46" s="124"/>
      <c r="W46" s="124"/>
      <c r="X46" s="27">
        <f>706.177-X47-X49-X48</f>
        <v>686.03099999999995</v>
      </c>
      <c r="Y46" s="139">
        <f t="shared" ref="Y46:Y52" si="123">X46</f>
        <v>686.03099999999995</v>
      </c>
      <c r="AC46" s="27">
        <f>521.311-AC47-AC49-AC48</f>
        <v>729.48100000000011</v>
      </c>
      <c r="AD46" s="139">
        <f t="shared" ref="AD46:AD52" si="124">AC46</f>
        <v>729.48100000000011</v>
      </c>
      <c r="AH46" s="27">
        <f>500.512-AH47-AH49-AH48</f>
        <v>791.24300000000005</v>
      </c>
      <c r="AI46" s="139">
        <f t="shared" ref="AI46:AI52" si="125">AH46</f>
        <v>791.24300000000005</v>
      </c>
      <c r="AJ46" s="27">
        <f>514.171-AJ47-AJ49-AJ48</f>
        <v>797.18000000000006</v>
      </c>
      <c r="AK46" s="27">
        <f>513.489-AK47-AK49-AK48</f>
        <v>802.87799999999993</v>
      </c>
      <c r="AL46" s="27">
        <f>487.202-AL47-AL49-AL48</f>
        <v>806.94500000000005</v>
      </c>
      <c r="AM46" s="27">
        <f>503.414-AM47-AM49-AM48</f>
        <v>807.41399999999999</v>
      </c>
      <c r="AN46" s="139">
        <f t="shared" ref="AN46:AN52" si="126">AM46</f>
        <v>807.41399999999999</v>
      </c>
      <c r="AO46" s="27">
        <f>530.773-AO47-AO49-AO48</f>
        <v>816.48500000000001</v>
      </c>
      <c r="AP46" s="27">
        <f>545.853-AP47-AP49-AP48</f>
        <v>818.87099999999998</v>
      </c>
      <c r="AQ46" s="27">
        <f>562.749-AQ47-AQ49-AQ48</f>
        <v>821.86099999999999</v>
      </c>
      <c r="AR46" s="27">
        <f>574.4-AR47-AR49-AR48</f>
        <v>826.59100000000001</v>
      </c>
      <c r="AS46" s="139">
        <f t="shared" ref="AS46:AS51" si="127">AR46</f>
        <v>826.59100000000001</v>
      </c>
      <c r="AT46" s="27">
        <f>581.956-AT47-AT49-AT48</f>
        <v>833.36400000000003</v>
      </c>
      <c r="AU46" s="27">
        <f>612.847-AU47-AU49-AU48</f>
        <v>837.87099999999987</v>
      </c>
      <c r="AV46" s="27">
        <f>640.916-AV47-AV49-AV48</f>
        <v>843.81100000000004</v>
      </c>
      <c r="AW46" s="27">
        <f>585.178-AW47-AW49-AW48</f>
        <v>849.21600000000001</v>
      </c>
      <c r="AX46" s="139">
        <f t="shared" ref="AX46:AX51" si="128">AW46</f>
        <v>849.21600000000001</v>
      </c>
      <c r="AY46" s="27">
        <f>601.553-AY47-AY49-AY48</f>
        <v>854.53399999999999</v>
      </c>
      <c r="AZ46" s="27">
        <f>571.362-AZ47-AZ49-AZ48</f>
        <v>860.19</v>
      </c>
      <c r="BA46" s="27">
        <f>583.484-BA47-BA49-BA48</f>
        <v>866.27800000000002</v>
      </c>
      <c r="BB46" s="27">
        <f>611.747-BB47-BB49-BB48</f>
        <v>872.16799999999989</v>
      </c>
      <c r="BC46" s="139">
        <f t="shared" ref="BC46:BC51" si="129">BB46</f>
        <v>872.16799999999989</v>
      </c>
      <c r="BD46" s="124">
        <f>596.169-BD47-BD49-BD48</f>
        <v>877.28399999999999</v>
      </c>
      <c r="BE46" s="124">
        <f>605.96-BE47-BE49-BE48</f>
        <v>884.48300000000006</v>
      </c>
      <c r="BF46" s="124">
        <f>611.276-BF47-BF49-BF48</f>
        <v>890.17699999999991</v>
      </c>
      <c r="BG46" s="27">
        <f>619.748-BG47-BG49-BG48</f>
        <v>897.31799999999998</v>
      </c>
      <c r="BH46" s="139">
        <f t="shared" ref="BH46:BH51" si="130">BG46</f>
        <v>897.31799999999998</v>
      </c>
      <c r="BI46" s="124">
        <f>623.176-BI47-BI49-BI48</f>
        <v>907.66600000000005</v>
      </c>
      <c r="BJ46" s="124">
        <f>630.709-BJ47-BJ49-BJ48</f>
        <v>924.74099999999987</v>
      </c>
      <c r="BK46" s="124">
        <f>685.355-BK47-BK49-BK48</f>
        <v>977.43299999999999</v>
      </c>
      <c r="BL46" s="124">
        <f>682.857-BL47-BL49-BL48</f>
        <v>994.56899999999996</v>
      </c>
      <c r="BM46" s="139">
        <f t="shared" ref="BM46:BM51" si="131">BL46</f>
        <v>994.56899999999996</v>
      </c>
      <c r="BN46" s="124">
        <f>679.434-BN47-BN49-BN48</f>
        <v>1001.251</v>
      </c>
      <c r="BO46" s="124">
        <f>678.482-BO47-BO49-BO48</f>
        <v>1018.1499999999999</v>
      </c>
      <c r="BP46" s="124">
        <f>690.408-BP47-BP49-BP48</f>
        <v>1028.42</v>
      </c>
      <c r="BQ46" s="124">
        <f>703.257-BQ47-BQ49-BQ48</f>
        <v>1047.32</v>
      </c>
      <c r="BR46" s="139">
        <f t="shared" ref="BR46:BR51" si="132">BQ46</f>
        <v>1047.32</v>
      </c>
      <c r="BS46" s="124">
        <f>698.302-BS47-BS49-BS48</f>
        <v>1058.7439999999999</v>
      </c>
      <c r="BT46" s="124">
        <f>703.976-BT47-BT49-BT48</f>
        <v>1072.0440000000001</v>
      </c>
      <c r="BU46" s="124">
        <f>704.443-BU47-BU49-BU48</f>
        <v>1084.1329999999998</v>
      </c>
      <c r="BV46" s="124">
        <f>698.968-BV47-BV49-BV48</f>
        <v>1095.259</v>
      </c>
      <c r="BW46" s="139">
        <f t="shared" ref="BW46:BW49" si="133">BV46</f>
        <v>1095.259</v>
      </c>
      <c r="BX46" s="124">
        <f>693.764-BX47-BX49-BX48</f>
        <v>1108.6120000000001</v>
      </c>
      <c r="BY46" s="124">
        <f>707.488-BY47-BY49-BY48</f>
        <v>1128.384</v>
      </c>
      <c r="BZ46" s="124">
        <f>723.11-BZ47-BZ49-BZ48</f>
        <v>1144.7750000000001</v>
      </c>
      <c r="CA46" s="124">
        <f>738.98-CA47-CA49-CA48</f>
        <v>1167.7169999999999</v>
      </c>
      <c r="CB46" s="139">
        <f t="shared" ref="CB46:CB49" si="134">CA46</f>
        <v>1167.7169999999999</v>
      </c>
      <c r="CC46" s="703">
        <f t="shared" ref="CC46:CE49" si="135">CD46</f>
        <v>1249.2879999999998</v>
      </c>
      <c r="CD46" s="703">
        <f t="shared" si="135"/>
        <v>1249.2879999999998</v>
      </c>
      <c r="CE46" s="703">
        <f t="shared" si="135"/>
        <v>1249.2879999999998</v>
      </c>
      <c r="CF46" s="636">
        <f>749.095-CF47-CF49-CF48</f>
        <v>1249.2879999999998</v>
      </c>
      <c r="CG46" s="139">
        <f t="shared" ref="CG46:CG49" si="136">CF46</f>
        <v>1249.2879999999998</v>
      </c>
      <c r="CH46" s="703">
        <f>CI46</f>
        <v>1291.45</v>
      </c>
      <c r="CI46" s="636">
        <f>760.678-CI47-CI49-CI48</f>
        <v>1291.45</v>
      </c>
      <c r="CJ46" s="645">
        <f>CI46+'Cash Flow'!CJ14</f>
        <v>1313.65</v>
      </c>
      <c r="CK46" s="645">
        <f>CJ46+'Cash Flow'!CK14</f>
        <v>1333.95</v>
      </c>
      <c r="CL46" s="139">
        <f t="shared" ref="CL46:CL51" si="137">CK46</f>
        <v>1333.95</v>
      </c>
      <c r="CM46" s="27">
        <f>CL46+'Cash Flow'!CM14</f>
        <v>1352.95</v>
      </c>
      <c r="CN46" s="27">
        <f>CM46+'Cash Flow'!CN14</f>
        <v>1371.95</v>
      </c>
      <c r="CO46" s="27">
        <f>CN46+'Cash Flow'!CO14</f>
        <v>1390.95</v>
      </c>
      <c r="CP46" s="27">
        <f>CO46+'Cash Flow'!CP14</f>
        <v>1409.95</v>
      </c>
      <c r="CQ46" s="139">
        <f t="shared" ref="CQ46:CQ51" si="138">CP46</f>
        <v>1409.95</v>
      </c>
      <c r="CR46" s="27">
        <f>CQ46+'Cash Flow'!CR14</f>
        <v>1428.45</v>
      </c>
      <c r="CS46" s="27">
        <f>CR46+'Cash Flow'!CS14</f>
        <v>1446.95</v>
      </c>
      <c r="CT46" s="27">
        <f>CS46+'Cash Flow'!CT14</f>
        <v>1465.45</v>
      </c>
      <c r="CU46" s="27">
        <f>CT46+'Cash Flow'!CU14</f>
        <v>1483.95</v>
      </c>
      <c r="CV46" s="139">
        <f t="shared" ref="CV46:CV51" si="139">CU46</f>
        <v>1483.95</v>
      </c>
    </row>
    <row r="47" spans="1:100" s="27" customFormat="1" ht="12" customHeight="1" x14ac:dyDescent="0.25">
      <c r="A47" s="122"/>
      <c r="B47" s="122"/>
      <c r="C47" s="122"/>
      <c r="D47" s="122"/>
      <c r="E47" s="27" t="s">
        <v>66</v>
      </c>
      <c r="F47" s="140"/>
      <c r="G47" s="140"/>
      <c r="H47" s="140"/>
      <c r="I47" s="140"/>
      <c r="J47" s="140"/>
      <c r="K47" s="124"/>
      <c r="L47" s="124"/>
      <c r="M47" s="124"/>
      <c r="N47" s="124"/>
      <c r="O47" s="139"/>
      <c r="P47" s="124"/>
      <c r="Q47" s="124"/>
      <c r="R47" s="124"/>
      <c r="S47" s="124">
        <v>363.55599999999998</v>
      </c>
      <c r="T47" s="139">
        <f t="shared" si="122"/>
        <v>363.55599999999998</v>
      </c>
      <c r="U47" s="124"/>
      <c r="V47" s="124"/>
      <c r="W47" s="124"/>
      <c r="X47" s="124">
        <v>410.27800000000002</v>
      </c>
      <c r="Y47" s="139">
        <f t="shared" si="123"/>
        <v>410.27800000000002</v>
      </c>
      <c r="Z47" s="124"/>
      <c r="AA47" s="124"/>
      <c r="AB47" s="124"/>
      <c r="AC47" s="124">
        <v>462.84399999999999</v>
      </c>
      <c r="AD47" s="139">
        <f t="shared" si="124"/>
        <v>462.84399999999999</v>
      </c>
      <c r="AE47" s="124"/>
      <c r="AF47" s="124"/>
      <c r="AG47" s="124"/>
      <c r="AH47" s="124">
        <v>413.75799999999998</v>
      </c>
      <c r="AI47" s="139">
        <f t="shared" si="125"/>
        <v>413.75799999999998</v>
      </c>
      <c r="AJ47" s="124">
        <v>419.75900000000001</v>
      </c>
      <c r="AK47" s="124">
        <v>430.94900000000001</v>
      </c>
      <c r="AL47" s="124">
        <v>419.5</v>
      </c>
      <c r="AM47" s="124">
        <v>441.95</v>
      </c>
      <c r="AN47" s="139">
        <f t="shared" si="126"/>
        <v>441.95</v>
      </c>
      <c r="AO47" s="124">
        <v>446.14400000000001</v>
      </c>
      <c r="AP47" s="124">
        <v>455.589</v>
      </c>
      <c r="AQ47" s="124">
        <v>469.851</v>
      </c>
      <c r="AR47" s="124">
        <v>482.24299999999999</v>
      </c>
      <c r="AS47" s="139">
        <f t="shared" si="127"/>
        <v>482.24299999999999</v>
      </c>
      <c r="AT47" s="124">
        <v>492.048</v>
      </c>
      <c r="AU47" s="124">
        <v>505.32900000000001</v>
      </c>
      <c r="AV47" s="124">
        <v>526.15200000000004</v>
      </c>
      <c r="AW47" s="124">
        <v>459.096</v>
      </c>
      <c r="AX47" s="139">
        <f t="shared" si="128"/>
        <v>459.096</v>
      </c>
      <c r="AY47" s="124">
        <v>470.07100000000003</v>
      </c>
      <c r="AZ47" s="124">
        <v>482.363</v>
      </c>
      <c r="BA47" s="124">
        <v>490.29300000000001</v>
      </c>
      <c r="BB47" s="124">
        <v>536.35900000000004</v>
      </c>
      <c r="BC47" s="139">
        <f t="shared" si="129"/>
        <v>536.35900000000004</v>
      </c>
      <c r="BD47" s="124">
        <v>549.69200000000001</v>
      </c>
      <c r="BE47" s="124">
        <v>566.20299999999997</v>
      </c>
      <c r="BF47" s="124">
        <f>580.278</f>
        <v>580.27800000000002</v>
      </c>
      <c r="BG47" s="124">
        <v>593.96600000000001</v>
      </c>
      <c r="BH47" s="139">
        <f t="shared" si="130"/>
        <v>593.96600000000001</v>
      </c>
      <c r="BI47" s="124">
        <v>607.14599999999996</v>
      </c>
      <c r="BJ47" s="124">
        <v>616.98500000000001</v>
      </c>
      <c r="BK47" s="124">
        <v>632.05200000000002</v>
      </c>
      <c r="BL47" s="124">
        <v>602.82899999999995</v>
      </c>
      <c r="BM47" s="139">
        <f t="shared" si="131"/>
        <v>602.82899999999995</v>
      </c>
      <c r="BN47" s="124">
        <v>595.22500000000002</v>
      </c>
      <c r="BO47" s="124">
        <v>593.68100000000004</v>
      </c>
      <c r="BP47" s="124">
        <v>597.83699999999999</v>
      </c>
      <c r="BQ47" s="124">
        <v>591.798</v>
      </c>
      <c r="BR47" s="139">
        <f t="shared" si="132"/>
        <v>591.798</v>
      </c>
      <c r="BS47" s="124">
        <v>590.75900000000001</v>
      </c>
      <c r="BT47" s="124">
        <v>601.48199999999997</v>
      </c>
      <c r="BU47" s="124">
        <v>600.072</v>
      </c>
      <c r="BV47" s="124">
        <v>598.50099999999998</v>
      </c>
      <c r="BW47" s="139">
        <f t="shared" si="133"/>
        <v>598.50099999999998</v>
      </c>
      <c r="BX47" s="124">
        <v>602.47699999999998</v>
      </c>
      <c r="BY47" s="124">
        <v>609.61699999999996</v>
      </c>
      <c r="BZ47" s="124">
        <v>610.69000000000005</v>
      </c>
      <c r="CA47" s="124">
        <v>602.60900000000004</v>
      </c>
      <c r="CB47" s="139">
        <f t="shared" si="134"/>
        <v>602.60900000000004</v>
      </c>
      <c r="CC47" s="703">
        <f t="shared" si="135"/>
        <v>628.33100000000002</v>
      </c>
      <c r="CD47" s="703">
        <f t="shared" si="135"/>
        <v>628.33100000000002</v>
      </c>
      <c r="CE47" s="703">
        <f t="shared" si="135"/>
        <v>628.33100000000002</v>
      </c>
      <c r="CF47" s="636">
        <v>628.33100000000002</v>
      </c>
      <c r="CG47" s="139">
        <f t="shared" si="136"/>
        <v>628.33100000000002</v>
      </c>
      <c r="CH47" s="703">
        <f>CI47</f>
        <v>658.66600000000005</v>
      </c>
      <c r="CI47" s="636">
        <v>658.66600000000005</v>
      </c>
      <c r="CJ47" s="645">
        <f>CI47+Income!CJ83+'Cash Flow'!CJ37</f>
        <v>1780.5927380000003</v>
      </c>
      <c r="CK47" s="645">
        <f>CJ47+Income!CK83+'Cash Flow'!CK37</f>
        <v>1740.9491068537502</v>
      </c>
      <c r="CL47" s="139">
        <f t="shared" si="137"/>
        <v>1740.9491068537502</v>
      </c>
      <c r="CM47" s="27">
        <f>CL47+Income!CM83+'Cash Flow'!CM37</f>
        <v>1716.3929713903394</v>
      </c>
      <c r="CN47" s="27">
        <f>CM47+Income!CN83+'Cash Flow'!CN37</f>
        <v>1694.925767657717</v>
      </c>
      <c r="CO47" s="27">
        <f>CN47+Income!CO83+'Cash Flow'!CO37</f>
        <v>1678.5214729408608</v>
      </c>
      <c r="CP47" s="27">
        <f>CO47+Income!CP83+'Cash Flow'!CP37</f>
        <v>1661.6110969152655</v>
      </c>
      <c r="CQ47" s="139">
        <f t="shared" si="138"/>
        <v>1661.6110969152655</v>
      </c>
      <c r="CR47" s="27">
        <f>CQ47+Income!CR83+'Cash Flow'!CR37</f>
        <v>1644.4316711236825</v>
      </c>
      <c r="CS47" s="27">
        <f>CR47+Income!CS83+'Cash Flow'!CS37</f>
        <v>1631.2209717539511</v>
      </c>
      <c r="CT47" s="27">
        <f>CS47+Income!CT83+'Cash Flow'!CT37</f>
        <v>1624.7965032640111</v>
      </c>
      <c r="CU47" s="27">
        <f>CT47+Income!CU83+'Cash Flow'!CU37</f>
        <v>1618.6317960026397</v>
      </c>
      <c r="CV47" s="139">
        <f t="shared" si="139"/>
        <v>1618.6317960026397</v>
      </c>
    </row>
    <row r="48" spans="1:100" s="27" customFormat="1" ht="12" customHeight="1" x14ac:dyDescent="0.25">
      <c r="A48" s="122"/>
      <c r="B48" s="122"/>
      <c r="C48" s="122"/>
      <c r="D48" s="122"/>
      <c r="E48" s="27" t="s">
        <v>336</v>
      </c>
      <c r="F48" s="140"/>
      <c r="G48" s="140"/>
      <c r="H48" s="140"/>
      <c r="I48" s="140"/>
      <c r="J48" s="140"/>
      <c r="K48" s="124"/>
      <c r="L48" s="124"/>
      <c r="M48" s="124"/>
      <c r="N48" s="124"/>
      <c r="O48" s="139"/>
      <c r="P48" s="124"/>
      <c r="Q48" s="124"/>
      <c r="R48" s="124"/>
      <c r="S48" s="124">
        <v>12.616</v>
      </c>
      <c r="T48" s="139">
        <f t="shared" si="122"/>
        <v>12.616</v>
      </c>
      <c r="U48" s="124"/>
      <c r="V48" s="124"/>
      <c r="W48" s="124"/>
      <c r="X48" s="124">
        <v>2.2050000000000001</v>
      </c>
      <c r="Y48" s="139">
        <f t="shared" si="123"/>
        <v>2.2050000000000001</v>
      </c>
      <c r="Z48" s="124"/>
      <c r="AA48" s="124"/>
      <c r="AB48" s="124"/>
      <c r="AC48" s="124">
        <v>17.526</v>
      </c>
      <c r="AD48" s="139">
        <f t="shared" si="124"/>
        <v>17.526</v>
      </c>
      <c r="AE48" s="124"/>
      <c r="AF48" s="124"/>
      <c r="AG48" s="124"/>
      <c r="AH48" s="124">
        <v>33.975999999999999</v>
      </c>
      <c r="AI48" s="139">
        <f t="shared" si="125"/>
        <v>33.975999999999999</v>
      </c>
      <c r="AJ48" s="124">
        <v>35.697000000000003</v>
      </c>
      <c r="AK48" s="124">
        <v>17.5</v>
      </c>
      <c r="AL48" s="124">
        <v>-0.58599999999999997</v>
      </c>
      <c r="AM48" s="124">
        <v>-6.2380000000000004</v>
      </c>
      <c r="AN48" s="139">
        <f t="shared" si="126"/>
        <v>-6.2380000000000004</v>
      </c>
      <c r="AO48" s="124">
        <v>7.8559999999999999</v>
      </c>
      <c r="AP48" s="124">
        <v>9.9939999999999998</v>
      </c>
      <c r="AQ48" s="124">
        <v>9.6379999999999999</v>
      </c>
      <c r="AR48" s="124">
        <v>4.1669999999999998</v>
      </c>
      <c r="AS48" s="139">
        <f t="shared" si="127"/>
        <v>4.1669999999999998</v>
      </c>
      <c r="AT48" s="124">
        <v>-4.8550000000000004</v>
      </c>
      <c r="AU48" s="124">
        <v>8.2479999999999993</v>
      </c>
      <c r="AV48" s="124">
        <v>9.5540000000000003</v>
      </c>
      <c r="AW48" s="124">
        <v>15.991</v>
      </c>
      <c r="AX48" s="139">
        <f t="shared" si="128"/>
        <v>15.991</v>
      </c>
      <c r="AY48" s="124">
        <v>18.997</v>
      </c>
      <c r="AZ48" s="124">
        <v>9.9719999999999995</v>
      </c>
      <c r="BA48" s="124">
        <v>11.994999999999999</v>
      </c>
      <c r="BB48" s="124">
        <v>13.601000000000001</v>
      </c>
      <c r="BC48" s="139">
        <f t="shared" si="129"/>
        <v>13.601000000000001</v>
      </c>
      <c r="BD48" s="124">
        <v>11.929</v>
      </c>
      <c r="BE48" s="124">
        <v>13.651999999999999</v>
      </c>
      <c r="BF48" s="124">
        <v>14.714</v>
      </c>
      <c r="BG48" s="124">
        <v>11.423</v>
      </c>
      <c r="BH48" s="139">
        <f t="shared" si="130"/>
        <v>11.423</v>
      </c>
      <c r="BI48" s="124">
        <v>8.8740000000000006</v>
      </c>
      <c r="BJ48" s="124">
        <v>12.754</v>
      </c>
      <c r="BK48" s="124">
        <v>13.196999999999999</v>
      </c>
      <c r="BL48" s="124">
        <v>13.662000000000001</v>
      </c>
      <c r="BM48" s="139">
        <f t="shared" si="131"/>
        <v>13.662000000000001</v>
      </c>
      <c r="BN48" s="124">
        <v>14.428000000000001</v>
      </c>
      <c r="BO48" s="124">
        <v>11.856</v>
      </c>
      <c r="BP48" s="124">
        <v>9.3640000000000008</v>
      </c>
      <c r="BQ48" s="124">
        <v>9.4130000000000003</v>
      </c>
      <c r="BR48" s="139">
        <f t="shared" si="132"/>
        <v>9.4130000000000003</v>
      </c>
      <c r="BS48" s="124">
        <v>10.141999999999999</v>
      </c>
      <c r="BT48" s="124">
        <v>7.6689999999999996</v>
      </c>
      <c r="BU48" s="124">
        <v>8.141</v>
      </c>
      <c r="BV48" s="124">
        <v>8.59</v>
      </c>
      <c r="BW48" s="139">
        <f t="shared" si="133"/>
        <v>8.59</v>
      </c>
      <c r="BX48" s="124">
        <v>7.59</v>
      </c>
      <c r="BY48" s="124">
        <v>7.6159999999999997</v>
      </c>
      <c r="BZ48" s="124">
        <v>6.2969999999999997</v>
      </c>
      <c r="CA48" s="124">
        <v>7.9989999999999997</v>
      </c>
      <c r="CB48" s="139">
        <f t="shared" ref="CB48:CG48" si="140">CA48</f>
        <v>7.9989999999999997</v>
      </c>
      <c r="CC48" s="703">
        <f t="shared" si="135"/>
        <v>10.766999999999999</v>
      </c>
      <c r="CD48" s="703">
        <f t="shared" si="135"/>
        <v>10.766999999999999</v>
      </c>
      <c r="CE48" s="703">
        <f t="shared" si="135"/>
        <v>10.766999999999999</v>
      </c>
      <c r="CF48" s="636">
        <v>10.766999999999999</v>
      </c>
      <c r="CG48" s="139">
        <f t="shared" si="140"/>
        <v>10.766999999999999</v>
      </c>
      <c r="CH48" s="703">
        <f>CI48</f>
        <v>10.192</v>
      </c>
      <c r="CI48" s="636">
        <v>10.192</v>
      </c>
      <c r="CJ48" s="645">
        <f>CI48</f>
        <v>10.192</v>
      </c>
      <c r="CK48" s="645">
        <f>CJ48</f>
        <v>10.192</v>
      </c>
      <c r="CL48" s="139">
        <f t="shared" si="137"/>
        <v>10.192</v>
      </c>
      <c r="CM48" s="27">
        <f>CL48</f>
        <v>10.192</v>
      </c>
      <c r="CN48" s="27">
        <f>CM48</f>
        <v>10.192</v>
      </c>
      <c r="CO48" s="27">
        <f>CN48</f>
        <v>10.192</v>
      </c>
      <c r="CP48" s="27">
        <f>CO48</f>
        <v>10.192</v>
      </c>
      <c r="CQ48" s="139">
        <f t="shared" si="138"/>
        <v>10.192</v>
      </c>
      <c r="CR48" s="27">
        <f>CQ48</f>
        <v>10.192</v>
      </c>
      <c r="CS48" s="27">
        <f>CR48</f>
        <v>10.192</v>
      </c>
      <c r="CT48" s="27">
        <f>CS48</f>
        <v>10.192</v>
      </c>
      <c r="CU48" s="27">
        <f>CT48</f>
        <v>10.192</v>
      </c>
      <c r="CV48" s="139">
        <f t="shared" si="139"/>
        <v>10.192</v>
      </c>
    </row>
    <row r="49" spans="1:100" s="29" customFormat="1" ht="12" customHeight="1" x14ac:dyDescent="0.25">
      <c r="A49" s="129"/>
      <c r="B49" s="129"/>
      <c r="C49" s="129"/>
      <c r="D49" s="129"/>
      <c r="E49" s="29" t="s">
        <v>141</v>
      </c>
      <c r="F49" s="141"/>
      <c r="G49" s="141"/>
      <c r="H49" s="141"/>
      <c r="I49" s="141"/>
      <c r="J49" s="141"/>
      <c r="K49" s="125"/>
      <c r="L49" s="125"/>
      <c r="M49" s="125"/>
      <c r="N49" s="125"/>
      <c r="O49" s="149"/>
      <c r="P49" s="125"/>
      <c r="Q49" s="125"/>
      <c r="R49" s="125"/>
      <c r="S49" s="125">
        <v>-159.934</v>
      </c>
      <c r="T49" s="149">
        <f>S49</f>
        <v>-159.934</v>
      </c>
      <c r="U49" s="125"/>
      <c r="V49" s="125"/>
      <c r="W49" s="125"/>
      <c r="X49" s="125">
        <v>-392.33699999999999</v>
      </c>
      <c r="Y49" s="149">
        <f>X49</f>
        <v>-392.33699999999999</v>
      </c>
      <c r="Z49" s="125"/>
      <c r="AA49" s="125"/>
      <c r="AB49" s="125"/>
      <c r="AC49" s="125">
        <v>-688.54</v>
      </c>
      <c r="AD49" s="149">
        <f>AC49</f>
        <v>-688.54</v>
      </c>
      <c r="AE49" s="125"/>
      <c r="AF49" s="125"/>
      <c r="AG49" s="125"/>
      <c r="AH49" s="125">
        <v>-738.46500000000003</v>
      </c>
      <c r="AI49" s="149">
        <f>AH49</f>
        <v>-738.46500000000003</v>
      </c>
      <c r="AJ49" s="125">
        <v>-738.46500000000003</v>
      </c>
      <c r="AK49" s="125">
        <v>-737.83799999999997</v>
      </c>
      <c r="AL49" s="125">
        <v>-738.65700000000004</v>
      </c>
      <c r="AM49" s="125">
        <v>-739.71199999999999</v>
      </c>
      <c r="AN49" s="149">
        <f>AM49</f>
        <v>-739.71199999999999</v>
      </c>
      <c r="AO49" s="125">
        <v>-739.71199999999999</v>
      </c>
      <c r="AP49" s="125">
        <v>-738.601</v>
      </c>
      <c r="AQ49" s="125">
        <v>-738.601</v>
      </c>
      <c r="AR49" s="125">
        <v>-738.601</v>
      </c>
      <c r="AS49" s="149">
        <f t="shared" si="127"/>
        <v>-738.601</v>
      </c>
      <c r="AT49" s="125">
        <v>-738.601</v>
      </c>
      <c r="AU49" s="125">
        <v>-738.601</v>
      </c>
      <c r="AV49" s="125">
        <v>-738.601</v>
      </c>
      <c r="AW49" s="125">
        <v>-739.125</v>
      </c>
      <c r="AX49" s="149">
        <f t="shared" si="128"/>
        <v>-739.125</v>
      </c>
      <c r="AY49" s="125">
        <v>-742.04899999999998</v>
      </c>
      <c r="AZ49" s="125">
        <v>-781.16300000000001</v>
      </c>
      <c r="BA49" s="125">
        <v>-785.08199999999999</v>
      </c>
      <c r="BB49" s="125">
        <v>-810.38099999999997</v>
      </c>
      <c r="BC49" s="149">
        <f t="shared" si="129"/>
        <v>-810.38099999999997</v>
      </c>
      <c r="BD49" s="125">
        <v>-842.73599999999999</v>
      </c>
      <c r="BE49" s="125">
        <v>-858.37800000000004</v>
      </c>
      <c r="BF49" s="125">
        <v>-873.89300000000003</v>
      </c>
      <c r="BG49" s="125">
        <v>-882.95899999999995</v>
      </c>
      <c r="BH49" s="149">
        <f t="shared" si="130"/>
        <v>-882.95899999999995</v>
      </c>
      <c r="BI49" s="125">
        <v>-900.51</v>
      </c>
      <c r="BJ49" s="125">
        <v>-923.77099999999996</v>
      </c>
      <c r="BK49" s="125">
        <v>-937.327</v>
      </c>
      <c r="BL49" s="125">
        <v>-928.20299999999997</v>
      </c>
      <c r="BM49" s="149">
        <f t="shared" si="131"/>
        <v>-928.20299999999997</v>
      </c>
      <c r="BN49" s="125">
        <v>-931.47</v>
      </c>
      <c r="BO49" s="125">
        <v>-945.20500000000004</v>
      </c>
      <c r="BP49" s="125">
        <v>-945.21299999999997</v>
      </c>
      <c r="BQ49" s="125">
        <v>-945.274</v>
      </c>
      <c r="BR49" s="149">
        <f t="shared" si="132"/>
        <v>-945.274</v>
      </c>
      <c r="BS49" s="125">
        <v>-961.34299999999996</v>
      </c>
      <c r="BT49" s="125">
        <v>-977.21900000000005</v>
      </c>
      <c r="BU49" s="125">
        <v>-987.90300000000002</v>
      </c>
      <c r="BV49" s="125">
        <v>-1003.3819999999999</v>
      </c>
      <c r="BW49" s="149">
        <f t="shared" si="133"/>
        <v>-1003.3819999999999</v>
      </c>
      <c r="BX49" s="125">
        <v>-1024.915</v>
      </c>
      <c r="BY49" s="125">
        <v>-1038.1289999999999</v>
      </c>
      <c r="BZ49" s="125">
        <v>-1038.652</v>
      </c>
      <c r="CA49" s="125">
        <v>-1039.345</v>
      </c>
      <c r="CB49" s="149">
        <f t="shared" si="134"/>
        <v>-1039.345</v>
      </c>
      <c r="CC49" s="801">
        <f t="shared" si="135"/>
        <v>-1139.2909999999999</v>
      </c>
      <c r="CD49" s="801">
        <f t="shared" si="135"/>
        <v>-1139.2909999999999</v>
      </c>
      <c r="CE49" s="801">
        <f t="shared" si="135"/>
        <v>-1139.2909999999999</v>
      </c>
      <c r="CF49" s="789">
        <v>-1139.2909999999999</v>
      </c>
      <c r="CG49" s="149">
        <f t="shared" si="136"/>
        <v>-1139.2909999999999</v>
      </c>
      <c r="CH49" s="801">
        <f>CI49</f>
        <v>-1199.6300000000001</v>
      </c>
      <c r="CI49" s="789">
        <v>-1199.6300000000001</v>
      </c>
      <c r="CJ49" s="783">
        <f>CI49+'Cash Flow'!CJ38</f>
        <v>-1699.63</v>
      </c>
      <c r="CK49" s="783">
        <f>CJ49+'Cash Flow'!CK38</f>
        <v>-1784.63</v>
      </c>
      <c r="CL49" s="149">
        <f t="shared" si="137"/>
        <v>-1784.63</v>
      </c>
      <c r="CM49" s="29">
        <f>CL49+'Cash Flow'!CM38</f>
        <v>-1869.63</v>
      </c>
      <c r="CN49" s="29">
        <f>CM49+'Cash Flow'!CN38</f>
        <v>-1954.63</v>
      </c>
      <c r="CO49" s="29">
        <f>CN49+'Cash Flow'!CO38</f>
        <v>-2029.63</v>
      </c>
      <c r="CP49" s="29">
        <f>CO49+'Cash Flow'!CP38</f>
        <v>-2099.63</v>
      </c>
      <c r="CQ49" s="149">
        <f t="shared" si="138"/>
        <v>-2099.63</v>
      </c>
      <c r="CR49" s="29">
        <f>CQ49+'Cash Flow'!CR38</f>
        <v>-2124.63</v>
      </c>
      <c r="CS49" s="29">
        <f>CR49+'Cash Flow'!CS38</f>
        <v>-2149.63</v>
      </c>
      <c r="CT49" s="29">
        <f>CS49+'Cash Flow'!CT38</f>
        <v>-2174.63</v>
      </c>
      <c r="CU49" s="29">
        <f>CT49+'Cash Flow'!CU38</f>
        <v>-2199.63</v>
      </c>
      <c r="CV49" s="149">
        <f t="shared" si="139"/>
        <v>-2199.63</v>
      </c>
    </row>
    <row r="50" spans="1:100" s="27" customFormat="1" ht="12" customHeight="1" x14ac:dyDescent="0.25">
      <c r="A50" s="122"/>
      <c r="B50" s="122"/>
      <c r="C50" s="122"/>
      <c r="D50" s="122"/>
      <c r="E50" s="27" t="s">
        <v>337</v>
      </c>
      <c r="F50" s="140"/>
      <c r="G50" s="140"/>
      <c r="H50" s="140"/>
      <c r="I50" s="140"/>
      <c r="J50" s="140"/>
      <c r="K50" s="124"/>
      <c r="L50" s="124"/>
      <c r="M50" s="124"/>
      <c r="N50" s="124"/>
      <c r="O50" s="139"/>
      <c r="P50" s="124"/>
      <c r="Q50" s="124"/>
      <c r="R50" s="124"/>
      <c r="S50" s="27">
        <f>SUM(S46:S49)</f>
        <v>814.83400000000006</v>
      </c>
      <c r="T50" s="139">
        <f t="shared" si="122"/>
        <v>814.83400000000006</v>
      </c>
      <c r="U50" s="124"/>
      <c r="V50" s="124"/>
      <c r="W50" s="124"/>
      <c r="X50" s="27">
        <f>SUM(X46:X49)</f>
        <v>706.17699999999991</v>
      </c>
      <c r="Y50" s="139">
        <f t="shared" si="123"/>
        <v>706.17699999999991</v>
      </c>
      <c r="AC50" s="27">
        <f>SUM(AC46:AC49)</f>
        <v>521.31100000000015</v>
      </c>
      <c r="AD50" s="139">
        <f t="shared" si="124"/>
        <v>521.31100000000015</v>
      </c>
      <c r="AH50" s="27">
        <f>SUM(AH46:AH49)</f>
        <v>500.51199999999983</v>
      </c>
      <c r="AI50" s="139">
        <f t="shared" si="125"/>
        <v>500.51199999999983</v>
      </c>
      <c r="AJ50" s="27">
        <f>SUM(AJ46:AJ49)</f>
        <v>514.17099999999994</v>
      </c>
      <c r="AK50" s="27">
        <f>SUM(AK46:AK49)</f>
        <v>513.48900000000003</v>
      </c>
      <c r="AL50" s="27">
        <f>SUM(AL46:AL49)</f>
        <v>487.20200000000011</v>
      </c>
      <c r="AM50" s="27">
        <f>SUM(AM46:AM49)</f>
        <v>503.41399999999999</v>
      </c>
      <c r="AN50" s="139">
        <f t="shared" si="126"/>
        <v>503.41399999999999</v>
      </c>
      <c r="AO50" s="27">
        <f>SUM(AO46:AO49)</f>
        <v>530.77299999999991</v>
      </c>
      <c r="AP50" s="27">
        <f>SUM(AP46:AP49)</f>
        <v>545.85299999999995</v>
      </c>
      <c r="AQ50" s="27">
        <f>SUM(AQ46:AQ49)</f>
        <v>562.74899999999991</v>
      </c>
      <c r="AR50" s="27">
        <f>SUM(AR46:AR49)</f>
        <v>574.4</v>
      </c>
      <c r="AS50" s="139">
        <f t="shared" si="127"/>
        <v>574.4</v>
      </c>
      <c r="AT50" s="27">
        <f>SUM(AT46:AT49)</f>
        <v>581.95600000000002</v>
      </c>
      <c r="AU50" s="27">
        <f>SUM(AU46:AU49)</f>
        <v>612.84699999999987</v>
      </c>
      <c r="AV50" s="27">
        <f>SUM(AV46:AV49)</f>
        <v>640.91600000000028</v>
      </c>
      <c r="AW50" s="27">
        <f>SUM(AW46:AW49)</f>
        <v>585.17799999999988</v>
      </c>
      <c r="AX50" s="139">
        <f t="shared" si="128"/>
        <v>585.17799999999988</v>
      </c>
      <c r="AY50" s="27">
        <f>SUM(AY46:AY49)</f>
        <v>601.55300000000011</v>
      </c>
      <c r="AZ50" s="27">
        <f>SUM(AZ46:AZ49)</f>
        <v>571.36200000000008</v>
      </c>
      <c r="BA50" s="27">
        <f>SUM(BA46:BA49)</f>
        <v>583.48399999999981</v>
      </c>
      <c r="BB50" s="27">
        <f>SUM(BB46:BB49)</f>
        <v>611.74700000000018</v>
      </c>
      <c r="BC50" s="139">
        <f t="shared" si="129"/>
        <v>611.74700000000018</v>
      </c>
      <c r="BD50" s="27">
        <f>SUM(BD46:BD49)</f>
        <v>596.16900000000021</v>
      </c>
      <c r="BE50" s="27">
        <f>SUM(BE46:BE49)</f>
        <v>605.96000000000015</v>
      </c>
      <c r="BF50" s="27">
        <f>SUM(BF46:BF49)</f>
        <v>611.27599999999984</v>
      </c>
      <c r="BG50" s="27">
        <f>SUM(BG46:BG49)</f>
        <v>619.74800000000016</v>
      </c>
      <c r="BH50" s="139">
        <f t="shared" si="130"/>
        <v>619.74800000000016</v>
      </c>
      <c r="BI50" s="27">
        <f>SUM(BI46:BI49)</f>
        <v>623.17599999999993</v>
      </c>
      <c r="BJ50" s="27">
        <f>SUM(BJ46:BJ49)</f>
        <v>630.70899999999983</v>
      </c>
      <c r="BK50" s="27">
        <f>SUM(BK46:BK49)</f>
        <v>685.35500000000002</v>
      </c>
      <c r="BL50" s="27">
        <f>SUM(BL46:BL49)</f>
        <v>682.85699999999997</v>
      </c>
      <c r="BM50" s="139">
        <f t="shared" si="131"/>
        <v>682.85699999999997</v>
      </c>
      <c r="BN50" s="27">
        <f>SUM(BN46:BN49)</f>
        <v>679.4340000000002</v>
      </c>
      <c r="BO50" s="27">
        <f>SUM(BO46:BO49)</f>
        <v>678.48199999999986</v>
      </c>
      <c r="BP50" s="27">
        <f>SUM(BP46:BP49)</f>
        <v>690.40800000000013</v>
      </c>
      <c r="BQ50" s="27">
        <f>SUM(BQ46:BQ49)</f>
        <v>703.25699999999995</v>
      </c>
      <c r="BR50" s="139">
        <f t="shared" si="132"/>
        <v>703.25699999999995</v>
      </c>
      <c r="BS50" s="27">
        <f>SUM(BS46:BS49)</f>
        <v>698.30200000000002</v>
      </c>
      <c r="BT50" s="27">
        <f>SUM(BT46:BT49)</f>
        <v>703.97600000000011</v>
      </c>
      <c r="BU50" s="27">
        <f>SUM(BU46:BU49)</f>
        <v>704.44299999999998</v>
      </c>
      <c r="BV50" s="27">
        <f>SUM(BV46:BV49)</f>
        <v>698.96799999999996</v>
      </c>
      <c r="BW50" s="139">
        <f>BV50</f>
        <v>698.96799999999996</v>
      </c>
      <c r="BX50" s="27">
        <f>SUM(BX46:BX49)</f>
        <v>693.7639999999999</v>
      </c>
      <c r="BY50" s="27">
        <f>SUM(BY46:BY49)</f>
        <v>707.48800000000006</v>
      </c>
      <c r="BZ50" s="27">
        <f>SUM(BZ46:BZ49)</f>
        <v>723.11000000000013</v>
      </c>
      <c r="CA50" s="27">
        <f>SUM(CA46:CA49)</f>
        <v>738.98</v>
      </c>
      <c r="CB50" s="139">
        <f>CA50</f>
        <v>738.98</v>
      </c>
      <c r="CC50" s="645">
        <f>SUM(CC46:CC49)</f>
        <v>749.0949999999998</v>
      </c>
      <c r="CD50" s="645">
        <f>SUM(CD46:CD49)</f>
        <v>749.0949999999998</v>
      </c>
      <c r="CE50" s="645">
        <f>SUM(CE46:CE49)</f>
        <v>749.0949999999998</v>
      </c>
      <c r="CF50" s="645">
        <f>SUM(CF46:CF49)</f>
        <v>749.0949999999998</v>
      </c>
      <c r="CG50" s="139">
        <f>CF50</f>
        <v>749.0949999999998</v>
      </c>
      <c r="CH50" s="645">
        <f>SUM(CH46:CH49)</f>
        <v>760.67799999999988</v>
      </c>
      <c r="CI50" s="645">
        <f>SUM(CI46:CI49)</f>
        <v>760.67799999999988</v>
      </c>
      <c r="CJ50" s="645">
        <f>SUM(CJ46:CJ49)</f>
        <v>1404.8047380000003</v>
      </c>
      <c r="CK50" s="645">
        <f>SUM(CK46:CK49)</f>
        <v>1300.4611068537502</v>
      </c>
      <c r="CL50" s="139">
        <f t="shared" si="137"/>
        <v>1300.4611068537502</v>
      </c>
      <c r="CM50" s="27">
        <f>SUM(CM46:CM49)</f>
        <v>1209.9049713903396</v>
      </c>
      <c r="CN50" s="27">
        <f>SUM(CN46:CN49)</f>
        <v>1122.4377676577169</v>
      </c>
      <c r="CO50" s="27">
        <f>SUM(CO46:CO49)</f>
        <v>1050.0334729408605</v>
      </c>
      <c r="CP50" s="27">
        <f>SUM(CP46:CP49)</f>
        <v>982.12309691526571</v>
      </c>
      <c r="CQ50" s="139">
        <f t="shared" si="138"/>
        <v>982.12309691526571</v>
      </c>
      <c r="CR50" s="27">
        <f>SUM(CR46:CR49)</f>
        <v>958.44367112368218</v>
      </c>
      <c r="CS50" s="27">
        <f>SUM(CS46:CS49)</f>
        <v>938.73297175395101</v>
      </c>
      <c r="CT50" s="27">
        <f>SUM(CT46:CT49)</f>
        <v>925.80850326401105</v>
      </c>
      <c r="CU50" s="27">
        <f>SUM(CU46:CU49)</f>
        <v>913.14379600263965</v>
      </c>
      <c r="CV50" s="139">
        <f t="shared" si="139"/>
        <v>913.14379600263965</v>
      </c>
    </row>
    <row r="51" spans="1:100" s="29" customFormat="1" ht="12" customHeight="1" x14ac:dyDescent="0.25">
      <c r="A51" s="129"/>
      <c r="B51" s="129"/>
      <c r="C51" s="129"/>
      <c r="D51" s="129"/>
      <c r="E51" s="29" t="s">
        <v>30</v>
      </c>
      <c r="F51" s="141"/>
      <c r="G51" s="141"/>
      <c r="H51" s="141"/>
      <c r="I51" s="141"/>
      <c r="J51" s="141"/>
      <c r="K51" s="125"/>
      <c r="L51" s="125"/>
      <c r="M51" s="125"/>
      <c r="N51" s="125"/>
      <c r="O51" s="149"/>
      <c r="P51" s="125"/>
      <c r="Q51" s="125"/>
      <c r="R51" s="125"/>
      <c r="S51" s="125">
        <v>0</v>
      </c>
      <c r="T51" s="149">
        <f>S51</f>
        <v>0</v>
      </c>
      <c r="U51" s="125"/>
      <c r="V51" s="125"/>
      <c r="W51" s="125"/>
      <c r="X51" s="125">
        <v>0</v>
      </c>
      <c r="Y51" s="149">
        <f>X51</f>
        <v>0</v>
      </c>
      <c r="Z51" s="125"/>
      <c r="AA51" s="125"/>
      <c r="AB51" s="125"/>
      <c r="AC51" s="125">
        <v>0</v>
      </c>
      <c r="AD51" s="149">
        <f>AC51</f>
        <v>0</v>
      </c>
      <c r="AE51" s="125"/>
      <c r="AF51" s="125"/>
      <c r="AG51" s="125"/>
      <c r="AH51" s="125">
        <v>0</v>
      </c>
      <c r="AI51" s="149">
        <f>AH51</f>
        <v>0</v>
      </c>
      <c r="AJ51" s="125">
        <v>0</v>
      </c>
      <c r="AK51" s="125">
        <v>0</v>
      </c>
      <c r="AL51" s="125">
        <v>0</v>
      </c>
      <c r="AM51" s="125">
        <v>0</v>
      </c>
      <c r="AN51" s="149">
        <f>AM51</f>
        <v>0</v>
      </c>
      <c r="AO51" s="125">
        <v>0</v>
      </c>
      <c r="AP51" s="125">
        <v>0</v>
      </c>
      <c r="AQ51" s="125">
        <v>4.383</v>
      </c>
      <c r="AR51" s="125">
        <v>4.0970000000000004</v>
      </c>
      <c r="AS51" s="149">
        <f t="shared" si="127"/>
        <v>4.0970000000000004</v>
      </c>
      <c r="AT51" s="125">
        <v>3.7280000000000002</v>
      </c>
      <c r="AU51" s="125">
        <v>9.85</v>
      </c>
      <c r="AV51" s="125">
        <v>9.7880000000000003</v>
      </c>
      <c r="AW51" s="125">
        <v>5.8559999999999999</v>
      </c>
      <c r="AX51" s="149">
        <f t="shared" si="128"/>
        <v>5.8559999999999999</v>
      </c>
      <c r="AY51" s="125">
        <v>4.8949999999999996</v>
      </c>
      <c r="AZ51" s="125">
        <v>5.58</v>
      </c>
      <c r="BA51" s="125">
        <v>0.30099999999999999</v>
      </c>
      <c r="BB51" s="125">
        <v>0.108</v>
      </c>
      <c r="BC51" s="149">
        <f t="shared" si="129"/>
        <v>0.108</v>
      </c>
      <c r="BD51" s="125">
        <v>-2.5999999999999999E-2</v>
      </c>
      <c r="BE51" s="125">
        <v>-0.16500000000000001</v>
      </c>
      <c r="BF51" s="125">
        <v>-0.24099999999999999</v>
      </c>
      <c r="BG51" s="125">
        <v>-0.38</v>
      </c>
      <c r="BH51" s="149">
        <f t="shared" si="130"/>
        <v>-0.38</v>
      </c>
      <c r="BI51" s="125">
        <v>-0.46500000000000002</v>
      </c>
      <c r="BJ51" s="125">
        <v>-0.44</v>
      </c>
      <c r="BK51" s="125">
        <v>0</v>
      </c>
      <c r="BL51" s="125">
        <v>0</v>
      </c>
      <c r="BM51" s="149">
        <f t="shared" si="131"/>
        <v>0</v>
      </c>
      <c r="BN51" s="125">
        <v>0</v>
      </c>
      <c r="BO51" s="125">
        <v>0</v>
      </c>
      <c r="BP51" s="125">
        <v>0</v>
      </c>
      <c r="BQ51" s="125">
        <v>0</v>
      </c>
      <c r="BR51" s="149">
        <f t="shared" si="132"/>
        <v>0</v>
      </c>
      <c r="BS51" s="125">
        <v>0</v>
      </c>
      <c r="BT51" s="125">
        <v>0</v>
      </c>
      <c r="BU51" s="125">
        <v>0</v>
      </c>
      <c r="BV51" s="125">
        <v>0</v>
      </c>
      <c r="BW51" s="149">
        <f>BV51</f>
        <v>0</v>
      </c>
      <c r="BX51" s="29">
        <v>0</v>
      </c>
      <c r="BY51" s="29">
        <v>0</v>
      </c>
      <c r="BZ51" s="29">
        <v>0</v>
      </c>
      <c r="CA51" s="29">
        <v>0</v>
      </c>
      <c r="CB51" s="149">
        <f>CA51</f>
        <v>0</v>
      </c>
      <c r="CC51" s="783">
        <f>CB51</f>
        <v>0</v>
      </c>
      <c r="CD51" s="783">
        <f>CC51</f>
        <v>0</v>
      </c>
      <c r="CE51" s="783">
        <f>CD51</f>
        <v>0</v>
      </c>
      <c r="CF51" s="783">
        <f>CE51</f>
        <v>0</v>
      </c>
      <c r="CG51" s="149">
        <f>CF51</f>
        <v>0</v>
      </c>
      <c r="CH51" s="783">
        <f>CG51</f>
        <v>0</v>
      </c>
      <c r="CI51" s="783">
        <f>CH51</f>
        <v>0</v>
      </c>
      <c r="CJ51" s="783">
        <f>CI51</f>
        <v>0</v>
      </c>
      <c r="CK51" s="783">
        <f>CJ51</f>
        <v>0</v>
      </c>
      <c r="CL51" s="149">
        <f t="shared" si="137"/>
        <v>0</v>
      </c>
      <c r="CM51" s="29">
        <f>CL51</f>
        <v>0</v>
      </c>
      <c r="CN51" s="29">
        <f>CM51</f>
        <v>0</v>
      </c>
      <c r="CO51" s="29">
        <f>CN51</f>
        <v>0</v>
      </c>
      <c r="CP51" s="29">
        <f>CO51</f>
        <v>0</v>
      </c>
      <c r="CQ51" s="149">
        <f t="shared" si="138"/>
        <v>0</v>
      </c>
      <c r="CR51" s="29">
        <f>CQ51</f>
        <v>0</v>
      </c>
      <c r="CS51" s="29">
        <f>CR51</f>
        <v>0</v>
      </c>
      <c r="CT51" s="29">
        <f>CS51</f>
        <v>0</v>
      </c>
      <c r="CU51" s="29">
        <f>CT51</f>
        <v>0</v>
      </c>
      <c r="CV51" s="149">
        <f t="shared" si="139"/>
        <v>0</v>
      </c>
    </row>
    <row r="52" spans="1:100" s="27" customFormat="1" ht="12" customHeight="1" x14ac:dyDescent="0.25">
      <c r="A52" s="122"/>
      <c r="B52" s="122"/>
      <c r="C52" s="122"/>
      <c r="D52" s="122"/>
      <c r="E52" s="27" t="s">
        <v>338</v>
      </c>
      <c r="F52" s="140"/>
      <c r="G52" s="140"/>
      <c r="H52" s="140"/>
      <c r="I52" s="140"/>
      <c r="J52" s="140"/>
      <c r="K52" s="124"/>
      <c r="L52" s="124"/>
      <c r="M52" s="124"/>
      <c r="N52" s="124"/>
      <c r="O52" s="139"/>
      <c r="P52" s="124"/>
      <c r="Q52" s="124"/>
      <c r="R52" s="124"/>
      <c r="S52" s="27">
        <f>S50+S51</f>
        <v>814.83400000000006</v>
      </c>
      <c r="T52" s="139">
        <f t="shared" si="122"/>
        <v>814.83400000000006</v>
      </c>
      <c r="U52" s="124"/>
      <c r="V52" s="124"/>
      <c r="W52" s="124"/>
      <c r="X52" s="27">
        <f>X50+X51</f>
        <v>706.17699999999991</v>
      </c>
      <c r="Y52" s="139">
        <f t="shared" si="123"/>
        <v>706.17699999999991</v>
      </c>
      <c r="AC52" s="27">
        <f>AC50+AC51</f>
        <v>521.31100000000015</v>
      </c>
      <c r="AD52" s="139">
        <f t="shared" si="124"/>
        <v>521.31100000000015</v>
      </c>
      <c r="AH52" s="27">
        <f>AH50+AH51</f>
        <v>500.51199999999983</v>
      </c>
      <c r="AI52" s="139">
        <f t="shared" si="125"/>
        <v>500.51199999999983</v>
      </c>
      <c r="AJ52" s="27">
        <f>AJ50+AJ51</f>
        <v>514.17099999999994</v>
      </c>
      <c r="AK52" s="27">
        <f>AK50+AK51</f>
        <v>513.48900000000003</v>
      </c>
      <c r="AL52" s="27">
        <f>AL50+AL51</f>
        <v>487.20200000000011</v>
      </c>
      <c r="AM52" s="27">
        <f>AM50+AM51</f>
        <v>503.41399999999999</v>
      </c>
      <c r="AN52" s="139">
        <f t="shared" si="126"/>
        <v>503.41399999999999</v>
      </c>
      <c r="AO52" s="27">
        <f>AO50+AO51</f>
        <v>530.77299999999991</v>
      </c>
      <c r="AP52" s="27">
        <f>AP50+AP51</f>
        <v>545.85299999999995</v>
      </c>
      <c r="AQ52" s="27">
        <f>AQ50+AQ51</f>
        <v>567.13199999999995</v>
      </c>
      <c r="AR52" s="27">
        <f>AR50+AR51</f>
        <v>578.49699999999996</v>
      </c>
      <c r="AS52" s="139">
        <f t="shared" ref="AS52:BM52" si="141">AS50+AS51</f>
        <v>578.49699999999996</v>
      </c>
      <c r="AT52" s="27">
        <f>AT50+AT51</f>
        <v>585.68399999999997</v>
      </c>
      <c r="AU52" s="27">
        <f>AU50+AU51</f>
        <v>622.69699999999989</v>
      </c>
      <c r="AV52" s="27">
        <f t="shared" si="141"/>
        <v>650.70400000000029</v>
      </c>
      <c r="AW52" s="27">
        <f>AW50+AW51</f>
        <v>591.03399999999988</v>
      </c>
      <c r="AX52" s="139">
        <f t="shared" si="141"/>
        <v>591.03399999999988</v>
      </c>
      <c r="AY52" s="27">
        <f>AY50+AY51</f>
        <v>606.44800000000009</v>
      </c>
      <c r="AZ52" s="27">
        <f>AZ50+AZ51</f>
        <v>576.94200000000012</v>
      </c>
      <c r="BA52" s="27">
        <f>BA50+BA51</f>
        <v>583.78499999999985</v>
      </c>
      <c r="BB52" s="27">
        <f>BB50+BB51</f>
        <v>611.85500000000013</v>
      </c>
      <c r="BC52" s="139">
        <f t="shared" si="141"/>
        <v>611.85500000000013</v>
      </c>
      <c r="BD52" s="27">
        <f t="shared" si="141"/>
        <v>596.14300000000026</v>
      </c>
      <c r="BE52" s="27">
        <f t="shared" si="141"/>
        <v>605.79500000000019</v>
      </c>
      <c r="BF52" s="27">
        <f t="shared" si="141"/>
        <v>611.03499999999985</v>
      </c>
      <c r="BG52" s="27">
        <f>BG50+BG51</f>
        <v>619.36800000000017</v>
      </c>
      <c r="BH52" s="139">
        <f t="shared" si="141"/>
        <v>619.36800000000017</v>
      </c>
      <c r="BI52" s="27">
        <f t="shared" si="141"/>
        <v>622.7109999999999</v>
      </c>
      <c r="BJ52" s="27">
        <f t="shared" si="141"/>
        <v>630.26899999999978</v>
      </c>
      <c r="BK52" s="27">
        <f t="shared" si="141"/>
        <v>685.35500000000002</v>
      </c>
      <c r="BL52" s="27">
        <f t="shared" si="141"/>
        <v>682.85699999999997</v>
      </c>
      <c r="BM52" s="139">
        <f t="shared" si="141"/>
        <v>682.85699999999997</v>
      </c>
      <c r="BN52" s="27">
        <f t="shared" ref="BN52:BW52" si="142">BN50+BN51</f>
        <v>679.4340000000002</v>
      </c>
      <c r="BO52" s="27">
        <f t="shared" si="142"/>
        <v>678.48199999999986</v>
      </c>
      <c r="BP52" s="27">
        <f t="shared" si="142"/>
        <v>690.40800000000013</v>
      </c>
      <c r="BQ52" s="27">
        <f t="shared" si="142"/>
        <v>703.25699999999995</v>
      </c>
      <c r="BR52" s="139">
        <f t="shared" si="142"/>
        <v>703.25699999999995</v>
      </c>
      <c r="BS52" s="27">
        <f t="shared" si="142"/>
        <v>698.30200000000002</v>
      </c>
      <c r="BT52" s="27">
        <f>BT50+BT51</f>
        <v>703.97600000000011</v>
      </c>
      <c r="BU52" s="27">
        <f>BU50+BU51</f>
        <v>704.44299999999998</v>
      </c>
      <c r="BV52" s="27">
        <f>BV50+BV51</f>
        <v>698.96799999999996</v>
      </c>
      <c r="BW52" s="139">
        <f t="shared" si="142"/>
        <v>698.96799999999996</v>
      </c>
      <c r="BX52" s="27">
        <f t="shared" ref="BX52:CB52" si="143">BX50+BX51</f>
        <v>693.7639999999999</v>
      </c>
      <c r="BY52" s="27">
        <f>BY50+BY51</f>
        <v>707.48800000000006</v>
      </c>
      <c r="BZ52" s="27">
        <f>BZ50+BZ51</f>
        <v>723.11000000000013</v>
      </c>
      <c r="CA52" s="27">
        <f>CA50+CA51</f>
        <v>738.98</v>
      </c>
      <c r="CB52" s="139">
        <f t="shared" si="143"/>
        <v>738.98</v>
      </c>
      <c r="CC52" s="645">
        <f>CC50+CC51</f>
        <v>749.0949999999998</v>
      </c>
      <c r="CD52" s="645">
        <f>CD50+CD51</f>
        <v>749.0949999999998</v>
      </c>
      <c r="CE52" s="645">
        <f>CE50+CE51</f>
        <v>749.0949999999998</v>
      </c>
      <c r="CF52" s="645">
        <f>CF50+CF51</f>
        <v>749.0949999999998</v>
      </c>
      <c r="CG52" s="139">
        <f t="shared" ref="CG52:CL52" si="144">CG50+CG51</f>
        <v>749.0949999999998</v>
      </c>
      <c r="CH52" s="645">
        <f>CH50+CH51</f>
        <v>760.67799999999988</v>
      </c>
      <c r="CI52" s="645">
        <f>CI50+CI51</f>
        <v>760.67799999999988</v>
      </c>
      <c r="CJ52" s="645">
        <f>CJ50+CJ51</f>
        <v>1404.8047380000003</v>
      </c>
      <c r="CK52" s="645">
        <f t="shared" si="144"/>
        <v>1300.4611068537502</v>
      </c>
      <c r="CL52" s="139">
        <f t="shared" si="144"/>
        <v>1300.4611068537502</v>
      </c>
      <c r="CM52" s="27">
        <f t="shared" ref="CM52:CQ52" si="145">CM50+CM51</f>
        <v>1209.9049713903396</v>
      </c>
      <c r="CN52" s="27">
        <f t="shared" si="145"/>
        <v>1122.4377676577169</v>
      </c>
      <c r="CO52" s="27">
        <f t="shared" si="145"/>
        <v>1050.0334729408605</v>
      </c>
      <c r="CP52" s="27">
        <f t="shared" si="145"/>
        <v>982.12309691526571</v>
      </c>
      <c r="CQ52" s="139">
        <f t="shared" si="145"/>
        <v>982.12309691526571</v>
      </c>
      <c r="CR52" s="27">
        <f t="shared" ref="CR52:CV52" si="146">CR50+CR51</f>
        <v>958.44367112368218</v>
      </c>
      <c r="CS52" s="27">
        <f t="shared" si="146"/>
        <v>938.73297175395101</v>
      </c>
      <c r="CT52" s="27">
        <f t="shared" si="146"/>
        <v>925.80850326401105</v>
      </c>
      <c r="CU52" s="27">
        <f t="shared" si="146"/>
        <v>913.14379600263965</v>
      </c>
      <c r="CV52" s="139">
        <f t="shared" si="146"/>
        <v>913.14379600263965</v>
      </c>
    </row>
    <row r="53" spans="1:100" s="27" customFormat="1" ht="3.95" customHeight="1" x14ac:dyDescent="0.25">
      <c r="A53" s="122"/>
      <c r="B53" s="122"/>
      <c r="C53" s="122"/>
      <c r="D53" s="122"/>
      <c r="F53" s="139"/>
      <c r="G53" s="139"/>
      <c r="H53" s="139"/>
      <c r="I53" s="139"/>
      <c r="J53" s="139"/>
      <c r="O53" s="139"/>
      <c r="T53" s="139"/>
      <c r="Y53" s="139"/>
      <c r="AD53" s="139"/>
      <c r="AI53" s="139"/>
      <c r="AN53" s="139"/>
      <c r="AS53" s="139"/>
      <c r="AX53" s="139"/>
      <c r="BC53" s="139"/>
      <c r="BH53" s="139"/>
      <c r="BM53" s="139"/>
      <c r="BR53" s="139"/>
      <c r="BW53" s="139"/>
      <c r="CB53" s="139"/>
      <c r="CC53" s="645"/>
      <c r="CD53" s="645"/>
      <c r="CE53" s="645"/>
      <c r="CF53" s="645"/>
      <c r="CG53" s="139"/>
      <c r="CH53" s="645"/>
      <c r="CI53" s="645"/>
      <c r="CJ53" s="645"/>
      <c r="CK53" s="645"/>
      <c r="CL53" s="139"/>
      <c r="CQ53" s="139"/>
      <c r="CV53" s="139"/>
    </row>
    <row r="54" spans="1:100" s="28" customFormat="1" ht="12" customHeight="1" x14ac:dyDescent="0.25">
      <c r="E54" s="35" t="s">
        <v>134</v>
      </c>
      <c r="F54" s="35"/>
      <c r="G54" s="35"/>
      <c r="H54" s="35"/>
      <c r="I54" s="35"/>
      <c r="J54" s="35"/>
      <c r="K54" s="35"/>
      <c r="L54" s="35"/>
      <c r="M54" s="35"/>
      <c r="N54" s="35"/>
      <c r="O54" s="35"/>
      <c r="P54" s="35"/>
      <c r="Q54" s="35"/>
      <c r="R54" s="35"/>
      <c r="S54" s="35">
        <f>SUM(S38:S43)+S52</f>
        <v>1399.8789999999999</v>
      </c>
      <c r="T54" s="35">
        <f>S54</f>
        <v>1399.8789999999999</v>
      </c>
      <c r="U54" s="35"/>
      <c r="V54" s="35"/>
      <c r="W54" s="35"/>
      <c r="X54" s="35">
        <f>SUM(X38:X43)+X52</f>
        <v>1540.4979999999998</v>
      </c>
      <c r="Y54" s="35">
        <f>X54</f>
        <v>1540.4979999999998</v>
      </c>
      <c r="Z54" s="35"/>
      <c r="AA54" s="35"/>
      <c r="AB54" s="35"/>
      <c r="AC54" s="35">
        <f>SUM(AC38:AC43)+AC52</f>
        <v>1655.904</v>
      </c>
      <c r="AD54" s="35">
        <f>AC54</f>
        <v>1655.904</v>
      </c>
      <c r="AE54" s="35"/>
      <c r="AF54" s="35"/>
      <c r="AG54" s="35"/>
      <c r="AH54" s="35">
        <f>SUM(AH38:AH43)+AH52</f>
        <v>1471.8549999999998</v>
      </c>
      <c r="AI54" s="35">
        <f>AH54</f>
        <v>1471.8549999999998</v>
      </c>
      <c r="AJ54" s="35">
        <f>SUM(AJ38:AJ43)+AJ52</f>
        <v>1435.4059999999999</v>
      </c>
      <c r="AK54" s="35">
        <f>SUM(AK38:AK43)+AK52</f>
        <v>1402.5419999999999</v>
      </c>
      <c r="AL54" s="35">
        <f>SUM(AL38:AL43)+AL52</f>
        <v>1379.0350000000001</v>
      </c>
      <c r="AM54" s="35">
        <f>SUM(AM38:AM43)+AM52</f>
        <v>1366.7919999999999</v>
      </c>
      <c r="AN54" s="35">
        <f>AM54</f>
        <v>1366.7919999999999</v>
      </c>
      <c r="AO54" s="35">
        <f>SUM(AO38:AO43)+AO52</f>
        <v>1357.3519999999999</v>
      </c>
      <c r="AP54" s="35">
        <f>SUM(AP38:AP43)+AP52</f>
        <v>1347.462</v>
      </c>
      <c r="AQ54" s="35">
        <f>SUM(AQ38:AQ43)+AQ52</f>
        <v>1377.5519999999999</v>
      </c>
      <c r="AR54" s="35">
        <f>SUM(AR38:AR43)+AR52</f>
        <v>1363.42</v>
      </c>
      <c r="AS54" s="35">
        <f t="shared" ref="AS54:BM54" si="147">SUM(AS38:AS43)+AS52</f>
        <v>1363.42</v>
      </c>
      <c r="AT54" s="35">
        <f t="shared" si="147"/>
        <v>1364.027</v>
      </c>
      <c r="AU54" s="35">
        <f t="shared" si="147"/>
        <v>1387.6219999999998</v>
      </c>
      <c r="AV54" s="35">
        <f t="shared" si="147"/>
        <v>1386.2520000000002</v>
      </c>
      <c r="AW54" s="35">
        <f t="shared" si="147"/>
        <v>1306.6249999999998</v>
      </c>
      <c r="AX54" s="35">
        <f t="shared" si="147"/>
        <v>1306.6249999999998</v>
      </c>
      <c r="AY54" s="35">
        <f t="shared" si="147"/>
        <v>1285.2260000000001</v>
      </c>
      <c r="AZ54" s="35">
        <f t="shared" si="147"/>
        <v>1179.7330000000002</v>
      </c>
      <c r="BA54" s="35">
        <f t="shared" si="147"/>
        <v>1170.4929999999999</v>
      </c>
      <c r="BB54" s="35">
        <f t="shared" si="147"/>
        <v>1232.777</v>
      </c>
      <c r="BC54" s="35">
        <f t="shared" si="147"/>
        <v>1232.777</v>
      </c>
      <c r="BD54" s="35">
        <f t="shared" si="147"/>
        <v>1161.5540000000003</v>
      </c>
      <c r="BE54" s="35">
        <f t="shared" si="147"/>
        <v>1154.7330000000002</v>
      </c>
      <c r="BF54" s="35">
        <f t="shared" si="147"/>
        <v>1153.643</v>
      </c>
      <c r="BG54" s="35">
        <f t="shared" si="147"/>
        <v>1187.7060000000001</v>
      </c>
      <c r="BH54" s="35">
        <f t="shared" si="147"/>
        <v>1187.7060000000001</v>
      </c>
      <c r="BI54" s="35">
        <f t="shared" si="147"/>
        <v>1155.2889999999998</v>
      </c>
      <c r="BJ54" s="35">
        <f t="shared" si="147"/>
        <v>1174.2109999999998</v>
      </c>
      <c r="BK54" s="35">
        <f t="shared" si="147"/>
        <v>1313.8810000000001</v>
      </c>
      <c r="BL54" s="35">
        <f t="shared" si="147"/>
        <v>1323.3009999999999</v>
      </c>
      <c r="BM54" s="35">
        <f t="shared" si="147"/>
        <v>1323.3009999999999</v>
      </c>
      <c r="BN54" s="35">
        <f t="shared" ref="BN54:BW54" si="148">SUM(BN38:BN43)+BN52</f>
        <v>1277.4730000000004</v>
      </c>
      <c r="BO54" s="35">
        <f t="shared" si="148"/>
        <v>1315.2279999999998</v>
      </c>
      <c r="BP54" s="35">
        <f t="shared" si="148"/>
        <v>1313.9530000000002</v>
      </c>
      <c r="BQ54" s="35">
        <f t="shared" si="148"/>
        <v>1322.424</v>
      </c>
      <c r="BR54" s="35">
        <f t="shared" si="148"/>
        <v>1322.424</v>
      </c>
      <c r="BS54" s="35">
        <f t="shared" si="148"/>
        <v>1295.0309999999999</v>
      </c>
      <c r="BT54" s="35">
        <f>SUM(BT38:BT43)+BT52</f>
        <v>1152.6210000000001</v>
      </c>
      <c r="BU54" s="35">
        <f t="shared" si="148"/>
        <v>1161.5639999999999</v>
      </c>
      <c r="BV54" s="35">
        <f t="shared" si="148"/>
        <v>1149.8489999999999</v>
      </c>
      <c r="BW54" s="35">
        <f t="shared" si="148"/>
        <v>1149.8489999999999</v>
      </c>
      <c r="BX54" s="35">
        <f t="shared" ref="BX54:CG54" si="149">SUM(BX38:BX43)+BX52</f>
        <v>1083.9639999999999</v>
      </c>
      <c r="BY54" s="35">
        <f>SUM(BY38:BY43)+BY52</f>
        <v>1102.057</v>
      </c>
      <c r="BZ54" s="35">
        <f t="shared" si="149"/>
        <v>1209.8740000000003</v>
      </c>
      <c r="CA54" s="35">
        <f>SUM(CA38:CA43)+CA52</f>
        <v>1234.538</v>
      </c>
      <c r="CB54" s="35">
        <f t="shared" si="149"/>
        <v>1234.538</v>
      </c>
      <c r="CC54" s="35">
        <f>SUM(CC38:CC43)+CC52</f>
        <v>1210.5609999999997</v>
      </c>
      <c r="CD54" s="35">
        <f t="shared" si="149"/>
        <v>1210.2109999999998</v>
      </c>
      <c r="CE54" s="35">
        <f>SUM(CE38:CE43)+CE52</f>
        <v>1209.857</v>
      </c>
      <c r="CF54" s="35">
        <f>SUM(CF38:CF43)+CF52</f>
        <v>1209.4969999999998</v>
      </c>
      <c r="CG54" s="35">
        <f t="shared" si="149"/>
        <v>1209.4969999999998</v>
      </c>
      <c r="CH54" s="35">
        <f t="shared" ref="CH54:CQ54" si="150">SUM(CH38:CH43)+CH52</f>
        <v>1190.2469999999998</v>
      </c>
      <c r="CI54" s="35">
        <f>SUM(CI38:CI43)+CI52</f>
        <v>1187.7919999999999</v>
      </c>
      <c r="CJ54" s="35">
        <f>SUM(CJ38:CJ43)+CJ52</f>
        <v>1988.4967380000003</v>
      </c>
      <c r="CK54" s="35">
        <f t="shared" si="150"/>
        <v>1390.1531068537502</v>
      </c>
      <c r="CL54" s="35">
        <f t="shared" si="150"/>
        <v>1390.1531068537502</v>
      </c>
      <c r="CM54" s="35">
        <f t="shared" si="150"/>
        <v>1287.5329133345922</v>
      </c>
      <c r="CN54" s="35">
        <f t="shared" si="150"/>
        <v>1190.1854794308456</v>
      </c>
      <c r="CO54" s="35">
        <f t="shared" si="150"/>
        <v>1110.5307726924793</v>
      </c>
      <c r="CP54" s="35">
        <f t="shared" si="150"/>
        <v>1037.8130926559152</v>
      </c>
      <c r="CQ54" s="35">
        <f t="shared" si="150"/>
        <v>1037.8130926559152</v>
      </c>
      <c r="CR54" s="35">
        <f t="shared" ref="CR54:CV54" si="151">SUM(CR38:CR43)+CR52</f>
        <v>1005.211055810796</v>
      </c>
      <c r="CS54" s="35">
        <f t="shared" si="151"/>
        <v>979.87862813975141</v>
      </c>
      <c r="CT54" s="35">
        <f t="shared" si="151"/>
        <v>963.04081601126575</v>
      </c>
      <c r="CU54" s="35">
        <f t="shared" si="151"/>
        <v>948.77409135216374</v>
      </c>
      <c r="CV54" s="35">
        <f t="shared" si="151"/>
        <v>948.77409135216374</v>
      </c>
    </row>
    <row r="55" spans="1:100" s="27" customFormat="1" x14ac:dyDescent="0.25">
      <c r="A55" s="122"/>
      <c r="B55" s="122"/>
      <c r="C55" s="122"/>
      <c r="D55" s="122"/>
      <c r="F55" s="139"/>
      <c r="G55" s="139"/>
      <c r="H55" s="139"/>
      <c r="I55" s="139"/>
      <c r="J55" s="139"/>
      <c r="O55" s="139"/>
      <c r="T55" s="139"/>
      <c r="Y55" s="139"/>
      <c r="AD55" s="139"/>
      <c r="AI55" s="139"/>
      <c r="AN55" s="139"/>
      <c r="AS55" s="139"/>
      <c r="AX55" s="139"/>
      <c r="BC55" s="139"/>
      <c r="BH55" s="139"/>
      <c r="BM55" s="139"/>
      <c r="BR55" s="139"/>
      <c r="BW55" s="139"/>
      <c r="CB55" s="139"/>
      <c r="CG55" s="139"/>
      <c r="CL55" s="139"/>
      <c r="CQ55" s="139"/>
      <c r="CV55" s="139"/>
    </row>
    <row r="56" spans="1:100" s="27" customFormat="1" x14ac:dyDescent="0.25">
      <c r="A56" s="122"/>
      <c r="B56" s="122"/>
      <c r="C56" s="122"/>
      <c r="D56" s="122"/>
      <c r="E56" s="158" t="s">
        <v>63</v>
      </c>
      <c r="F56" s="139"/>
      <c r="G56" s="139"/>
      <c r="H56" s="139"/>
      <c r="I56" s="139"/>
      <c r="J56" s="139"/>
      <c r="O56" s="139"/>
      <c r="T56" s="139"/>
      <c r="Y56" s="139"/>
      <c r="AD56" s="139"/>
      <c r="AI56" s="139"/>
      <c r="AN56" s="139"/>
      <c r="AS56" s="139"/>
      <c r="AX56" s="139"/>
      <c r="BC56" s="139"/>
      <c r="BH56" s="139"/>
      <c r="BM56" s="139"/>
      <c r="BR56" s="139"/>
      <c r="BW56" s="139"/>
      <c r="CB56" s="139"/>
      <c r="CG56" s="139"/>
      <c r="CL56" s="139"/>
      <c r="CQ56" s="139"/>
      <c r="CV56" s="139"/>
    </row>
    <row r="57" spans="1:100" s="27" customFormat="1" x14ac:dyDescent="0.25">
      <c r="A57" s="122"/>
      <c r="B57" s="122"/>
      <c r="C57" s="122"/>
      <c r="D57" s="122"/>
      <c r="E57" s="27" t="s">
        <v>23</v>
      </c>
      <c r="F57" s="139"/>
      <c r="G57" s="139"/>
      <c r="H57" s="139"/>
      <c r="I57" s="139"/>
      <c r="J57" s="139"/>
      <c r="O57" s="139"/>
      <c r="S57" s="27">
        <f>'Cash Flow'!S48</f>
        <v>4.23000000000002</v>
      </c>
      <c r="T57" s="139">
        <f>S57</f>
        <v>4.23000000000002</v>
      </c>
      <c r="X57" s="27">
        <f>'Cash Flow'!X48</f>
        <v>7.7500000000000213</v>
      </c>
      <c r="Y57" s="139">
        <f>X57</f>
        <v>7.7500000000000213</v>
      </c>
      <c r="AC57" s="27">
        <f>'Cash Flow'!AC48</f>
        <v>37.821000000000041</v>
      </c>
      <c r="AD57" s="139">
        <f>AC57</f>
        <v>37.821000000000041</v>
      </c>
      <c r="AH57" s="27">
        <f>'Cash Flow'!AH48</f>
        <v>62.706000000000031</v>
      </c>
      <c r="AI57" s="139">
        <f>AH57</f>
        <v>62.706000000000031</v>
      </c>
      <c r="AJ57" s="27">
        <f>'Cash Flow'!AJ48</f>
        <v>51.84400000000003</v>
      </c>
      <c r="AK57" s="27">
        <f>'Cash Flow'!AK48</f>
        <v>93.41500000000002</v>
      </c>
      <c r="AL57" s="27">
        <f>'Cash Flow'!AL48</f>
        <v>138.12</v>
      </c>
      <c r="AM57" s="27">
        <f>'Cash Flow'!AM48</f>
        <v>177.21100000000001</v>
      </c>
      <c r="AN57" s="139">
        <f>AM57</f>
        <v>177.21100000000001</v>
      </c>
      <c r="AO57" s="27">
        <f>'Cash Flow'!AO48</f>
        <v>167.715</v>
      </c>
      <c r="AP57" s="27">
        <f>'Cash Flow'!AP48</f>
        <v>167.679</v>
      </c>
      <c r="AQ57" s="27">
        <f>'Cash Flow'!AQ48</f>
        <v>200.62700000000001</v>
      </c>
      <c r="AR57" s="27">
        <f>'Cash Flow'!AR48</f>
        <v>224.149</v>
      </c>
      <c r="AS57" s="139">
        <f>AR57</f>
        <v>224.149</v>
      </c>
      <c r="AT57" s="27">
        <f>'Cash Flow'!AT48</f>
        <v>218.45700000000002</v>
      </c>
      <c r="AU57" s="27">
        <f>'Cash Flow'!AU48</f>
        <v>199.38400000000001</v>
      </c>
      <c r="AV57" s="27">
        <f>'Cash Flow'!AV48</f>
        <v>203.93600000000004</v>
      </c>
      <c r="AW57" s="27">
        <f>'Cash Flow'!AW48</f>
        <v>207.02300000000002</v>
      </c>
      <c r="AX57" s="139">
        <f>AW57</f>
        <v>207.02300000000002</v>
      </c>
      <c r="AY57" s="27">
        <f>'Cash Flow'!AY48</f>
        <v>191.09400000000002</v>
      </c>
      <c r="AZ57" s="27">
        <f>'Cash Flow'!AZ48</f>
        <v>119.11300000000003</v>
      </c>
      <c r="BA57" s="27">
        <f>'Cash Flow'!BA48</f>
        <v>145.86300000000003</v>
      </c>
      <c r="BB57" s="27">
        <f>'Cash Flow'!BB48</f>
        <v>229.64800000000002</v>
      </c>
      <c r="BC57" s="139">
        <f>BB57</f>
        <v>229.64800000000002</v>
      </c>
      <c r="BD57" s="27">
        <f>'Cash Flow'!BD48</f>
        <v>179.28200000000004</v>
      </c>
      <c r="BE57" s="27">
        <f>'Cash Flow'!BE48</f>
        <v>188.40400000000005</v>
      </c>
      <c r="BF57" s="27">
        <f>'Cash Flow'!BF48</f>
        <v>186.22000000000006</v>
      </c>
      <c r="BG57" s="27">
        <f>'Cash Flow'!BG48</f>
        <v>222.97400000000005</v>
      </c>
      <c r="BH57" s="139">
        <f>BG57</f>
        <v>222.97400000000005</v>
      </c>
      <c r="BI57" s="27">
        <f>'Cash Flow'!BI48</f>
        <v>207.63000000000005</v>
      </c>
      <c r="BJ57" s="27">
        <f>'Cash Flow'!BJ48</f>
        <v>216.61600000000004</v>
      </c>
      <c r="BK57" s="27">
        <f>'Cash Flow'!BK48</f>
        <v>380.90800000000002</v>
      </c>
      <c r="BL57" s="27">
        <f>'Cash Flow'!BL48</f>
        <v>418.58600000000001</v>
      </c>
      <c r="BM57" s="139">
        <f>BL57</f>
        <v>418.58600000000001</v>
      </c>
      <c r="BN57" s="27">
        <f>'Cash Flow'!BN48</f>
        <v>392.91840000000002</v>
      </c>
      <c r="BO57" s="27">
        <f>'Cash Flow'!BO48</f>
        <v>109.81040000000007</v>
      </c>
      <c r="BP57" s="27">
        <f>'Cash Flow'!BP48</f>
        <v>126.89140000000008</v>
      </c>
      <c r="BQ57" s="27">
        <f>'Cash Flow'!BQ48</f>
        <v>141.01040000000006</v>
      </c>
      <c r="BR57" s="139">
        <f>BQ57</f>
        <v>141.01040000000006</v>
      </c>
      <c r="BS57" s="27">
        <f>'Cash Flow'!BS48</f>
        <v>123.19240000000005</v>
      </c>
      <c r="BT57" s="27">
        <f>'Cash Flow'!BT48</f>
        <v>180.94540000000006</v>
      </c>
      <c r="BU57" s="27">
        <f>'Cash Flow'!BU48</f>
        <v>186.39040000000008</v>
      </c>
      <c r="BV57" s="27">
        <f>'Cash Flow'!BV48</f>
        <v>189.62940000000009</v>
      </c>
      <c r="BW57" s="139">
        <f>BV57</f>
        <v>189.62940000000009</v>
      </c>
      <c r="BX57" s="27">
        <f>'Cash Flow'!BX48</f>
        <v>150.1604000000001</v>
      </c>
      <c r="BY57" s="27">
        <f>'Cash Flow'!BY48</f>
        <v>175.40940000000009</v>
      </c>
      <c r="BZ57" s="27">
        <f>'Cash Flow'!BZ48</f>
        <v>137.85040000000009</v>
      </c>
      <c r="CA57" s="27">
        <f>'Cash Flow'!CA48</f>
        <v>170.34340000000009</v>
      </c>
      <c r="CB57" s="139">
        <f>CA57</f>
        <v>170.34340000000009</v>
      </c>
      <c r="CC57" s="27">
        <f>'Cash Flow'!CC48</f>
        <v>162.173</v>
      </c>
      <c r="CD57" s="27">
        <f>'Cash Flow'!CD48</f>
        <v>168.352</v>
      </c>
      <c r="CE57" s="27">
        <f>'Cash Flow'!CE48</f>
        <v>175.77100000000002</v>
      </c>
      <c r="CF57" s="27">
        <f>'Cash Flow'!CF48</f>
        <v>160.03700000000001</v>
      </c>
      <c r="CG57" s="139">
        <f>CF57</f>
        <v>160.03700000000001</v>
      </c>
      <c r="CH57" s="27">
        <f>'Cash Flow'!CH48</f>
        <v>93.555000000000007</v>
      </c>
      <c r="CI57" s="27">
        <f>'Cash Flow'!CI48</f>
        <v>87.046999999999997</v>
      </c>
      <c r="CJ57" s="27">
        <f>'Cash Flow'!CJ48</f>
        <v>1603.7117380000002</v>
      </c>
      <c r="CK57" s="27">
        <f>'Cash Flow'!CK48</f>
        <v>1001.6681068537501</v>
      </c>
      <c r="CL57" s="139">
        <f>CK57</f>
        <v>1001.6681068537501</v>
      </c>
      <c r="CM57" s="27">
        <f>'Cash Flow'!CM48</f>
        <v>907.99699378459206</v>
      </c>
      <c r="CN57" s="27">
        <f>'Cash Flow'!CN48</f>
        <v>810.9815750808458</v>
      </c>
      <c r="CO57" s="27">
        <f>'Cash Flow'!CO48</f>
        <v>732.10270019184986</v>
      </c>
      <c r="CP57" s="27">
        <f>'Cash Flow'!CP48</f>
        <v>661.05203097623507</v>
      </c>
      <c r="CQ57" s="139">
        <f>CP57</f>
        <v>661.05203097623507</v>
      </c>
      <c r="CR57" s="27">
        <f>'Cash Flow'!CR48</f>
        <v>636.84673735711624</v>
      </c>
      <c r="CS57" s="27">
        <f>'Cash Flow'!CS48</f>
        <v>611.37101318367149</v>
      </c>
      <c r="CT57" s="27">
        <f>'Cash Flow'!CT48</f>
        <v>593.47067663215239</v>
      </c>
      <c r="CU57" s="27">
        <f>'Cash Flow'!CU48</f>
        <v>578.00855648671825</v>
      </c>
      <c r="CV57" s="139">
        <f>CU57</f>
        <v>578.00855648671825</v>
      </c>
    </row>
    <row r="58" spans="1:100" s="27" customFormat="1" x14ac:dyDescent="0.25">
      <c r="A58" s="122"/>
      <c r="B58" s="122"/>
      <c r="C58" s="122"/>
      <c r="D58" s="122"/>
      <c r="E58" s="27" t="s">
        <v>58</v>
      </c>
      <c r="F58" s="139"/>
      <c r="G58" s="139"/>
      <c r="H58" s="139"/>
      <c r="I58" s="139"/>
      <c r="J58" s="139"/>
      <c r="O58" s="139"/>
      <c r="P58" s="27">
        <v>0</v>
      </c>
      <c r="Q58" s="27">
        <v>0</v>
      </c>
      <c r="R58" s="27">
        <v>0</v>
      </c>
      <c r="S58" s="27">
        <v>0</v>
      </c>
      <c r="T58" s="139">
        <v>0</v>
      </c>
      <c r="U58" s="27">
        <v>0</v>
      </c>
      <c r="V58" s="27">
        <v>0</v>
      </c>
      <c r="W58" s="27">
        <v>0</v>
      </c>
      <c r="X58" s="27">
        <v>0</v>
      </c>
      <c r="Y58" s="139">
        <v>0</v>
      </c>
      <c r="Z58" s="27">
        <v>0</v>
      </c>
      <c r="AA58" s="27">
        <v>0</v>
      </c>
      <c r="AB58" s="27">
        <v>0</v>
      </c>
      <c r="AC58" s="27">
        <v>0</v>
      </c>
      <c r="AD58" s="139">
        <v>0</v>
      </c>
      <c r="AE58" s="27">
        <v>0</v>
      </c>
      <c r="AF58" s="27">
        <v>0</v>
      </c>
      <c r="AG58" s="27">
        <v>0</v>
      </c>
      <c r="AH58" s="27">
        <v>0</v>
      </c>
      <c r="AI58" s="139">
        <v>0</v>
      </c>
      <c r="AJ58" s="27">
        <v>0</v>
      </c>
      <c r="AK58" s="27">
        <v>0</v>
      </c>
      <c r="AL58" s="27">
        <v>0</v>
      </c>
      <c r="AM58" s="27">
        <v>0</v>
      </c>
      <c r="AN58" s="139">
        <v>0</v>
      </c>
      <c r="AO58" s="27">
        <v>0</v>
      </c>
      <c r="AP58" s="27">
        <v>0</v>
      </c>
      <c r="AQ58" s="27">
        <v>0</v>
      </c>
      <c r="AR58" s="27">
        <v>0</v>
      </c>
      <c r="AS58" s="139">
        <v>0</v>
      </c>
      <c r="AT58" s="27">
        <v>0</v>
      </c>
      <c r="AU58" s="27">
        <v>0</v>
      </c>
      <c r="AV58" s="27">
        <v>0</v>
      </c>
      <c r="AW58" s="27">
        <v>0</v>
      </c>
      <c r="AX58" s="139">
        <v>0</v>
      </c>
      <c r="AY58" s="27">
        <v>0</v>
      </c>
      <c r="AZ58" s="27">
        <v>0</v>
      </c>
      <c r="BA58" s="27">
        <v>0</v>
      </c>
      <c r="BB58" s="27">
        <v>0</v>
      </c>
      <c r="BC58" s="139">
        <v>0</v>
      </c>
      <c r="BD58" s="27">
        <v>0</v>
      </c>
      <c r="BE58" s="27">
        <v>0</v>
      </c>
      <c r="BF58" s="27">
        <v>0</v>
      </c>
      <c r="BG58" s="27">
        <v>0</v>
      </c>
      <c r="BH58" s="139">
        <v>0</v>
      </c>
      <c r="BI58" s="27">
        <v>0</v>
      </c>
      <c r="BJ58" s="27">
        <v>0</v>
      </c>
      <c r="BK58" s="27">
        <v>0</v>
      </c>
      <c r="BL58" s="27">
        <v>0</v>
      </c>
      <c r="BM58" s="139">
        <v>0</v>
      </c>
      <c r="BN58" s="27">
        <v>0</v>
      </c>
      <c r="BO58" s="27">
        <v>0</v>
      </c>
      <c r="BP58" s="27">
        <v>0</v>
      </c>
      <c r="BQ58" s="27">
        <v>0</v>
      </c>
      <c r="BR58" s="139">
        <v>0</v>
      </c>
      <c r="BS58" s="27">
        <v>0</v>
      </c>
      <c r="BT58" s="27">
        <v>0</v>
      </c>
      <c r="BU58" s="27">
        <v>0</v>
      </c>
      <c r="BV58" s="27">
        <v>0</v>
      </c>
      <c r="BW58" s="139">
        <v>0</v>
      </c>
      <c r="BX58" s="27">
        <v>0</v>
      </c>
      <c r="BY58" s="27">
        <v>0</v>
      </c>
      <c r="BZ58" s="27">
        <v>0</v>
      </c>
      <c r="CA58" s="27">
        <v>0</v>
      </c>
      <c r="CB58" s="139">
        <v>0</v>
      </c>
      <c r="CC58" s="27">
        <v>0</v>
      </c>
      <c r="CD58" s="27">
        <v>0</v>
      </c>
      <c r="CE58" s="27">
        <v>0</v>
      </c>
      <c r="CF58" s="27">
        <v>0</v>
      </c>
      <c r="CG58" s="139">
        <v>0</v>
      </c>
      <c r="CH58" s="27">
        <v>0</v>
      </c>
      <c r="CI58" s="27">
        <v>0</v>
      </c>
      <c r="CJ58" s="27">
        <v>0</v>
      </c>
      <c r="CK58" s="27">
        <v>0</v>
      </c>
      <c r="CL58" s="139">
        <v>0</v>
      </c>
      <c r="CM58" s="27">
        <v>0</v>
      </c>
      <c r="CN58" s="27">
        <v>0</v>
      </c>
      <c r="CO58" s="27">
        <v>0</v>
      </c>
      <c r="CP58" s="27">
        <v>0</v>
      </c>
      <c r="CQ58" s="139">
        <v>0</v>
      </c>
      <c r="CR58" s="27">
        <v>0</v>
      </c>
      <c r="CS58" s="27">
        <v>0</v>
      </c>
      <c r="CT58" s="27">
        <v>0</v>
      </c>
      <c r="CU58" s="27">
        <v>0</v>
      </c>
      <c r="CV58" s="139">
        <v>0</v>
      </c>
    </row>
    <row r="59" spans="1:100" s="27" customFormat="1" x14ac:dyDescent="0.25">
      <c r="A59" s="122"/>
      <c r="B59" s="122"/>
      <c r="C59" s="122"/>
      <c r="D59" s="122"/>
      <c r="E59" s="27" t="s">
        <v>59</v>
      </c>
      <c r="F59" s="139"/>
      <c r="G59" s="139"/>
      <c r="H59" s="139"/>
      <c r="I59" s="139"/>
      <c r="J59" s="139"/>
      <c r="O59" s="139"/>
      <c r="S59" s="27">
        <f>-S40-S31</f>
        <v>-224.709</v>
      </c>
      <c r="T59" s="139">
        <f>S59</f>
        <v>-224.709</v>
      </c>
      <c r="X59" s="27">
        <f>-X40-X31</f>
        <v>-469.93299999999999</v>
      </c>
      <c r="Y59" s="139">
        <f>X59</f>
        <v>-469.93299999999999</v>
      </c>
      <c r="AC59" s="27">
        <f>-AC40-AC31</f>
        <v>-755.80000000000007</v>
      </c>
      <c r="AD59" s="139">
        <f>AC59</f>
        <v>-755.80000000000007</v>
      </c>
      <c r="AH59" s="27">
        <f>-AH40-AH31</f>
        <v>-644.56700000000001</v>
      </c>
      <c r="AI59" s="139">
        <f>AH59</f>
        <v>-644.56700000000001</v>
      </c>
      <c r="AJ59" s="27">
        <f>-AJ40-AJ31</f>
        <v>-623.10899999999992</v>
      </c>
      <c r="AK59" s="27">
        <f>-AK40-AK31</f>
        <v>-592.21300000000008</v>
      </c>
      <c r="AL59" s="27">
        <f>-AL40-AL31</f>
        <v>-580.1</v>
      </c>
      <c r="AM59" s="27">
        <f>-AM40-AM31</f>
        <v>-578.23900000000003</v>
      </c>
      <c r="AN59" s="139">
        <f>AM59</f>
        <v>-578.23900000000003</v>
      </c>
      <c r="AO59" s="27">
        <f>-AO40-AO31</f>
        <v>-568.45500000000004</v>
      </c>
      <c r="AP59" s="27">
        <f>-AP40-AP31</f>
        <v>-534.24400000000003</v>
      </c>
      <c r="AQ59" s="27">
        <f>-AQ40-AQ31</f>
        <v>-525.33100000000002</v>
      </c>
      <c r="AR59" s="27">
        <f>-AR40-AR31</f>
        <v>-500.73500000000001</v>
      </c>
      <c r="AS59" s="139">
        <f>AR59</f>
        <v>-500.73500000000001</v>
      </c>
      <c r="AT59" s="27">
        <f>-AT40-AT31</f>
        <v>-502.00200000000001</v>
      </c>
      <c r="AU59" s="27">
        <f>-AU40-AU31</f>
        <v>-481.81799999999998</v>
      </c>
      <c r="AV59" s="27">
        <f>-AV40-AV31</f>
        <v>-445.07100000000003</v>
      </c>
      <c r="AW59" s="27">
        <f>-AW40-AW31</f>
        <v>-422.238</v>
      </c>
      <c r="AX59" s="139">
        <f>AW59</f>
        <v>-422.238</v>
      </c>
      <c r="AY59" s="27">
        <f>-AY40-AY31</f>
        <v>-393.67700000000002</v>
      </c>
      <c r="AZ59" s="27">
        <f>-AZ40-AZ31</f>
        <v>-312.78300000000002</v>
      </c>
      <c r="BA59" s="27">
        <f>-BA40-BA31</f>
        <v>-284.827</v>
      </c>
      <c r="BB59" s="27">
        <f>-BB40-BB31</f>
        <v>-278.25200000000001</v>
      </c>
      <c r="BC59" s="139">
        <f>BB59</f>
        <v>-278.25200000000001</v>
      </c>
      <c r="BD59" s="27">
        <f>-BD40-BD31</f>
        <v>-273.51800000000003</v>
      </c>
      <c r="BE59" s="27">
        <f>-BE40-BE31</f>
        <v>-266.83900000000006</v>
      </c>
      <c r="BF59" s="27">
        <f>-BF40-BF31</f>
        <v>-260.58800000000002</v>
      </c>
      <c r="BG59" s="27">
        <f>-BG40-BG31</f>
        <v>-253.505</v>
      </c>
      <c r="BH59" s="139">
        <f>BG59</f>
        <v>-253.505</v>
      </c>
      <c r="BI59" s="27">
        <f>-BI40-BI31</f>
        <v>-248.61499999999998</v>
      </c>
      <c r="BJ59" s="27">
        <f>-BJ40-BJ31</f>
        <v>-244.273</v>
      </c>
      <c r="BK59" s="27">
        <f>-BK40-BK31</f>
        <v>-323.339</v>
      </c>
      <c r="BL59" s="27">
        <f>-BL40-BL31</f>
        <v>-317.61</v>
      </c>
      <c r="BM59" s="139">
        <f>BL59</f>
        <v>-317.61</v>
      </c>
      <c r="BN59" s="27">
        <f>-BN40-BN31</f>
        <v>-310.34300000000002</v>
      </c>
      <c r="BO59" s="27">
        <f>-BO40-BO31</f>
        <v>-304.98700000000002</v>
      </c>
      <c r="BP59" s="27">
        <f>-BP40-BP31</f>
        <v>-296.03000000000003</v>
      </c>
      <c r="BQ59" s="27">
        <f>-BQ40-BQ31</f>
        <v>-287.42399999999998</v>
      </c>
      <c r="BR59" s="139">
        <f>BQ59</f>
        <v>-287.42399999999998</v>
      </c>
      <c r="BS59" s="27">
        <f>-BS40-BS31</f>
        <v>-271.988</v>
      </c>
      <c r="BT59" s="27">
        <f>-BT40-BT31</f>
        <v>-208.94900000000001</v>
      </c>
      <c r="BU59" s="27">
        <f>-BU40-BU31</f>
        <v>-200.904</v>
      </c>
      <c r="BV59" s="27">
        <f>-BV40-BV31</f>
        <v>-190.14</v>
      </c>
      <c r="BW59" s="139">
        <f>BV59</f>
        <v>-190.14</v>
      </c>
      <c r="BX59" s="27">
        <f>-BX40-BX31</f>
        <v>-182.386</v>
      </c>
      <c r="BY59" s="27">
        <f>-BY40-BY31</f>
        <v>-174.62200000000001</v>
      </c>
      <c r="BZ59" s="27">
        <f>-BZ40-BZ31</f>
        <v>-236.84800000000001</v>
      </c>
      <c r="CA59" s="27">
        <f>-CA40-CA31</f>
        <v>-229.06</v>
      </c>
      <c r="CB59" s="139">
        <f>CA59</f>
        <v>-229.06</v>
      </c>
      <c r="CC59" s="27">
        <f>-CC40-CC31</f>
        <v>-230.48400000000001</v>
      </c>
      <c r="CD59" s="27">
        <f>-CD40-CD31</f>
        <v>-230.13399999999999</v>
      </c>
      <c r="CE59" s="27">
        <f>-CE40-CE31</f>
        <v>-229.78</v>
      </c>
      <c r="CF59" s="27">
        <f>-CF40-CF31</f>
        <v>-229.42</v>
      </c>
      <c r="CG59" s="139">
        <f>CF59</f>
        <v>-229.42</v>
      </c>
      <c r="CH59" s="27">
        <f>-CH40-CH31</f>
        <v>-228.762</v>
      </c>
      <c r="CI59" s="27">
        <f>-CI40-CI31</f>
        <v>-226.30699999999999</v>
      </c>
      <c r="CJ59" s="27">
        <f>-CJ40-CJ31</f>
        <v>0</v>
      </c>
      <c r="CK59" s="27">
        <f>-CK40-CK31</f>
        <v>0</v>
      </c>
      <c r="CL59" s="139">
        <f>CK59</f>
        <v>0</v>
      </c>
      <c r="CM59" s="27">
        <f>-CM40-CM31</f>
        <v>0</v>
      </c>
      <c r="CN59" s="27">
        <f>-CN40-CN31</f>
        <v>0</v>
      </c>
      <c r="CO59" s="27">
        <f>-CO40-CO31</f>
        <v>0</v>
      </c>
      <c r="CP59" s="27">
        <f>-CP40-CP31</f>
        <v>0</v>
      </c>
      <c r="CQ59" s="139">
        <f>CP59</f>
        <v>0</v>
      </c>
      <c r="CR59" s="27">
        <f>-CR40-CR31</f>
        <v>0</v>
      </c>
      <c r="CS59" s="27">
        <f>-CS40-CS31</f>
        <v>0</v>
      </c>
      <c r="CT59" s="27">
        <f>-CT40-CT31</f>
        <v>0</v>
      </c>
      <c r="CU59" s="27">
        <f>-CU40-CU31</f>
        <v>0</v>
      </c>
      <c r="CV59" s="139">
        <f>CU59</f>
        <v>0</v>
      </c>
    </row>
    <row r="60" spans="1:100" s="27" customFormat="1" x14ac:dyDescent="0.25">
      <c r="A60" s="122"/>
      <c r="B60" s="122"/>
      <c r="C60" s="122"/>
      <c r="D60" s="122"/>
      <c r="E60" s="27" t="s">
        <v>67</v>
      </c>
      <c r="F60" s="139"/>
      <c r="G60" s="139"/>
      <c r="H60" s="139"/>
      <c r="I60" s="139"/>
      <c r="J60" s="139"/>
      <c r="O60" s="139"/>
      <c r="S60" s="27">
        <f>-S41</f>
        <v>0</v>
      </c>
      <c r="T60" s="139">
        <f>S60</f>
        <v>0</v>
      </c>
      <c r="X60" s="27">
        <f>-X41</f>
        <v>0</v>
      </c>
      <c r="Y60" s="139">
        <f>X60</f>
        <v>0</v>
      </c>
      <c r="AC60" s="27">
        <f>-AC41</f>
        <v>0</v>
      </c>
      <c r="AD60" s="139">
        <f>AC60</f>
        <v>0</v>
      </c>
      <c r="AH60" s="27">
        <f>-AH41</f>
        <v>0</v>
      </c>
      <c r="AI60" s="139">
        <f>AH60</f>
        <v>0</v>
      </c>
      <c r="AJ60" s="27">
        <f>-AJ41</f>
        <v>0</v>
      </c>
      <c r="AK60" s="27">
        <f>-AK41</f>
        <v>0</v>
      </c>
      <c r="AL60" s="27">
        <f>-AL41</f>
        <v>0</v>
      </c>
      <c r="AM60" s="27">
        <f>-AM41</f>
        <v>0</v>
      </c>
      <c r="AN60" s="139">
        <f>AM60</f>
        <v>0</v>
      </c>
      <c r="AO60" s="27">
        <f>-AO41</f>
        <v>0</v>
      </c>
      <c r="AP60" s="27">
        <f>-AP41</f>
        <v>0</v>
      </c>
      <c r="AQ60" s="27">
        <f>-AQ41</f>
        <v>0</v>
      </c>
      <c r="AR60" s="27">
        <f>-AR41</f>
        <v>0</v>
      </c>
      <c r="AS60" s="139">
        <f>AR60</f>
        <v>0</v>
      </c>
      <c r="AT60" s="27">
        <f>-AT41</f>
        <v>0</v>
      </c>
      <c r="AU60" s="27">
        <f>-AU41</f>
        <v>0</v>
      </c>
      <c r="AV60" s="27">
        <f>-AV41</f>
        <v>0</v>
      </c>
      <c r="AW60" s="27">
        <f>-AW41</f>
        <v>0</v>
      </c>
      <c r="AX60" s="139">
        <f>AW60</f>
        <v>0</v>
      </c>
      <c r="AY60" s="27">
        <f>-AY41</f>
        <v>0</v>
      </c>
      <c r="AZ60" s="27">
        <f>-AZ41</f>
        <v>0</v>
      </c>
      <c r="BA60" s="27">
        <f>-BA41</f>
        <v>0</v>
      </c>
      <c r="BB60" s="27">
        <f>-BB41</f>
        <v>0</v>
      </c>
      <c r="BC60" s="139">
        <f>BB60</f>
        <v>0</v>
      </c>
      <c r="BD60" s="27">
        <f>-BD41</f>
        <v>0</v>
      </c>
      <c r="BE60" s="27">
        <f>-BE41</f>
        <v>0</v>
      </c>
      <c r="BF60" s="27">
        <f>-BF41</f>
        <v>0</v>
      </c>
      <c r="BG60" s="27">
        <f>-BG41</f>
        <v>0</v>
      </c>
      <c r="BH60" s="139">
        <f>BG60</f>
        <v>0</v>
      </c>
      <c r="BI60" s="27">
        <f>-BI41</f>
        <v>0</v>
      </c>
      <c r="BJ60" s="27">
        <f>-BJ41</f>
        <v>0</v>
      </c>
      <c r="BK60" s="27">
        <f>-BK41</f>
        <v>0</v>
      </c>
      <c r="BL60" s="27">
        <f>-BL41</f>
        <v>0</v>
      </c>
      <c r="BM60" s="139">
        <f>BL60</f>
        <v>0</v>
      </c>
      <c r="BN60" s="27">
        <f>-BN41</f>
        <v>0</v>
      </c>
      <c r="BO60" s="27">
        <f>-BO41</f>
        <v>0</v>
      </c>
      <c r="BP60" s="27">
        <f>-BP41</f>
        <v>0</v>
      </c>
      <c r="BQ60" s="27">
        <f>-BQ41</f>
        <v>0</v>
      </c>
      <c r="BR60" s="139">
        <f>BQ60</f>
        <v>0</v>
      </c>
      <c r="BS60" s="27">
        <f>-BS41</f>
        <v>0</v>
      </c>
      <c r="BT60" s="27">
        <f>-BT41</f>
        <v>0</v>
      </c>
      <c r="BU60" s="27">
        <f>-BU41</f>
        <v>0</v>
      </c>
      <c r="BV60" s="27">
        <f>-BV41</f>
        <v>0</v>
      </c>
      <c r="BW60" s="139">
        <f>BV60</f>
        <v>0</v>
      </c>
      <c r="BX60" s="27">
        <f>-BX41</f>
        <v>0</v>
      </c>
      <c r="BY60" s="27">
        <f>-BY41</f>
        <v>0</v>
      </c>
      <c r="BZ60" s="27">
        <f>-BZ41</f>
        <v>0</v>
      </c>
      <c r="CA60" s="27">
        <f>-CA41</f>
        <v>0</v>
      </c>
      <c r="CB60" s="139">
        <f>CA60</f>
        <v>0</v>
      </c>
      <c r="CC60" s="27">
        <f>-CC41</f>
        <v>0</v>
      </c>
      <c r="CD60" s="27">
        <f>-CD41</f>
        <v>0</v>
      </c>
      <c r="CE60" s="27">
        <f>-CE41</f>
        <v>0</v>
      </c>
      <c r="CF60" s="27">
        <f>-CF41</f>
        <v>0</v>
      </c>
      <c r="CG60" s="139">
        <f>CF60</f>
        <v>0</v>
      </c>
      <c r="CH60" s="27">
        <f>-CH41</f>
        <v>0</v>
      </c>
      <c r="CI60" s="27">
        <f>-CI41</f>
        <v>0</v>
      </c>
      <c r="CJ60" s="27">
        <f>-CJ41</f>
        <v>0</v>
      </c>
      <c r="CK60" s="27">
        <f>-CK41</f>
        <v>0</v>
      </c>
      <c r="CL60" s="139">
        <f>CK60</f>
        <v>0</v>
      </c>
      <c r="CM60" s="27">
        <f>-CM41</f>
        <v>0</v>
      </c>
      <c r="CN60" s="27">
        <f>-CN41</f>
        <v>0</v>
      </c>
      <c r="CO60" s="27">
        <f>-CO41</f>
        <v>0</v>
      </c>
      <c r="CP60" s="27">
        <f>-CP41</f>
        <v>0</v>
      </c>
      <c r="CQ60" s="139">
        <f>CP60</f>
        <v>0</v>
      </c>
      <c r="CR60" s="27">
        <f>-CR41</f>
        <v>0</v>
      </c>
      <c r="CS60" s="27">
        <f>-CS41</f>
        <v>0</v>
      </c>
      <c r="CT60" s="27">
        <f>-CT41</f>
        <v>0</v>
      </c>
      <c r="CU60" s="27">
        <f>-CU41</f>
        <v>0</v>
      </c>
      <c r="CV60" s="139">
        <f>CU60</f>
        <v>0</v>
      </c>
    </row>
    <row r="61" spans="1:100" s="27" customFormat="1" ht="13.5" x14ac:dyDescent="0.25">
      <c r="A61" s="122"/>
      <c r="B61" s="122"/>
      <c r="C61" s="122"/>
      <c r="D61" s="122"/>
      <c r="E61" s="35" t="s">
        <v>16</v>
      </c>
      <c r="F61" s="35"/>
      <c r="G61" s="35"/>
      <c r="H61" s="35"/>
      <c r="I61" s="35"/>
      <c r="J61" s="35"/>
      <c r="K61" s="35"/>
      <c r="L61" s="35"/>
      <c r="M61" s="35"/>
      <c r="N61" s="35"/>
      <c r="O61" s="35"/>
      <c r="P61" s="35"/>
      <c r="Q61" s="35"/>
      <c r="R61" s="35"/>
      <c r="S61" s="35">
        <f>SUM(S57:S60)</f>
        <v>-220.47899999999998</v>
      </c>
      <c r="T61" s="35">
        <f>S61</f>
        <v>-220.47899999999998</v>
      </c>
      <c r="U61" s="35"/>
      <c r="V61" s="35"/>
      <c r="W61" s="35"/>
      <c r="X61" s="35">
        <f>SUM(X57:X60)</f>
        <v>-462.18299999999999</v>
      </c>
      <c r="Y61" s="35">
        <f>X61</f>
        <v>-462.18299999999999</v>
      </c>
      <c r="Z61" s="35"/>
      <c r="AA61" s="35"/>
      <c r="AB61" s="35"/>
      <c r="AC61" s="35">
        <f>SUM(AC57:AC60)</f>
        <v>-717.97900000000004</v>
      </c>
      <c r="AD61" s="35">
        <f>AC61</f>
        <v>-717.97900000000004</v>
      </c>
      <c r="AE61" s="35"/>
      <c r="AF61" s="35"/>
      <c r="AG61" s="35"/>
      <c r="AH61" s="35">
        <f>SUM(AH57:AH60)</f>
        <v>-581.86099999999999</v>
      </c>
      <c r="AI61" s="35">
        <f>AH61</f>
        <v>-581.86099999999999</v>
      </c>
      <c r="AJ61" s="35">
        <f>SUM(AJ57:AJ60)</f>
        <v>-571.26499999999987</v>
      </c>
      <c r="AK61" s="35">
        <f>SUM(AK57:AK60)</f>
        <v>-498.79800000000006</v>
      </c>
      <c r="AL61" s="35">
        <f>SUM(AL57:AL60)</f>
        <v>-441.98</v>
      </c>
      <c r="AM61" s="35">
        <f>SUM(AM57:AM60)</f>
        <v>-401.02800000000002</v>
      </c>
      <c r="AN61" s="35">
        <f>AM61</f>
        <v>-401.02800000000002</v>
      </c>
      <c r="AO61" s="35">
        <f>SUM(AO57:AO60)</f>
        <v>-400.74</v>
      </c>
      <c r="AP61" s="35">
        <f>SUM(AP57:AP60)</f>
        <v>-366.56500000000005</v>
      </c>
      <c r="AQ61" s="35">
        <f>SUM(AQ57:AQ60)</f>
        <v>-324.70400000000001</v>
      </c>
      <c r="AR61" s="35">
        <f>SUM(AR57:AR60)</f>
        <v>-276.58600000000001</v>
      </c>
      <c r="AS61" s="35">
        <f>AR61</f>
        <v>-276.58600000000001</v>
      </c>
      <c r="AT61" s="35">
        <f>SUM(AT57:AT60)</f>
        <v>-283.54499999999996</v>
      </c>
      <c r="AU61" s="35">
        <f>SUM(AU57:AU60)</f>
        <v>-282.43399999999997</v>
      </c>
      <c r="AV61" s="35">
        <f>SUM(AV57:AV60)</f>
        <v>-241.13499999999999</v>
      </c>
      <c r="AW61" s="35">
        <f>SUM(AW57:AW60)</f>
        <v>-215.21499999999997</v>
      </c>
      <c r="AX61" s="35">
        <f>AW61</f>
        <v>-215.21499999999997</v>
      </c>
      <c r="AY61" s="35">
        <f>SUM(AY57:AY60)</f>
        <v>-202.583</v>
      </c>
      <c r="AZ61" s="35">
        <f>SUM(AZ57:AZ60)</f>
        <v>-193.67</v>
      </c>
      <c r="BA61" s="35">
        <f>SUM(BA57:BA60)</f>
        <v>-138.96399999999997</v>
      </c>
      <c r="BB61" s="35">
        <f>SUM(BB57:BB60)</f>
        <v>-48.603999999999985</v>
      </c>
      <c r="BC61" s="35">
        <f>BB61</f>
        <v>-48.603999999999985</v>
      </c>
      <c r="BD61" s="35">
        <f>SUM(BD57:BD60)</f>
        <v>-94.23599999999999</v>
      </c>
      <c r="BE61" s="35">
        <f>SUM(BE57:BE60)</f>
        <v>-78.435000000000002</v>
      </c>
      <c r="BF61" s="35">
        <f>SUM(BF57:BF60)</f>
        <v>-74.367999999999967</v>
      </c>
      <c r="BG61" s="35">
        <f>SUM(BG57:BG60)</f>
        <v>-30.530999999999949</v>
      </c>
      <c r="BH61" s="35">
        <f>BG61</f>
        <v>-30.530999999999949</v>
      </c>
      <c r="BI61" s="35">
        <f>SUM(BI57:BI60)</f>
        <v>-40.984999999999928</v>
      </c>
      <c r="BJ61" s="35">
        <f>SUM(BJ57:BJ60)</f>
        <v>-27.656999999999954</v>
      </c>
      <c r="BK61" s="35">
        <f>SUM(BK57:BK60)</f>
        <v>57.569000000000017</v>
      </c>
      <c r="BL61" s="35">
        <f>SUM(BL57:BL60)</f>
        <v>100.976</v>
      </c>
      <c r="BM61" s="35">
        <f>BL61</f>
        <v>100.976</v>
      </c>
      <c r="BN61" s="35">
        <f>SUM(BN57:BN60)</f>
        <v>82.575400000000002</v>
      </c>
      <c r="BO61" s="35">
        <f>SUM(BO57:BO60)</f>
        <v>-195.17659999999995</v>
      </c>
      <c r="BP61" s="35">
        <f>SUM(BP57:BP60)</f>
        <v>-169.13859999999994</v>
      </c>
      <c r="BQ61" s="35">
        <f>SUM(BQ57:BQ60)</f>
        <v>-146.41359999999992</v>
      </c>
      <c r="BR61" s="35">
        <f>BQ61</f>
        <v>-146.41359999999992</v>
      </c>
      <c r="BS61" s="35">
        <f>SUM(BS57:BS60)</f>
        <v>-148.79559999999995</v>
      </c>
      <c r="BT61" s="35">
        <f>SUM(BT57:BT60)</f>
        <v>-28.003599999999949</v>
      </c>
      <c r="BU61" s="35">
        <f>SUM(BU57:BU60)</f>
        <v>-14.513599999999911</v>
      </c>
      <c r="BV61" s="35">
        <f>SUM(BV57:BV60)</f>
        <v>-0.51059999999989714</v>
      </c>
      <c r="BW61" s="35">
        <f>BV61</f>
        <v>-0.51059999999989714</v>
      </c>
      <c r="BX61" s="35">
        <f>SUM(BX57:BX60)</f>
        <v>-32.225599999999901</v>
      </c>
      <c r="BY61" s="35">
        <f>SUM(BY57:BY60)</f>
        <v>0.78740000000007626</v>
      </c>
      <c r="BZ61" s="35">
        <f>SUM(BZ57:BZ60)</f>
        <v>-98.99759999999992</v>
      </c>
      <c r="CA61" s="35">
        <f>SUM(CA57:CA60)</f>
        <v>-58.716599999999914</v>
      </c>
      <c r="CB61" s="35">
        <f>CA61</f>
        <v>-58.716599999999914</v>
      </c>
      <c r="CC61" s="35">
        <f>SUM(CC57:CC60)</f>
        <v>-68.311000000000007</v>
      </c>
      <c r="CD61" s="35">
        <f>SUM(CD57:CD60)</f>
        <v>-61.781999999999982</v>
      </c>
      <c r="CE61" s="35">
        <f>SUM(CE57:CE60)</f>
        <v>-54.008999999999986</v>
      </c>
      <c r="CF61" s="35">
        <f>SUM(CF57:CF60)</f>
        <v>-69.382999999999981</v>
      </c>
      <c r="CG61" s="35">
        <f>CF61</f>
        <v>-69.382999999999981</v>
      </c>
      <c r="CH61" s="35">
        <f>SUM(CH57:CH60)</f>
        <v>-135.20699999999999</v>
      </c>
      <c r="CI61" s="35">
        <f>SUM(CI57:CI60)</f>
        <v>-139.26</v>
      </c>
      <c r="CJ61" s="35">
        <f>SUM(CJ57:CJ60)</f>
        <v>1603.7117380000002</v>
      </c>
      <c r="CK61" s="35">
        <f>SUM(CK57:CK60)</f>
        <v>1001.6681068537501</v>
      </c>
      <c r="CL61" s="35">
        <f>CK61</f>
        <v>1001.6681068537501</v>
      </c>
      <c r="CM61" s="35">
        <f>SUM(CM57:CM60)</f>
        <v>907.99699378459206</v>
      </c>
      <c r="CN61" s="35">
        <f>SUM(CN57:CN60)</f>
        <v>810.9815750808458</v>
      </c>
      <c r="CO61" s="35">
        <f>SUM(CO57:CO60)</f>
        <v>732.10270019184986</v>
      </c>
      <c r="CP61" s="35">
        <f>SUM(CP57:CP60)</f>
        <v>661.05203097623507</v>
      </c>
      <c r="CQ61" s="35">
        <f>CP61</f>
        <v>661.05203097623507</v>
      </c>
      <c r="CR61" s="35">
        <f>SUM(CR57:CR60)</f>
        <v>636.84673735711624</v>
      </c>
      <c r="CS61" s="35">
        <f>SUM(CS57:CS60)</f>
        <v>611.37101318367149</v>
      </c>
      <c r="CT61" s="35">
        <f>SUM(CT57:CT60)</f>
        <v>593.47067663215239</v>
      </c>
      <c r="CU61" s="35">
        <f>SUM(CU57:CU60)</f>
        <v>578.00855648671825</v>
      </c>
      <c r="CV61" s="35">
        <f>CU61</f>
        <v>578.00855648671825</v>
      </c>
    </row>
    <row r="62" spans="1:100" s="20" customFormat="1" ht="13.5" x14ac:dyDescent="0.25">
      <c r="A62" s="159"/>
      <c r="B62" s="159"/>
      <c r="C62" s="159"/>
      <c r="D62" s="159"/>
      <c r="E62" s="18"/>
      <c r="F62" s="33"/>
      <c r="G62" s="33"/>
      <c r="H62" s="33"/>
      <c r="I62" s="33"/>
      <c r="J62" s="33"/>
      <c r="O62" s="33"/>
      <c r="P62" s="67"/>
      <c r="Q62" s="67"/>
      <c r="R62" s="67"/>
      <c r="S62" s="67"/>
      <c r="T62" s="33"/>
      <c r="Y62" s="33"/>
      <c r="AD62" s="33"/>
      <c r="AI62" s="33"/>
      <c r="AN62" s="33"/>
      <c r="AS62" s="33"/>
      <c r="AX62" s="33"/>
      <c r="BC62" s="33"/>
      <c r="BH62" s="33"/>
      <c r="BM62" s="33"/>
      <c r="BR62" s="33"/>
      <c r="BW62" s="33"/>
      <c r="CB62" s="33"/>
      <c r="CG62" s="33"/>
      <c r="CL62" s="33"/>
      <c r="CQ62" s="33"/>
      <c r="CR62" s="718"/>
      <c r="CS62" s="718"/>
      <c r="CT62" s="718"/>
      <c r="CU62" s="718"/>
      <c r="CV62" s="33"/>
    </row>
    <row r="63" spans="1:100" ht="12" customHeight="1" x14ac:dyDescent="0.25">
      <c r="E63" s="13" t="s">
        <v>149</v>
      </c>
      <c r="F63" s="33"/>
      <c r="G63" s="33"/>
      <c r="H63" s="33"/>
      <c r="I63" s="33"/>
      <c r="J63" s="33"/>
      <c r="O63" s="33"/>
      <c r="T63" s="33"/>
      <c r="Y63" s="33"/>
      <c r="AD63" s="33"/>
      <c r="AI63" s="33"/>
      <c r="AN63" s="33"/>
      <c r="AS63" s="33"/>
      <c r="AX63" s="33"/>
      <c r="BC63" s="33"/>
      <c r="BH63" s="33"/>
      <c r="BM63" s="33"/>
      <c r="BR63" s="33"/>
      <c r="BW63" s="33"/>
      <c r="CB63" s="33"/>
      <c r="CG63" s="33"/>
      <c r="CL63" s="33"/>
      <c r="CQ63" s="33"/>
      <c r="CR63" s="717"/>
      <c r="CS63" s="717"/>
      <c r="CT63" s="717"/>
      <c r="CU63" s="717"/>
      <c r="CV63" s="33"/>
    </row>
    <row r="64" spans="1:100" x14ac:dyDescent="0.25">
      <c r="E64" s="160" t="s">
        <v>105</v>
      </c>
      <c r="F64" s="33"/>
      <c r="G64" s="23"/>
      <c r="H64" s="23"/>
      <c r="I64" s="23"/>
      <c r="J64" s="23"/>
      <c r="O64" s="23"/>
      <c r="T64" s="23">
        <f>-T61/Income!T134</f>
        <v>0.68916270477583685</v>
      </c>
      <c r="Y64" s="23">
        <f>-Y61/Income!Y134</f>
        <v>1.2389736138774439</v>
      </c>
      <c r="AD64" s="23">
        <f>-AD61/Income!AD134</f>
        <v>1.7902213157264826</v>
      </c>
      <c r="AI64" s="23">
        <f>-AI61/Income!AI134</f>
        <v>1.5340915981829066</v>
      </c>
      <c r="AN64" s="23">
        <f>-AN61/Income!AN134</f>
        <v>1.1755491131233127</v>
      </c>
      <c r="AS64" s="23">
        <f>-AS61/Income!AS134</f>
        <v>1.0013177806257283</v>
      </c>
      <c r="AX64" s="23">
        <f>-AX61/Income!AX134</f>
        <v>0.80035329118631515</v>
      </c>
      <c r="BC64" s="23">
        <f>-BC61/Income!BC134</f>
        <v>0.18720054229767821</v>
      </c>
      <c r="BH64" s="23">
        <f>-BH61/Income!BH134</f>
        <v>0.13106864887373931</v>
      </c>
      <c r="BM64" s="23">
        <f>-BM61/Income!BM134</f>
        <v>-0.63153417974857717</v>
      </c>
      <c r="BR64" s="23">
        <f>-BR61/Income!BR134</f>
        <v>1.1267091451965394</v>
      </c>
      <c r="BW64" s="23">
        <f>-BW61/Income!BW134</f>
        <v>3.5544726766439053E-3</v>
      </c>
      <c r="CB64" s="23">
        <f>-CB61/Income!CB134</f>
        <v>0.35685738248915094</v>
      </c>
      <c r="CG64" s="23">
        <f>-CG61/Income!CG134</f>
        <v>-3.2248663722983943</v>
      </c>
      <c r="CL64" s="23">
        <f>-CL61/Income!CL134</f>
        <v>22.965015371798192</v>
      </c>
      <c r="CQ64" s="23">
        <f>-CQ61/Income!CQ134</f>
        <v>35.128391006485074</v>
      </c>
      <c r="CR64" s="717"/>
      <c r="CS64" s="717"/>
      <c r="CT64" s="717"/>
      <c r="CU64" s="717"/>
      <c r="CV64" s="23">
        <f>-CV61/Income!CV134</f>
        <v>-16.984118593834573</v>
      </c>
    </row>
    <row r="65" spans="1:100" x14ac:dyDescent="0.25">
      <c r="E65" s="160" t="s">
        <v>106</v>
      </c>
      <c r="F65" s="33"/>
      <c r="G65" s="23"/>
      <c r="H65" s="23"/>
      <c r="I65" s="23"/>
      <c r="J65" s="23"/>
      <c r="O65" s="23"/>
      <c r="T65" s="23">
        <f>Income!T134/-Income!T61</f>
        <v>16.670470533062367</v>
      </c>
      <c r="Y65" s="23">
        <f>Income!Y134/-Income!Y61</f>
        <v>12.977908433064291</v>
      </c>
      <c r="AD65" s="23">
        <f>Income!AD134/-Income!AD61</f>
        <v>8.6004460456338983</v>
      </c>
      <c r="AI65" s="23">
        <f>Income!AI134/-Income!AI61</f>
        <v>7.4036111653328103</v>
      </c>
      <c r="AN65" s="23">
        <f>Income!AN134/-Income!AN61</f>
        <v>10.465731991655419</v>
      </c>
      <c r="AS65" s="23">
        <f>Income!AS134/-Income!AS61</f>
        <v>12.287455516014241</v>
      </c>
      <c r="AX65" s="23">
        <f>Income!AX134/-Income!AX61</f>
        <v>11.287411325189934</v>
      </c>
      <c r="BC65" s="23">
        <f>Income!BC134/-Income!BC61</f>
        <v>14.88055937643283</v>
      </c>
      <c r="BH65" s="23">
        <f>Income!BH134/-Income!BH61</f>
        <v>18.350322987238059</v>
      </c>
      <c r="BM65" s="23">
        <f>Income!BM134/-Income!BM61</f>
        <v>18.439626340675812</v>
      </c>
      <c r="BR65" s="23">
        <f>Income!BR134/-Income!BR61</f>
        <v>16.937956204379567</v>
      </c>
      <c r="BW65" s="23">
        <f>Income!BW134/-Income!BW61</f>
        <v>18.731255704785504</v>
      </c>
      <c r="CB65" s="23">
        <f>Income!CB134/-Income!CB61</f>
        <v>22.292101341281665</v>
      </c>
      <c r="CG65" s="23" t="e">
        <f>Income!CG134/-Income!CG61</f>
        <v>#DIV/0!</v>
      </c>
      <c r="CL65" s="23">
        <f>Income!CL134/-Income!CL61</f>
        <v>2.6249702104009134</v>
      </c>
      <c r="CQ65" s="23">
        <f>Income!CQ134/-Income!CQ61</f>
        <v>1.1667899445029659</v>
      </c>
      <c r="CR65" s="717"/>
      <c r="CS65" s="717"/>
      <c r="CT65" s="717"/>
      <c r="CU65" s="717"/>
      <c r="CV65" s="23">
        <f>Income!CV134/-Income!CV61</f>
        <v>-2.6241866983297482</v>
      </c>
    </row>
    <row r="66" spans="1:100" s="116" customFormat="1" x14ac:dyDescent="0.25">
      <c r="A66" s="156"/>
      <c r="B66" s="156"/>
      <c r="C66" s="156"/>
      <c r="D66" s="156"/>
      <c r="E66" s="116" t="s">
        <v>404</v>
      </c>
      <c r="F66" s="162"/>
      <c r="G66" s="36"/>
      <c r="H66" s="36"/>
      <c r="I66" s="36"/>
      <c r="J66" s="36"/>
      <c r="O66" s="36"/>
      <c r="T66" s="36">
        <f>-T61/(-T61+T46+T49+T47)</f>
        <v>0.21558584800776764</v>
      </c>
      <c r="Y66" s="36">
        <f>-Y61/(-Y61+Y46+Y49+Y47)</f>
        <v>0.3963306764538162</v>
      </c>
      <c r="AD66" s="36">
        <f>-AD61/(-AD61+AD46+AD49+AD47)</f>
        <v>0.58765768184362932</v>
      </c>
      <c r="AI66" s="36">
        <f>-AI61/(-AI61+AI46+AI49+AI47)</f>
        <v>0.55500063430170066</v>
      </c>
      <c r="AN66" s="36">
        <f>-AN61/(-AN61+AN46+AN49+AN47+AN48)</f>
        <v>0.44339824997070021</v>
      </c>
      <c r="AS66" s="36">
        <f>-AS61/(-AS61+AS46+AS49+AS47+AS48)</f>
        <v>0.32501827292105856</v>
      </c>
      <c r="AX66" s="36">
        <f>-AX61/(-AX61+AX46+AX49+AX47+AX48)</f>
        <v>0.26888665942855566</v>
      </c>
      <c r="BC66" s="36">
        <f>-BC61/(-BC61+BC46+BC49+BC47+BC48)</f>
        <v>7.360328067951738E-2</v>
      </c>
      <c r="BH66" s="36">
        <f>-BH61/(-BH61+BH46+BH49+BH47)</f>
        <v>4.7790112325782258E-2</v>
      </c>
      <c r="BM66" s="36">
        <f>-BM61/(-BM61+BM46+BM49+BM47)</f>
        <v>-0.17770613091079321</v>
      </c>
      <c r="BR66" s="36">
        <f>-BR61/(-BR61+BR46+BR49+BR47)</f>
        <v>0.17424846856487813</v>
      </c>
      <c r="BW66" s="36">
        <f>-BW61/(-BW61+BW46+BW49+BW47)</f>
        <v>7.3904823440406632E-4</v>
      </c>
      <c r="CB66" s="36">
        <f>-CB61/(-CB61+CB46+CB49+CB47)</f>
        <v>7.4353271429468598E-2</v>
      </c>
      <c r="CG66" s="36">
        <f>-CG61/(-CG61+CG46+CG49+CG47)</f>
        <v>8.590077391542271E-2</v>
      </c>
      <c r="CL66" s="36">
        <f>-CL61/(-CL61+CL46+CL49+CL47)</f>
        <v>-3.4707714347966587</v>
      </c>
      <c r="CQ66" s="36">
        <f>-CQ61/(-CQ61+CQ46+CQ49+CQ47)</f>
        <v>-2.1263960922537017</v>
      </c>
      <c r="CV66" s="36">
        <f>-CV61/(-CV61+CV46+CV49+CV47)</f>
        <v>-1.7787985290840234</v>
      </c>
    </row>
    <row r="67" spans="1:100" ht="3.95" customHeight="1" x14ac:dyDescent="0.25">
      <c r="E67" s="160"/>
      <c r="F67" s="33"/>
      <c r="G67" s="163"/>
      <c r="H67" s="163"/>
      <c r="I67" s="163"/>
      <c r="J67" s="163"/>
      <c r="O67" s="163"/>
      <c r="T67" s="163"/>
      <c r="Y67" s="163"/>
      <c r="AD67" s="163"/>
      <c r="AI67" s="163"/>
      <c r="AN67" s="163"/>
      <c r="AS67" s="163"/>
      <c r="AX67" s="163"/>
      <c r="BC67" s="163"/>
      <c r="BH67" s="163"/>
      <c r="BM67" s="163"/>
      <c r="BR67" s="163"/>
      <c r="BW67" s="163"/>
      <c r="CB67" s="163"/>
      <c r="CG67" s="163"/>
      <c r="CL67" s="163"/>
      <c r="CQ67" s="163"/>
      <c r="CR67" s="717"/>
      <c r="CS67" s="717"/>
      <c r="CT67" s="717"/>
      <c r="CU67" s="717"/>
      <c r="CV67" s="163"/>
    </row>
    <row r="68" spans="1:100" s="116" customFormat="1" x14ac:dyDescent="0.25">
      <c r="E68" s="116" t="s">
        <v>151</v>
      </c>
      <c r="F68" s="162"/>
      <c r="G68" s="162"/>
      <c r="H68" s="162"/>
      <c r="I68" s="162"/>
      <c r="J68" s="162"/>
      <c r="O68" s="162"/>
      <c r="T68" s="162">
        <f>Income!T80/AVERAGE(O28,T28)</f>
        <v>4.9341429790218515E-2</v>
      </c>
      <c r="Y68" s="162">
        <f>Income!Y80/AVERAGE(T28,Y28)</f>
        <v>4.7591851255619037E-2</v>
      </c>
      <c r="AD68" s="162">
        <f>Income!AD80/AVERAGE(Y28,AD28)</f>
        <v>4.7597560498166741E-2</v>
      </c>
      <c r="AI68" s="162">
        <f>Income!AI80/AVERAGE(AD28,AI28)</f>
        <v>2.1236309951904696E-2</v>
      </c>
      <c r="AN68" s="162">
        <f>Income!AN80/AVERAGE(AI28,AN28)</f>
        <v>4.429879528487022E-2</v>
      </c>
      <c r="AS68" s="162">
        <f>Income!AS80/AVERAGE(AN28,AS28)</f>
        <v>3.0953939874996814E-2</v>
      </c>
      <c r="AX68" s="162">
        <f>Income!AX80/AVERAGE(AS28,AX28)</f>
        <v>4.085055051770542E-2</v>
      </c>
      <c r="BC68" s="162">
        <f>Income!BC80/AVERAGE(AX28,BC28)</f>
        <v>4.7382809023541778E-2</v>
      </c>
      <c r="BH68" s="162">
        <f>Income!BH80/AVERAGE(BC28,BH28)</f>
        <v>4.8421740619537509E-2</v>
      </c>
      <c r="BM68" s="162">
        <f>Income!BM80/AVERAGE(BH28,BM28)</f>
        <v>5.2705548013207447E-2</v>
      </c>
      <c r="BR68" s="162">
        <f>Income!BR80/AVERAGE(BM28,BR28)</f>
        <v>-2.0537266722731956E-2</v>
      </c>
      <c r="BW68" s="162">
        <f>Income!BW80/AVERAGE(BR28,BW28)</f>
        <v>8.3429297654426006E-3</v>
      </c>
      <c r="CB68" s="162">
        <f>Income!CB80/AVERAGE(BW28,CB28)</f>
        <v>1.0470615718002148E-2</v>
      </c>
      <c r="CG68" s="162">
        <f>Income!CG80/AVERAGE(CB28,CG28)</f>
        <v>-5.5171877653143284E-2</v>
      </c>
      <c r="CL68" s="162">
        <f>Income!CL80/AVERAGE(CG28,CL28)</f>
        <v>-0.13961562955553497</v>
      </c>
      <c r="CQ68" s="162">
        <f>Income!CQ80/AVERAGE(CL28,CQ28)</f>
        <v>-6.5353471522385367E-2</v>
      </c>
      <c r="CV68" s="162">
        <f>Income!CV80/AVERAGE(CQ28,CV28)</f>
        <v>-4.3269483724255459E-2</v>
      </c>
    </row>
    <row r="69" spans="1:100" s="116" customFormat="1" x14ac:dyDescent="0.25">
      <c r="A69" s="156"/>
      <c r="B69" s="156"/>
      <c r="C69" s="156"/>
      <c r="D69" s="156"/>
      <c r="E69" s="116" t="s">
        <v>152</v>
      </c>
      <c r="F69" s="162"/>
      <c r="G69" s="162"/>
      <c r="H69" s="162"/>
      <c r="I69" s="162"/>
      <c r="J69" s="162"/>
      <c r="O69" s="162"/>
      <c r="T69" s="162">
        <f>Income!T$80/AVERAGE(SUM(O46:O47),SUM(T46:T47))</f>
        <v>0.14357821091324718</v>
      </c>
      <c r="Y69" s="162">
        <f>Income!Y$80/AVERAGE(SUM(T46:T47),SUM(Y46:Y47))</f>
        <v>6.7981848973307391E-2</v>
      </c>
      <c r="AD69" s="162">
        <f>Income!AD$80/AVERAGE(SUM(Y46:Y47),SUM(AD46:AD47))</f>
        <v>6.647674445606469E-2</v>
      </c>
      <c r="AI69" s="162">
        <f>Income!AI$80/AVERAGE(SUM(AD46:AD47),SUM(AI46:AI47))</f>
        <v>2.7706728070716904E-2</v>
      </c>
      <c r="AN69" s="162">
        <f>Income!AN$80/AVERAGE(SUM(AI46:AI47),SUM(AN46:AN47))</f>
        <v>5.1234695059215317E-2</v>
      </c>
      <c r="AS69" s="162">
        <f>Income!AS$80/AVERAGE(SUM(AN46:AN47),SUM(AS46:AS47))</f>
        <v>3.3035292066522913E-2</v>
      </c>
      <c r="AX69" s="162">
        <f>Income!AX$80/AVERAGE(SUM(AS46:AS47),SUM(AX46:AX47))</f>
        <v>4.1676241278494501E-2</v>
      </c>
      <c r="BC69" s="162">
        <f>Income!BC$80/AVERAGE(SUM(AX46:AX47),SUM(BC46:BC47))</f>
        <v>4.4288233494881382E-2</v>
      </c>
      <c r="BH69" s="162">
        <f>Income!BH$80/AVERAGE(SUM(BC46:BC47),SUM(BH46:BH47))</f>
        <v>4.0417806539805534E-2</v>
      </c>
      <c r="BM69" s="162">
        <f>Income!BM$80/AVERAGE(SUM(BH46:BH47),SUM(BM46:BM47))</f>
        <v>4.2848049750670344E-2</v>
      </c>
      <c r="BR69" s="162">
        <f>Income!BR$80/AVERAGE(SUM(BM46:BM47),SUM(BR46:BR47))</f>
        <v>-1.678841074785356E-2</v>
      </c>
      <c r="BW69" s="162">
        <f>Income!BW$80/AVERAGE(SUM(BR46:BR47),SUM(BW46:BW47))</f>
        <v>6.1886453689574232E-3</v>
      </c>
      <c r="CB69" s="162">
        <f>Income!CB$80/AVERAGE(SUM(BW46:BW47),SUM(CB46:CB47))</f>
        <v>7.2070958977346359E-3</v>
      </c>
      <c r="CG69" s="162">
        <f>Income!CG$80/AVERAGE(SUM(CB46:CB47),SUM(CG46:CG47))</f>
        <v>-3.6963824838367916E-2</v>
      </c>
      <c r="CL69" s="162">
        <f>Income!CL$80/AVERAGE(SUM(CG46:CG47),SUM(CL46:CL47))</f>
        <v>-7.3286311823921257E-2</v>
      </c>
      <c r="CQ69" s="162">
        <f>Income!CQ$80/AVERAGE(SUM(CL46:CL47),SUM(CQ46:CQ47))</f>
        <v>-2.581583783454236E-2</v>
      </c>
      <c r="CV69" s="162">
        <f>Income!CV$80/AVERAGE(SUM(CQ46:CQ47),SUM(CV46:CV47))</f>
        <v>-1.3922353809441545E-2</v>
      </c>
    </row>
    <row r="70" spans="1:100" s="116" customFormat="1" hidden="1" x14ac:dyDescent="0.25">
      <c r="A70" s="156"/>
      <c r="B70" s="156"/>
      <c r="C70" s="156"/>
      <c r="D70" s="156"/>
      <c r="E70" s="116" t="s">
        <v>150</v>
      </c>
      <c r="F70" s="162"/>
      <c r="G70" s="162"/>
      <c r="H70" s="162"/>
      <c r="I70" s="162"/>
      <c r="J70" s="162"/>
      <c r="O70" s="162"/>
      <c r="T70" s="162"/>
      <c r="Y70" s="162">
        <f>'Cash Flow'!Y92/AVERAGE(SUM(Y16-Y38+Y20+Y22+Y23),SUM(T16-T38+T20+T22+T23))</f>
        <v>-4.1231186503543918E-2</v>
      </c>
      <c r="AD70" s="162">
        <f>'Cash Flow'!AD92/AVERAGE(SUM(AD16-AD38+AD20+AD22+AD23),SUM(Y16-Y38+Y20+Y22+Y23))</f>
        <v>3.3550371381009227E-2</v>
      </c>
      <c r="AI70" s="162">
        <f>'Cash Flow'!AI92/AVERAGE(SUM(AI16-AI38+AI20+AI22+AI23),SUM(AD16-AD38+AD20+AD22+AD23))</f>
        <v>9.4780970010798424E-2</v>
      </c>
      <c r="AN70" s="162">
        <f>'Cash Flow'!AN92/AVERAGE(SUM(AN16-AN38+AN20+AN22+AN23),SUM(AI16-AI38+AI20+AI22+AI23))</f>
        <v>0.15926458947195163</v>
      </c>
      <c r="AS70" s="162">
        <f>'Cash Flow'!AS92/AVERAGE(SUM(AS16-AS38+AS20+AS22+AS23),SUM(AN16-AN38+AN20+AN22+AN23))</f>
        <v>0.11399160523675832</v>
      </c>
      <c r="AX70" s="162">
        <f>'Cash Flow'!AX92/AVERAGE(SUM(AX16-AX38+AX20+AX22+AX23),SUM(AS16-AS38+AS20+AS22+AS23))</f>
        <v>5.5856585464745888E-2</v>
      </c>
      <c r="BC70" s="162">
        <f>'Cash Flow'!BC92/AVERAGE(SUM(BC16-BC38+BC20+BC22+BC23),SUM(AX16-AX38+AX20+AX22+AX23))</f>
        <v>0.14342826661974076</v>
      </c>
      <c r="BH70" s="162">
        <f>'Cash Flow'!BH92/AVERAGE(SUM(BH16-BH38+BH20+BH22+BH23),SUM(BC16-BC38+BC20+BC22+BC23))</f>
        <v>6.4420057407205147E-2</v>
      </c>
      <c r="BM70" s="162">
        <f>'Cash Flow'!BM92/AVERAGE(SUM(BM16-BM38+BM20+BM22+BM23),SUM(BH16-BH38+BH20+BH22+BH23))</f>
        <v>5.2585238066139343E-2</v>
      </c>
    </row>
    <row r="71" spans="1:100" ht="3.75" customHeight="1" x14ac:dyDescent="0.25">
      <c r="E71" s="160"/>
      <c r="G71" s="160"/>
      <c r="H71" s="160"/>
      <c r="I71" s="160"/>
      <c r="J71" s="160"/>
      <c r="O71" s="160"/>
      <c r="T71" s="160"/>
      <c r="Y71" s="160"/>
      <c r="AD71" s="160"/>
      <c r="AI71" s="160"/>
      <c r="AN71" s="160"/>
      <c r="AS71" s="160"/>
      <c r="AX71" s="160"/>
      <c r="BC71" s="160"/>
      <c r="BH71" s="160"/>
      <c r="BM71" s="160"/>
    </row>
    <row r="72" spans="1:100" x14ac:dyDescent="0.25">
      <c r="E72" s="6" t="s">
        <v>19</v>
      </c>
    </row>
  </sheetData>
  <phoneticPr fontId="0" type="noConversion"/>
  <printOptions horizontalCentered="1"/>
  <pageMargins left="0" right="0" top="0" bottom="0" header="0" footer="0"/>
  <pageSetup scale="75" pageOrder="overThenDown" orientation="portrait" horizontalDpi="1200" verticalDpi="1200" r:id="rId1"/>
  <headerFooter alignWithMargins="0">
    <oddFooter>&amp;RDaniel Salmon
BMO Capital Markets
(212) 885-4029</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IV135"/>
  <sheetViews>
    <sheetView showGridLines="0" topLeftCell="E1" zoomScaleNormal="100" workbookViewId="0">
      <pane xSplit="1" ySplit="6" topLeftCell="F7" activePane="bottomRight" state="frozen"/>
      <selection activeCell="E1" sqref="E1"/>
      <selection pane="topRight" activeCell="F1" sqref="F1"/>
      <selection pane="bottomLeft" activeCell="E7" sqref="E7"/>
      <selection pane="bottomRight" activeCell="DG22" sqref="A1:XFD1048576"/>
    </sheetView>
  </sheetViews>
  <sheetFormatPr defaultColWidth="9" defaultRowHeight="12.75" outlineLevelCol="1" x14ac:dyDescent="0.25"/>
  <cols>
    <col min="1" max="4" width="9" style="2" hidden="1" customWidth="1" outlineLevel="1"/>
    <col min="5" max="5" width="42.1640625" style="6" customWidth="1" collapsed="1"/>
    <col min="6" max="13" width="9.33203125" style="6" hidden="1" customWidth="1"/>
    <col min="14" max="14" width="5.33203125" style="6" hidden="1" customWidth="1"/>
    <col min="15" max="15" width="9.33203125" style="6" hidden="1" customWidth="1"/>
    <col min="16" max="19" width="5.33203125" style="6" hidden="1" customWidth="1"/>
    <col min="20" max="20" width="9.33203125" style="6" hidden="1" customWidth="1"/>
    <col min="21" max="24" width="5.33203125" style="6" hidden="1" customWidth="1"/>
    <col min="25" max="25" width="9.33203125" style="6" hidden="1" customWidth="1"/>
    <col min="26" max="26" width="7.1640625" style="6" hidden="1" customWidth="1"/>
    <col min="27" max="27" width="7.5" style="6" hidden="1" customWidth="1"/>
    <col min="28" max="28" width="7" style="6" hidden="1" customWidth="1"/>
    <col min="29" max="29" width="7.33203125" style="6" hidden="1" customWidth="1"/>
    <col min="30" max="35" width="9.33203125" style="6" hidden="1" customWidth="1"/>
    <col min="36" max="36" width="7.1640625" style="6" hidden="1" customWidth="1"/>
    <col min="37" max="37" width="7.5" style="6" hidden="1" customWidth="1"/>
    <col min="38" max="38" width="7" style="6" hidden="1" customWidth="1"/>
    <col min="39" max="39" width="7.33203125" style="6" hidden="1" customWidth="1"/>
    <col min="40" max="40" width="9.33203125" style="6" hidden="1" customWidth="1"/>
    <col min="41" max="41" width="7.1640625" style="6" hidden="1" customWidth="1"/>
    <col min="42" max="42" width="7.5" style="6" hidden="1" customWidth="1"/>
    <col min="43" max="43" width="7" style="6" hidden="1" customWidth="1"/>
    <col min="44" max="44" width="7.33203125" style="6" hidden="1" customWidth="1"/>
    <col min="45" max="45" width="9.33203125" style="6" hidden="1" customWidth="1"/>
    <col min="46" max="46" width="7.1640625" style="6" hidden="1" customWidth="1"/>
    <col min="47" max="47" width="7.5" style="6" hidden="1" customWidth="1"/>
    <col min="48" max="48" width="7" style="6" hidden="1" customWidth="1"/>
    <col min="49" max="49" width="7.33203125" style="6" hidden="1" customWidth="1"/>
    <col min="50" max="50" width="9.33203125" style="6" hidden="1" customWidth="1"/>
    <col min="51" max="51" width="7.1640625" style="6" hidden="1" customWidth="1"/>
    <col min="52" max="52" width="7.5" style="6" hidden="1" customWidth="1"/>
    <col min="53" max="53" width="7" style="6" hidden="1" customWidth="1"/>
    <col min="54" max="54" width="7.33203125" style="6" hidden="1" customWidth="1"/>
    <col min="55" max="55" width="8.6640625" style="6" hidden="1" customWidth="1"/>
    <col min="56" max="56" width="7.1640625" style="6" hidden="1" customWidth="1"/>
    <col min="57" max="57" width="7.5" style="6" hidden="1" customWidth="1"/>
    <col min="58" max="58" width="7" style="6" hidden="1" customWidth="1"/>
    <col min="59" max="59" width="7.33203125" style="6" hidden="1" customWidth="1"/>
    <col min="60" max="60" width="9.33203125" style="6" hidden="1" customWidth="1"/>
    <col min="61" max="61" width="7.1640625" style="6" hidden="1" customWidth="1"/>
    <col min="62" max="62" width="7.5" style="6" hidden="1" customWidth="1"/>
    <col min="63" max="63" width="7" style="6" hidden="1" customWidth="1"/>
    <col min="64" max="64" width="7.33203125" style="6" hidden="1" customWidth="1"/>
    <col min="65" max="65" width="9.33203125" style="6" hidden="1" customWidth="1"/>
    <col min="66" max="66" width="7.1640625" style="20" hidden="1" customWidth="1"/>
    <col min="67" max="67" width="7.5" style="20" hidden="1" customWidth="1"/>
    <col min="68" max="68" width="7" style="20" hidden="1" customWidth="1"/>
    <col min="69" max="69" width="7.33203125" style="20" hidden="1" customWidth="1"/>
    <col min="70" max="70" width="9.6640625" style="20" hidden="1" customWidth="1"/>
    <col min="71" max="74" width="8.6640625" style="20" hidden="1" customWidth="1"/>
    <col min="75" max="75" width="9.83203125" style="20" hidden="1" customWidth="1"/>
    <col min="76" max="79" width="8.6640625" style="20" hidden="1" customWidth="1"/>
    <col min="80" max="80" width="9.83203125" style="20" hidden="1" customWidth="1"/>
    <col min="81" max="84" width="8.6640625" style="20" hidden="1" customWidth="1"/>
    <col min="85" max="85" width="9.83203125" style="20" customWidth="1"/>
    <col min="86" max="89" width="9" style="20" customWidth="1"/>
    <col min="90" max="90" width="9.83203125" style="20" customWidth="1"/>
    <col min="91" max="94" width="9" style="20" customWidth="1"/>
    <col min="95" max="95" width="9.83203125" style="20" customWidth="1"/>
    <col min="96" max="99" width="9" style="20" hidden="1" customWidth="1"/>
    <col min="100" max="16384" width="9" style="20"/>
  </cols>
  <sheetData>
    <row r="1" spans="1:256" s="2" customFormat="1" ht="12.75" customHeight="1" x14ac:dyDescent="0.25">
      <c r="BN1" s="20"/>
      <c r="BO1" s="20"/>
      <c r="BP1" s="20"/>
      <c r="BQ1" s="20"/>
      <c r="BR1" s="20"/>
      <c r="BS1" s="20"/>
      <c r="BT1" s="20"/>
      <c r="BU1" s="20"/>
      <c r="BV1" s="20"/>
      <c r="BW1" s="20"/>
      <c r="BX1" s="20"/>
      <c r="BY1" s="20"/>
      <c r="BZ1" s="20"/>
      <c r="CA1" s="20"/>
      <c r="CB1" s="20"/>
      <c r="CC1" s="792"/>
      <c r="CD1" s="20"/>
      <c r="CE1" s="20"/>
      <c r="CF1" s="20"/>
      <c r="CG1" s="20"/>
      <c r="CH1" s="719"/>
      <c r="CI1" s="719"/>
      <c r="CJ1" s="719"/>
      <c r="CK1" s="719"/>
      <c r="CL1" s="719"/>
      <c r="CM1" s="719"/>
      <c r="CN1" s="719"/>
      <c r="CO1" s="719"/>
      <c r="CP1" s="719"/>
      <c r="CQ1" s="719"/>
      <c r="CR1" s="719"/>
      <c r="CS1" s="719"/>
      <c r="CT1" s="719"/>
      <c r="CU1" s="719"/>
      <c r="CV1" s="719"/>
      <c r="CW1" s="20"/>
      <c r="CX1" s="20"/>
      <c r="CY1" s="20"/>
      <c r="CZ1" s="20"/>
      <c r="DA1" s="20"/>
      <c r="DB1" s="20"/>
      <c r="DC1" s="20"/>
      <c r="DD1" s="20"/>
      <c r="DE1" s="20"/>
      <c r="DF1" s="20"/>
      <c r="DG1" s="20"/>
      <c r="DH1" s="20"/>
      <c r="DI1" s="20"/>
      <c r="DJ1" s="20"/>
      <c r="DK1" s="20"/>
      <c r="DL1" s="20"/>
      <c r="DM1" s="20"/>
      <c r="DN1" s="20"/>
      <c r="DO1" s="20"/>
      <c r="DP1" s="20"/>
      <c r="DQ1" s="20"/>
      <c r="DR1" s="20"/>
      <c r="DS1" s="20"/>
      <c r="DT1" s="20"/>
      <c r="DU1" s="20"/>
      <c r="DV1" s="20"/>
      <c r="DW1" s="20"/>
      <c r="DX1" s="20"/>
      <c r="DY1" s="20"/>
      <c r="DZ1" s="20"/>
      <c r="EA1" s="20"/>
      <c r="EB1" s="20"/>
      <c r="EC1" s="20"/>
      <c r="ED1" s="20"/>
      <c r="EE1" s="20"/>
      <c r="EF1" s="20"/>
      <c r="EG1" s="20"/>
      <c r="EH1" s="20"/>
      <c r="EI1" s="20"/>
      <c r="EJ1" s="20"/>
      <c r="EK1" s="20"/>
      <c r="EL1" s="20"/>
      <c r="EM1" s="20"/>
      <c r="EN1" s="20"/>
      <c r="EO1" s="20"/>
      <c r="EP1" s="20"/>
      <c r="EQ1" s="20"/>
      <c r="ER1" s="20"/>
      <c r="ES1" s="20"/>
      <c r="ET1" s="20"/>
      <c r="EU1" s="20"/>
      <c r="EV1" s="20"/>
      <c r="EW1" s="20"/>
      <c r="EX1" s="20"/>
      <c r="EY1" s="20"/>
      <c r="EZ1" s="20"/>
      <c r="FA1" s="20"/>
      <c r="FB1" s="20"/>
      <c r="FC1" s="20"/>
      <c r="FD1" s="20"/>
      <c r="FE1" s="20"/>
      <c r="FF1" s="20"/>
      <c r="FG1" s="20"/>
      <c r="FH1" s="20"/>
      <c r="FI1" s="20"/>
      <c r="FJ1" s="20"/>
      <c r="FK1" s="20"/>
      <c r="FL1" s="20"/>
      <c r="FM1" s="20"/>
      <c r="FN1" s="20"/>
      <c r="FO1" s="20"/>
      <c r="FP1" s="20"/>
      <c r="FQ1" s="20"/>
      <c r="FR1" s="20"/>
      <c r="FS1" s="20"/>
      <c r="FT1" s="20"/>
      <c r="FU1" s="20"/>
      <c r="FV1" s="20"/>
      <c r="FW1" s="20"/>
      <c r="FX1" s="20"/>
      <c r="FY1" s="20"/>
      <c r="FZ1" s="20"/>
      <c r="GA1" s="20"/>
      <c r="GB1" s="20"/>
      <c r="GC1" s="20"/>
      <c r="GD1" s="20"/>
      <c r="GE1" s="20"/>
      <c r="GF1" s="20"/>
      <c r="GG1" s="20"/>
      <c r="GH1" s="20"/>
      <c r="GI1" s="20"/>
      <c r="GJ1" s="20"/>
      <c r="GK1" s="20"/>
      <c r="GL1" s="20"/>
      <c r="GM1" s="20"/>
      <c r="GN1" s="20"/>
      <c r="GO1" s="20"/>
      <c r="GP1" s="20"/>
      <c r="GQ1" s="20"/>
      <c r="GR1" s="20"/>
      <c r="GS1" s="20"/>
      <c r="GT1" s="20"/>
      <c r="GU1" s="20"/>
      <c r="GV1" s="20"/>
      <c r="GW1" s="20"/>
      <c r="GX1" s="20"/>
      <c r="GY1" s="20"/>
      <c r="GZ1" s="20"/>
      <c r="HA1" s="20"/>
      <c r="HB1" s="20"/>
      <c r="HC1" s="20"/>
      <c r="HD1" s="20"/>
      <c r="HE1" s="20"/>
      <c r="HF1" s="20"/>
      <c r="HG1" s="20"/>
      <c r="HH1" s="20"/>
      <c r="HI1" s="20"/>
      <c r="HJ1" s="20"/>
      <c r="HK1" s="20"/>
      <c r="HL1" s="20"/>
      <c r="HM1" s="20"/>
      <c r="HN1" s="20"/>
      <c r="HO1" s="20"/>
      <c r="HP1" s="20"/>
      <c r="HQ1" s="20"/>
      <c r="HR1" s="20"/>
      <c r="HS1" s="20"/>
      <c r="HT1" s="20"/>
      <c r="HU1" s="20"/>
      <c r="HV1" s="20"/>
      <c r="HW1" s="20"/>
      <c r="HX1" s="20"/>
      <c r="HY1" s="20"/>
      <c r="HZ1" s="20"/>
      <c r="IA1" s="20"/>
      <c r="IB1" s="20"/>
      <c r="IC1" s="20"/>
      <c r="ID1" s="20"/>
      <c r="IE1" s="20"/>
      <c r="IF1" s="20"/>
      <c r="IG1" s="20"/>
      <c r="IH1" s="20"/>
      <c r="II1" s="20"/>
      <c r="IJ1" s="20"/>
      <c r="IK1" s="20"/>
      <c r="IL1" s="20"/>
      <c r="IM1" s="20"/>
      <c r="IN1" s="20"/>
      <c r="IO1" s="20"/>
      <c r="IP1" s="20"/>
      <c r="IQ1" s="20"/>
      <c r="IR1" s="20"/>
      <c r="IS1" s="20"/>
      <c r="IT1" s="20"/>
      <c r="IU1" s="20"/>
      <c r="IV1" s="20"/>
    </row>
    <row r="2" spans="1:256" ht="12.75" customHeight="1" x14ac:dyDescent="0.25">
      <c r="E2" s="13" t="str">
        <f>Income!E2</f>
        <v>LiveRamp</v>
      </c>
      <c r="BS2" s="718"/>
      <c r="BT2" s="718"/>
      <c r="BU2" s="718"/>
      <c r="BV2" s="718"/>
      <c r="BW2" s="721"/>
      <c r="BX2" s="718"/>
      <c r="BY2" s="718"/>
      <c r="BZ2" s="718"/>
      <c r="CA2" s="718"/>
      <c r="CB2" s="721"/>
      <c r="CC2" s="791"/>
      <c r="CD2" s="718"/>
      <c r="CE2" s="718"/>
      <c r="CF2" s="718"/>
      <c r="CG2" s="721"/>
      <c r="CL2" s="85"/>
      <c r="CQ2" s="721"/>
      <c r="CV2" s="721"/>
    </row>
    <row r="3" spans="1:256" ht="13.5" x14ac:dyDescent="0.25">
      <c r="E3" s="94" t="s">
        <v>199</v>
      </c>
      <c r="BR3" s="85"/>
      <c r="BS3" s="759"/>
      <c r="BT3" s="759"/>
      <c r="BU3" s="759"/>
      <c r="BV3" s="759"/>
      <c r="BW3" s="759"/>
      <c r="BX3" s="759"/>
      <c r="BY3" s="759"/>
      <c r="BZ3" s="759"/>
      <c r="CA3" s="759"/>
      <c r="CB3" s="759"/>
      <c r="CC3" s="791"/>
      <c r="CD3" s="759"/>
      <c r="CE3" s="759"/>
      <c r="CF3" s="759"/>
      <c r="CG3" s="759"/>
      <c r="CH3" s="759"/>
      <c r="CI3" s="759"/>
      <c r="CJ3" s="759"/>
      <c r="CK3" s="759"/>
      <c r="CL3" s="759"/>
      <c r="CM3" s="759"/>
      <c r="CN3" s="759"/>
      <c r="CO3" s="759"/>
      <c r="CP3" s="759"/>
      <c r="CQ3" s="759"/>
      <c r="CR3" s="759"/>
      <c r="CS3" s="759"/>
      <c r="CT3" s="759"/>
      <c r="CU3" s="759"/>
      <c r="CV3" s="759"/>
    </row>
    <row r="4" spans="1:256"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102" t="str">
        <f>Income!CR4</f>
        <v>F2021E</v>
      </c>
      <c r="CS4" s="102"/>
      <c r="CT4" s="102"/>
      <c r="CU4" s="102"/>
      <c r="CV4" s="106" t="str">
        <f>Income!CV4</f>
        <v>Fiscal Year</v>
      </c>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row>
    <row r="5" spans="1:256"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88" t="str">
        <f>Income!CR5</f>
        <v>F1QE</v>
      </c>
      <c r="CS5" s="88" t="str">
        <f>Income!CS5</f>
        <v>F2QE</v>
      </c>
      <c r="CT5" s="88" t="str">
        <f>Income!CT5</f>
        <v>F3QE</v>
      </c>
      <c r="CU5" s="88" t="str">
        <f>Income!CU5</f>
        <v>F4QE</v>
      </c>
      <c r="CV5" s="88" t="str">
        <f>Income!CV5</f>
        <v>F2021E</v>
      </c>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row>
    <row r="6" spans="1:256" s="113" customFormat="1" ht="12" customHeight="1" x14ac:dyDescent="0.25">
      <c r="A6" s="2"/>
      <c r="B6" s="2"/>
      <c r="C6" s="2"/>
      <c r="D6" s="2"/>
      <c r="E6" s="112" t="str">
        <f>Income!E6</f>
        <v>Calendar quarter</v>
      </c>
      <c r="F6" s="88"/>
      <c r="G6" s="88"/>
      <c r="H6" s="88"/>
      <c r="I6" s="88"/>
      <c r="J6" s="88"/>
      <c r="K6" s="88"/>
      <c r="L6" s="88"/>
      <c r="M6" s="88"/>
      <c r="N6" s="88"/>
      <c r="O6" s="88"/>
      <c r="P6" s="88"/>
      <c r="Q6" s="88"/>
      <c r="R6" s="88"/>
      <c r="S6" s="88"/>
      <c r="T6" s="88"/>
      <c r="U6" s="88"/>
      <c r="V6" s="88"/>
      <c r="W6" s="88"/>
      <c r="X6" s="88"/>
      <c r="Y6" s="88"/>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35"/>
      <c r="AT6" s="88" t="str">
        <f>Income!AT6</f>
        <v>June '10</v>
      </c>
      <c r="AU6" s="88" t="str">
        <f>Income!AU6</f>
        <v>Sept. '10</v>
      </c>
      <c r="AV6" s="88" t="str">
        <f>Income!AV6</f>
        <v>Dec. '10</v>
      </c>
      <c r="AW6" s="88" t="str">
        <f>Income!AW6</f>
        <v>Mar. '11</v>
      </c>
      <c r="AX6" s="35"/>
      <c r="AY6" s="88" t="str">
        <f>Income!AY6</f>
        <v>June '11</v>
      </c>
      <c r="AZ6" s="88" t="str">
        <f>Income!AZ6</f>
        <v>Sept. '11</v>
      </c>
      <c r="BA6" s="88" t="str">
        <f>Income!BA6</f>
        <v>Dec. '11</v>
      </c>
      <c r="BB6" s="88" t="str">
        <f>Income!BB6</f>
        <v>Mar. '12</v>
      </c>
      <c r="BC6" s="35"/>
      <c r="BD6" s="88" t="str">
        <f>Income!BD6</f>
        <v>June '12</v>
      </c>
      <c r="BE6" s="88" t="str">
        <f>Income!BE6</f>
        <v>Sept. '12</v>
      </c>
      <c r="BF6" s="88" t="str">
        <f>Income!BF6</f>
        <v>Dec. '12</v>
      </c>
      <c r="BG6" s="88" t="str">
        <f>Income!BG6</f>
        <v>Mar. '13</v>
      </c>
      <c r="BH6" s="35"/>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88" t="str">
        <f>Income!CR6</f>
        <v>June '20</v>
      </c>
      <c r="CS6" s="88" t="str">
        <f>Income!CS6</f>
        <v>Sept. '20</v>
      </c>
      <c r="CT6" s="88" t="str">
        <f>Income!CT6</f>
        <v>Dec. '20</v>
      </c>
      <c r="CU6" s="88" t="str">
        <f>Income!CU6</f>
        <v>Mar. '21</v>
      </c>
      <c r="CV6" s="88"/>
      <c r="CW6" s="84"/>
      <c r="CX6" s="84"/>
      <c r="CY6" s="84"/>
      <c r="CZ6" s="84"/>
      <c r="DA6" s="84"/>
      <c r="DB6" s="84"/>
      <c r="DC6" s="84"/>
      <c r="DD6" s="84"/>
      <c r="DE6" s="84"/>
      <c r="DF6" s="84"/>
      <c r="DG6" s="84"/>
      <c r="DH6" s="84"/>
      <c r="DI6" s="84"/>
      <c r="DJ6" s="84"/>
      <c r="DK6" s="84"/>
      <c r="DL6" s="84"/>
      <c r="DM6" s="84"/>
      <c r="DN6" s="84"/>
      <c r="DO6" s="84"/>
      <c r="DP6" s="84"/>
      <c r="DQ6" s="84"/>
      <c r="DR6" s="84"/>
      <c r="DS6" s="84"/>
      <c r="DT6" s="84"/>
      <c r="DU6" s="84"/>
      <c r="DV6" s="84"/>
      <c r="DW6" s="84"/>
      <c r="DX6" s="84"/>
      <c r="DY6" s="84"/>
      <c r="DZ6" s="84"/>
      <c r="EA6" s="84"/>
      <c r="EB6" s="84"/>
      <c r="EC6" s="84"/>
      <c r="ED6" s="84"/>
      <c r="EE6" s="84"/>
      <c r="EF6" s="84"/>
      <c r="EG6" s="84"/>
      <c r="EH6" s="84"/>
      <c r="EI6" s="84"/>
      <c r="EJ6" s="84"/>
      <c r="EK6" s="84"/>
      <c r="EL6" s="84"/>
      <c r="EM6" s="84"/>
      <c r="EN6" s="84"/>
      <c r="EO6" s="84"/>
      <c r="EP6" s="84"/>
      <c r="EQ6" s="84"/>
      <c r="ER6" s="84"/>
      <c r="ES6" s="84"/>
      <c r="ET6" s="84"/>
      <c r="EU6" s="84"/>
      <c r="EV6" s="84"/>
      <c r="EW6" s="84"/>
      <c r="EX6" s="84"/>
      <c r="EY6" s="84"/>
      <c r="EZ6" s="84"/>
      <c r="FA6" s="84"/>
      <c r="FB6" s="84"/>
      <c r="FC6" s="84"/>
      <c r="FD6" s="84"/>
      <c r="FE6" s="84"/>
      <c r="FF6" s="84"/>
      <c r="FG6" s="84"/>
      <c r="FH6" s="84"/>
      <c r="FI6" s="84"/>
      <c r="FJ6" s="84"/>
      <c r="FK6" s="84"/>
      <c r="FL6" s="84"/>
      <c r="FM6" s="84"/>
      <c r="FN6" s="84"/>
      <c r="FO6" s="84"/>
      <c r="FP6" s="84"/>
      <c r="FQ6" s="84"/>
      <c r="FR6" s="84"/>
      <c r="FS6" s="84"/>
      <c r="FT6" s="84"/>
      <c r="FU6" s="84"/>
      <c r="FV6" s="84"/>
      <c r="FW6" s="84"/>
      <c r="FX6" s="84"/>
      <c r="FY6" s="84"/>
      <c r="FZ6" s="84"/>
      <c r="GA6" s="84"/>
      <c r="GB6" s="84"/>
      <c r="GC6" s="84"/>
      <c r="GD6" s="84"/>
      <c r="GE6" s="84"/>
      <c r="GF6" s="84"/>
      <c r="GG6" s="84"/>
      <c r="GH6" s="84"/>
      <c r="GI6" s="84"/>
      <c r="GJ6" s="84"/>
      <c r="GK6" s="84"/>
      <c r="GL6" s="84"/>
      <c r="GM6" s="84"/>
      <c r="GN6" s="84"/>
      <c r="GO6" s="84"/>
      <c r="GP6" s="84"/>
      <c r="GQ6" s="84"/>
      <c r="GR6" s="84"/>
      <c r="GS6" s="84"/>
      <c r="GT6" s="84"/>
      <c r="GU6" s="84"/>
      <c r="GV6" s="84"/>
      <c r="GW6" s="84"/>
      <c r="GX6" s="84"/>
      <c r="GY6" s="84"/>
      <c r="GZ6" s="84"/>
      <c r="HA6" s="84"/>
      <c r="HB6" s="84"/>
      <c r="HC6" s="84"/>
      <c r="HD6" s="84"/>
      <c r="HE6" s="84"/>
      <c r="HF6" s="84"/>
      <c r="HG6" s="84"/>
      <c r="HH6" s="84"/>
      <c r="HI6" s="84"/>
      <c r="HJ6" s="84"/>
      <c r="HK6" s="84"/>
      <c r="HL6" s="84"/>
      <c r="HM6" s="84"/>
      <c r="HN6" s="84"/>
      <c r="HO6" s="84"/>
      <c r="HP6" s="84"/>
      <c r="HQ6" s="84"/>
      <c r="HR6" s="84"/>
      <c r="HS6" s="84"/>
      <c r="HT6" s="84"/>
      <c r="HU6" s="84"/>
      <c r="HV6" s="84"/>
      <c r="HW6" s="84"/>
      <c r="HX6" s="84"/>
      <c r="HY6" s="84"/>
      <c r="HZ6" s="84"/>
      <c r="IA6" s="84"/>
      <c r="IB6" s="84"/>
      <c r="IC6" s="84"/>
      <c r="ID6" s="84"/>
      <c r="IE6" s="84"/>
      <c r="IF6" s="84"/>
      <c r="IG6" s="84"/>
      <c r="IH6" s="84"/>
      <c r="II6" s="84"/>
      <c r="IJ6" s="84"/>
      <c r="IK6" s="84"/>
      <c r="IL6" s="84"/>
      <c r="IM6" s="84"/>
      <c r="IN6" s="84"/>
      <c r="IO6" s="84"/>
      <c r="IP6" s="84"/>
      <c r="IQ6" s="84"/>
      <c r="IR6" s="84"/>
      <c r="IS6" s="84"/>
      <c r="IT6" s="84"/>
      <c r="IU6" s="84"/>
      <c r="IV6" s="84"/>
    </row>
    <row r="7" spans="1:256" s="42" customFormat="1" ht="3.95" customHeight="1" x14ac:dyDescent="0.25">
      <c r="A7" s="68"/>
      <c r="B7" s="68"/>
      <c r="C7" s="68"/>
      <c r="D7" s="68"/>
      <c r="E7" s="40"/>
      <c r="F7" s="106"/>
      <c r="G7" s="106"/>
      <c r="H7" s="106"/>
      <c r="I7" s="106"/>
      <c r="J7" s="106"/>
      <c r="K7" s="41"/>
      <c r="L7" s="41"/>
      <c r="M7" s="41"/>
      <c r="N7" s="41"/>
      <c r="O7" s="106"/>
      <c r="P7" s="41"/>
      <c r="Q7" s="41"/>
      <c r="R7" s="41"/>
      <c r="S7" s="41"/>
      <c r="T7" s="106"/>
      <c r="U7" s="41"/>
      <c r="V7" s="41"/>
      <c r="W7" s="41"/>
      <c r="X7" s="41"/>
      <c r="Y7" s="106"/>
      <c r="Z7" s="41"/>
      <c r="AA7" s="41"/>
      <c r="AB7" s="41"/>
      <c r="AC7" s="41"/>
      <c r="AD7" s="106"/>
      <c r="AE7" s="41"/>
      <c r="AF7" s="41"/>
      <c r="AG7" s="41"/>
      <c r="AH7" s="41"/>
      <c r="AI7" s="106"/>
      <c r="AJ7" s="41"/>
      <c r="AK7" s="41"/>
      <c r="AL7" s="41"/>
      <c r="AM7" s="41"/>
      <c r="AN7" s="106"/>
      <c r="AO7" s="41"/>
      <c r="AP7" s="41"/>
      <c r="AQ7" s="41"/>
      <c r="AR7" s="41"/>
      <c r="AS7" s="106"/>
      <c r="AT7" s="41"/>
      <c r="AU7" s="41"/>
      <c r="AV7" s="41"/>
      <c r="AW7" s="41"/>
      <c r="AX7" s="106"/>
      <c r="AY7" s="41"/>
      <c r="AZ7" s="41"/>
      <c r="BA7" s="41"/>
      <c r="BB7" s="41"/>
      <c r="BC7" s="106"/>
      <c r="BD7" s="41"/>
      <c r="BE7" s="41"/>
      <c r="BF7" s="41"/>
      <c r="BG7" s="41"/>
      <c r="BH7" s="106"/>
      <c r="BI7" s="41"/>
      <c r="BJ7" s="41"/>
      <c r="BK7" s="41"/>
      <c r="BL7" s="41"/>
      <c r="BM7" s="106"/>
      <c r="BN7" s="41"/>
      <c r="BO7" s="41"/>
      <c r="BP7" s="41"/>
      <c r="BQ7" s="41"/>
      <c r="BR7" s="106"/>
      <c r="BS7" s="41"/>
      <c r="BT7" s="41"/>
      <c r="BU7" s="41"/>
      <c r="BV7" s="41"/>
      <c r="BW7" s="106"/>
      <c r="BX7" s="41"/>
      <c r="BY7" s="41"/>
      <c r="BZ7" s="41"/>
      <c r="CA7" s="41"/>
      <c r="CB7" s="106"/>
      <c r="CC7" s="790"/>
      <c r="CD7" s="41"/>
      <c r="CE7" s="41"/>
      <c r="CF7" s="41"/>
      <c r="CG7" s="106"/>
      <c r="CH7" s="790"/>
      <c r="CI7" s="41"/>
      <c r="CJ7" s="41"/>
      <c r="CK7" s="41"/>
      <c r="CL7" s="106"/>
      <c r="CM7" s="41"/>
      <c r="CN7" s="41"/>
      <c r="CO7" s="41"/>
      <c r="CP7" s="41"/>
      <c r="CQ7" s="106"/>
      <c r="CR7" s="41"/>
      <c r="CS7" s="41"/>
      <c r="CT7" s="41"/>
      <c r="CU7" s="41"/>
      <c r="CV7" s="106"/>
    </row>
    <row r="8" spans="1:256" ht="12" customHeight="1" x14ac:dyDescent="0.25">
      <c r="E8" s="164" t="s">
        <v>11</v>
      </c>
      <c r="F8" s="137"/>
      <c r="G8" s="137"/>
      <c r="H8" s="137"/>
      <c r="I8" s="137"/>
      <c r="J8" s="137"/>
      <c r="K8" s="10"/>
      <c r="L8" s="10"/>
      <c r="M8" s="10"/>
      <c r="N8" s="10"/>
      <c r="O8" s="137"/>
      <c r="P8" s="10"/>
      <c r="Q8" s="10"/>
      <c r="R8" s="10"/>
      <c r="S8" s="10"/>
      <c r="T8" s="137"/>
      <c r="U8" s="10"/>
      <c r="V8" s="10"/>
      <c r="W8" s="10"/>
      <c r="X8" s="10"/>
      <c r="Y8" s="137"/>
      <c r="Z8" s="10"/>
      <c r="AA8" s="10"/>
      <c r="AB8" s="10"/>
      <c r="AC8" s="10"/>
      <c r="AD8" s="137"/>
      <c r="AE8" s="10"/>
      <c r="AF8" s="10"/>
      <c r="AG8" s="10"/>
      <c r="AH8" s="10"/>
      <c r="AI8" s="137"/>
      <c r="AJ8" s="10"/>
      <c r="AK8" s="10"/>
      <c r="AL8" s="10"/>
      <c r="AM8" s="10"/>
      <c r="AN8" s="137"/>
      <c r="AO8" s="10"/>
      <c r="AP8" s="10"/>
      <c r="AQ8" s="10"/>
      <c r="AR8" s="10"/>
      <c r="AS8" s="137">
        <f>SUM(AS9:AS14)</f>
        <v>255.739</v>
      </c>
      <c r="AT8" s="10"/>
      <c r="AU8" s="10"/>
      <c r="AV8" s="10"/>
      <c r="AW8" s="10"/>
      <c r="AX8" s="137"/>
      <c r="AY8" s="10"/>
      <c r="AZ8" s="10"/>
      <c r="BA8" s="10"/>
      <c r="BB8" s="10"/>
      <c r="BC8" s="137"/>
      <c r="BD8" s="10"/>
      <c r="BE8" s="10"/>
      <c r="BF8" s="10"/>
      <c r="BG8" s="10"/>
      <c r="BH8" s="137"/>
      <c r="BI8" s="10"/>
      <c r="BJ8" s="10"/>
      <c r="BK8" s="10"/>
      <c r="BL8" s="10"/>
      <c r="BM8" s="137"/>
      <c r="BN8" s="10"/>
      <c r="BO8" s="10"/>
      <c r="BP8" s="10"/>
      <c r="BQ8" s="10"/>
      <c r="BR8" s="137"/>
      <c r="BS8" s="10"/>
      <c r="BT8" s="10"/>
      <c r="BU8" s="10"/>
      <c r="BV8" s="10"/>
      <c r="BW8" s="137"/>
      <c r="BX8" s="10"/>
      <c r="BY8" s="10"/>
      <c r="BZ8" s="10"/>
      <c r="CA8" s="10"/>
      <c r="CB8" s="137"/>
      <c r="CC8" s="788"/>
      <c r="CD8" s="10"/>
      <c r="CE8" s="10"/>
      <c r="CF8" s="10"/>
      <c r="CG8" s="137"/>
      <c r="CH8" s="788"/>
      <c r="CI8" s="10"/>
      <c r="CJ8" s="10"/>
      <c r="CK8" s="10"/>
      <c r="CL8" s="137"/>
      <c r="CM8" s="10"/>
      <c r="CN8" s="10"/>
      <c r="CO8" s="10"/>
      <c r="CP8" s="10"/>
      <c r="CQ8" s="137"/>
      <c r="CR8" s="10"/>
      <c r="CS8" s="10"/>
      <c r="CT8" s="10"/>
      <c r="CU8" s="10"/>
      <c r="CV8" s="137"/>
    </row>
    <row r="9" spans="1:256" s="27" customFormat="1" ht="12" customHeight="1" x14ac:dyDescent="0.25">
      <c r="A9" s="165" t="s">
        <v>383</v>
      </c>
      <c r="B9" s="165" t="s">
        <v>371</v>
      </c>
      <c r="C9" s="165" t="s">
        <v>381</v>
      </c>
      <c r="D9" s="165" t="s">
        <v>382</v>
      </c>
      <c r="E9" s="27" t="s">
        <v>359</v>
      </c>
      <c r="F9" s="139"/>
      <c r="G9" s="139"/>
      <c r="H9" s="139"/>
      <c r="I9" s="139"/>
      <c r="J9" s="139"/>
      <c r="O9" s="139"/>
      <c r="T9" s="139">
        <f>Income!T83</f>
        <v>69.717999999999904</v>
      </c>
      <c r="Y9" s="139">
        <f>Income!Y83</f>
        <v>64.127999999999986</v>
      </c>
      <c r="AD9" s="139">
        <f>Income!AD83</f>
        <v>70.739999999999966</v>
      </c>
      <c r="AE9" s="27">
        <f>Income!AE83</f>
        <v>-13.690000000000031</v>
      </c>
      <c r="AF9" s="27">
        <f>Income!AF83</f>
        <v>9.1949999999999932</v>
      </c>
      <c r="AG9" s="27">
        <f>Income!AG83</f>
        <v>55.000000000000014</v>
      </c>
      <c r="AH9" s="27">
        <f>Income!AH83</f>
        <v>-58.285000000000068</v>
      </c>
      <c r="AI9" s="139">
        <f>SUM(AE9:AH9)</f>
        <v>-7.7800000000000935</v>
      </c>
      <c r="AJ9" s="27">
        <f>Income!AJ83</f>
        <v>10.650000000000006</v>
      </c>
      <c r="AK9" s="27">
        <f>Income!AK83</f>
        <v>15.853000000000002</v>
      </c>
      <c r="AL9" s="27">
        <f>Income!AL83</f>
        <v>-11.449000000000003</v>
      </c>
      <c r="AM9" s="27">
        <f>Income!AM83</f>
        <v>22.450000000000031</v>
      </c>
      <c r="AN9" s="139">
        <f>SUM(AJ9:AM9)</f>
        <v>37.504000000000033</v>
      </c>
      <c r="AO9" s="27">
        <f>Income!AO83</f>
        <v>4.1939999999999902</v>
      </c>
      <c r="AP9" s="27">
        <f>Income!AP83</f>
        <v>9.4450000000000252</v>
      </c>
      <c r="AQ9" s="27">
        <f>Income!AQ83-Income!AQ76</f>
        <v>14.158000000000026</v>
      </c>
      <c r="AR9" s="27">
        <f>Income!AR83-Income!AR76</f>
        <v>16.361999999999973</v>
      </c>
      <c r="AS9" s="139">
        <f>SUM(AO9:AR9)</f>
        <v>44.159000000000013</v>
      </c>
      <c r="AT9" s="27">
        <f>Income!AT83-Income!AT76</f>
        <v>9.4360000000000142</v>
      </c>
      <c r="AU9" s="27">
        <f>Income!AU83-Income!AU76</f>
        <v>12.697000000000008</v>
      </c>
      <c r="AV9" s="27">
        <f>Income!AV83-Income!AV76</f>
        <v>20.414000000000044</v>
      </c>
      <c r="AW9" s="27">
        <f>Income!AW83-Income!AW76</f>
        <v>-70.990000000000038</v>
      </c>
      <c r="AX9" s="139">
        <f>SUM(AT9:AW9)</f>
        <v>-28.442999999999969</v>
      </c>
      <c r="AY9" s="85">
        <f>Income!AY83-Income!AY76</f>
        <v>10.014999999999997</v>
      </c>
      <c r="AZ9" s="27">
        <f>Income!AZ83-Income!AZ76</f>
        <v>12.977000000000022</v>
      </c>
      <c r="BA9" s="27">
        <f>Income!BA83-Income!BA76</f>
        <v>2.6510000000000176</v>
      </c>
      <c r="BB9" s="27">
        <f>Income!BB83-Income!BB76</f>
        <v>45.87299999999999</v>
      </c>
      <c r="BC9" s="139">
        <f>SUM(AY9:BB9)</f>
        <v>71.51600000000002</v>
      </c>
      <c r="BD9" s="27">
        <f>Income!BD83-Income!BD76</f>
        <v>13.198999999999996</v>
      </c>
      <c r="BE9" s="27">
        <f>Income!BE83-Income!BE76</f>
        <v>16.371999999999989</v>
      </c>
      <c r="BF9" s="27">
        <f>Income!BF83-Income!BF76</f>
        <v>14.44900000000005</v>
      </c>
      <c r="BG9" s="27">
        <f>Income!BG83-Income!BG76</f>
        <v>13.098999999999982</v>
      </c>
      <c r="BH9" s="139">
        <f>SUM(BD9:BG9)</f>
        <v>57.119000000000014</v>
      </c>
      <c r="BI9" s="27">
        <f>Income!BI83-Income!BI76</f>
        <v>13.094999999999972</v>
      </c>
      <c r="BJ9" s="27">
        <f>Income!BJ83-Income!BJ76</f>
        <v>9.8639999999999475</v>
      </c>
      <c r="BK9" s="27">
        <f>Income!BK83-Income!BK76</f>
        <v>15.067000000000041</v>
      </c>
      <c r="BL9" s="27">
        <f>Income!BL83-Income!BL76</f>
        <v>-29.222999999999978</v>
      </c>
      <c r="BM9" s="139">
        <f>SUM(BI9:BL9)</f>
        <v>8.8029999999999831</v>
      </c>
      <c r="BN9" s="27">
        <f>Income!BN83-Income!BN76</f>
        <v>-7.6040000000000134</v>
      </c>
      <c r="BO9" s="27">
        <f>Income!BO83-Income!BO76</f>
        <v>-1.5439999999999987</v>
      </c>
      <c r="BP9" s="27">
        <f>Income!BP83-Income!BP76</f>
        <v>4.1560000000000095</v>
      </c>
      <c r="BQ9" s="27">
        <f>Income!BQ83-Income!BQ76</f>
        <v>-6.0389999999999988</v>
      </c>
      <c r="BR9" s="139">
        <f t="shared" ref="BR9:BR14" si="0">SUM(BN9:BQ9)</f>
        <v>-11.031000000000002</v>
      </c>
      <c r="BS9" s="27">
        <f>Income!BS83-Income!BS76</f>
        <v>-1.0389999999999837</v>
      </c>
      <c r="BT9" s="27">
        <f>Income!BT83-Income!BT76</f>
        <v>10.723000000000006</v>
      </c>
      <c r="BU9" s="27">
        <f>Income!BU83-Income!BU76</f>
        <v>-1.4099999999999886</v>
      </c>
      <c r="BV9" s="27">
        <f>Income!BV83-Income!BV76</f>
        <v>-1.5709999999999951</v>
      </c>
      <c r="BW9" s="139">
        <f t="shared" ref="BW9:BW14" si="1">SUM(BS9:BV9)</f>
        <v>6.7030000000000376</v>
      </c>
      <c r="BX9" s="27">
        <f>Income!BX83-Income!BX76</f>
        <v>3.9759999999999849</v>
      </c>
      <c r="BY9" s="27">
        <f>Income!BY83-Income!BY76</f>
        <v>7.1399999999999881</v>
      </c>
      <c r="BZ9" s="27">
        <f>Income!BZ83-Income!BZ76</f>
        <v>1.0729999999999986</v>
      </c>
      <c r="CA9" s="27">
        <f>Income!CA83-Income!CA76</f>
        <v>-8.0809999999999782</v>
      </c>
      <c r="CB9" s="139">
        <f t="shared" ref="CB9:CB14" si="2">SUM(BX9:CA9)</f>
        <v>4.1079999999999934</v>
      </c>
      <c r="CC9" s="645">
        <f>Income!CC83-Income!CC76</f>
        <v>-1.3000000000000007</v>
      </c>
      <c r="CD9" s="27">
        <f>Income!CD83-Income!CD76</f>
        <v>-3.3360000000000056</v>
      </c>
      <c r="CE9" s="27">
        <f>Income!CE83-Income!CE76</f>
        <v>22.940999999999995</v>
      </c>
      <c r="CF9" s="27">
        <f>Income!CF83-Income!CF76</f>
        <v>5.1749999999999936</v>
      </c>
      <c r="CG9" s="139">
        <f t="shared" ref="CG9:CG12" si="3">SUM(CC9:CF9)</f>
        <v>23.479999999999983</v>
      </c>
      <c r="CH9" s="645">
        <f>Income!CH83-Income!CH76</f>
        <v>-3.0150000000000041</v>
      </c>
      <c r="CI9" s="27">
        <f>Income!CI83-Income!CI76</f>
        <v>20.62299999999999</v>
      </c>
      <c r="CJ9" s="27">
        <f>Income!CJ83-Income!CJ76</f>
        <v>1121.9267380000001</v>
      </c>
      <c r="CK9" s="27">
        <f>Income!CK83-Income!CK76</f>
        <v>-39.64363114624998</v>
      </c>
      <c r="CL9" s="139">
        <f t="shared" ref="CL9:CL14" si="4">SUM(CH9:CK9)</f>
        <v>1099.89110685375</v>
      </c>
      <c r="CM9" s="27">
        <f>Income!CM83-Income!CM76</f>
        <v>-24.556135463410683</v>
      </c>
      <c r="CN9" s="27">
        <f>Income!CN83-Income!CN76</f>
        <v>-21.467203732622391</v>
      </c>
      <c r="CO9" s="27">
        <f>Income!CO83-Income!CO76</f>
        <v>-16.404294716856178</v>
      </c>
      <c r="CP9" s="27">
        <f>Income!CP83-Income!CP76</f>
        <v>-16.910376025595308</v>
      </c>
      <c r="CQ9" s="139">
        <f>SUM(CM9:CP9)</f>
        <v>-79.338009938484561</v>
      </c>
      <c r="CR9" s="27">
        <f>Income!CR83-Income!CR76</f>
        <v>-17.179425791583167</v>
      </c>
      <c r="CS9" s="27">
        <f>Income!CS83-Income!CS76</f>
        <v>-13.210699369731351</v>
      </c>
      <c r="CT9" s="27">
        <f>Income!CT83-Income!CT76</f>
        <v>-6.4244684899399953</v>
      </c>
      <c r="CU9" s="27">
        <f>Income!CU83-Income!CU76</f>
        <v>-6.1647072613715128</v>
      </c>
      <c r="CV9" s="139">
        <f t="shared" ref="CV9:CV14" si="5">SUM(CR9:CU9)</f>
        <v>-42.979300912626023</v>
      </c>
      <c r="CW9" s="85"/>
      <c r="CX9" s="85"/>
      <c r="CY9" s="85"/>
      <c r="CZ9" s="85"/>
      <c r="DA9" s="85"/>
      <c r="DB9" s="85"/>
      <c r="DC9" s="85"/>
      <c r="DD9" s="85"/>
      <c r="DE9" s="85"/>
      <c r="DF9" s="85"/>
      <c r="DG9" s="85"/>
      <c r="DH9" s="85"/>
      <c r="DI9" s="85"/>
      <c r="DJ9" s="85"/>
      <c r="DK9" s="85"/>
      <c r="DL9" s="85"/>
      <c r="DM9" s="85"/>
      <c r="DN9" s="85"/>
      <c r="DO9" s="85"/>
      <c r="DP9" s="85"/>
      <c r="DQ9" s="85"/>
      <c r="DR9" s="85"/>
      <c r="DS9" s="85"/>
      <c r="DT9" s="85"/>
      <c r="DU9" s="85"/>
      <c r="DV9" s="85"/>
      <c r="DW9" s="85"/>
      <c r="DX9" s="85"/>
      <c r="DY9" s="85"/>
      <c r="DZ9" s="85"/>
      <c r="EA9" s="85"/>
      <c r="EB9" s="85"/>
      <c r="EC9" s="85"/>
      <c r="ED9" s="85"/>
      <c r="EE9" s="85"/>
      <c r="EF9" s="85"/>
      <c r="EG9" s="85"/>
      <c r="EH9" s="85"/>
      <c r="EI9" s="85"/>
      <c r="EJ9" s="85"/>
      <c r="EK9" s="85"/>
      <c r="EL9" s="85"/>
      <c r="EM9" s="85"/>
      <c r="EN9" s="85"/>
      <c r="EO9" s="85"/>
      <c r="EP9" s="85"/>
      <c r="EQ9" s="85"/>
      <c r="ER9" s="85"/>
      <c r="ES9" s="85"/>
      <c r="ET9" s="85"/>
      <c r="EU9" s="85"/>
      <c r="EV9" s="85"/>
      <c r="EW9" s="85"/>
      <c r="EX9" s="85"/>
      <c r="EY9" s="85"/>
      <c r="EZ9" s="85"/>
      <c r="FA9" s="85"/>
      <c r="FB9" s="85"/>
      <c r="FC9" s="85"/>
      <c r="FD9" s="85"/>
      <c r="FE9" s="85"/>
      <c r="FF9" s="85"/>
      <c r="FG9" s="85"/>
      <c r="FH9" s="85"/>
      <c r="FI9" s="85"/>
      <c r="FJ9" s="85"/>
      <c r="FK9" s="85"/>
      <c r="FL9" s="85"/>
      <c r="FM9" s="85"/>
      <c r="FN9" s="85"/>
      <c r="FO9" s="85"/>
      <c r="FP9" s="85"/>
      <c r="FQ9" s="85"/>
      <c r="FR9" s="85"/>
      <c r="FS9" s="85"/>
      <c r="FT9" s="85"/>
      <c r="FU9" s="85"/>
      <c r="FV9" s="85"/>
      <c r="FW9" s="85"/>
      <c r="FX9" s="85"/>
      <c r="FY9" s="85"/>
      <c r="FZ9" s="85"/>
      <c r="GA9" s="85"/>
      <c r="GB9" s="85"/>
      <c r="GC9" s="85"/>
      <c r="GD9" s="85"/>
      <c r="GE9" s="85"/>
      <c r="GF9" s="85"/>
      <c r="GG9" s="85"/>
      <c r="GH9" s="85"/>
      <c r="GI9" s="85"/>
      <c r="GJ9" s="85"/>
      <c r="GK9" s="85"/>
      <c r="GL9" s="85"/>
      <c r="GM9" s="85"/>
      <c r="GN9" s="85"/>
      <c r="GO9" s="85"/>
      <c r="GP9" s="85"/>
      <c r="GQ9" s="85"/>
      <c r="GR9" s="85"/>
      <c r="GS9" s="85"/>
      <c r="GT9" s="85"/>
      <c r="GU9" s="85"/>
      <c r="GV9" s="85"/>
      <c r="GW9" s="85"/>
      <c r="GX9" s="85"/>
      <c r="GY9" s="85"/>
      <c r="GZ9" s="85"/>
      <c r="HA9" s="85"/>
      <c r="HB9" s="85"/>
      <c r="HC9" s="85"/>
      <c r="HD9" s="85"/>
      <c r="HE9" s="85"/>
      <c r="HF9" s="85"/>
      <c r="HG9" s="85"/>
      <c r="HH9" s="85"/>
      <c r="HI9" s="85"/>
      <c r="HJ9" s="85"/>
      <c r="HK9" s="85"/>
      <c r="HL9" s="85"/>
      <c r="HM9" s="85"/>
      <c r="HN9" s="85"/>
      <c r="HO9" s="85"/>
      <c r="HP9" s="85"/>
      <c r="HQ9" s="85"/>
      <c r="HR9" s="85"/>
      <c r="HS9" s="85"/>
      <c r="HT9" s="85"/>
      <c r="HU9" s="85"/>
      <c r="HV9" s="85"/>
      <c r="HW9" s="85"/>
      <c r="HX9" s="85"/>
      <c r="HY9" s="85"/>
      <c r="HZ9" s="85"/>
      <c r="IA9" s="85"/>
      <c r="IB9" s="85"/>
      <c r="IC9" s="85"/>
      <c r="ID9" s="85"/>
      <c r="IE9" s="85"/>
      <c r="IF9" s="85"/>
      <c r="IG9" s="85"/>
      <c r="IH9" s="85"/>
      <c r="II9" s="85"/>
      <c r="IJ9" s="85"/>
      <c r="IK9" s="85"/>
      <c r="IL9" s="85"/>
      <c r="IM9" s="85"/>
      <c r="IN9" s="85"/>
      <c r="IO9" s="85"/>
      <c r="IP9" s="85"/>
      <c r="IQ9" s="85"/>
      <c r="IR9" s="85"/>
      <c r="IS9" s="85"/>
      <c r="IT9" s="85"/>
      <c r="IU9" s="85"/>
      <c r="IV9" s="85"/>
    </row>
    <row r="10" spans="1:256" s="27" customFormat="1" ht="12" customHeight="1" x14ac:dyDescent="0.25">
      <c r="A10" s="122">
        <v>1.55</v>
      </c>
      <c r="B10" s="122"/>
      <c r="C10" s="122">
        <v>1.9</v>
      </c>
      <c r="D10" s="122">
        <v>2.4</v>
      </c>
      <c r="E10" s="27" t="s">
        <v>396</v>
      </c>
      <c r="F10" s="140"/>
      <c r="G10" s="140"/>
      <c r="H10" s="140"/>
      <c r="I10" s="140"/>
      <c r="J10" s="140"/>
      <c r="K10" s="124"/>
      <c r="L10" s="124"/>
      <c r="M10" s="124"/>
      <c r="N10" s="124"/>
      <c r="O10" s="139"/>
      <c r="P10" s="124"/>
      <c r="Q10" s="124"/>
      <c r="R10" s="124"/>
      <c r="S10" s="124"/>
      <c r="T10" s="140">
        <f>195.12</f>
        <v>195.12</v>
      </c>
      <c r="U10" s="124"/>
      <c r="V10" s="124"/>
      <c r="W10" s="124"/>
      <c r="X10" s="124"/>
      <c r="Y10" s="140">
        <f>231.137</f>
        <v>231.137</v>
      </c>
      <c r="Z10" s="124"/>
      <c r="AA10" s="124"/>
      <c r="AB10" s="124"/>
      <c r="AC10" s="124"/>
      <c r="AD10" s="140">
        <f>229.566</f>
        <v>229.566</v>
      </c>
      <c r="AE10" s="124">
        <f>59.102</f>
        <v>59.101999999999997</v>
      </c>
      <c r="AF10" s="124">
        <f>60.819</f>
        <v>60.819000000000003</v>
      </c>
      <c r="AG10" s="124">
        <f>57.424</f>
        <v>57.423999999999999</v>
      </c>
      <c r="AH10" s="124">
        <f>116.72</f>
        <v>116.72</v>
      </c>
      <c r="AI10" s="139">
        <f t="shared" ref="AI10:AI20" si="6">SUM(AE10:AH10)</f>
        <v>294.065</v>
      </c>
      <c r="AJ10" s="124">
        <f>53.893</f>
        <v>53.893000000000001</v>
      </c>
      <c r="AK10" s="124">
        <f>50.727</f>
        <v>50.726999999999997</v>
      </c>
      <c r="AL10" s="124">
        <f>49.677</f>
        <v>49.677</v>
      </c>
      <c r="AM10" s="124">
        <f>44.387</f>
        <v>44.387</v>
      </c>
      <c r="AN10" s="139">
        <f t="shared" ref="AN10:AN20" si="7">SUM(AJ10:AM10)</f>
        <v>198.684</v>
      </c>
      <c r="AO10" s="124">
        <f>40.595</f>
        <v>40.594999999999999</v>
      </c>
      <c r="AP10" s="124">
        <f>41.147</f>
        <v>41.146999999999998</v>
      </c>
      <c r="AQ10" s="124">
        <f>43.17</f>
        <v>43.17</v>
      </c>
      <c r="AR10" s="124">
        <f>42.652</f>
        <v>42.652000000000001</v>
      </c>
      <c r="AS10" s="139">
        <f t="shared" ref="AS10:AS20" si="8">SUM(AO10:AR10)</f>
        <v>167.56399999999999</v>
      </c>
      <c r="AT10" s="124">
        <v>35.985999999999997</v>
      </c>
      <c r="AU10" s="124">
        <v>37.72</v>
      </c>
      <c r="AV10" s="124">
        <v>34.880000000000003</v>
      </c>
      <c r="AW10" s="124">
        <v>37.768999999999998</v>
      </c>
      <c r="AX10" s="139">
        <f t="shared" ref="AX10:AX20" si="9">SUM(AT10:AW10)</f>
        <v>146.35499999999999</v>
      </c>
      <c r="AY10" s="124">
        <v>35.295000000000002</v>
      </c>
      <c r="AZ10" s="124">
        <v>34.959000000000003</v>
      </c>
      <c r="BA10" s="124">
        <v>32.985999999999997</v>
      </c>
      <c r="BB10" s="124">
        <v>31.422000000000001</v>
      </c>
      <c r="BC10" s="139">
        <f t="shared" ref="BC10:BC20" si="10">SUM(AY10:BB10)</f>
        <v>134.66200000000001</v>
      </c>
      <c r="BD10" s="124">
        <v>30.995000000000001</v>
      </c>
      <c r="BE10" s="124">
        <v>29.236000000000001</v>
      </c>
      <c r="BF10" s="124">
        <v>29.363</v>
      </c>
      <c r="BG10" s="124">
        <v>26.614000000000001</v>
      </c>
      <c r="BH10" s="139">
        <f t="shared" ref="BH10:BH20" si="11">SUM(BD10:BG10)</f>
        <v>116.208</v>
      </c>
      <c r="BI10" s="124">
        <v>25.184999999999999</v>
      </c>
      <c r="BJ10" s="124">
        <v>25.334</v>
      </c>
      <c r="BK10" s="124">
        <v>25.608000000000001</v>
      </c>
      <c r="BL10" s="124">
        <v>26.879000000000001</v>
      </c>
      <c r="BM10" s="139">
        <f>SUM(BI10:BL10)</f>
        <v>103.006</v>
      </c>
      <c r="BN10" s="124">
        <v>15.92</v>
      </c>
      <c r="BO10" s="124">
        <v>18.257000000000001</v>
      </c>
      <c r="BP10" s="124">
        <v>20.51</v>
      </c>
      <c r="BQ10" s="124">
        <v>25.76</v>
      </c>
      <c r="BR10" s="139">
        <f>SUM(BN10:BQ10)</f>
        <v>80.447000000000003</v>
      </c>
      <c r="BS10" s="124">
        <v>21.774999999999999</v>
      </c>
      <c r="BT10" s="124">
        <v>20.635000000000002</v>
      </c>
      <c r="BU10" s="124">
        <v>20.811</v>
      </c>
      <c r="BV10" s="124">
        <v>22.242000000000001</v>
      </c>
      <c r="BW10" s="139">
        <f t="shared" si="1"/>
        <v>85.462999999999994</v>
      </c>
      <c r="BX10" s="124">
        <v>20.79</v>
      </c>
      <c r="BY10" s="124">
        <v>20.36</v>
      </c>
      <c r="BZ10" s="124">
        <v>19.946999999999999</v>
      </c>
      <c r="CA10" s="124">
        <f>82.69-BZ10-BY10-BX10</f>
        <v>21.592999999999996</v>
      </c>
      <c r="CB10" s="139">
        <f t="shared" si="2"/>
        <v>82.69</v>
      </c>
      <c r="CC10" s="636">
        <f>18.931-CD10</f>
        <v>9.1990000000000016</v>
      </c>
      <c r="CD10" s="124">
        <v>9.7319999999999993</v>
      </c>
      <c r="CE10" s="124">
        <v>9.3079999999999998</v>
      </c>
      <c r="CF10" s="124">
        <v>10.394</v>
      </c>
      <c r="CG10" s="139">
        <f t="shared" si="3"/>
        <v>38.633000000000003</v>
      </c>
      <c r="CH10" s="636">
        <f>16.54-CI10</f>
        <v>9.5299999999999994</v>
      </c>
      <c r="CI10" s="124">
        <v>7.01</v>
      </c>
      <c r="CJ10" s="166">
        <v>8.6999999999999993</v>
      </c>
      <c r="CK10" s="166">
        <v>8.6999999999999993</v>
      </c>
      <c r="CL10" s="139">
        <f t="shared" si="4"/>
        <v>33.94</v>
      </c>
      <c r="CM10" s="724">
        <v>8.6999999999999993</v>
      </c>
      <c r="CN10" s="724">
        <v>8.65</v>
      </c>
      <c r="CO10" s="724">
        <v>8.65</v>
      </c>
      <c r="CP10" s="724">
        <v>8.65</v>
      </c>
      <c r="CQ10" s="139">
        <f t="shared" ref="CQ10:CQ12" si="12">SUM(CM10:CP10)</f>
        <v>34.65</v>
      </c>
      <c r="CR10" s="724">
        <v>8.6</v>
      </c>
      <c r="CS10" s="724">
        <v>8.6</v>
      </c>
      <c r="CT10" s="724">
        <v>8.6</v>
      </c>
      <c r="CU10" s="724">
        <v>8.6</v>
      </c>
      <c r="CV10" s="139">
        <f t="shared" si="5"/>
        <v>34.4</v>
      </c>
      <c r="CW10" s="85"/>
      <c r="CX10" s="85"/>
      <c r="CY10" s="85"/>
      <c r="CZ10" s="85"/>
      <c r="DA10" s="85"/>
      <c r="DB10" s="85"/>
      <c r="DC10" s="85"/>
      <c r="DD10" s="85"/>
      <c r="DE10" s="85"/>
      <c r="DF10" s="85"/>
      <c r="DG10" s="85"/>
      <c r="DH10" s="85"/>
      <c r="DI10" s="85"/>
      <c r="DJ10" s="85"/>
      <c r="DK10" s="85"/>
      <c r="DL10" s="85"/>
      <c r="DM10" s="85"/>
      <c r="DN10" s="85"/>
      <c r="DO10" s="85"/>
      <c r="DP10" s="85"/>
      <c r="DQ10" s="85"/>
      <c r="DR10" s="85"/>
      <c r="DS10" s="85"/>
      <c r="DT10" s="85"/>
      <c r="DU10" s="85"/>
      <c r="DV10" s="85"/>
      <c r="DW10" s="85"/>
      <c r="DX10" s="85"/>
      <c r="DY10" s="85"/>
      <c r="DZ10" s="85"/>
      <c r="EA10" s="85"/>
      <c r="EB10" s="85"/>
      <c r="EC10" s="85"/>
      <c r="ED10" s="85"/>
      <c r="EE10" s="85"/>
      <c r="EF10" s="85"/>
      <c r="EG10" s="85"/>
      <c r="EH10" s="85"/>
      <c r="EI10" s="85"/>
      <c r="EJ10" s="85"/>
      <c r="EK10" s="85"/>
      <c r="EL10" s="85"/>
      <c r="EM10" s="85"/>
      <c r="EN10" s="85"/>
      <c r="EO10" s="85"/>
      <c r="EP10" s="85"/>
      <c r="EQ10" s="85"/>
      <c r="ER10" s="85"/>
      <c r="ES10" s="85"/>
      <c r="ET10" s="85"/>
      <c r="EU10" s="85"/>
      <c r="EV10" s="85"/>
      <c r="EW10" s="85"/>
      <c r="EX10" s="85"/>
      <c r="EY10" s="85"/>
      <c r="EZ10" s="85"/>
      <c r="FA10" s="85"/>
      <c r="FB10" s="85"/>
      <c r="FC10" s="85"/>
      <c r="FD10" s="85"/>
      <c r="FE10" s="85"/>
      <c r="FF10" s="85"/>
      <c r="FG10" s="85"/>
      <c r="FH10" s="85"/>
      <c r="FI10" s="85"/>
      <c r="FJ10" s="85"/>
      <c r="FK10" s="85"/>
      <c r="FL10" s="85"/>
      <c r="FM10" s="85"/>
      <c r="FN10" s="85"/>
      <c r="FO10" s="85"/>
      <c r="FP10" s="85"/>
      <c r="FQ10" s="85"/>
      <c r="FR10" s="85"/>
      <c r="FS10" s="85"/>
      <c r="FT10" s="85"/>
      <c r="FU10" s="85"/>
      <c r="FV10" s="85"/>
      <c r="FW10" s="85"/>
      <c r="FX10" s="85"/>
      <c r="FY10" s="85"/>
      <c r="FZ10" s="85"/>
      <c r="GA10" s="85"/>
      <c r="GB10" s="85"/>
      <c r="GC10" s="85"/>
      <c r="GD10" s="85"/>
      <c r="GE10" s="85"/>
      <c r="GF10" s="85"/>
      <c r="GG10" s="85"/>
      <c r="GH10" s="85"/>
      <c r="GI10" s="85"/>
      <c r="GJ10" s="85"/>
      <c r="GK10" s="85"/>
      <c r="GL10" s="85"/>
      <c r="GM10" s="85"/>
      <c r="GN10" s="85"/>
      <c r="GO10" s="85"/>
      <c r="GP10" s="85"/>
      <c r="GQ10" s="85"/>
      <c r="GR10" s="85"/>
      <c r="GS10" s="85"/>
      <c r="GT10" s="85"/>
      <c r="GU10" s="85"/>
      <c r="GV10" s="85"/>
      <c r="GW10" s="85"/>
      <c r="GX10" s="85"/>
      <c r="GY10" s="85"/>
      <c r="GZ10" s="85"/>
      <c r="HA10" s="85"/>
      <c r="HB10" s="85"/>
      <c r="HC10" s="85"/>
      <c r="HD10" s="85"/>
      <c r="HE10" s="85"/>
      <c r="HF10" s="85"/>
      <c r="HG10" s="85"/>
      <c r="HH10" s="85"/>
      <c r="HI10" s="85"/>
      <c r="HJ10" s="85"/>
      <c r="HK10" s="85"/>
      <c r="HL10" s="85"/>
      <c r="HM10" s="85"/>
      <c r="HN10" s="85"/>
      <c r="HO10" s="85"/>
      <c r="HP10" s="85"/>
      <c r="HQ10" s="85"/>
      <c r="HR10" s="85"/>
      <c r="HS10" s="85"/>
      <c r="HT10" s="85"/>
      <c r="HU10" s="85"/>
      <c r="HV10" s="85"/>
      <c r="HW10" s="85"/>
      <c r="HX10" s="85"/>
      <c r="HY10" s="85"/>
      <c r="HZ10" s="85"/>
      <c r="IA10" s="85"/>
      <c r="IB10" s="85"/>
      <c r="IC10" s="85"/>
      <c r="ID10" s="85"/>
      <c r="IE10" s="85"/>
      <c r="IF10" s="85"/>
      <c r="IG10" s="85"/>
      <c r="IH10" s="85"/>
      <c r="II10" s="85"/>
      <c r="IJ10" s="85"/>
      <c r="IK10" s="85"/>
      <c r="IL10" s="85"/>
      <c r="IM10" s="85"/>
      <c r="IN10" s="85"/>
      <c r="IO10" s="85"/>
      <c r="IP10" s="85"/>
      <c r="IQ10" s="85"/>
      <c r="IR10" s="85"/>
      <c r="IS10" s="85"/>
      <c r="IT10" s="85"/>
      <c r="IU10" s="85"/>
      <c r="IV10" s="85"/>
    </row>
    <row r="11" spans="1:256" s="27" customFormat="1" ht="12" customHeight="1" x14ac:dyDescent="0.25">
      <c r="A11" s="122"/>
      <c r="B11" s="122"/>
      <c r="C11" s="122"/>
      <c r="D11" s="122"/>
      <c r="E11" s="27" t="s">
        <v>615</v>
      </c>
      <c r="F11" s="140"/>
      <c r="G11" s="140"/>
      <c r="H11" s="140"/>
      <c r="I11" s="140"/>
      <c r="J11" s="140"/>
      <c r="K11" s="124"/>
      <c r="L11" s="124"/>
      <c r="M11" s="124"/>
      <c r="N11" s="124"/>
      <c r="O11" s="139"/>
      <c r="P11" s="124"/>
      <c r="Q11" s="124"/>
      <c r="R11" s="124"/>
      <c r="S11" s="124"/>
      <c r="T11" s="140"/>
      <c r="U11" s="124"/>
      <c r="V11" s="124"/>
      <c r="W11" s="124"/>
      <c r="X11" s="124"/>
      <c r="Y11" s="140"/>
      <c r="Z11" s="124"/>
      <c r="AA11" s="124"/>
      <c r="AB11" s="124"/>
      <c r="AC11" s="124"/>
      <c r="AD11" s="140"/>
      <c r="AE11" s="124"/>
      <c r="AF11" s="124"/>
      <c r="AG11" s="124"/>
      <c r="AH11" s="124"/>
      <c r="AI11" s="139"/>
      <c r="AJ11" s="124"/>
      <c r="AK11" s="124"/>
      <c r="AL11" s="124"/>
      <c r="AM11" s="124"/>
      <c r="AN11" s="139"/>
      <c r="AO11" s="124"/>
      <c r="AP11" s="124"/>
      <c r="AQ11" s="124"/>
      <c r="AR11" s="124"/>
      <c r="AS11" s="139"/>
      <c r="AT11" s="124"/>
      <c r="AU11" s="124"/>
      <c r="AV11" s="124"/>
      <c r="AW11" s="124"/>
      <c r="AX11" s="139"/>
      <c r="AY11" s="124"/>
      <c r="AZ11" s="124"/>
      <c r="BA11" s="124"/>
      <c r="BB11" s="124"/>
      <c r="BC11" s="139"/>
      <c r="BD11" s="124"/>
      <c r="BE11" s="124"/>
      <c r="BF11" s="124"/>
      <c r="BG11" s="124"/>
      <c r="BH11" s="139"/>
      <c r="BI11" s="124"/>
      <c r="BJ11" s="124"/>
      <c r="BK11" s="124"/>
      <c r="BL11" s="124"/>
      <c r="BM11" s="513">
        <v>-26.143000000000001</v>
      </c>
      <c r="BN11" s="124">
        <v>-3.137</v>
      </c>
      <c r="BO11" s="124">
        <v>-5.5570000000000004</v>
      </c>
      <c r="BP11" s="124">
        <v>-3.819</v>
      </c>
      <c r="BQ11" s="124">
        <v>-2.9980000000000002</v>
      </c>
      <c r="BR11" s="139">
        <f t="shared" si="0"/>
        <v>-15.511000000000003</v>
      </c>
      <c r="BS11" s="27">
        <f>-Income!BS78</f>
        <v>-4.1429999999999998</v>
      </c>
      <c r="BT11" s="27">
        <f>-Income!BT78</f>
        <v>-12.068</v>
      </c>
      <c r="BU11" s="27">
        <f>-Income!BU78</f>
        <v>0.97099999999999997</v>
      </c>
      <c r="BV11" s="27">
        <f>Income!BV78</f>
        <v>0.111</v>
      </c>
      <c r="BW11" s="139">
        <f t="shared" si="1"/>
        <v>-15.128999999999998</v>
      </c>
      <c r="BX11" s="27">
        <f>Income!BX78</f>
        <v>0</v>
      </c>
      <c r="BY11" s="27">
        <f>Income!BY78</f>
        <v>0</v>
      </c>
      <c r="BZ11" s="27">
        <f>Income!BZ78</f>
        <v>0</v>
      </c>
      <c r="CA11" s="27">
        <f>Income!CA78</f>
        <v>0</v>
      </c>
      <c r="CB11" s="139">
        <f t="shared" si="2"/>
        <v>0</v>
      </c>
      <c r="CC11" s="645">
        <f>-Income!CC78</f>
        <v>-25.779</v>
      </c>
      <c r="CD11" s="27">
        <f>-Income!CD78</f>
        <v>-22.664999999999999</v>
      </c>
      <c r="CE11" s="27">
        <f>-Income!CE78</f>
        <v>-20.407</v>
      </c>
      <c r="CF11" s="27">
        <f>-Income!CF78</f>
        <v>-24.773</v>
      </c>
      <c r="CG11" s="139">
        <f t="shared" si="3"/>
        <v>-93.623999999999995</v>
      </c>
      <c r="CH11" s="645">
        <f>-Income!CH78</f>
        <v>-24.803000000000001</v>
      </c>
      <c r="CI11" s="27">
        <f>-Income!CI78</f>
        <v>-61.802999999999997</v>
      </c>
      <c r="CJ11" s="27">
        <f>-Income!CJ78</f>
        <v>0</v>
      </c>
      <c r="CK11" s="27">
        <f>-Income!CK78</f>
        <v>0</v>
      </c>
      <c r="CL11" s="139">
        <f t="shared" si="4"/>
        <v>-86.605999999999995</v>
      </c>
      <c r="CM11" s="27">
        <f>-Income!CM78</f>
        <v>0</v>
      </c>
      <c r="CN11" s="27">
        <f>-Income!CN78</f>
        <v>0</v>
      </c>
      <c r="CO11" s="27">
        <f>-Income!CO78</f>
        <v>0</v>
      </c>
      <c r="CP11" s="27">
        <f>-Income!CP78</f>
        <v>0</v>
      </c>
      <c r="CQ11" s="139">
        <f t="shared" si="12"/>
        <v>0</v>
      </c>
      <c r="CR11" s="27">
        <f>-Income!CR78</f>
        <v>0</v>
      </c>
      <c r="CS11" s="27">
        <f>-Income!CS78</f>
        <v>0</v>
      </c>
      <c r="CT11" s="27">
        <f>-Income!CT78</f>
        <v>0</v>
      </c>
      <c r="CU11" s="27">
        <f>-Income!CU78</f>
        <v>0</v>
      </c>
      <c r="CV11" s="139">
        <f t="shared" si="5"/>
        <v>0</v>
      </c>
      <c r="CW11" s="85"/>
      <c r="CX11" s="85"/>
      <c r="CY11" s="85"/>
      <c r="CZ11" s="85"/>
      <c r="DA11" s="85"/>
      <c r="DB11" s="85"/>
      <c r="DC11" s="85"/>
      <c r="DD11" s="85"/>
      <c r="DE11" s="85"/>
      <c r="DF11" s="85"/>
      <c r="DG11" s="85"/>
      <c r="DH11" s="85"/>
      <c r="DI11" s="85"/>
      <c r="DJ11" s="85"/>
      <c r="DK11" s="85"/>
      <c r="DL11" s="85"/>
      <c r="DM11" s="85"/>
      <c r="DN11" s="85"/>
      <c r="DO11" s="85"/>
      <c r="DP11" s="85"/>
      <c r="DQ11" s="85"/>
      <c r="DR11" s="85"/>
      <c r="DS11" s="85"/>
      <c r="DT11" s="85"/>
      <c r="DU11" s="85"/>
      <c r="DV11" s="85"/>
      <c r="DW11" s="85"/>
      <c r="DX11" s="85"/>
      <c r="DY11" s="85"/>
      <c r="DZ11" s="85"/>
      <c r="EA11" s="85"/>
      <c r="EB11" s="85"/>
      <c r="EC11" s="85"/>
      <c r="ED11" s="85"/>
      <c r="EE11" s="85"/>
      <c r="EF11" s="85"/>
      <c r="EG11" s="85"/>
      <c r="EH11" s="85"/>
      <c r="EI11" s="85"/>
      <c r="EJ11" s="85"/>
      <c r="EK11" s="85"/>
      <c r="EL11" s="85"/>
      <c r="EM11" s="85"/>
      <c r="EN11" s="85"/>
      <c r="EO11" s="85"/>
      <c r="EP11" s="85"/>
      <c r="EQ11" s="85"/>
      <c r="ER11" s="85"/>
      <c r="ES11" s="85"/>
      <c r="ET11" s="85"/>
      <c r="EU11" s="85"/>
      <c r="EV11" s="85"/>
      <c r="EW11" s="85"/>
      <c r="EX11" s="85"/>
      <c r="EY11" s="85"/>
      <c r="EZ11" s="85"/>
      <c r="FA11" s="85"/>
      <c r="FB11" s="85"/>
      <c r="FC11" s="85"/>
      <c r="FD11" s="85"/>
      <c r="FE11" s="85"/>
      <c r="FF11" s="85"/>
      <c r="FG11" s="85"/>
      <c r="FH11" s="85"/>
      <c r="FI11" s="85"/>
      <c r="FJ11" s="85"/>
      <c r="FK11" s="85"/>
      <c r="FL11" s="85"/>
      <c r="FM11" s="85"/>
      <c r="FN11" s="85"/>
      <c r="FO11" s="85"/>
      <c r="FP11" s="85"/>
      <c r="FQ11" s="85"/>
      <c r="FR11" s="85"/>
      <c r="FS11" s="85"/>
      <c r="FT11" s="85"/>
      <c r="FU11" s="85"/>
      <c r="FV11" s="85"/>
      <c r="FW11" s="85"/>
      <c r="FX11" s="85"/>
      <c r="FY11" s="85"/>
      <c r="FZ11" s="85"/>
      <c r="GA11" s="85"/>
      <c r="GB11" s="85"/>
      <c r="GC11" s="85"/>
      <c r="GD11" s="85"/>
      <c r="GE11" s="85"/>
      <c r="GF11" s="85"/>
      <c r="GG11" s="85"/>
      <c r="GH11" s="85"/>
      <c r="GI11" s="85"/>
      <c r="GJ11" s="85"/>
      <c r="GK11" s="85"/>
      <c r="GL11" s="85"/>
      <c r="GM11" s="85"/>
      <c r="GN11" s="85"/>
      <c r="GO11" s="85"/>
      <c r="GP11" s="85"/>
      <c r="GQ11" s="85"/>
      <c r="GR11" s="85"/>
      <c r="GS11" s="85"/>
      <c r="GT11" s="85"/>
      <c r="GU11" s="85"/>
      <c r="GV11" s="85"/>
      <c r="GW11" s="85"/>
      <c r="GX11" s="85"/>
      <c r="GY11" s="85"/>
      <c r="GZ11" s="85"/>
      <c r="HA11" s="85"/>
      <c r="HB11" s="85"/>
      <c r="HC11" s="85"/>
      <c r="HD11" s="85"/>
      <c r="HE11" s="85"/>
      <c r="HF11" s="85"/>
      <c r="HG11" s="85"/>
      <c r="HH11" s="85"/>
      <c r="HI11" s="85"/>
      <c r="HJ11" s="85"/>
      <c r="HK11" s="85"/>
      <c r="HL11" s="85"/>
      <c r="HM11" s="85"/>
      <c r="HN11" s="85"/>
      <c r="HO11" s="85"/>
      <c r="HP11" s="85"/>
      <c r="HQ11" s="85"/>
      <c r="HR11" s="85"/>
      <c r="HS11" s="85"/>
      <c r="HT11" s="85"/>
      <c r="HU11" s="85"/>
      <c r="HV11" s="85"/>
      <c r="HW11" s="85"/>
      <c r="HX11" s="85"/>
      <c r="HY11" s="85"/>
      <c r="HZ11" s="85"/>
      <c r="IA11" s="85"/>
      <c r="IB11" s="85"/>
      <c r="IC11" s="85"/>
      <c r="ID11" s="85"/>
      <c r="IE11" s="85"/>
      <c r="IF11" s="85"/>
      <c r="IG11" s="85"/>
      <c r="IH11" s="85"/>
      <c r="II11" s="85"/>
      <c r="IJ11" s="85"/>
      <c r="IK11" s="85"/>
      <c r="IL11" s="85"/>
      <c r="IM11" s="85"/>
      <c r="IN11" s="85"/>
      <c r="IO11" s="85"/>
      <c r="IP11" s="85"/>
      <c r="IQ11" s="85"/>
      <c r="IR11" s="85"/>
      <c r="IS11" s="85"/>
      <c r="IT11" s="85"/>
      <c r="IU11" s="85"/>
      <c r="IV11" s="85"/>
    </row>
    <row r="12" spans="1:256" s="27" customFormat="1" ht="12" customHeight="1" x14ac:dyDescent="0.25">
      <c r="E12" s="27" t="s">
        <v>789</v>
      </c>
      <c r="F12" s="139"/>
      <c r="G12" s="139"/>
      <c r="H12" s="139"/>
      <c r="I12" s="139"/>
      <c r="J12" s="139"/>
      <c r="O12" s="139"/>
      <c r="T12" s="140">
        <v>-0.41099999999999998</v>
      </c>
      <c r="Y12" s="140">
        <v>-1.1970000000000001</v>
      </c>
      <c r="AD12" s="140">
        <v>-1.718</v>
      </c>
      <c r="AE12" s="124">
        <v>0.31</v>
      </c>
      <c r="AF12" s="124">
        <v>-0.38400000000000001</v>
      </c>
      <c r="AG12" s="124">
        <v>-2.6429999999999998</v>
      </c>
      <c r="AH12" s="124">
        <v>10.327</v>
      </c>
      <c r="AI12" s="139">
        <f t="shared" si="6"/>
        <v>7.61</v>
      </c>
      <c r="AJ12" s="124">
        <v>-2.1110000000000002</v>
      </c>
      <c r="AK12" s="124">
        <v>-1.131</v>
      </c>
      <c r="AL12" s="124">
        <v>25.896000000000001</v>
      </c>
      <c r="AM12" s="124">
        <v>4.0000000000000001E-3</v>
      </c>
      <c r="AN12" s="139">
        <f t="shared" si="7"/>
        <v>22.658000000000001</v>
      </c>
      <c r="AO12" s="124">
        <v>-2E-3</v>
      </c>
      <c r="AP12" s="124">
        <v>8.9999999999999993E-3</v>
      </c>
      <c r="AQ12" s="124">
        <v>0.40300000000000002</v>
      </c>
      <c r="AR12" s="124">
        <v>7.0000000000000001E-3</v>
      </c>
      <c r="AS12" s="139">
        <f t="shared" si="8"/>
        <v>0.41700000000000004</v>
      </c>
      <c r="AT12" s="124">
        <v>0</v>
      </c>
      <c r="AU12" s="124">
        <v>0</v>
      </c>
      <c r="AV12" s="124">
        <v>-0.317</v>
      </c>
      <c r="AW12" s="124">
        <v>79.674000000000007</v>
      </c>
      <c r="AX12" s="139">
        <f t="shared" si="9"/>
        <v>79.357000000000014</v>
      </c>
      <c r="AY12" s="124">
        <v>0</v>
      </c>
      <c r="AZ12" s="124">
        <v>2.8879999999999999</v>
      </c>
      <c r="BA12" s="124">
        <v>-2.71</v>
      </c>
      <c r="BB12" s="124">
        <v>-48.38</v>
      </c>
      <c r="BC12" s="139">
        <f t="shared" si="10"/>
        <v>-48.202000000000005</v>
      </c>
      <c r="BD12" s="124">
        <v>2.4E-2</v>
      </c>
      <c r="BE12" s="124">
        <v>1E-3</v>
      </c>
      <c r="BF12" s="124">
        <v>1E-3</v>
      </c>
      <c r="BG12" s="124">
        <v>1E-3</v>
      </c>
      <c r="BH12" s="139">
        <f t="shared" si="11"/>
        <v>2.7000000000000003E-2</v>
      </c>
      <c r="BI12" s="124">
        <v>2.4E-2</v>
      </c>
      <c r="BJ12" s="124">
        <v>0</v>
      </c>
      <c r="BK12" s="124">
        <f>-2.567+0.664</f>
        <v>-1.903</v>
      </c>
      <c r="BL12" s="124">
        <f>28.804-0.009</f>
        <v>28.794999999999998</v>
      </c>
      <c r="BM12" s="139">
        <f t="shared" ref="BM12:BM20" si="13">SUM(BI12:BL12)</f>
        <v>26.915999999999997</v>
      </c>
      <c r="BN12" s="124">
        <v>0</v>
      </c>
      <c r="BO12" s="124">
        <v>0</v>
      </c>
      <c r="BP12" s="124">
        <v>0</v>
      </c>
      <c r="BQ12" s="124">
        <v>1.976</v>
      </c>
      <c r="BR12" s="139">
        <f t="shared" si="0"/>
        <v>1.976</v>
      </c>
      <c r="BS12" s="124">
        <v>0.24099999999999999</v>
      </c>
      <c r="BT12" s="124">
        <v>-5.7000000000000002E-2</v>
      </c>
      <c r="BU12" s="124">
        <v>4.8000000000000001E-2</v>
      </c>
      <c r="BV12" s="124">
        <v>0</v>
      </c>
      <c r="BW12" s="139">
        <f t="shared" si="1"/>
        <v>0.23199999999999998</v>
      </c>
      <c r="BX12" s="124">
        <v>0</v>
      </c>
      <c r="BY12" s="124">
        <v>-0.629</v>
      </c>
      <c r="BZ12" s="124">
        <v>-7.8E-2</v>
      </c>
      <c r="CA12" s="124">
        <f>1.725-BZ12-BY12-BX12</f>
        <v>2.4320000000000004</v>
      </c>
      <c r="CB12" s="139">
        <f>SUM(BX12:CA12)</f>
        <v>1.7250000000000005</v>
      </c>
      <c r="CC12" s="636">
        <f>2.125-CD12</f>
        <v>-7.0000000000001172E-3</v>
      </c>
      <c r="CD12" s="124">
        <v>2.1320000000000001</v>
      </c>
      <c r="CE12" s="799">
        <v>0.23499999999999999</v>
      </c>
      <c r="CF12" s="799">
        <v>0.70199999999999996</v>
      </c>
      <c r="CG12" s="139">
        <f t="shared" si="3"/>
        <v>3.0619999999999998</v>
      </c>
      <c r="CH12" s="636">
        <f>0.475-CI12</f>
        <v>-1.5000000000000013E-2</v>
      </c>
      <c r="CI12" s="124">
        <v>0.49</v>
      </c>
      <c r="CJ12" s="128">
        <v>-1700</v>
      </c>
      <c r="CK12" s="128">
        <v>0</v>
      </c>
      <c r="CL12" s="139">
        <f t="shared" si="4"/>
        <v>-1699.5250000000001</v>
      </c>
      <c r="CM12" s="128">
        <v>0</v>
      </c>
      <c r="CN12" s="128">
        <v>0</v>
      </c>
      <c r="CO12" s="128">
        <v>0</v>
      </c>
      <c r="CP12" s="128">
        <v>0</v>
      </c>
      <c r="CQ12" s="139">
        <f t="shared" si="12"/>
        <v>0</v>
      </c>
      <c r="CR12" s="128">
        <v>0</v>
      </c>
      <c r="CS12" s="128">
        <v>0</v>
      </c>
      <c r="CT12" s="128">
        <v>0</v>
      </c>
      <c r="CU12" s="128">
        <v>0</v>
      </c>
      <c r="CV12" s="139">
        <f t="shared" si="5"/>
        <v>0</v>
      </c>
      <c r="CW12" s="85"/>
      <c r="CX12" s="85"/>
      <c r="CY12" s="85"/>
      <c r="CZ12" s="85"/>
      <c r="DA12" s="85"/>
      <c r="DB12" s="85"/>
      <c r="DC12" s="85"/>
      <c r="DD12" s="85"/>
      <c r="DE12" s="85"/>
      <c r="DF12" s="85"/>
      <c r="DG12" s="85"/>
      <c r="DH12" s="85"/>
      <c r="DI12" s="85"/>
      <c r="DJ12" s="85"/>
      <c r="DK12" s="85"/>
      <c r="DL12" s="85"/>
      <c r="DM12" s="85"/>
      <c r="DN12" s="85"/>
      <c r="DO12" s="85"/>
      <c r="DP12" s="85"/>
      <c r="DQ12" s="85"/>
      <c r="DR12" s="85"/>
      <c r="DS12" s="85"/>
      <c r="DT12" s="85"/>
      <c r="DU12" s="85"/>
      <c r="DV12" s="85"/>
      <c r="DW12" s="85"/>
      <c r="DX12" s="85"/>
      <c r="DY12" s="85"/>
      <c r="DZ12" s="85"/>
      <c r="EA12" s="85"/>
      <c r="EB12" s="85"/>
      <c r="EC12" s="85"/>
      <c r="ED12" s="85"/>
      <c r="EE12" s="85"/>
      <c r="EF12" s="85"/>
      <c r="EG12" s="85"/>
      <c r="EH12" s="85"/>
      <c r="EI12" s="85"/>
      <c r="EJ12" s="85"/>
      <c r="EK12" s="85"/>
      <c r="EL12" s="85"/>
      <c r="EM12" s="85"/>
      <c r="EN12" s="85"/>
      <c r="EO12" s="85"/>
      <c r="EP12" s="85"/>
      <c r="EQ12" s="85"/>
      <c r="ER12" s="85"/>
      <c r="ES12" s="85"/>
      <c r="ET12" s="85"/>
      <c r="EU12" s="85"/>
      <c r="EV12" s="85"/>
      <c r="EW12" s="85"/>
      <c r="EX12" s="85"/>
      <c r="EY12" s="85"/>
      <c r="EZ12" s="85"/>
      <c r="FA12" s="85"/>
      <c r="FB12" s="85"/>
      <c r="FC12" s="85"/>
      <c r="FD12" s="85"/>
      <c r="FE12" s="85"/>
      <c r="FF12" s="85"/>
      <c r="FG12" s="85"/>
      <c r="FH12" s="85"/>
      <c r="FI12" s="85"/>
      <c r="FJ12" s="85"/>
      <c r="FK12" s="85"/>
      <c r="FL12" s="85"/>
      <c r="FM12" s="85"/>
      <c r="FN12" s="85"/>
      <c r="FO12" s="85"/>
      <c r="FP12" s="85"/>
      <c r="FQ12" s="85"/>
      <c r="FR12" s="85"/>
      <c r="FS12" s="85"/>
      <c r="FT12" s="85"/>
      <c r="FU12" s="85"/>
      <c r="FV12" s="85"/>
      <c r="FW12" s="85"/>
      <c r="FX12" s="85"/>
      <c r="FY12" s="85"/>
      <c r="FZ12" s="85"/>
      <c r="GA12" s="85"/>
      <c r="GB12" s="85"/>
      <c r="GC12" s="85"/>
      <c r="GD12" s="85"/>
      <c r="GE12" s="85"/>
      <c r="GF12" s="85"/>
      <c r="GG12" s="85"/>
      <c r="GH12" s="85"/>
      <c r="GI12" s="85"/>
      <c r="GJ12" s="85"/>
      <c r="GK12" s="85"/>
      <c r="GL12" s="85"/>
      <c r="GM12" s="85"/>
      <c r="GN12" s="85"/>
      <c r="GO12" s="85"/>
      <c r="GP12" s="85"/>
      <c r="GQ12" s="85"/>
      <c r="GR12" s="85"/>
      <c r="GS12" s="85"/>
      <c r="GT12" s="85"/>
      <c r="GU12" s="85"/>
      <c r="GV12" s="85"/>
      <c r="GW12" s="85"/>
      <c r="GX12" s="85"/>
      <c r="GY12" s="85"/>
      <c r="GZ12" s="85"/>
      <c r="HA12" s="85"/>
      <c r="HB12" s="85"/>
      <c r="HC12" s="85"/>
      <c r="HD12" s="85"/>
      <c r="HE12" s="85"/>
      <c r="HF12" s="85"/>
      <c r="HG12" s="85"/>
      <c r="HH12" s="85"/>
      <c r="HI12" s="85"/>
      <c r="HJ12" s="85"/>
      <c r="HK12" s="85"/>
      <c r="HL12" s="85"/>
      <c r="HM12" s="85"/>
      <c r="HN12" s="85"/>
      <c r="HO12" s="85"/>
      <c r="HP12" s="85"/>
      <c r="HQ12" s="85"/>
      <c r="HR12" s="85"/>
      <c r="HS12" s="85"/>
      <c r="HT12" s="85"/>
      <c r="HU12" s="85"/>
      <c r="HV12" s="85"/>
      <c r="HW12" s="85"/>
      <c r="HX12" s="85"/>
      <c r="HY12" s="85"/>
      <c r="HZ12" s="85"/>
      <c r="IA12" s="85"/>
      <c r="IB12" s="85"/>
      <c r="IC12" s="85"/>
      <c r="ID12" s="85"/>
      <c r="IE12" s="85"/>
      <c r="IF12" s="85"/>
      <c r="IG12" s="85"/>
      <c r="IH12" s="85"/>
      <c r="II12" s="85"/>
      <c r="IJ12" s="85"/>
      <c r="IK12" s="85"/>
      <c r="IL12" s="85"/>
      <c r="IM12" s="85"/>
      <c r="IN12" s="85"/>
      <c r="IO12" s="85"/>
      <c r="IP12" s="85"/>
      <c r="IQ12" s="85"/>
      <c r="IR12" s="85"/>
      <c r="IS12" s="85"/>
      <c r="IT12" s="85"/>
      <c r="IU12" s="85"/>
      <c r="IV12" s="85"/>
    </row>
    <row r="13" spans="1:256" s="27" customFormat="1" ht="12" customHeight="1" x14ac:dyDescent="0.25">
      <c r="E13" s="27" t="s">
        <v>320</v>
      </c>
      <c r="F13" s="139"/>
      <c r="G13" s="139"/>
      <c r="H13" s="139"/>
      <c r="I13" s="139"/>
      <c r="J13" s="139"/>
      <c r="O13" s="139"/>
      <c r="T13" s="140">
        <v>34.164999999999999</v>
      </c>
      <c r="Y13" s="140">
        <v>18.893000000000001</v>
      </c>
      <c r="AD13" s="140">
        <v>16.126999999999999</v>
      </c>
      <c r="AE13" s="124">
        <v>-2.556</v>
      </c>
      <c r="AF13" s="124">
        <v>-1.1850000000000001</v>
      </c>
      <c r="AG13" s="124">
        <v>2.2770000000000001</v>
      </c>
      <c r="AH13" s="124">
        <v>-0.67100000000000004</v>
      </c>
      <c r="AI13" s="139">
        <f t="shared" si="6"/>
        <v>-2.1349999999999998</v>
      </c>
      <c r="AJ13" s="124">
        <v>2.7149999999999999</v>
      </c>
      <c r="AK13" s="124">
        <v>5.1379999999999999</v>
      </c>
      <c r="AL13" s="124">
        <v>-2.7839999999999998</v>
      </c>
      <c r="AM13" s="124">
        <v>11.353999999999999</v>
      </c>
      <c r="AN13" s="139">
        <f t="shared" si="7"/>
        <v>16.422999999999998</v>
      </c>
      <c r="AO13" s="124">
        <v>2.496</v>
      </c>
      <c r="AP13" s="124">
        <v>6.2229999999999999</v>
      </c>
      <c r="AQ13" s="124">
        <v>14.381</v>
      </c>
      <c r="AR13" s="124">
        <v>9.7100000000000009</v>
      </c>
      <c r="AS13" s="139">
        <f t="shared" si="8"/>
        <v>32.81</v>
      </c>
      <c r="AT13" s="124">
        <v>1.4350000000000001</v>
      </c>
      <c r="AU13" s="124">
        <v>2.508</v>
      </c>
      <c r="AV13" s="124">
        <v>0.30199999999999999</v>
      </c>
      <c r="AW13" s="124">
        <v>15.102</v>
      </c>
      <c r="AX13" s="139">
        <f t="shared" si="9"/>
        <v>19.347000000000001</v>
      </c>
      <c r="AY13" s="124">
        <v>3.6999999999999998E-2</v>
      </c>
      <c r="AZ13" s="124">
        <v>1.0980000000000001</v>
      </c>
      <c r="BA13" s="124">
        <v>1.4039999999999999</v>
      </c>
      <c r="BB13" s="124">
        <v>3.0059999999999998</v>
      </c>
      <c r="BC13" s="139">
        <f t="shared" si="10"/>
        <v>5.5449999999999999</v>
      </c>
      <c r="BD13" s="124">
        <v>-1.403</v>
      </c>
      <c r="BE13" s="124">
        <v>-2.0630000000000002</v>
      </c>
      <c r="BF13" s="124">
        <v>-2.9620000000000002</v>
      </c>
      <c r="BG13" s="124">
        <v>2.85</v>
      </c>
      <c r="BH13" s="139">
        <f t="shared" si="11"/>
        <v>-3.5780000000000007</v>
      </c>
      <c r="BI13" s="124">
        <v>-0.58799999999999997</v>
      </c>
      <c r="BJ13" s="124">
        <v>0.06</v>
      </c>
      <c r="BK13" s="124">
        <v>-3.1379999999999999</v>
      </c>
      <c r="BL13" s="124">
        <v>5.7629999999999999</v>
      </c>
      <c r="BM13" s="139">
        <f t="shared" si="13"/>
        <v>2.097</v>
      </c>
      <c r="BN13" s="124">
        <v>-1.843</v>
      </c>
      <c r="BO13" s="124">
        <v>-4.1790000000000003</v>
      </c>
      <c r="BP13" s="124">
        <v>4.0019999999999998</v>
      </c>
      <c r="BQ13" s="124">
        <v>-7.6689999999999996</v>
      </c>
      <c r="BR13" s="139">
        <f t="shared" si="0"/>
        <v>-9.6890000000000001</v>
      </c>
      <c r="BS13" s="124">
        <v>-1.522</v>
      </c>
      <c r="BT13" s="124">
        <v>1.806</v>
      </c>
      <c r="BU13" s="124">
        <v>-5.14</v>
      </c>
      <c r="BV13" s="124">
        <v>-4.266</v>
      </c>
      <c r="BW13" s="139">
        <f t="shared" si="1"/>
        <v>-9.1219999999999999</v>
      </c>
      <c r="BX13" s="124">
        <v>-0.67800000000000005</v>
      </c>
      <c r="BY13" s="124">
        <v>-5.8609999999999998</v>
      </c>
      <c r="BZ13" s="124">
        <v>4.5570000000000004</v>
      </c>
      <c r="CA13" s="124">
        <f>-8.818-BZ13-BY13-BX13</f>
        <v>-6.8360000000000003</v>
      </c>
      <c r="CB13" s="139">
        <f>SUM(BX13:CA13)</f>
        <v>-8.8179999999999996</v>
      </c>
      <c r="CC13" s="636">
        <f>-2.632-CD13</f>
        <v>2.8480000000000003</v>
      </c>
      <c r="CD13" s="124">
        <v>-5.48</v>
      </c>
      <c r="CE13" s="799">
        <v>-17.213000000000001</v>
      </c>
      <c r="CF13" s="799">
        <v>0.35599999999999998</v>
      </c>
      <c r="CG13" s="139">
        <f>SUM(CC13:CF13)</f>
        <v>-19.489000000000001</v>
      </c>
      <c r="CH13" s="636">
        <f>12.444-CI13</f>
        <v>-1.6919999999999984</v>
      </c>
      <c r="CI13" s="124">
        <v>14.135999999999999</v>
      </c>
      <c r="CJ13" s="128">
        <v>496</v>
      </c>
      <c r="CK13" s="721">
        <f>-CJ13</f>
        <v>-496</v>
      </c>
      <c r="CL13" s="139">
        <f>SUM(CH13:CK13)</f>
        <v>12.444000000000017</v>
      </c>
      <c r="CM13" s="85">
        <f>-Income!CM69</f>
        <v>-11.064058055747438</v>
      </c>
      <c r="CN13" s="721">
        <f>-Income!CN69</f>
        <v>-10.080230171123882</v>
      </c>
      <c r="CO13" s="721">
        <f>-Income!CO69</f>
        <v>-8.2504120215097903</v>
      </c>
      <c r="CP13" s="721">
        <f>-Income!CP69</f>
        <v>-8.8073040109694176</v>
      </c>
      <c r="CQ13" s="139">
        <f>SUM(CM13:CP13)</f>
        <v>-38.202004259350524</v>
      </c>
      <c r="CR13" s="721">
        <f>-Income!CR69</f>
        <v>-8.9226110535356415</v>
      </c>
      <c r="CS13" s="721">
        <f>-Income!CS69</f>
        <v>-7.3217283013134358</v>
      </c>
      <c r="CT13" s="721">
        <f>-Income!CT69</f>
        <v>-4.5133436385457122</v>
      </c>
      <c r="CU13" s="721">
        <f>-Income!CU69</f>
        <v>-4.6020173977306484</v>
      </c>
      <c r="CV13" s="139">
        <f t="shared" si="5"/>
        <v>-25.35970039112544</v>
      </c>
      <c r="CW13" s="85"/>
      <c r="CX13" s="85"/>
      <c r="CY13" s="85"/>
      <c r="CZ13" s="85"/>
      <c r="DA13" s="85"/>
      <c r="DB13" s="85"/>
      <c r="DC13" s="85"/>
      <c r="DD13" s="85"/>
      <c r="DE13" s="85"/>
      <c r="DF13" s="85"/>
      <c r="DG13" s="85"/>
      <c r="DH13" s="85"/>
      <c r="DI13" s="85"/>
      <c r="DJ13" s="85"/>
      <c r="DK13" s="85"/>
      <c r="DL13" s="85"/>
      <c r="DM13" s="85"/>
      <c r="DN13" s="85"/>
      <c r="DO13" s="85"/>
      <c r="DP13" s="85"/>
      <c r="DQ13" s="85"/>
      <c r="DR13" s="85"/>
      <c r="DS13" s="85"/>
      <c r="DT13" s="85"/>
      <c r="DU13" s="85"/>
      <c r="DV13" s="85"/>
      <c r="DW13" s="85"/>
      <c r="DX13" s="85"/>
      <c r="DY13" s="85"/>
      <c r="DZ13" s="85"/>
      <c r="EA13" s="85"/>
      <c r="EB13" s="85"/>
      <c r="EC13" s="85"/>
      <c r="ED13" s="85"/>
      <c r="EE13" s="85"/>
      <c r="EF13" s="85"/>
      <c r="EG13" s="85"/>
      <c r="EH13" s="85"/>
      <c r="EI13" s="85"/>
      <c r="EJ13" s="85"/>
      <c r="EK13" s="85"/>
      <c r="EL13" s="85"/>
      <c r="EM13" s="85"/>
      <c r="EN13" s="85"/>
      <c r="EO13" s="85"/>
      <c r="EP13" s="85"/>
      <c r="EQ13" s="85"/>
      <c r="ER13" s="85"/>
      <c r="ES13" s="85"/>
      <c r="ET13" s="85"/>
      <c r="EU13" s="85"/>
      <c r="EV13" s="85"/>
      <c r="EW13" s="85"/>
      <c r="EX13" s="85"/>
      <c r="EY13" s="85"/>
      <c r="EZ13" s="85"/>
      <c r="FA13" s="85"/>
      <c r="FB13" s="85"/>
      <c r="FC13" s="85"/>
      <c r="FD13" s="85"/>
      <c r="FE13" s="85"/>
      <c r="FF13" s="85"/>
      <c r="FG13" s="85"/>
      <c r="FH13" s="85"/>
      <c r="FI13" s="85"/>
      <c r="FJ13" s="85"/>
      <c r="FK13" s="85"/>
      <c r="FL13" s="85"/>
      <c r="FM13" s="85"/>
      <c r="FN13" s="85"/>
      <c r="FO13" s="85"/>
      <c r="FP13" s="85"/>
      <c r="FQ13" s="85"/>
      <c r="FR13" s="85"/>
      <c r="FS13" s="85"/>
      <c r="FT13" s="85"/>
      <c r="FU13" s="85"/>
      <c r="FV13" s="85"/>
      <c r="FW13" s="85"/>
      <c r="FX13" s="85"/>
      <c r="FY13" s="85"/>
      <c r="FZ13" s="85"/>
      <c r="GA13" s="85"/>
      <c r="GB13" s="85"/>
      <c r="GC13" s="85"/>
      <c r="GD13" s="85"/>
      <c r="GE13" s="85"/>
      <c r="GF13" s="85"/>
      <c r="GG13" s="85"/>
      <c r="GH13" s="85"/>
      <c r="GI13" s="85"/>
      <c r="GJ13" s="85"/>
      <c r="GK13" s="85"/>
      <c r="GL13" s="85"/>
      <c r="GM13" s="85"/>
      <c r="GN13" s="85"/>
      <c r="GO13" s="85"/>
      <c r="GP13" s="85"/>
      <c r="GQ13" s="85"/>
      <c r="GR13" s="85"/>
      <c r="GS13" s="85"/>
      <c r="GT13" s="85"/>
      <c r="GU13" s="85"/>
      <c r="GV13" s="85"/>
      <c r="GW13" s="85"/>
      <c r="GX13" s="85"/>
      <c r="GY13" s="85"/>
      <c r="GZ13" s="85"/>
      <c r="HA13" s="85"/>
      <c r="HB13" s="85"/>
      <c r="HC13" s="85"/>
      <c r="HD13" s="85"/>
      <c r="HE13" s="85"/>
      <c r="HF13" s="85"/>
      <c r="HG13" s="85"/>
      <c r="HH13" s="85"/>
      <c r="HI13" s="85"/>
      <c r="HJ13" s="85"/>
      <c r="HK13" s="85"/>
      <c r="HL13" s="85"/>
      <c r="HM13" s="85"/>
      <c r="HN13" s="85"/>
      <c r="HO13" s="85"/>
      <c r="HP13" s="85"/>
      <c r="HQ13" s="85"/>
      <c r="HR13" s="85"/>
      <c r="HS13" s="85"/>
      <c r="HT13" s="85"/>
      <c r="HU13" s="85"/>
      <c r="HV13" s="85"/>
      <c r="HW13" s="85"/>
      <c r="HX13" s="85"/>
      <c r="HY13" s="85"/>
      <c r="HZ13" s="85"/>
      <c r="IA13" s="85"/>
      <c r="IB13" s="85"/>
      <c r="IC13" s="85"/>
      <c r="ID13" s="85"/>
      <c r="IE13" s="85"/>
      <c r="IF13" s="85"/>
      <c r="IG13" s="85"/>
      <c r="IH13" s="85"/>
      <c r="II13" s="85"/>
      <c r="IJ13" s="85"/>
      <c r="IK13" s="85"/>
      <c r="IL13" s="85"/>
      <c r="IM13" s="85"/>
      <c r="IN13" s="85"/>
      <c r="IO13" s="85"/>
      <c r="IP13" s="85"/>
      <c r="IQ13" s="85"/>
      <c r="IR13" s="85"/>
      <c r="IS13" s="85"/>
      <c r="IT13" s="85"/>
      <c r="IU13" s="85"/>
      <c r="IV13" s="85"/>
    </row>
    <row r="14" spans="1:256" s="27" customFormat="1" ht="12" customHeight="1" x14ac:dyDescent="0.25">
      <c r="A14" s="122">
        <v>32</v>
      </c>
      <c r="B14" s="122"/>
      <c r="C14" s="122"/>
      <c r="D14" s="122">
        <v>32</v>
      </c>
      <c r="E14" s="27" t="s">
        <v>344</v>
      </c>
      <c r="F14" s="140"/>
      <c r="G14" s="140"/>
      <c r="H14" s="140"/>
      <c r="I14" s="140"/>
      <c r="J14" s="140"/>
      <c r="K14" s="124"/>
      <c r="L14" s="124"/>
      <c r="M14" s="124"/>
      <c r="N14" s="124"/>
      <c r="O14" s="139"/>
      <c r="P14" s="124"/>
      <c r="Q14" s="124"/>
      <c r="R14" s="124"/>
      <c r="S14" s="124"/>
      <c r="T14" s="140">
        <v>3.5950000000000002</v>
      </c>
      <c r="U14" s="124"/>
      <c r="V14" s="124"/>
      <c r="W14" s="124"/>
      <c r="X14" s="124"/>
      <c r="Y14" s="140">
        <v>1.3129999999999999</v>
      </c>
      <c r="Z14" s="124"/>
      <c r="AA14" s="124"/>
      <c r="AB14" s="124"/>
      <c r="AC14" s="124"/>
      <c r="AD14" s="140">
        <v>3.823</v>
      </c>
      <c r="AE14" s="124">
        <v>1.3580000000000001</v>
      </c>
      <c r="AF14" s="124">
        <v>1.6719999999999999</v>
      </c>
      <c r="AG14" s="124">
        <v>2.6480000000000001</v>
      </c>
      <c r="AH14" s="124">
        <v>3.254</v>
      </c>
      <c r="AI14" s="139">
        <f t="shared" si="6"/>
        <v>8.9320000000000004</v>
      </c>
      <c r="AJ14" s="124">
        <v>2.6040000000000001</v>
      </c>
      <c r="AK14" s="124">
        <v>3.6280000000000001</v>
      </c>
      <c r="AL14" s="124">
        <v>1.8069999999999999</v>
      </c>
      <c r="AM14" s="124">
        <v>2.302</v>
      </c>
      <c r="AN14" s="139">
        <f t="shared" si="7"/>
        <v>10.340999999999999</v>
      </c>
      <c r="AO14" s="124">
        <v>2.3879999999999999</v>
      </c>
      <c r="AP14" s="124">
        <v>3.2610000000000001</v>
      </c>
      <c r="AQ14" s="124">
        <v>2.6379999999999999</v>
      </c>
      <c r="AR14" s="124">
        <v>2.5019999999999998</v>
      </c>
      <c r="AS14" s="139">
        <f t="shared" si="8"/>
        <v>10.788999999999998</v>
      </c>
      <c r="AT14" s="124">
        <v>2.972</v>
      </c>
      <c r="AU14" s="124">
        <v>3.488</v>
      </c>
      <c r="AV14" s="124">
        <v>3.4369999999999998</v>
      </c>
      <c r="AW14" s="124">
        <v>3.2</v>
      </c>
      <c r="AX14" s="139">
        <f t="shared" si="9"/>
        <v>13.097000000000001</v>
      </c>
      <c r="AY14" s="124">
        <v>2.355</v>
      </c>
      <c r="AZ14" s="124">
        <v>2.8450000000000002</v>
      </c>
      <c r="BA14" s="124">
        <v>1.71</v>
      </c>
      <c r="BB14" s="124">
        <v>2.06</v>
      </c>
      <c r="BC14" s="139">
        <f t="shared" si="10"/>
        <v>8.9700000000000006</v>
      </c>
      <c r="BD14" s="124">
        <v>2.653</v>
      </c>
      <c r="BE14" s="124">
        <v>3.15</v>
      </c>
      <c r="BF14" s="124">
        <v>3.1030000000000002</v>
      </c>
      <c r="BG14" s="124">
        <v>3.0960000000000001</v>
      </c>
      <c r="BH14" s="139">
        <f t="shared" si="11"/>
        <v>12.002000000000001</v>
      </c>
      <c r="BI14" s="124">
        <v>3.181</v>
      </c>
      <c r="BJ14" s="124">
        <v>3.7090000000000001</v>
      </c>
      <c r="BK14" s="124">
        <v>3.4550000000000001</v>
      </c>
      <c r="BL14" s="124">
        <v>3.581</v>
      </c>
      <c r="BM14" s="513">
        <v>13.206</v>
      </c>
      <c r="BN14" s="124">
        <v>3.9249999999999998</v>
      </c>
      <c r="BO14" s="124">
        <v>7.7249999999999996</v>
      </c>
      <c r="BP14" s="124">
        <v>8.4499999999999993</v>
      </c>
      <c r="BQ14" s="124">
        <v>8.2159999999999993</v>
      </c>
      <c r="BR14" s="139">
        <f t="shared" si="0"/>
        <v>28.315999999999995</v>
      </c>
      <c r="BS14" s="124">
        <v>8.1229999999999993</v>
      </c>
      <c r="BT14" s="124">
        <v>7.36</v>
      </c>
      <c r="BU14" s="124">
        <v>8.0459999999999994</v>
      </c>
      <c r="BV14" s="124">
        <v>7.9340000000000002</v>
      </c>
      <c r="BW14" s="139">
        <f t="shared" si="1"/>
        <v>31.463000000000001</v>
      </c>
      <c r="BX14" s="124">
        <v>8.59</v>
      </c>
      <c r="BY14" s="124">
        <v>11.938000000000001</v>
      </c>
      <c r="BZ14" s="124">
        <v>13.427</v>
      </c>
      <c r="CA14" s="124">
        <f>49.145-BZ14-BY14-BX14</f>
        <v>15.190000000000001</v>
      </c>
      <c r="CB14" s="139">
        <f t="shared" si="2"/>
        <v>49.144999999999996</v>
      </c>
      <c r="CC14" s="636">
        <v>12.4</v>
      </c>
      <c r="CD14" s="124">
        <v>13.154</v>
      </c>
      <c r="CE14" s="636">
        <v>13.29</v>
      </c>
      <c r="CF14" s="636">
        <v>14.022</v>
      </c>
      <c r="CG14" s="139">
        <f>SUM(CC14:CF14)</f>
        <v>52.866</v>
      </c>
      <c r="CH14" s="636">
        <f>35.465-CI14</f>
        <v>17.798000000000002</v>
      </c>
      <c r="CI14" s="124">
        <v>17.667000000000002</v>
      </c>
      <c r="CJ14" s="724">
        <v>22.2</v>
      </c>
      <c r="CK14" s="724">
        <v>20.3</v>
      </c>
      <c r="CL14" s="139">
        <f t="shared" si="4"/>
        <v>77.965000000000003</v>
      </c>
      <c r="CM14" s="166">
        <v>19</v>
      </c>
      <c r="CN14" s="724">
        <v>19</v>
      </c>
      <c r="CO14" s="724">
        <v>19</v>
      </c>
      <c r="CP14" s="724">
        <v>19</v>
      </c>
      <c r="CQ14" s="139">
        <f t="shared" ref="CQ14" si="14">SUM(CM14:CP14)</f>
        <v>76</v>
      </c>
      <c r="CR14" s="724">
        <v>18.5</v>
      </c>
      <c r="CS14" s="724">
        <v>18.5</v>
      </c>
      <c r="CT14" s="724">
        <v>18.5</v>
      </c>
      <c r="CU14" s="724">
        <v>18.5</v>
      </c>
      <c r="CV14" s="139">
        <f t="shared" si="5"/>
        <v>74</v>
      </c>
      <c r="CW14" s="85"/>
      <c r="CX14" s="85"/>
      <c r="CY14" s="85"/>
      <c r="CZ14" s="85"/>
      <c r="DA14" s="85"/>
      <c r="DB14" s="85"/>
      <c r="DC14" s="85"/>
      <c r="DD14" s="85"/>
      <c r="DE14" s="85"/>
      <c r="DF14" s="85"/>
      <c r="DG14" s="85"/>
      <c r="DH14" s="85"/>
      <c r="DI14" s="85"/>
      <c r="DJ14" s="85"/>
      <c r="DK14" s="85"/>
      <c r="DL14" s="85"/>
      <c r="DM14" s="85"/>
      <c r="DN14" s="85"/>
      <c r="DO14" s="85"/>
      <c r="DP14" s="85"/>
      <c r="DQ14" s="85"/>
      <c r="DR14" s="85"/>
      <c r="DS14" s="85"/>
      <c r="DT14" s="85"/>
      <c r="DU14" s="85"/>
      <c r="DV14" s="85"/>
      <c r="DW14" s="85"/>
      <c r="DX14" s="85"/>
      <c r="DY14" s="85"/>
      <c r="DZ14" s="85"/>
      <c r="EA14" s="85"/>
      <c r="EB14" s="85"/>
      <c r="EC14" s="85"/>
      <c r="ED14" s="85"/>
      <c r="EE14" s="85"/>
      <c r="EF14" s="85"/>
      <c r="EG14" s="85"/>
      <c r="EH14" s="85"/>
      <c r="EI14" s="85"/>
      <c r="EJ14" s="85"/>
      <c r="EK14" s="85"/>
      <c r="EL14" s="85"/>
      <c r="EM14" s="85"/>
      <c r="EN14" s="85"/>
      <c r="EO14" s="85"/>
      <c r="EP14" s="85"/>
      <c r="EQ14" s="85"/>
      <c r="ER14" s="85"/>
      <c r="ES14" s="85"/>
      <c r="ET14" s="85"/>
      <c r="EU14" s="85"/>
      <c r="EV14" s="85"/>
      <c r="EW14" s="85"/>
      <c r="EX14" s="85"/>
      <c r="EY14" s="85"/>
      <c r="EZ14" s="85"/>
      <c r="FA14" s="85"/>
      <c r="FB14" s="85"/>
      <c r="FC14" s="85"/>
      <c r="FD14" s="85"/>
      <c r="FE14" s="85"/>
      <c r="FF14" s="85"/>
      <c r="FG14" s="85"/>
      <c r="FH14" s="85"/>
      <c r="FI14" s="85"/>
      <c r="FJ14" s="85"/>
      <c r="FK14" s="85"/>
      <c r="FL14" s="85"/>
      <c r="FM14" s="85"/>
      <c r="FN14" s="85"/>
      <c r="FO14" s="85"/>
      <c r="FP14" s="85"/>
      <c r="FQ14" s="85"/>
      <c r="FR14" s="85"/>
      <c r="FS14" s="85"/>
      <c r="FT14" s="85"/>
      <c r="FU14" s="85"/>
      <c r="FV14" s="85"/>
      <c r="FW14" s="85"/>
      <c r="FX14" s="85"/>
      <c r="FY14" s="85"/>
      <c r="FZ14" s="85"/>
      <c r="GA14" s="85"/>
      <c r="GB14" s="85"/>
      <c r="GC14" s="85"/>
      <c r="GD14" s="85"/>
      <c r="GE14" s="85"/>
      <c r="GF14" s="85"/>
      <c r="GG14" s="85"/>
      <c r="GH14" s="85"/>
      <c r="GI14" s="85"/>
      <c r="GJ14" s="85"/>
      <c r="GK14" s="85"/>
      <c r="GL14" s="85"/>
      <c r="GM14" s="85"/>
      <c r="GN14" s="85"/>
      <c r="GO14" s="85"/>
      <c r="GP14" s="85"/>
      <c r="GQ14" s="85"/>
      <c r="GR14" s="85"/>
      <c r="GS14" s="85"/>
      <c r="GT14" s="85"/>
      <c r="GU14" s="85"/>
      <c r="GV14" s="85"/>
      <c r="GW14" s="85"/>
      <c r="GX14" s="85"/>
      <c r="GY14" s="85"/>
      <c r="GZ14" s="85"/>
      <c r="HA14" s="85"/>
      <c r="HB14" s="85"/>
      <c r="HC14" s="85"/>
      <c r="HD14" s="85"/>
      <c r="HE14" s="85"/>
      <c r="HF14" s="85"/>
      <c r="HG14" s="85"/>
      <c r="HH14" s="85"/>
      <c r="HI14" s="85"/>
      <c r="HJ14" s="85"/>
      <c r="HK14" s="85"/>
      <c r="HL14" s="85"/>
      <c r="HM14" s="85"/>
      <c r="HN14" s="85"/>
      <c r="HO14" s="85"/>
      <c r="HP14" s="85"/>
      <c r="HQ14" s="85"/>
      <c r="HR14" s="85"/>
      <c r="HS14" s="85"/>
      <c r="HT14" s="85"/>
      <c r="HU14" s="85"/>
      <c r="HV14" s="85"/>
      <c r="HW14" s="85"/>
      <c r="HX14" s="85"/>
      <c r="HY14" s="85"/>
      <c r="HZ14" s="85"/>
      <c r="IA14" s="85"/>
      <c r="IB14" s="85"/>
      <c r="IC14" s="85"/>
      <c r="ID14" s="85"/>
      <c r="IE14" s="85"/>
      <c r="IF14" s="85"/>
      <c r="IG14" s="85"/>
      <c r="IH14" s="85"/>
      <c r="II14" s="85"/>
      <c r="IJ14" s="85"/>
      <c r="IK14" s="85"/>
      <c r="IL14" s="85"/>
      <c r="IM14" s="85"/>
      <c r="IN14" s="85"/>
      <c r="IO14" s="85"/>
      <c r="IP14" s="85"/>
      <c r="IQ14" s="85"/>
      <c r="IR14" s="85"/>
      <c r="IS14" s="85"/>
      <c r="IT14" s="85"/>
      <c r="IU14" s="85"/>
      <c r="IV14" s="85"/>
    </row>
    <row r="15" spans="1:256" s="27" customFormat="1" ht="12" customHeight="1" x14ac:dyDescent="0.25">
      <c r="E15" s="130" t="s">
        <v>139</v>
      </c>
      <c r="F15" s="139"/>
      <c r="G15" s="139"/>
      <c r="H15" s="139"/>
      <c r="I15" s="139"/>
      <c r="J15" s="139"/>
      <c r="O15" s="139"/>
      <c r="T15" s="139"/>
      <c r="Y15" s="139"/>
      <c r="AD15" s="139"/>
      <c r="AI15" s="139"/>
      <c r="AN15" s="139"/>
      <c r="AS15" s="139"/>
      <c r="AX15" s="139"/>
      <c r="BC15" s="139"/>
      <c r="BH15" s="35"/>
      <c r="BM15" s="139"/>
      <c r="BR15" s="139"/>
      <c r="BW15" s="139"/>
      <c r="CB15" s="139"/>
      <c r="CC15" s="645"/>
      <c r="CE15" s="645"/>
      <c r="CF15" s="645"/>
      <c r="CG15" s="139"/>
      <c r="CH15" s="645"/>
      <c r="CL15" s="139"/>
      <c r="CQ15" s="139"/>
      <c r="CV15" s="139"/>
      <c r="CW15" s="85"/>
      <c r="CX15" s="85"/>
      <c r="CY15" s="85"/>
      <c r="CZ15" s="85"/>
      <c r="DA15" s="85"/>
      <c r="DB15" s="85"/>
      <c r="DC15" s="85"/>
      <c r="DD15" s="85"/>
      <c r="DE15" s="85"/>
      <c r="DF15" s="85"/>
      <c r="DG15" s="85"/>
      <c r="DH15" s="85"/>
      <c r="DI15" s="85"/>
      <c r="DJ15" s="85"/>
      <c r="DK15" s="85"/>
      <c r="DL15" s="85"/>
      <c r="DM15" s="85"/>
      <c r="DN15" s="85"/>
      <c r="DO15" s="85"/>
      <c r="DP15" s="85"/>
      <c r="DQ15" s="85"/>
      <c r="DR15" s="85"/>
      <c r="DS15" s="85"/>
      <c r="DT15" s="85"/>
      <c r="DU15" s="85"/>
      <c r="DV15" s="85"/>
      <c r="DW15" s="85"/>
      <c r="DX15" s="85"/>
      <c r="DY15" s="85"/>
      <c r="DZ15" s="85"/>
      <c r="EA15" s="85"/>
      <c r="EB15" s="85"/>
      <c r="EC15" s="85"/>
      <c r="ED15" s="85"/>
      <c r="EE15" s="85"/>
      <c r="EF15" s="85"/>
      <c r="EG15" s="85"/>
      <c r="EH15" s="85"/>
      <c r="EI15" s="85"/>
      <c r="EJ15" s="85"/>
      <c r="EK15" s="85"/>
      <c r="EL15" s="85"/>
      <c r="EM15" s="85"/>
      <c r="EN15" s="85"/>
      <c r="EO15" s="85"/>
      <c r="EP15" s="85"/>
      <c r="EQ15" s="85"/>
      <c r="ER15" s="85"/>
      <c r="ES15" s="85"/>
      <c r="ET15" s="85"/>
      <c r="EU15" s="85"/>
      <c r="EV15" s="85"/>
      <c r="EW15" s="85"/>
      <c r="EX15" s="85"/>
      <c r="EY15" s="85"/>
      <c r="EZ15" s="85"/>
      <c r="FA15" s="85"/>
      <c r="FB15" s="85"/>
      <c r="FC15" s="85"/>
      <c r="FD15" s="85"/>
      <c r="FE15" s="85"/>
      <c r="FF15" s="85"/>
      <c r="FG15" s="85"/>
      <c r="FH15" s="85"/>
      <c r="FI15" s="85"/>
      <c r="FJ15" s="85"/>
      <c r="FK15" s="85"/>
      <c r="FL15" s="85"/>
      <c r="FM15" s="85"/>
      <c r="FN15" s="85"/>
      <c r="FO15" s="85"/>
      <c r="FP15" s="85"/>
      <c r="FQ15" s="85"/>
      <c r="FR15" s="85"/>
      <c r="FS15" s="85"/>
      <c r="FT15" s="85"/>
      <c r="FU15" s="85"/>
      <c r="FV15" s="85"/>
      <c r="FW15" s="85"/>
      <c r="FX15" s="85"/>
      <c r="FY15" s="85"/>
      <c r="FZ15" s="85"/>
      <c r="GA15" s="85"/>
      <c r="GB15" s="85"/>
      <c r="GC15" s="85"/>
      <c r="GD15" s="85"/>
      <c r="GE15" s="85"/>
      <c r="GF15" s="85"/>
      <c r="GG15" s="85"/>
      <c r="GH15" s="85"/>
      <c r="GI15" s="85"/>
      <c r="GJ15" s="85"/>
      <c r="GK15" s="85"/>
      <c r="GL15" s="85"/>
      <c r="GM15" s="85"/>
      <c r="GN15" s="85"/>
      <c r="GO15" s="85"/>
      <c r="GP15" s="85"/>
      <c r="GQ15" s="85"/>
      <c r="GR15" s="85"/>
      <c r="GS15" s="85"/>
      <c r="GT15" s="85"/>
      <c r="GU15" s="85"/>
      <c r="GV15" s="85"/>
      <c r="GW15" s="85"/>
      <c r="GX15" s="85"/>
      <c r="GY15" s="85"/>
      <c r="GZ15" s="85"/>
      <c r="HA15" s="85"/>
      <c r="HB15" s="85"/>
      <c r="HC15" s="85"/>
      <c r="HD15" s="85"/>
      <c r="HE15" s="85"/>
      <c r="HF15" s="85"/>
      <c r="HG15" s="85"/>
      <c r="HH15" s="85"/>
      <c r="HI15" s="85"/>
      <c r="HJ15" s="85"/>
      <c r="HK15" s="85"/>
      <c r="HL15" s="85"/>
      <c r="HM15" s="85"/>
      <c r="HN15" s="85"/>
      <c r="HO15" s="85"/>
      <c r="HP15" s="85"/>
      <c r="HQ15" s="85"/>
      <c r="HR15" s="85"/>
      <c r="HS15" s="85"/>
      <c r="HT15" s="85"/>
      <c r="HU15" s="85"/>
      <c r="HV15" s="85"/>
      <c r="HW15" s="85"/>
      <c r="HX15" s="85"/>
      <c r="HY15" s="85"/>
      <c r="HZ15" s="85"/>
      <c r="IA15" s="85"/>
      <c r="IB15" s="85"/>
      <c r="IC15" s="85"/>
      <c r="ID15" s="85"/>
      <c r="IE15" s="85"/>
      <c r="IF15" s="85"/>
      <c r="IG15" s="85"/>
      <c r="IH15" s="85"/>
      <c r="II15" s="85"/>
      <c r="IJ15" s="85"/>
      <c r="IK15" s="85"/>
      <c r="IL15" s="85"/>
      <c r="IM15" s="85"/>
      <c r="IN15" s="85"/>
      <c r="IO15" s="85"/>
      <c r="IP15" s="85"/>
      <c r="IQ15" s="85"/>
      <c r="IR15" s="85"/>
      <c r="IS15" s="85"/>
      <c r="IT15" s="85"/>
      <c r="IU15" s="85"/>
      <c r="IV15" s="85"/>
    </row>
    <row r="16" spans="1:256" s="27" customFormat="1" ht="12" customHeight="1" x14ac:dyDescent="0.25">
      <c r="A16" s="122"/>
      <c r="B16" s="122"/>
      <c r="C16" s="122"/>
      <c r="D16" s="122"/>
      <c r="E16" s="27" t="s">
        <v>347</v>
      </c>
      <c r="F16" s="185"/>
      <c r="G16" s="139"/>
      <c r="H16" s="139"/>
      <c r="I16" s="139"/>
      <c r="J16" s="139"/>
      <c r="K16" s="122"/>
      <c r="O16" s="139"/>
      <c r="T16" s="140">
        <v>-44.286000000000001</v>
      </c>
      <c r="Y16" s="140">
        <v>-21.161999999999999</v>
      </c>
      <c r="AD16" s="140">
        <v>-30.14</v>
      </c>
      <c r="AE16" s="124">
        <v>11.22</v>
      </c>
      <c r="AF16" s="124">
        <v>-15.666</v>
      </c>
      <c r="AG16" s="124">
        <v>8.0739999999999998</v>
      </c>
      <c r="AH16" s="124">
        <v>11.153</v>
      </c>
      <c r="AI16" s="139">
        <f t="shared" si="6"/>
        <v>14.781000000000001</v>
      </c>
      <c r="AJ16" s="124">
        <v>-16.257999999999999</v>
      </c>
      <c r="AK16" s="124">
        <v>4.923</v>
      </c>
      <c r="AL16" s="124">
        <v>1.958</v>
      </c>
      <c r="AM16" s="124">
        <v>25.477</v>
      </c>
      <c r="AN16" s="139">
        <f t="shared" si="7"/>
        <v>16.100000000000001</v>
      </c>
      <c r="AO16" s="124">
        <v>-4.335</v>
      </c>
      <c r="AP16" s="124">
        <v>2.5259999999999998</v>
      </c>
      <c r="AQ16" s="124">
        <v>1.8140000000000001</v>
      </c>
      <c r="AR16" s="124">
        <v>10.29</v>
      </c>
      <c r="AS16" s="139">
        <f t="shared" si="8"/>
        <v>10.294999999999998</v>
      </c>
      <c r="AT16" s="124">
        <v>-16.835999999999999</v>
      </c>
      <c r="AU16" s="124">
        <v>8.3379999999999992</v>
      </c>
      <c r="AV16" s="124">
        <v>0.58499999999999996</v>
      </c>
      <c r="AW16" s="124">
        <v>-5.1109999999999998</v>
      </c>
      <c r="AX16" s="139">
        <f t="shared" si="9"/>
        <v>-13.023999999999999</v>
      </c>
      <c r="AY16" s="124">
        <v>-3.6219999999999999</v>
      </c>
      <c r="AZ16" s="124">
        <v>-6.0540000000000003</v>
      </c>
      <c r="BA16" s="124">
        <v>6.9130000000000003</v>
      </c>
      <c r="BB16" s="124">
        <v>1.8160000000000001</v>
      </c>
      <c r="BC16" s="139">
        <f t="shared" si="10"/>
        <v>-0.94699999999999984</v>
      </c>
      <c r="BD16" s="124">
        <v>-4.609</v>
      </c>
      <c r="BE16" s="124">
        <v>6.5510000000000002</v>
      </c>
      <c r="BF16" s="124">
        <v>-15.867000000000001</v>
      </c>
      <c r="BG16" s="124">
        <v>20.603000000000002</v>
      </c>
      <c r="BH16" s="139">
        <f t="shared" si="11"/>
        <v>6.6780000000000008</v>
      </c>
      <c r="BI16" s="124">
        <v>1.1399999999999999</v>
      </c>
      <c r="BJ16" s="124">
        <v>-7.0039999999999996</v>
      </c>
      <c r="BK16" s="124">
        <v>7.3949999999999996</v>
      </c>
      <c r="BL16" s="124">
        <v>6.202</v>
      </c>
      <c r="BM16" s="139">
        <f t="shared" si="13"/>
        <v>7.7329999999999997</v>
      </c>
      <c r="BN16" s="124">
        <v>12.481999999999999</v>
      </c>
      <c r="BO16" s="124">
        <v>-3.8740000000000001</v>
      </c>
      <c r="BP16" s="124">
        <v>-1.08</v>
      </c>
      <c r="BQ16" s="124">
        <v>-8.0250000000000004</v>
      </c>
      <c r="BR16" s="139">
        <f>SUM(BN16:BQ16)</f>
        <v>-0.49700000000000166</v>
      </c>
      <c r="BS16" s="124">
        <v>-8.0370000000000008</v>
      </c>
      <c r="BT16" s="124">
        <v>-1.244</v>
      </c>
      <c r="BU16" s="124">
        <v>-5.9569999999999999</v>
      </c>
      <c r="BV16" s="124">
        <v>2.2240000000000002</v>
      </c>
      <c r="BW16" s="139">
        <f>SUM(BS16:BV16)</f>
        <v>-13.013999999999999</v>
      </c>
      <c r="BX16" s="124">
        <v>9.4870000000000001</v>
      </c>
      <c r="BY16" s="124">
        <v>-11.051</v>
      </c>
      <c r="BZ16" s="124">
        <v>-4.5970000000000004</v>
      </c>
      <c r="CA16" s="124">
        <f>-11.161-BZ16-BY16-BX16</f>
        <v>-4.9999999999999991</v>
      </c>
      <c r="CB16" s="139">
        <f>SUM(BX16:CA16)</f>
        <v>-11.161</v>
      </c>
      <c r="CC16" s="636">
        <f>-4.675-CD16</f>
        <v>3.6260000000000003</v>
      </c>
      <c r="CD16" s="124">
        <v>-8.3010000000000002</v>
      </c>
      <c r="CE16" s="799">
        <v>-3</v>
      </c>
      <c r="CF16" s="799">
        <v>-4</v>
      </c>
      <c r="CG16" s="139">
        <f>SUM(CC16:CF16)</f>
        <v>-11.675000000000001</v>
      </c>
      <c r="CH16" s="636">
        <f>-2.649-CI16</f>
        <v>-0.85200000000000009</v>
      </c>
      <c r="CI16" s="124">
        <v>-1.7969999999999999</v>
      </c>
      <c r="CJ16" s="27">
        <f>Balance!CI11-Balance!CJ11</f>
        <v>0</v>
      </c>
      <c r="CK16" s="27">
        <f>Balance!CJ11-Balance!CK11</f>
        <v>-5</v>
      </c>
      <c r="CL16" s="139">
        <f>SUM(CH16:CK16)</f>
        <v>-7.649</v>
      </c>
      <c r="CM16" s="27">
        <f>Balance!CL11-Balance!CM11</f>
        <v>5</v>
      </c>
      <c r="CN16" s="27">
        <f>Balance!CM11-Balance!CN11</f>
        <v>-3</v>
      </c>
      <c r="CO16" s="27">
        <f>Balance!CN11-Balance!CO11</f>
        <v>-2</v>
      </c>
      <c r="CP16" s="27">
        <f>Balance!CO11-Balance!CP11</f>
        <v>-1</v>
      </c>
      <c r="CQ16" s="139">
        <f>SUM(CM16:CP16)</f>
        <v>-1</v>
      </c>
      <c r="CR16" s="27">
        <f>Balance!CQ11-Balance!CR11</f>
        <v>6</v>
      </c>
      <c r="CS16" s="27">
        <f>Balance!CR11-Balance!CS11</f>
        <v>-2</v>
      </c>
      <c r="CT16" s="27">
        <f>Balance!CS11-Balance!CT11</f>
        <v>-2</v>
      </c>
      <c r="CU16" s="27">
        <f>Balance!CT11-Balance!CU11</f>
        <v>-2</v>
      </c>
      <c r="CV16" s="139">
        <f>SUM(CR16:CU16)</f>
        <v>0</v>
      </c>
      <c r="CW16" s="85"/>
      <c r="CX16" s="85"/>
      <c r="CY16" s="85"/>
      <c r="CZ16" s="85"/>
      <c r="DA16" s="85"/>
      <c r="DB16" s="85"/>
      <c r="DC16" s="85"/>
      <c r="DD16" s="85"/>
      <c r="DE16" s="85"/>
      <c r="DF16" s="85"/>
      <c r="DG16" s="85"/>
      <c r="DH16" s="85"/>
      <c r="DI16" s="85"/>
      <c r="DJ16" s="85"/>
      <c r="DK16" s="85"/>
      <c r="DL16" s="85"/>
      <c r="DM16" s="85"/>
      <c r="DN16" s="85"/>
      <c r="DO16" s="85"/>
      <c r="DP16" s="85"/>
      <c r="DQ16" s="85"/>
      <c r="DR16" s="85"/>
      <c r="DS16" s="85"/>
      <c r="DT16" s="85"/>
      <c r="DU16" s="85"/>
      <c r="DV16" s="85"/>
      <c r="DW16" s="85"/>
      <c r="DX16" s="85"/>
      <c r="DY16" s="85"/>
      <c r="DZ16" s="85"/>
      <c r="EA16" s="85"/>
      <c r="EB16" s="85"/>
      <c r="EC16" s="85"/>
      <c r="ED16" s="85"/>
      <c r="EE16" s="85"/>
      <c r="EF16" s="85"/>
      <c r="EG16" s="85"/>
      <c r="EH16" s="85"/>
      <c r="EI16" s="85"/>
      <c r="EJ16" s="85"/>
      <c r="EK16" s="85"/>
      <c r="EL16" s="85"/>
      <c r="EM16" s="85"/>
      <c r="EN16" s="85"/>
      <c r="EO16" s="85"/>
      <c r="EP16" s="85"/>
      <c r="EQ16" s="85"/>
      <c r="ER16" s="85"/>
      <c r="ES16" s="85"/>
      <c r="ET16" s="85"/>
      <c r="EU16" s="85"/>
      <c r="EV16" s="85"/>
      <c r="EW16" s="85"/>
      <c r="EX16" s="85"/>
      <c r="EY16" s="85"/>
      <c r="EZ16" s="85"/>
      <c r="FA16" s="85"/>
      <c r="FB16" s="85"/>
      <c r="FC16" s="85"/>
      <c r="FD16" s="85"/>
      <c r="FE16" s="85"/>
      <c r="FF16" s="85"/>
      <c r="FG16" s="85"/>
      <c r="FH16" s="85"/>
      <c r="FI16" s="85"/>
      <c r="FJ16" s="85"/>
      <c r="FK16" s="85"/>
      <c r="FL16" s="85"/>
      <c r="FM16" s="85"/>
      <c r="FN16" s="85"/>
      <c r="FO16" s="85"/>
      <c r="FP16" s="85"/>
      <c r="FQ16" s="85"/>
      <c r="FR16" s="85"/>
      <c r="FS16" s="85"/>
      <c r="FT16" s="85"/>
      <c r="FU16" s="85"/>
      <c r="FV16" s="85"/>
      <c r="FW16" s="85"/>
      <c r="FX16" s="85"/>
      <c r="FY16" s="85"/>
      <c r="FZ16" s="85"/>
      <c r="GA16" s="85"/>
      <c r="GB16" s="85"/>
      <c r="GC16" s="85"/>
      <c r="GD16" s="85"/>
      <c r="GE16" s="85"/>
      <c r="GF16" s="85"/>
      <c r="GG16" s="85"/>
      <c r="GH16" s="85"/>
      <c r="GI16" s="85"/>
      <c r="GJ16" s="85"/>
      <c r="GK16" s="85"/>
      <c r="GL16" s="85"/>
      <c r="GM16" s="85"/>
      <c r="GN16" s="85"/>
      <c r="GO16" s="85"/>
      <c r="GP16" s="85"/>
      <c r="GQ16" s="85"/>
      <c r="GR16" s="85"/>
      <c r="GS16" s="85"/>
      <c r="GT16" s="85"/>
      <c r="GU16" s="85"/>
      <c r="GV16" s="85"/>
      <c r="GW16" s="85"/>
      <c r="GX16" s="85"/>
      <c r="GY16" s="85"/>
      <c r="GZ16" s="85"/>
      <c r="HA16" s="85"/>
      <c r="HB16" s="85"/>
      <c r="HC16" s="85"/>
      <c r="HD16" s="85"/>
      <c r="HE16" s="85"/>
      <c r="HF16" s="85"/>
      <c r="HG16" s="85"/>
      <c r="HH16" s="85"/>
      <c r="HI16" s="85"/>
      <c r="HJ16" s="85"/>
      <c r="HK16" s="85"/>
      <c r="HL16" s="85"/>
      <c r="HM16" s="85"/>
      <c r="HN16" s="85"/>
      <c r="HO16" s="85"/>
      <c r="HP16" s="85"/>
      <c r="HQ16" s="85"/>
      <c r="HR16" s="85"/>
      <c r="HS16" s="85"/>
      <c r="HT16" s="85"/>
      <c r="HU16" s="85"/>
      <c r="HV16" s="85"/>
      <c r="HW16" s="85"/>
      <c r="HX16" s="85"/>
      <c r="HY16" s="85"/>
      <c r="HZ16" s="85"/>
      <c r="IA16" s="85"/>
      <c r="IB16" s="85"/>
      <c r="IC16" s="85"/>
      <c r="ID16" s="85"/>
      <c r="IE16" s="85"/>
      <c r="IF16" s="85"/>
      <c r="IG16" s="85"/>
      <c r="IH16" s="85"/>
      <c r="II16" s="85"/>
      <c r="IJ16" s="85"/>
      <c r="IK16" s="85"/>
      <c r="IL16" s="85"/>
      <c r="IM16" s="85"/>
      <c r="IN16" s="85"/>
      <c r="IO16" s="85"/>
      <c r="IP16" s="85"/>
      <c r="IQ16" s="85"/>
      <c r="IR16" s="85"/>
      <c r="IS16" s="85"/>
      <c r="IT16" s="85"/>
      <c r="IU16" s="85"/>
      <c r="IV16" s="85"/>
    </row>
    <row r="17" spans="1:256" s="27" customFormat="1" ht="12" customHeight="1" x14ac:dyDescent="0.25">
      <c r="A17" s="122"/>
      <c r="B17" s="122"/>
      <c r="C17" s="122"/>
      <c r="D17" s="122"/>
      <c r="E17" s="27" t="s">
        <v>349</v>
      </c>
      <c r="F17" s="185"/>
      <c r="G17" s="139"/>
      <c r="H17" s="139"/>
      <c r="I17" s="139"/>
      <c r="J17" s="139"/>
      <c r="K17" s="122"/>
      <c r="O17" s="139"/>
      <c r="T17" s="140">
        <v>0</v>
      </c>
      <c r="Y17" s="140">
        <v>0</v>
      </c>
      <c r="AD17" s="140">
        <v>0</v>
      </c>
      <c r="AE17" s="124">
        <v>-5.5439999999999996</v>
      </c>
      <c r="AF17" s="124">
        <v>-7.2270000000000003</v>
      </c>
      <c r="AG17" s="124">
        <v>-7.8259999999999996</v>
      </c>
      <c r="AH17" s="124">
        <v>-11.94</v>
      </c>
      <c r="AI17" s="139">
        <f t="shared" si="6"/>
        <v>-32.536999999999999</v>
      </c>
      <c r="AJ17" s="124">
        <v>-0.61599999999999999</v>
      </c>
      <c r="AK17" s="124">
        <v>-1.452</v>
      </c>
      <c r="AL17" s="124">
        <v>-0.91800000000000004</v>
      </c>
      <c r="AM17" s="124">
        <v>-1.7569999999999999</v>
      </c>
      <c r="AN17" s="139">
        <f t="shared" si="7"/>
        <v>-4.7430000000000003</v>
      </c>
      <c r="AO17" s="124">
        <v>-0.90600000000000003</v>
      </c>
      <c r="AP17" s="124">
        <v>-2.4380000000000002</v>
      </c>
      <c r="AQ17" s="124">
        <v>-12.037000000000001</v>
      </c>
      <c r="AR17" s="124">
        <v>-4.9080000000000004</v>
      </c>
      <c r="AS17" s="139">
        <f>SUM(AO17:AR17)</f>
        <v>-20.289000000000001</v>
      </c>
      <c r="AT17" s="124">
        <v>-9.9809999999999999</v>
      </c>
      <c r="AU17" s="124">
        <v>-12.64</v>
      </c>
      <c r="AV17" s="124">
        <v>-5.7859999999999996</v>
      </c>
      <c r="AW17" s="124">
        <v>-0.97799999999999998</v>
      </c>
      <c r="AX17" s="139">
        <f>SUM(AT17:AW17)</f>
        <v>-29.385000000000005</v>
      </c>
      <c r="AY17" s="124">
        <v>-0.38600000000000001</v>
      </c>
      <c r="AZ17" s="124">
        <v>-0.44500000000000001</v>
      </c>
      <c r="BA17" s="124">
        <v>-1.048</v>
      </c>
      <c r="BB17" s="124">
        <v>-0.42199999999999999</v>
      </c>
      <c r="BC17" s="139">
        <f>SUM(AY17:BB17)</f>
        <v>-2.3010000000000002</v>
      </c>
      <c r="BD17" s="124">
        <v>-0.64700000000000002</v>
      </c>
      <c r="BE17" s="124">
        <v>-0.627</v>
      </c>
      <c r="BF17" s="124">
        <v>-0.32600000000000001</v>
      </c>
      <c r="BG17" s="124">
        <v>3.5999999999999997E-2</v>
      </c>
      <c r="BH17" s="139">
        <f>SUM(BD17:BG17)</f>
        <v>-1.5640000000000001</v>
      </c>
      <c r="BI17" s="124">
        <v>0</v>
      </c>
      <c r="BJ17" s="124">
        <v>0</v>
      </c>
      <c r="BK17" s="124">
        <v>-8.8999999999999996E-2</v>
      </c>
      <c r="BL17" s="124">
        <v>-0.41699999999999998</v>
      </c>
      <c r="BM17" s="139">
        <f>SUM(BI17:BL17)</f>
        <v>-0.50600000000000001</v>
      </c>
      <c r="BN17" s="124">
        <v>-1.383</v>
      </c>
      <c r="BO17" s="124">
        <v>0</v>
      </c>
      <c r="BP17" s="124">
        <v>-0.105</v>
      </c>
      <c r="BQ17" s="124">
        <v>4.0000000000000001E-3</v>
      </c>
      <c r="BR17" s="139">
        <f>SUM(BN17:BQ17)</f>
        <v>-1.484</v>
      </c>
      <c r="BS17" s="124">
        <v>-0.42499999999999999</v>
      </c>
      <c r="BT17" s="124">
        <v>-0.39800000000000002</v>
      </c>
      <c r="BU17" s="124">
        <v>-0.622</v>
      </c>
      <c r="BV17" s="124">
        <v>0</v>
      </c>
      <c r="BW17" s="139">
        <f>SUM(BS17:BV17)</f>
        <v>-1.4449999999999998</v>
      </c>
      <c r="BX17" s="124">
        <v>0</v>
      </c>
      <c r="BY17" s="124">
        <v>0</v>
      </c>
      <c r="BZ17" s="124">
        <v>0</v>
      </c>
      <c r="CA17" s="124">
        <v>0</v>
      </c>
      <c r="CB17" s="139">
        <f>SUM(BX17:CA17)</f>
        <v>0</v>
      </c>
      <c r="CC17" s="636">
        <v>0</v>
      </c>
      <c r="CD17" s="124">
        <v>0</v>
      </c>
      <c r="CE17" s="799">
        <v>0</v>
      </c>
      <c r="CF17" s="799">
        <v>0</v>
      </c>
      <c r="CG17" s="139">
        <f>SUM(CC17:CF17)</f>
        <v>0</v>
      </c>
      <c r="CH17" s="636">
        <f>-2.047-CI17</f>
        <v>-0.99800000000000022</v>
      </c>
      <c r="CI17" s="124">
        <v>-1.0489999999999999</v>
      </c>
      <c r="CJ17" s="27">
        <f>Balance!CI24-Balance!CJ24</f>
        <v>0</v>
      </c>
      <c r="CK17" s="27">
        <f>Balance!CJ24-Balance!CK24</f>
        <v>0</v>
      </c>
      <c r="CL17" s="139">
        <f>SUM(CH17:CK17)</f>
        <v>-2.0470000000000002</v>
      </c>
      <c r="CM17" s="27">
        <f>Balance!CL24-Balance!CM24</f>
        <v>0</v>
      </c>
      <c r="CN17" s="27">
        <f>Balance!CM24-Balance!CN24</f>
        <v>0</v>
      </c>
      <c r="CO17" s="27">
        <f>Balance!CN24-Balance!CO24</f>
        <v>0</v>
      </c>
      <c r="CP17" s="27">
        <f>Balance!CO24-Balance!CP24</f>
        <v>0</v>
      </c>
      <c r="CQ17" s="139">
        <f>SUM(CM17:CP17)</f>
        <v>0</v>
      </c>
      <c r="CR17" s="27">
        <f>Balance!CQ24-Balance!CR24</f>
        <v>0</v>
      </c>
      <c r="CS17" s="27">
        <f>Balance!CR24-Balance!CS24</f>
        <v>0</v>
      </c>
      <c r="CT17" s="27">
        <f>Balance!CS24-Balance!CT24</f>
        <v>0</v>
      </c>
      <c r="CU17" s="27">
        <f>Balance!CT24-Balance!CU24</f>
        <v>0</v>
      </c>
      <c r="CV17" s="139">
        <f>SUM(CR17:CU17)</f>
        <v>0</v>
      </c>
      <c r="CW17" s="85"/>
      <c r="CX17" s="85"/>
      <c r="CY17" s="85"/>
      <c r="CZ17" s="85"/>
      <c r="DA17" s="85"/>
      <c r="DB17" s="85"/>
      <c r="DC17" s="85"/>
      <c r="DD17" s="85"/>
      <c r="DE17" s="85"/>
      <c r="DF17" s="85"/>
      <c r="DG17" s="85"/>
      <c r="DH17" s="85"/>
      <c r="DI17" s="85"/>
      <c r="DJ17" s="85"/>
      <c r="DK17" s="85"/>
      <c r="DL17" s="85"/>
      <c r="DM17" s="85"/>
      <c r="DN17" s="85"/>
      <c r="DO17" s="85"/>
      <c r="DP17" s="85"/>
      <c r="DQ17" s="85"/>
      <c r="DR17" s="85"/>
      <c r="DS17" s="85"/>
      <c r="DT17" s="85"/>
      <c r="DU17" s="85"/>
      <c r="DV17" s="85"/>
      <c r="DW17" s="85"/>
      <c r="DX17" s="85"/>
      <c r="DY17" s="85"/>
      <c r="DZ17" s="85"/>
      <c r="EA17" s="85"/>
      <c r="EB17" s="85"/>
      <c r="EC17" s="85"/>
      <c r="ED17" s="85"/>
      <c r="EE17" s="85"/>
      <c r="EF17" s="85"/>
      <c r="EG17" s="85"/>
      <c r="EH17" s="85"/>
      <c r="EI17" s="85"/>
      <c r="EJ17" s="85"/>
      <c r="EK17" s="85"/>
      <c r="EL17" s="85"/>
      <c r="EM17" s="85"/>
      <c r="EN17" s="85"/>
      <c r="EO17" s="85"/>
      <c r="EP17" s="85"/>
      <c r="EQ17" s="85"/>
      <c r="ER17" s="85"/>
      <c r="ES17" s="85"/>
      <c r="ET17" s="85"/>
      <c r="EU17" s="85"/>
      <c r="EV17" s="85"/>
      <c r="EW17" s="85"/>
      <c r="EX17" s="85"/>
      <c r="EY17" s="85"/>
      <c r="EZ17" s="85"/>
      <c r="FA17" s="85"/>
      <c r="FB17" s="85"/>
      <c r="FC17" s="85"/>
      <c r="FD17" s="85"/>
      <c r="FE17" s="85"/>
      <c r="FF17" s="85"/>
      <c r="FG17" s="85"/>
      <c r="FH17" s="85"/>
      <c r="FI17" s="85"/>
      <c r="FJ17" s="85"/>
      <c r="FK17" s="85"/>
      <c r="FL17" s="85"/>
      <c r="FM17" s="85"/>
      <c r="FN17" s="85"/>
      <c r="FO17" s="85"/>
      <c r="FP17" s="85"/>
      <c r="FQ17" s="85"/>
      <c r="FR17" s="85"/>
      <c r="FS17" s="85"/>
      <c r="FT17" s="85"/>
      <c r="FU17" s="85"/>
      <c r="FV17" s="85"/>
      <c r="FW17" s="85"/>
      <c r="FX17" s="85"/>
      <c r="FY17" s="85"/>
      <c r="FZ17" s="85"/>
      <c r="GA17" s="85"/>
      <c r="GB17" s="85"/>
      <c r="GC17" s="85"/>
      <c r="GD17" s="85"/>
      <c r="GE17" s="85"/>
      <c r="GF17" s="85"/>
      <c r="GG17" s="85"/>
      <c r="GH17" s="85"/>
      <c r="GI17" s="85"/>
      <c r="GJ17" s="85"/>
      <c r="GK17" s="85"/>
      <c r="GL17" s="85"/>
      <c r="GM17" s="85"/>
      <c r="GN17" s="85"/>
      <c r="GO17" s="85"/>
      <c r="GP17" s="85"/>
      <c r="GQ17" s="85"/>
      <c r="GR17" s="85"/>
      <c r="GS17" s="85"/>
      <c r="GT17" s="85"/>
      <c r="GU17" s="85"/>
      <c r="GV17" s="85"/>
      <c r="GW17" s="85"/>
      <c r="GX17" s="85"/>
      <c r="GY17" s="85"/>
      <c r="GZ17" s="85"/>
      <c r="HA17" s="85"/>
      <c r="HB17" s="85"/>
      <c r="HC17" s="85"/>
      <c r="HD17" s="85"/>
      <c r="HE17" s="85"/>
      <c r="HF17" s="85"/>
      <c r="HG17" s="85"/>
      <c r="HH17" s="85"/>
      <c r="HI17" s="85"/>
      <c r="HJ17" s="85"/>
      <c r="HK17" s="85"/>
      <c r="HL17" s="85"/>
      <c r="HM17" s="85"/>
      <c r="HN17" s="85"/>
      <c r="HO17" s="85"/>
      <c r="HP17" s="85"/>
      <c r="HQ17" s="85"/>
      <c r="HR17" s="85"/>
      <c r="HS17" s="85"/>
      <c r="HT17" s="85"/>
      <c r="HU17" s="85"/>
      <c r="HV17" s="85"/>
      <c r="HW17" s="85"/>
      <c r="HX17" s="85"/>
      <c r="HY17" s="85"/>
      <c r="HZ17" s="85"/>
      <c r="IA17" s="85"/>
      <c r="IB17" s="85"/>
      <c r="IC17" s="85"/>
      <c r="ID17" s="85"/>
      <c r="IE17" s="85"/>
      <c r="IF17" s="85"/>
      <c r="IG17" s="85"/>
      <c r="IH17" s="85"/>
      <c r="II17" s="85"/>
      <c r="IJ17" s="85"/>
      <c r="IK17" s="85"/>
      <c r="IL17" s="85"/>
      <c r="IM17" s="85"/>
      <c r="IN17" s="85"/>
      <c r="IO17" s="85"/>
      <c r="IP17" s="85"/>
      <c r="IQ17" s="85"/>
      <c r="IR17" s="85"/>
      <c r="IS17" s="85"/>
      <c r="IT17" s="85"/>
      <c r="IU17" s="85"/>
      <c r="IV17" s="85"/>
    </row>
    <row r="18" spans="1:256" s="27" customFormat="1" ht="12" customHeight="1" x14ac:dyDescent="0.25">
      <c r="A18" s="122"/>
      <c r="B18" s="122"/>
      <c r="C18" s="122"/>
      <c r="D18" s="122"/>
      <c r="E18" s="27" t="s">
        <v>348</v>
      </c>
      <c r="F18" s="185"/>
      <c r="G18" s="139"/>
      <c r="H18" s="139"/>
      <c r="I18" s="139"/>
      <c r="J18" s="139"/>
      <c r="K18" s="122"/>
      <c r="O18" s="139"/>
      <c r="T18" s="140">
        <v>-22.460999999999999</v>
      </c>
      <c r="Y18" s="140">
        <v>-15.148</v>
      </c>
      <c r="AD18" s="140">
        <v>3.96</v>
      </c>
      <c r="AE18" s="124">
        <v>-3.097</v>
      </c>
      <c r="AF18" s="124">
        <v>-0.19600000000000001</v>
      </c>
      <c r="AG18" s="124">
        <v>3.2970000000000002</v>
      </c>
      <c r="AH18" s="124">
        <v>26.349</v>
      </c>
      <c r="AI18" s="139">
        <f t="shared" si="6"/>
        <v>26.353000000000002</v>
      </c>
      <c r="AJ18" s="124">
        <v>-31.295999999999999</v>
      </c>
      <c r="AK18" s="124">
        <v>3.968</v>
      </c>
      <c r="AL18" s="124">
        <v>21.106999999999999</v>
      </c>
      <c r="AM18" s="124">
        <v>-25.783999999999999</v>
      </c>
      <c r="AN18" s="139">
        <f t="shared" si="7"/>
        <v>-32.004999999999995</v>
      </c>
      <c r="AO18" s="124">
        <v>-32.015000000000001</v>
      </c>
      <c r="AP18" s="124">
        <v>6.9109999999999996</v>
      </c>
      <c r="AQ18" s="124">
        <v>-6.109</v>
      </c>
      <c r="AR18" s="124">
        <v>22.998999999999999</v>
      </c>
      <c r="AS18" s="139">
        <f t="shared" si="8"/>
        <v>-8.2140000000000022</v>
      </c>
      <c r="AT18" s="124">
        <v>-7.1210000000000004</v>
      </c>
      <c r="AU18" s="124">
        <v>-0.86099999999999999</v>
      </c>
      <c r="AV18" s="124">
        <v>-3.6259999999999999</v>
      </c>
      <c r="AW18" s="124">
        <v>-12.015000000000001</v>
      </c>
      <c r="AX18" s="139">
        <f t="shared" si="9"/>
        <v>-23.623000000000001</v>
      </c>
      <c r="AY18" s="124">
        <v>-3.6739999999999999</v>
      </c>
      <c r="AZ18" s="124">
        <v>9.75</v>
      </c>
      <c r="BA18" s="124">
        <v>1.32</v>
      </c>
      <c r="BB18" s="124">
        <v>35.915999999999997</v>
      </c>
      <c r="BC18" s="139">
        <f t="shared" si="10"/>
        <v>43.311999999999998</v>
      </c>
      <c r="BD18" s="124">
        <v>-33.463999999999999</v>
      </c>
      <c r="BE18" s="124">
        <v>-4.6680000000000001</v>
      </c>
      <c r="BF18" s="124">
        <v>5.5250000000000004</v>
      </c>
      <c r="BG18" s="124">
        <v>23.719000000000001</v>
      </c>
      <c r="BH18" s="139">
        <f t="shared" si="11"/>
        <v>-8.8879999999999981</v>
      </c>
      <c r="BI18" s="124">
        <v>-27.309000000000001</v>
      </c>
      <c r="BJ18" s="124">
        <v>6.641</v>
      </c>
      <c r="BK18" s="124">
        <v>8.1140000000000008</v>
      </c>
      <c r="BL18" s="124">
        <v>12.763</v>
      </c>
      <c r="BM18" s="139">
        <f t="shared" si="13"/>
        <v>0.20900000000000141</v>
      </c>
      <c r="BN18" s="124">
        <v>-29.021999999999998</v>
      </c>
      <c r="BO18" s="124">
        <f>4.48</f>
        <v>4.4800000000000004</v>
      </c>
      <c r="BP18" s="124">
        <v>-4.8730000000000002</v>
      </c>
      <c r="BQ18" s="124">
        <v>0.27300000000000002</v>
      </c>
      <c r="BR18" s="139">
        <f>SUM(BN18:BQ18)</f>
        <v>-29.141999999999999</v>
      </c>
      <c r="BS18" s="124">
        <f>-3.53</f>
        <v>-3.53</v>
      </c>
      <c r="BT18" s="124">
        <v>-6.806</v>
      </c>
      <c r="BU18" s="124">
        <v>13.518000000000001</v>
      </c>
      <c r="BV18" s="124">
        <v>22.37</v>
      </c>
      <c r="BW18" s="139">
        <f>SUM(BS18:BV18)</f>
        <v>25.552</v>
      </c>
      <c r="BX18" s="124">
        <v>-41.021000000000001</v>
      </c>
      <c r="BY18" s="124">
        <v>19.241</v>
      </c>
      <c r="BZ18" s="124">
        <v>10.172000000000001</v>
      </c>
      <c r="CA18" s="124">
        <f>4.302-BZ18-BY18-BX18</f>
        <v>15.91</v>
      </c>
      <c r="CB18" s="139">
        <f>SUM(BX18:CA18)</f>
        <v>4.3019999999999996</v>
      </c>
      <c r="CC18" s="636">
        <f>-3.804-CD18</f>
        <v>-3.8289999999999997</v>
      </c>
      <c r="CD18" s="124">
        <v>2.5000000000000001E-2</v>
      </c>
      <c r="CE18" s="799">
        <v>2</v>
      </c>
      <c r="CF18" s="799">
        <v>3</v>
      </c>
      <c r="CG18" s="139">
        <f>SUM(CC18:CF18)</f>
        <v>1.1960000000000002</v>
      </c>
      <c r="CH18" s="636">
        <f>-7.276-CI18</f>
        <v>4.3170000000000002</v>
      </c>
      <c r="CI18" s="124">
        <v>-11.593</v>
      </c>
      <c r="CJ18" s="27">
        <f>Balance!CJ32-Balance!CI32+Balance!CJ33-Balance!CI33+Balance!CJ34-Balance!CI34</f>
        <v>0</v>
      </c>
      <c r="CK18" s="27">
        <f>Balance!CK32-Balance!CJ32+Balance!CK33-Balance!CJ33+Balance!CK34-Balance!CJ34</f>
        <v>2</v>
      </c>
      <c r="CL18" s="139">
        <f>SUM(CH18:CK18)</f>
        <v>-5.2759999999999998</v>
      </c>
      <c r="CM18" s="27">
        <f>Balance!CM32-Balance!CL32+Balance!CM33-Balance!CL33+Balance!CM34-Balance!CL34</f>
        <v>-1</v>
      </c>
      <c r="CN18" s="27">
        <f>Balance!CN32-Balance!CM32+Balance!CN33-Balance!CM33+Balance!CN34-Balance!CM34</f>
        <v>0.20000000000000284</v>
      </c>
      <c r="CO18" s="27">
        <f>Balance!CO32-Balance!CN32+Balance!CO33-Balance!CN33+Balance!CO34-Balance!CN34</f>
        <v>1</v>
      </c>
      <c r="CP18" s="27">
        <f>Balance!CP32-Balance!CO32+Balance!CP33-Balance!CO33+Balance!CP34-Balance!CO34</f>
        <v>4</v>
      </c>
      <c r="CQ18" s="139">
        <f>SUM(CM18:CP18)</f>
        <v>4.2000000000000028</v>
      </c>
      <c r="CR18" s="27">
        <f>Balance!CR32-Balance!CQ32+Balance!CR33-Balance!CQ33+Balance!CR34-Balance!CQ34</f>
        <v>0</v>
      </c>
      <c r="CS18" s="27">
        <f>Balance!CS32-Balance!CR32+Balance!CS33-Balance!CR33+Balance!CS34-Balance!CR34</f>
        <v>1.7000000000000028</v>
      </c>
      <c r="CT18" s="27">
        <f>Balance!CT32-Balance!CS32+Balance!CT33-Balance!CS33+Balance!CT34-Balance!CS34</f>
        <v>0.60000000000000142</v>
      </c>
      <c r="CU18" s="27">
        <f>Balance!CU32-Balance!CT32+Balance!CU33-Balance!CT33+Balance!CU34-Balance!CT34</f>
        <v>3</v>
      </c>
      <c r="CV18" s="139">
        <f>SUM(CR18:CU18)</f>
        <v>5.3000000000000043</v>
      </c>
      <c r="CW18" s="85"/>
      <c r="CX18" s="85"/>
      <c r="CY18" s="85"/>
      <c r="CZ18" s="85"/>
      <c r="DA18" s="85"/>
      <c r="DB18" s="85"/>
      <c r="DC18" s="85"/>
      <c r="DD18" s="85"/>
      <c r="DE18" s="85"/>
      <c r="DF18" s="85"/>
      <c r="DG18" s="85"/>
      <c r="DH18" s="85"/>
      <c r="DI18" s="85"/>
      <c r="DJ18" s="85"/>
      <c r="DK18" s="85"/>
      <c r="DL18" s="85"/>
      <c r="DM18" s="85"/>
      <c r="DN18" s="85"/>
      <c r="DO18" s="85"/>
      <c r="DP18" s="85"/>
      <c r="DQ18" s="85"/>
      <c r="DR18" s="85"/>
      <c r="DS18" s="85"/>
      <c r="DT18" s="85"/>
      <c r="DU18" s="85"/>
      <c r="DV18" s="85"/>
      <c r="DW18" s="85"/>
      <c r="DX18" s="85"/>
      <c r="DY18" s="85"/>
      <c r="DZ18" s="85"/>
      <c r="EA18" s="85"/>
      <c r="EB18" s="85"/>
      <c r="EC18" s="85"/>
      <c r="ED18" s="85"/>
      <c r="EE18" s="85"/>
      <c r="EF18" s="85"/>
      <c r="EG18" s="85"/>
      <c r="EH18" s="85"/>
      <c r="EI18" s="85"/>
      <c r="EJ18" s="85"/>
      <c r="EK18" s="85"/>
      <c r="EL18" s="85"/>
      <c r="EM18" s="85"/>
      <c r="EN18" s="85"/>
      <c r="EO18" s="85"/>
      <c r="EP18" s="85"/>
      <c r="EQ18" s="85"/>
      <c r="ER18" s="85"/>
      <c r="ES18" s="85"/>
      <c r="ET18" s="85"/>
      <c r="EU18" s="85"/>
      <c r="EV18" s="85"/>
      <c r="EW18" s="85"/>
      <c r="EX18" s="85"/>
      <c r="EY18" s="85"/>
      <c r="EZ18" s="85"/>
      <c r="FA18" s="85"/>
      <c r="FB18" s="85"/>
      <c r="FC18" s="85"/>
      <c r="FD18" s="85"/>
      <c r="FE18" s="85"/>
      <c r="FF18" s="85"/>
      <c r="FG18" s="85"/>
      <c r="FH18" s="85"/>
      <c r="FI18" s="85"/>
      <c r="FJ18" s="85"/>
      <c r="FK18" s="85"/>
      <c r="FL18" s="85"/>
      <c r="FM18" s="85"/>
      <c r="FN18" s="85"/>
      <c r="FO18" s="85"/>
      <c r="FP18" s="85"/>
      <c r="FQ18" s="85"/>
      <c r="FR18" s="85"/>
      <c r="FS18" s="85"/>
      <c r="FT18" s="85"/>
      <c r="FU18" s="85"/>
      <c r="FV18" s="85"/>
      <c r="FW18" s="85"/>
      <c r="FX18" s="85"/>
      <c r="FY18" s="85"/>
      <c r="FZ18" s="85"/>
      <c r="GA18" s="85"/>
      <c r="GB18" s="85"/>
      <c r="GC18" s="85"/>
      <c r="GD18" s="85"/>
      <c r="GE18" s="85"/>
      <c r="GF18" s="85"/>
      <c r="GG18" s="85"/>
      <c r="GH18" s="85"/>
      <c r="GI18" s="85"/>
      <c r="GJ18" s="85"/>
      <c r="GK18" s="85"/>
      <c r="GL18" s="85"/>
      <c r="GM18" s="85"/>
      <c r="GN18" s="85"/>
      <c r="GO18" s="85"/>
      <c r="GP18" s="85"/>
      <c r="GQ18" s="85"/>
      <c r="GR18" s="85"/>
      <c r="GS18" s="85"/>
      <c r="GT18" s="85"/>
      <c r="GU18" s="85"/>
      <c r="GV18" s="85"/>
      <c r="GW18" s="85"/>
      <c r="GX18" s="85"/>
      <c r="GY18" s="85"/>
      <c r="GZ18" s="85"/>
      <c r="HA18" s="85"/>
      <c r="HB18" s="85"/>
      <c r="HC18" s="85"/>
      <c r="HD18" s="85"/>
      <c r="HE18" s="85"/>
      <c r="HF18" s="85"/>
      <c r="HG18" s="85"/>
      <c r="HH18" s="85"/>
      <c r="HI18" s="85"/>
      <c r="HJ18" s="85"/>
      <c r="HK18" s="85"/>
      <c r="HL18" s="85"/>
      <c r="HM18" s="85"/>
      <c r="HN18" s="85"/>
      <c r="HO18" s="85"/>
      <c r="HP18" s="85"/>
      <c r="HQ18" s="85"/>
      <c r="HR18" s="85"/>
      <c r="HS18" s="85"/>
      <c r="HT18" s="85"/>
      <c r="HU18" s="85"/>
      <c r="HV18" s="85"/>
      <c r="HW18" s="85"/>
      <c r="HX18" s="85"/>
      <c r="HY18" s="85"/>
      <c r="HZ18" s="85"/>
      <c r="IA18" s="85"/>
      <c r="IB18" s="85"/>
      <c r="IC18" s="85"/>
      <c r="ID18" s="85"/>
      <c r="IE18" s="85"/>
      <c r="IF18" s="85"/>
      <c r="IG18" s="85"/>
      <c r="IH18" s="85"/>
      <c r="II18" s="85"/>
      <c r="IJ18" s="85"/>
      <c r="IK18" s="85"/>
      <c r="IL18" s="85"/>
      <c r="IM18" s="85"/>
      <c r="IN18" s="85"/>
      <c r="IO18" s="85"/>
      <c r="IP18" s="85"/>
      <c r="IQ18" s="85"/>
      <c r="IR18" s="85"/>
      <c r="IS18" s="85"/>
      <c r="IT18" s="85"/>
      <c r="IU18" s="85"/>
      <c r="IV18" s="85"/>
    </row>
    <row r="19" spans="1:256" s="27" customFormat="1" ht="12" customHeight="1" x14ac:dyDescent="0.25">
      <c r="A19" s="122"/>
      <c r="B19" s="122"/>
      <c r="C19" s="122"/>
      <c r="D19" s="122"/>
      <c r="E19" s="27" t="s">
        <v>333</v>
      </c>
      <c r="F19" s="185"/>
      <c r="G19" s="139"/>
      <c r="H19" s="139"/>
      <c r="I19" s="139"/>
      <c r="J19" s="139"/>
      <c r="K19" s="122"/>
      <c r="O19" s="139"/>
      <c r="T19" s="140">
        <v>24.428999999999998</v>
      </c>
      <c r="Y19" s="140">
        <v>5.569</v>
      </c>
      <c r="AD19" s="140">
        <v>-13.305</v>
      </c>
      <c r="AE19" s="124">
        <v>-12.723000000000001</v>
      </c>
      <c r="AF19" s="124">
        <v>-15.79</v>
      </c>
      <c r="AG19" s="124">
        <v>-13.759</v>
      </c>
      <c r="AH19" s="124">
        <v>-7.8630000000000004</v>
      </c>
      <c r="AI19" s="139">
        <f t="shared" si="6"/>
        <v>-50.134999999999998</v>
      </c>
      <c r="AJ19" s="124">
        <v>-0.48399999999999999</v>
      </c>
      <c r="AK19" s="124">
        <v>-6.29</v>
      </c>
      <c r="AL19" s="124">
        <v>0.55900000000000005</v>
      </c>
      <c r="AM19" s="124">
        <v>-2.2530000000000001</v>
      </c>
      <c r="AN19" s="139">
        <f t="shared" si="7"/>
        <v>-8.468</v>
      </c>
      <c r="AO19" s="124">
        <v>-0.9</v>
      </c>
      <c r="AP19" s="124">
        <v>-5.1909999999999998</v>
      </c>
      <c r="AQ19" s="124">
        <v>7.6390000000000002</v>
      </c>
      <c r="AR19" s="124">
        <v>-1.968</v>
      </c>
      <c r="AS19" s="139">
        <f>SUM(AO19:AR19)</f>
        <v>-0.41999999999999993</v>
      </c>
      <c r="AT19" s="124">
        <v>2.5640000000000001</v>
      </c>
      <c r="AU19" s="124">
        <v>-1.6</v>
      </c>
      <c r="AV19" s="124">
        <v>10.78</v>
      </c>
      <c r="AW19" s="124">
        <v>-10.968999999999999</v>
      </c>
      <c r="AX19" s="139">
        <f>SUM(AT19:AW19)</f>
        <v>0.77500000000000036</v>
      </c>
      <c r="AY19" s="124">
        <v>1.2509999999999999</v>
      </c>
      <c r="AZ19" s="124">
        <v>-4.2290000000000001</v>
      </c>
      <c r="BA19" s="124">
        <v>17.120999999999999</v>
      </c>
      <c r="BB19" s="124">
        <v>-10.143000000000001</v>
      </c>
      <c r="BC19" s="139">
        <f>SUM(AY19:BB19)</f>
        <v>3.9999999999999982</v>
      </c>
      <c r="BD19" s="124">
        <v>-7.218</v>
      </c>
      <c r="BE19" s="124">
        <v>-5.3780000000000001</v>
      </c>
      <c r="BF19" s="124">
        <v>-0.23400000000000001</v>
      </c>
      <c r="BG19" s="124">
        <v>-5.8550000000000004</v>
      </c>
      <c r="BH19" s="139">
        <f>SUM(BD19:BG19)</f>
        <v>-18.685000000000002</v>
      </c>
      <c r="BI19" s="124">
        <v>1.2669999999999999</v>
      </c>
      <c r="BJ19" s="124">
        <v>2.65</v>
      </c>
      <c r="BK19" s="124">
        <v>2.617</v>
      </c>
      <c r="BL19" s="124">
        <v>-2.589</v>
      </c>
      <c r="BM19" s="139">
        <f>SUM(BI19:BL19)</f>
        <v>3.9449999999999998</v>
      </c>
      <c r="BN19" s="124">
        <v>-6.6440000000000001</v>
      </c>
      <c r="BO19" s="124">
        <v>-5.9119999999999999</v>
      </c>
      <c r="BP19" s="124">
        <v>2.3759999999999999</v>
      </c>
      <c r="BQ19" s="124">
        <v>-0.497</v>
      </c>
      <c r="BR19" s="139">
        <f>SUM(BN19:BQ19)</f>
        <v>-10.677000000000001</v>
      </c>
      <c r="BS19" s="124">
        <v>-0.255</v>
      </c>
      <c r="BT19" s="124">
        <v>2.7069999999999999</v>
      </c>
      <c r="BU19" s="124">
        <v>6.7530000000000001</v>
      </c>
      <c r="BV19" s="124">
        <v>1.879</v>
      </c>
      <c r="BW19" s="139">
        <f>SUM(BS19:BV19)</f>
        <v>11.084</v>
      </c>
      <c r="BX19" s="124">
        <v>-5.7770000000000001</v>
      </c>
      <c r="BY19" s="124">
        <v>-3.9279999999999999</v>
      </c>
      <c r="BZ19" s="124">
        <v>-0.54200000000000004</v>
      </c>
      <c r="CA19" s="124">
        <f>-7.304-BZ19-BY19-BX19</f>
        <v>2.9429999999999996</v>
      </c>
      <c r="CB19" s="139">
        <f>SUM(BX19:CA19)</f>
        <v>-7.3040000000000003</v>
      </c>
      <c r="CC19" s="636">
        <f>-1.228-CD19</f>
        <v>-1.2769999999999999</v>
      </c>
      <c r="CD19" s="124">
        <v>4.9000000000000002E-2</v>
      </c>
      <c r="CE19" s="799">
        <v>-0.2</v>
      </c>
      <c r="CF19" s="799">
        <v>-0.2</v>
      </c>
      <c r="CG19" s="139">
        <f>SUM(CC19:CF19)</f>
        <v>-1.6279999999999999</v>
      </c>
      <c r="CH19" s="636">
        <f>-1.515-CI19</f>
        <v>0.42700000000000005</v>
      </c>
      <c r="CI19" s="124">
        <v>-1.9419999999999999</v>
      </c>
      <c r="CJ19" s="27">
        <f>Balance!CJ35-Balance!CI35</f>
        <v>0</v>
      </c>
      <c r="CK19" s="27">
        <f>Balance!CK35-Balance!CJ35</f>
        <v>0</v>
      </c>
      <c r="CL19" s="139">
        <f>SUM(CH19:CK19)</f>
        <v>-1.5149999999999999</v>
      </c>
      <c r="CM19" s="27">
        <f>Balance!CM35-Balance!CL35</f>
        <v>0</v>
      </c>
      <c r="CN19" s="27">
        <f>Balance!CN35-Balance!CM35</f>
        <v>0</v>
      </c>
      <c r="CO19" s="27">
        <f>Balance!CO35-Balance!CN35</f>
        <v>0</v>
      </c>
      <c r="CP19" s="27">
        <f>Balance!CP35-Balance!CO35</f>
        <v>0</v>
      </c>
      <c r="CQ19" s="139">
        <f>SUM(CM19:CP19)</f>
        <v>0</v>
      </c>
      <c r="CR19" s="27">
        <f>Balance!CR35-Balance!CQ35</f>
        <v>0</v>
      </c>
      <c r="CS19" s="27">
        <f>Balance!CS35-Balance!CR35</f>
        <v>0</v>
      </c>
      <c r="CT19" s="27">
        <f>Balance!CT35-Balance!CS35</f>
        <v>0</v>
      </c>
      <c r="CU19" s="27">
        <f>Balance!CU35-Balance!CT35</f>
        <v>0</v>
      </c>
      <c r="CV19" s="139">
        <f>SUM(CR19:CU19)</f>
        <v>0</v>
      </c>
      <c r="CW19" s="85"/>
      <c r="CX19" s="85"/>
      <c r="CY19" s="85"/>
      <c r="CZ19" s="85"/>
      <c r="DA19" s="85"/>
      <c r="DB19" s="85"/>
      <c r="DC19" s="85"/>
      <c r="DD19" s="85"/>
      <c r="DE19" s="85"/>
      <c r="DF19" s="85"/>
      <c r="DG19" s="85"/>
      <c r="DH19" s="85"/>
      <c r="DI19" s="85"/>
      <c r="DJ19" s="85"/>
      <c r="DK19" s="85"/>
      <c r="DL19" s="85"/>
      <c r="DM19" s="85"/>
      <c r="DN19" s="85"/>
      <c r="DO19" s="85"/>
      <c r="DP19" s="85"/>
      <c r="DQ19" s="85"/>
      <c r="DR19" s="85"/>
      <c r="DS19" s="85"/>
      <c r="DT19" s="85"/>
      <c r="DU19" s="85"/>
      <c r="DV19" s="85"/>
      <c r="DW19" s="85"/>
      <c r="DX19" s="85"/>
      <c r="DY19" s="85"/>
      <c r="DZ19" s="85"/>
      <c r="EA19" s="85"/>
      <c r="EB19" s="85"/>
      <c r="EC19" s="85"/>
      <c r="ED19" s="85"/>
      <c r="EE19" s="85"/>
      <c r="EF19" s="85"/>
      <c r="EG19" s="85"/>
      <c r="EH19" s="85"/>
      <c r="EI19" s="85"/>
      <c r="EJ19" s="85"/>
      <c r="EK19" s="85"/>
      <c r="EL19" s="85"/>
      <c r="EM19" s="85"/>
      <c r="EN19" s="85"/>
      <c r="EO19" s="85"/>
      <c r="EP19" s="85"/>
      <c r="EQ19" s="85"/>
      <c r="ER19" s="85"/>
      <c r="ES19" s="85"/>
      <c r="ET19" s="85"/>
      <c r="EU19" s="85"/>
      <c r="EV19" s="85"/>
      <c r="EW19" s="85"/>
      <c r="EX19" s="85"/>
      <c r="EY19" s="85"/>
      <c r="EZ19" s="85"/>
      <c r="FA19" s="85"/>
      <c r="FB19" s="85"/>
      <c r="FC19" s="85"/>
      <c r="FD19" s="85"/>
      <c r="FE19" s="85"/>
      <c r="FF19" s="85"/>
      <c r="FG19" s="85"/>
      <c r="FH19" s="85"/>
      <c r="FI19" s="85"/>
      <c r="FJ19" s="85"/>
      <c r="FK19" s="85"/>
      <c r="FL19" s="85"/>
      <c r="FM19" s="85"/>
      <c r="FN19" s="85"/>
      <c r="FO19" s="85"/>
      <c r="FP19" s="85"/>
      <c r="FQ19" s="85"/>
      <c r="FR19" s="85"/>
      <c r="FS19" s="85"/>
      <c r="FT19" s="85"/>
      <c r="FU19" s="85"/>
      <c r="FV19" s="85"/>
      <c r="FW19" s="85"/>
      <c r="FX19" s="85"/>
      <c r="FY19" s="85"/>
      <c r="FZ19" s="85"/>
      <c r="GA19" s="85"/>
      <c r="GB19" s="85"/>
      <c r="GC19" s="85"/>
      <c r="GD19" s="85"/>
      <c r="GE19" s="85"/>
      <c r="GF19" s="85"/>
      <c r="GG19" s="85"/>
      <c r="GH19" s="85"/>
      <c r="GI19" s="85"/>
      <c r="GJ19" s="85"/>
      <c r="GK19" s="85"/>
      <c r="GL19" s="85"/>
      <c r="GM19" s="85"/>
      <c r="GN19" s="85"/>
      <c r="GO19" s="85"/>
      <c r="GP19" s="85"/>
      <c r="GQ19" s="85"/>
      <c r="GR19" s="85"/>
      <c r="GS19" s="85"/>
      <c r="GT19" s="85"/>
      <c r="GU19" s="85"/>
      <c r="GV19" s="85"/>
      <c r="GW19" s="85"/>
      <c r="GX19" s="85"/>
      <c r="GY19" s="85"/>
      <c r="GZ19" s="85"/>
      <c r="HA19" s="85"/>
      <c r="HB19" s="85"/>
      <c r="HC19" s="85"/>
      <c r="HD19" s="85"/>
      <c r="HE19" s="85"/>
      <c r="HF19" s="85"/>
      <c r="HG19" s="85"/>
      <c r="HH19" s="85"/>
      <c r="HI19" s="85"/>
      <c r="HJ19" s="85"/>
      <c r="HK19" s="85"/>
      <c r="HL19" s="85"/>
      <c r="HM19" s="85"/>
      <c r="HN19" s="85"/>
      <c r="HO19" s="85"/>
      <c r="HP19" s="85"/>
      <c r="HQ19" s="85"/>
      <c r="HR19" s="85"/>
      <c r="HS19" s="85"/>
      <c r="HT19" s="85"/>
      <c r="HU19" s="85"/>
      <c r="HV19" s="85"/>
      <c r="HW19" s="85"/>
      <c r="HX19" s="85"/>
      <c r="HY19" s="85"/>
      <c r="HZ19" s="85"/>
      <c r="IA19" s="85"/>
      <c r="IB19" s="85"/>
      <c r="IC19" s="85"/>
      <c r="ID19" s="85"/>
      <c r="IE19" s="85"/>
      <c r="IF19" s="85"/>
      <c r="IG19" s="85"/>
      <c r="IH19" s="85"/>
      <c r="II19" s="85"/>
      <c r="IJ19" s="85"/>
      <c r="IK19" s="85"/>
      <c r="IL19" s="85"/>
      <c r="IM19" s="85"/>
      <c r="IN19" s="85"/>
      <c r="IO19" s="85"/>
      <c r="IP19" s="85"/>
      <c r="IQ19" s="85"/>
      <c r="IR19" s="85"/>
      <c r="IS19" s="85"/>
      <c r="IT19" s="85"/>
      <c r="IU19" s="85"/>
      <c r="IV19" s="85"/>
    </row>
    <row r="20" spans="1:256" s="29" customFormat="1" ht="12" customHeight="1" x14ac:dyDescent="0.25">
      <c r="A20" s="129"/>
      <c r="B20" s="129"/>
      <c r="C20" s="129"/>
      <c r="D20" s="129"/>
      <c r="E20" s="29" t="s">
        <v>418</v>
      </c>
      <c r="F20" s="141"/>
      <c r="G20" s="141"/>
      <c r="H20" s="141"/>
      <c r="I20" s="141"/>
      <c r="J20" s="141"/>
      <c r="K20" s="125"/>
      <c r="L20" s="125"/>
      <c r="M20" s="125"/>
      <c r="N20" s="125"/>
      <c r="O20" s="149"/>
      <c r="P20" s="125"/>
      <c r="Q20" s="125"/>
      <c r="R20" s="125"/>
      <c r="S20" s="125"/>
      <c r="T20" s="141">
        <f>247.014-SUM(T9:T19)</f>
        <v>-12.854999999999905</v>
      </c>
      <c r="U20" s="125"/>
      <c r="V20" s="125"/>
      <c r="W20" s="125"/>
      <c r="X20" s="125"/>
      <c r="Y20" s="141">
        <f>275.833-SUM(Y9:Y19)</f>
        <v>-7.6999999999999886</v>
      </c>
      <c r="Z20" s="125"/>
      <c r="AA20" s="125"/>
      <c r="AB20" s="125"/>
      <c r="AC20" s="125"/>
      <c r="AD20" s="141">
        <f>259.952-SUM(AD9:AD19)</f>
        <v>-19.100999999999942</v>
      </c>
      <c r="AE20" s="125">
        <f>33.588-SUM(AE9:AE19)</f>
        <v>-0.79199999999996606</v>
      </c>
      <c r="AF20" s="125">
        <f>33.416-SUM(AF9:AF19)</f>
        <v>2.1780000000000044</v>
      </c>
      <c r="AG20" s="125">
        <f>122.269-SUM(AG9:AG19)</f>
        <v>17.777000000000001</v>
      </c>
      <c r="AH20" s="125">
        <f>78.534-SUM(AH9:AH19)</f>
        <v>-10.509999999999934</v>
      </c>
      <c r="AI20" s="149">
        <f t="shared" si="6"/>
        <v>8.6530000000001053</v>
      </c>
      <c r="AJ20" s="125">
        <f>28.473-SUM(AJ9:AJ19)</f>
        <v>9.3759999999999906</v>
      </c>
      <c r="AK20" s="125">
        <f>86.803-SUM(AK9:AK19)</f>
        <v>11.438999999999993</v>
      </c>
      <c r="AL20" s="125">
        <f>78.913-SUM(AL9:AL19)</f>
        <v>-6.9399999999999977</v>
      </c>
      <c r="AM20" s="125">
        <f>74.652-SUM(AM9:AM19)</f>
        <v>-1.5280000000000484</v>
      </c>
      <c r="AN20" s="149">
        <f t="shared" si="7"/>
        <v>12.346999999999937</v>
      </c>
      <c r="AO20" s="125">
        <f>16.166-SUM(AO9:AO19)</f>
        <v>4.6510000000000158</v>
      </c>
      <c r="AP20" s="125">
        <f>60.703-SUM(AP9:AP19)</f>
        <v>-1.1900000000000261</v>
      </c>
      <c r="AQ20" s="125">
        <f>74.509-SUM(AQ9:AQ19)</f>
        <v>8.451999999999984</v>
      </c>
      <c r="AR20" s="125">
        <f>87.904-SUM(AR9:AR19)</f>
        <v>-9.7419999999999618</v>
      </c>
      <c r="AS20" s="149">
        <f t="shared" si="8"/>
        <v>2.1710000000000118</v>
      </c>
      <c r="AT20" s="125">
        <f>16.988-SUM(AT9:AT19)</f>
        <v>-1.467000000000013</v>
      </c>
      <c r="AU20" s="125">
        <f>42.966-SUM(AU9:AU19)</f>
        <v>-6.6840000000000046</v>
      </c>
      <c r="AV20" s="125">
        <f>64.23-SUM(AV9:AV19)</f>
        <v>3.5609999999999573</v>
      </c>
      <c r="AW20" s="125">
        <f>42.035-SUM(AW9:AW19)</f>
        <v>6.35300000000003</v>
      </c>
      <c r="AX20" s="149">
        <f t="shared" si="9"/>
        <v>1.7629999999999697</v>
      </c>
      <c r="AY20" s="125">
        <f>32.754-SUM(AY9:AY19)</f>
        <v>-8.5169999999999959</v>
      </c>
      <c r="AZ20" s="125">
        <f>57.714-SUM(AZ9:AZ19)</f>
        <v>3.9249999999999829</v>
      </c>
      <c r="BA20" s="125">
        <f>82.54-SUM(BA9:BA19)</f>
        <v>22.192999999999984</v>
      </c>
      <c r="BB20" s="125">
        <f>56.443-SUM(BB9:BB19)</f>
        <v>-4.7049999999999983</v>
      </c>
      <c r="BC20" s="149">
        <f t="shared" si="10"/>
        <v>12.895999999999972</v>
      </c>
      <c r="BD20" s="125">
        <f>-1.867-SUM(BD9:BD19)</f>
        <v>-1.3969999999999976</v>
      </c>
      <c r="BE20" s="125">
        <f>39.235-SUM(BE9:BE19)</f>
        <v>-3.3389999999999844</v>
      </c>
      <c r="BF20" s="125">
        <f>38.543-SUM(BF9:BF19)</f>
        <v>5.490999999999957</v>
      </c>
      <c r="BG20" s="125">
        <f>74.221-SUM(BG9:BG19)</f>
        <v>-9.9419999999999646</v>
      </c>
      <c r="BH20" s="149">
        <f t="shared" si="11"/>
        <v>-9.1869999999999905</v>
      </c>
      <c r="BI20" s="125">
        <f>16.849-SUM(BI9:BI19)</f>
        <v>0.85400000000003118</v>
      </c>
      <c r="BJ20" s="125">
        <f>40.521-SUM(BJ9:BJ19)</f>
        <v>-0.73299999999995435</v>
      </c>
      <c r="BK20" s="125">
        <f>63.772-SUM(BK9:BK19)</f>
        <v>6.6459999999999582</v>
      </c>
      <c r="BL20" s="125">
        <f>43.834-SUM(BL9:BL19)</f>
        <v>-7.9200000000000159</v>
      </c>
      <c r="BM20" s="149">
        <f t="shared" si="13"/>
        <v>-1.1529999999999809</v>
      </c>
      <c r="BN20" s="125">
        <f>1.8674-SUM(BN9:BN19)</f>
        <v>19.173400000000012</v>
      </c>
      <c r="BO20" s="125">
        <f>25.792-SUM(BO9:BO19)</f>
        <v>16.396000000000001</v>
      </c>
      <c r="BP20" s="125">
        <f>42.664-SUM(BP9:BP19)</f>
        <v>13.04699999999999</v>
      </c>
      <c r="BQ20" s="125">
        <f>34.464-SUM(BQ9:BQ19)</f>
        <v>23.462999999999997</v>
      </c>
      <c r="BR20" s="149">
        <f>SUM(BN20:BQ20)</f>
        <v>72.079400000000007</v>
      </c>
      <c r="BS20" s="125">
        <f>11.997-SUM(BS9:BS19)</f>
        <v>0.80899999999998862</v>
      </c>
      <c r="BT20" s="125">
        <f>21.357-SUM(BT9:BT19)</f>
        <v>-1.301000000000009</v>
      </c>
      <c r="BU20" s="125">
        <f>37.018-SUM(BU9:BU19)</f>
        <v>0</v>
      </c>
      <c r="BV20" s="125">
        <f>43.27-SUM(BV9:BV19)</f>
        <v>-7.6530000000000058</v>
      </c>
      <c r="BW20" s="149">
        <f>SUM(BS20:BV20)</f>
        <v>-8.1450000000000262</v>
      </c>
      <c r="BX20" s="125">
        <f>0.75-SUM(BX9:BX19)</f>
        <v>5.383000000000016</v>
      </c>
      <c r="BY20" s="125">
        <f>35.482-SUM(BY9:BY19)</f>
        <v>-1.7279999999999873</v>
      </c>
      <c r="BZ20" s="125">
        <f>48.933-SUM(BZ9:BZ19)</f>
        <v>4.9740000000000109</v>
      </c>
      <c r="CA20" s="125">
        <f>115.83-SUM(CA9:CA19)-BZ22-BY22-BX22</f>
        <v>-7.4860000000000255</v>
      </c>
      <c r="CB20" s="149">
        <f>SUM(BX20:CA20)</f>
        <v>1.1430000000000149</v>
      </c>
      <c r="CC20" s="789">
        <f>-18.851-SUM(CC9:CC19)-CD22</f>
        <v>-6.7029999999999994</v>
      </c>
      <c r="CD20" s="125">
        <f>-8.029-SUM(CD9:CD19)</f>
        <v>6.6610000000000049</v>
      </c>
      <c r="CE20" s="125">
        <f>14.096-SUM(CE9:CE19)</f>
        <v>7.1420000000000075</v>
      </c>
      <c r="CF20" s="125">
        <f>-9.335-SUM(CF9:CF19)</f>
        <v>-14.010999999999996</v>
      </c>
      <c r="CG20" s="149">
        <f>SUM(CC20:CF20)</f>
        <v>-6.9109999999999827</v>
      </c>
      <c r="CH20" s="789">
        <f>-29.41-SUM(CH9:CH19)-CI22</f>
        <v>-2.9769999999999968</v>
      </c>
      <c r="CI20" s="125">
        <f>-27.13-SUM(CI9:CI19)</f>
        <v>-8.8719999999999928</v>
      </c>
      <c r="CJ20" s="167">
        <v>0</v>
      </c>
      <c r="CK20" s="167">
        <v>0</v>
      </c>
      <c r="CL20" s="149">
        <f>SUM(CH20:CK20)</f>
        <v>-11.84899999999999</v>
      </c>
      <c r="CM20" s="167">
        <v>0</v>
      </c>
      <c r="CN20" s="167">
        <v>0</v>
      </c>
      <c r="CO20" s="167">
        <v>0</v>
      </c>
      <c r="CP20" s="167">
        <v>0</v>
      </c>
      <c r="CQ20" s="149">
        <f>SUM(CM20:CP20)</f>
        <v>0</v>
      </c>
      <c r="CR20" s="167">
        <v>0</v>
      </c>
      <c r="CS20" s="167">
        <v>0</v>
      </c>
      <c r="CT20" s="167">
        <v>0</v>
      </c>
      <c r="CU20" s="167">
        <v>0</v>
      </c>
      <c r="CV20" s="149">
        <f>SUM(CR20:CU20)</f>
        <v>0</v>
      </c>
      <c r="CW20" s="86"/>
      <c r="CX20" s="86"/>
      <c r="CY20" s="86"/>
      <c r="CZ20" s="86"/>
      <c r="DA20" s="86"/>
      <c r="DB20" s="86"/>
      <c r="DC20" s="86"/>
      <c r="DD20" s="86"/>
      <c r="DE20" s="86"/>
      <c r="DF20" s="86"/>
      <c r="DG20" s="86"/>
      <c r="DH20" s="86"/>
      <c r="DI20" s="86"/>
      <c r="DJ20" s="86"/>
      <c r="DK20" s="86"/>
      <c r="DL20" s="86"/>
      <c r="DM20" s="86"/>
      <c r="DN20" s="86"/>
      <c r="DO20" s="86"/>
      <c r="DP20" s="86"/>
      <c r="DQ20" s="86"/>
      <c r="DR20" s="86"/>
      <c r="DS20" s="86"/>
      <c r="DT20" s="86"/>
      <c r="DU20" s="86"/>
      <c r="DV20" s="86"/>
      <c r="DW20" s="86"/>
      <c r="DX20" s="86"/>
      <c r="DY20" s="86"/>
      <c r="DZ20" s="86"/>
      <c r="EA20" s="86"/>
      <c r="EB20" s="86"/>
      <c r="EC20" s="86"/>
      <c r="ED20" s="86"/>
      <c r="EE20" s="86"/>
      <c r="EF20" s="86"/>
      <c r="EG20" s="86"/>
      <c r="EH20" s="86"/>
      <c r="EI20" s="86"/>
      <c r="EJ20" s="86"/>
      <c r="EK20" s="86"/>
      <c r="EL20" s="86"/>
      <c r="EM20" s="86"/>
      <c r="EN20" s="86"/>
      <c r="EO20" s="86"/>
      <c r="EP20" s="86"/>
      <c r="EQ20" s="86"/>
      <c r="ER20" s="86"/>
      <c r="ES20" s="86"/>
      <c r="ET20" s="86"/>
      <c r="EU20" s="86"/>
      <c r="EV20" s="86"/>
      <c r="EW20" s="86"/>
      <c r="EX20" s="86"/>
      <c r="EY20" s="86"/>
      <c r="EZ20" s="86"/>
      <c r="FA20" s="86"/>
      <c r="FB20" s="86"/>
      <c r="FC20" s="86"/>
      <c r="FD20" s="86"/>
      <c r="FE20" s="86"/>
      <c r="FF20" s="86"/>
      <c r="FG20" s="86"/>
      <c r="FH20" s="86"/>
      <c r="FI20" s="86"/>
      <c r="FJ20" s="86"/>
      <c r="FK20" s="86"/>
      <c r="FL20" s="86"/>
      <c r="FM20" s="86"/>
      <c r="FN20" s="86"/>
      <c r="FO20" s="86"/>
      <c r="FP20" s="86"/>
      <c r="FQ20" s="86"/>
      <c r="FR20" s="86"/>
      <c r="FS20" s="86"/>
      <c r="FT20" s="86"/>
      <c r="FU20" s="86"/>
      <c r="FV20" s="86"/>
      <c r="FW20" s="86"/>
      <c r="FX20" s="86"/>
      <c r="FY20" s="86"/>
      <c r="FZ20" s="86"/>
      <c r="GA20" s="86"/>
      <c r="GB20" s="86"/>
      <c r="GC20" s="86"/>
      <c r="GD20" s="86"/>
      <c r="GE20" s="86"/>
      <c r="GF20" s="86"/>
      <c r="GG20" s="86"/>
      <c r="GH20" s="86"/>
      <c r="GI20" s="86"/>
      <c r="GJ20" s="86"/>
      <c r="GK20" s="86"/>
      <c r="GL20" s="86"/>
      <c r="GM20" s="86"/>
      <c r="GN20" s="86"/>
      <c r="GO20" s="86"/>
      <c r="GP20" s="86"/>
      <c r="GQ20" s="86"/>
      <c r="GR20" s="86"/>
      <c r="GS20" s="86"/>
      <c r="GT20" s="86"/>
      <c r="GU20" s="86"/>
      <c r="GV20" s="86"/>
      <c r="GW20" s="86"/>
      <c r="GX20" s="86"/>
      <c r="GY20" s="86"/>
      <c r="GZ20" s="86"/>
      <c r="HA20" s="86"/>
      <c r="HB20" s="86"/>
      <c r="HC20" s="86"/>
      <c r="HD20" s="86"/>
      <c r="HE20" s="86"/>
      <c r="HF20" s="86"/>
      <c r="HG20" s="86"/>
      <c r="HH20" s="86"/>
      <c r="HI20" s="86"/>
      <c r="HJ20" s="86"/>
      <c r="HK20" s="86"/>
      <c r="HL20" s="86"/>
      <c r="HM20" s="86"/>
      <c r="HN20" s="86"/>
      <c r="HO20" s="86"/>
      <c r="HP20" s="86"/>
      <c r="HQ20" s="86"/>
      <c r="HR20" s="86"/>
      <c r="HS20" s="86"/>
      <c r="HT20" s="86"/>
      <c r="HU20" s="86"/>
      <c r="HV20" s="86"/>
      <c r="HW20" s="86"/>
      <c r="HX20" s="86"/>
      <c r="HY20" s="86"/>
      <c r="HZ20" s="86"/>
      <c r="IA20" s="86"/>
      <c r="IB20" s="86"/>
      <c r="IC20" s="86"/>
      <c r="ID20" s="86"/>
      <c r="IE20" s="86"/>
      <c r="IF20" s="86"/>
      <c r="IG20" s="86"/>
      <c r="IH20" s="86"/>
      <c r="II20" s="86"/>
      <c r="IJ20" s="86"/>
      <c r="IK20" s="86"/>
      <c r="IL20" s="86"/>
      <c r="IM20" s="86"/>
      <c r="IN20" s="86"/>
      <c r="IO20" s="86"/>
      <c r="IP20" s="86"/>
      <c r="IQ20" s="86"/>
      <c r="IR20" s="86"/>
      <c r="IS20" s="86"/>
      <c r="IT20" s="86"/>
      <c r="IU20" s="86"/>
      <c r="IV20" s="86"/>
    </row>
    <row r="21" spans="1:256" s="29" customFormat="1" ht="3.95" customHeight="1" x14ac:dyDescent="0.25">
      <c r="A21" s="129"/>
      <c r="B21" s="129"/>
      <c r="C21" s="129"/>
      <c r="D21" s="129"/>
      <c r="F21" s="149"/>
      <c r="G21" s="149"/>
      <c r="H21" s="149"/>
      <c r="I21" s="149"/>
      <c r="J21" s="149"/>
      <c r="O21" s="149"/>
      <c r="T21" s="149"/>
      <c r="Y21" s="149"/>
      <c r="AD21" s="149"/>
      <c r="AI21" s="149"/>
      <c r="AN21" s="149"/>
      <c r="AS21" s="149"/>
      <c r="AX21" s="149"/>
      <c r="BC21" s="149"/>
      <c r="BH21" s="149"/>
      <c r="BM21" s="149"/>
      <c r="BR21" s="149"/>
      <c r="BW21" s="149"/>
      <c r="CB21" s="149"/>
      <c r="CC21" s="783"/>
      <c r="CG21" s="149"/>
      <c r="CH21" s="783"/>
      <c r="CL21" s="149"/>
      <c r="CQ21" s="149"/>
      <c r="CV21" s="149"/>
      <c r="CW21" s="86"/>
      <c r="CX21" s="86"/>
      <c r="CY21" s="86"/>
      <c r="CZ21" s="86"/>
      <c r="DA21" s="86"/>
      <c r="DB21" s="86"/>
      <c r="DC21" s="86"/>
      <c r="DD21" s="86"/>
      <c r="DE21" s="86"/>
      <c r="DF21" s="86"/>
      <c r="DG21" s="86"/>
      <c r="DH21" s="86"/>
      <c r="DI21" s="86"/>
      <c r="DJ21" s="86"/>
      <c r="DK21" s="86"/>
      <c r="DL21" s="86"/>
      <c r="DM21" s="86"/>
      <c r="DN21" s="86"/>
      <c r="DO21" s="86"/>
      <c r="DP21" s="86"/>
      <c r="DQ21" s="86"/>
      <c r="DR21" s="86"/>
      <c r="DS21" s="86"/>
      <c r="DT21" s="86"/>
      <c r="DU21" s="86"/>
      <c r="DV21" s="86"/>
      <c r="DW21" s="86"/>
      <c r="DX21" s="86"/>
      <c r="DY21" s="86"/>
      <c r="DZ21" s="86"/>
      <c r="EA21" s="86"/>
      <c r="EB21" s="86"/>
      <c r="EC21" s="86"/>
      <c r="ED21" s="86"/>
      <c r="EE21" s="86"/>
      <c r="EF21" s="86"/>
      <c r="EG21" s="86"/>
      <c r="EH21" s="86"/>
      <c r="EI21" s="86"/>
      <c r="EJ21" s="86"/>
      <c r="EK21" s="86"/>
      <c r="EL21" s="86"/>
      <c r="EM21" s="86"/>
      <c r="EN21" s="86"/>
      <c r="EO21" s="86"/>
      <c r="EP21" s="86"/>
      <c r="EQ21" s="86"/>
      <c r="ER21" s="86"/>
      <c r="ES21" s="86"/>
      <c r="ET21" s="86"/>
      <c r="EU21" s="86"/>
      <c r="EV21" s="86"/>
      <c r="EW21" s="86"/>
      <c r="EX21" s="86"/>
      <c r="EY21" s="86"/>
      <c r="EZ21" s="86"/>
      <c r="FA21" s="86"/>
      <c r="FB21" s="86"/>
      <c r="FC21" s="86"/>
      <c r="FD21" s="86"/>
      <c r="FE21" s="86"/>
      <c r="FF21" s="86"/>
      <c r="FG21" s="86"/>
      <c r="FH21" s="86"/>
      <c r="FI21" s="86"/>
      <c r="FJ21" s="86"/>
      <c r="FK21" s="86"/>
      <c r="FL21" s="86"/>
      <c r="FM21" s="86"/>
      <c r="FN21" s="86"/>
      <c r="FO21" s="86"/>
      <c r="FP21" s="86"/>
      <c r="FQ21" s="86"/>
      <c r="FR21" s="86"/>
      <c r="FS21" s="86"/>
      <c r="FT21" s="86"/>
      <c r="FU21" s="86"/>
      <c r="FV21" s="86"/>
      <c r="FW21" s="86"/>
      <c r="FX21" s="86"/>
      <c r="FY21" s="86"/>
      <c r="FZ21" s="86"/>
      <c r="GA21" s="86"/>
      <c r="GB21" s="86"/>
      <c r="GC21" s="86"/>
      <c r="GD21" s="86"/>
      <c r="GE21" s="86"/>
      <c r="GF21" s="86"/>
      <c r="GG21" s="86"/>
      <c r="GH21" s="86"/>
      <c r="GI21" s="86"/>
      <c r="GJ21" s="86"/>
      <c r="GK21" s="86"/>
      <c r="GL21" s="86"/>
      <c r="GM21" s="86"/>
      <c r="GN21" s="86"/>
      <c r="GO21" s="86"/>
      <c r="GP21" s="86"/>
      <c r="GQ21" s="86"/>
      <c r="GR21" s="86"/>
      <c r="GS21" s="86"/>
      <c r="GT21" s="86"/>
      <c r="GU21" s="86"/>
      <c r="GV21" s="86"/>
      <c r="GW21" s="86"/>
      <c r="GX21" s="86"/>
      <c r="GY21" s="86"/>
      <c r="GZ21" s="86"/>
      <c r="HA21" s="86"/>
      <c r="HB21" s="86"/>
      <c r="HC21" s="86"/>
      <c r="HD21" s="86"/>
      <c r="HE21" s="86"/>
      <c r="HF21" s="86"/>
      <c r="HG21" s="86"/>
      <c r="HH21" s="86"/>
      <c r="HI21" s="86"/>
      <c r="HJ21" s="86"/>
      <c r="HK21" s="86"/>
      <c r="HL21" s="86"/>
      <c r="HM21" s="86"/>
      <c r="HN21" s="86"/>
      <c r="HO21" s="86"/>
      <c r="HP21" s="86"/>
      <c r="HQ21" s="86"/>
      <c r="HR21" s="86"/>
      <c r="HS21" s="86"/>
      <c r="HT21" s="86"/>
      <c r="HU21" s="86"/>
      <c r="HV21" s="86"/>
      <c r="HW21" s="86"/>
      <c r="HX21" s="86"/>
      <c r="HY21" s="86"/>
      <c r="HZ21" s="86"/>
      <c r="IA21" s="86"/>
      <c r="IB21" s="86"/>
      <c r="IC21" s="86"/>
      <c r="ID21" s="86"/>
      <c r="IE21" s="86"/>
      <c r="IF21" s="86"/>
      <c r="IG21" s="86"/>
      <c r="IH21" s="86"/>
      <c r="II21" s="86"/>
      <c r="IJ21" s="86"/>
      <c r="IK21" s="86"/>
      <c r="IL21" s="86"/>
      <c r="IM21" s="86"/>
      <c r="IN21" s="86"/>
      <c r="IO21" s="86"/>
      <c r="IP21" s="86"/>
      <c r="IQ21" s="86"/>
      <c r="IR21" s="86"/>
      <c r="IS21" s="86"/>
      <c r="IT21" s="86"/>
      <c r="IU21" s="86"/>
      <c r="IV21" s="86"/>
    </row>
    <row r="22" spans="1:256" s="35" customFormat="1" ht="12" customHeight="1" x14ac:dyDescent="0.25">
      <c r="A22" s="129"/>
      <c r="B22" s="129"/>
      <c r="C22" s="129"/>
      <c r="D22" s="129"/>
      <c r="E22" s="35" t="s">
        <v>53</v>
      </c>
      <c r="T22" s="35">
        <f>SUM(T9:T20)</f>
        <v>247.01400000000001</v>
      </c>
      <c r="Y22" s="35">
        <f>SUM(Y9:Y20)</f>
        <v>275.83300000000003</v>
      </c>
      <c r="AD22" s="35">
        <f t="shared" ref="AD22:BL22" si="15">SUM(AD9:AD20)</f>
        <v>259.952</v>
      </c>
      <c r="AE22" s="35">
        <f t="shared" si="15"/>
        <v>33.588000000000001</v>
      </c>
      <c r="AF22" s="35">
        <f t="shared" si="15"/>
        <v>33.415999999999997</v>
      </c>
      <c r="AG22" s="35">
        <f t="shared" si="15"/>
        <v>122.26900000000001</v>
      </c>
      <c r="AH22" s="35">
        <f t="shared" si="15"/>
        <v>78.534000000000006</v>
      </c>
      <c r="AI22" s="35">
        <f t="shared" si="15"/>
        <v>267.80700000000013</v>
      </c>
      <c r="AJ22" s="35">
        <f t="shared" si="15"/>
        <v>28.472999999999999</v>
      </c>
      <c r="AK22" s="35">
        <f t="shared" si="15"/>
        <v>86.802999999999997</v>
      </c>
      <c r="AL22" s="35">
        <f t="shared" si="15"/>
        <v>78.912999999999997</v>
      </c>
      <c r="AM22" s="35">
        <f t="shared" si="15"/>
        <v>74.652000000000001</v>
      </c>
      <c r="AN22" s="35">
        <f t="shared" si="15"/>
        <v>268.84100000000001</v>
      </c>
      <c r="AO22" s="35">
        <f t="shared" si="15"/>
        <v>16.166</v>
      </c>
      <c r="AP22" s="35">
        <f t="shared" si="15"/>
        <v>60.703000000000003</v>
      </c>
      <c r="AQ22" s="35">
        <f t="shared" si="15"/>
        <v>74.509</v>
      </c>
      <c r="AR22" s="35">
        <f t="shared" si="15"/>
        <v>87.903999999999996</v>
      </c>
      <c r="AS22" s="35">
        <f>SUM(AS9:AS20)</f>
        <v>239.28200000000004</v>
      </c>
      <c r="AT22" s="35">
        <f>SUM(AT9:AT20)</f>
        <v>16.988</v>
      </c>
      <c r="AU22" s="35">
        <f>SUM(AU9:AU20)</f>
        <v>42.966000000000001</v>
      </c>
      <c r="AV22" s="35">
        <f t="shared" si="15"/>
        <v>64.23</v>
      </c>
      <c r="AW22" s="35">
        <f>SUM(AW9:AW20)</f>
        <v>42.034999999999997</v>
      </c>
      <c r="AX22" s="35">
        <f t="shared" si="15"/>
        <v>166.21900000000002</v>
      </c>
      <c r="AY22" s="35">
        <f t="shared" si="15"/>
        <v>32.753999999999998</v>
      </c>
      <c r="AZ22" s="35">
        <f t="shared" si="15"/>
        <v>57.713999999999999</v>
      </c>
      <c r="BA22" s="35">
        <f t="shared" si="15"/>
        <v>82.54</v>
      </c>
      <c r="BB22" s="35">
        <f t="shared" si="15"/>
        <v>56.442999999999998</v>
      </c>
      <c r="BC22" s="35">
        <f t="shared" si="15"/>
        <v>229.45099999999996</v>
      </c>
      <c r="BD22" s="35">
        <f t="shared" si="15"/>
        <v>-1.867</v>
      </c>
      <c r="BE22" s="35">
        <f t="shared" si="15"/>
        <v>39.234999999999999</v>
      </c>
      <c r="BF22" s="35">
        <f t="shared" si="15"/>
        <v>38.542999999999999</v>
      </c>
      <c r="BG22" s="35">
        <f>SUM(BG9:BG20)</f>
        <v>74.221000000000004</v>
      </c>
      <c r="BH22" s="35">
        <f t="shared" si="15"/>
        <v>150.13200000000001</v>
      </c>
      <c r="BI22" s="35">
        <f t="shared" si="15"/>
        <v>16.849</v>
      </c>
      <c r="BJ22" s="35">
        <f t="shared" si="15"/>
        <v>40.521000000000001</v>
      </c>
      <c r="BK22" s="35">
        <f t="shared" si="15"/>
        <v>63.771999999999998</v>
      </c>
      <c r="BL22" s="35">
        <f t="shared" si="15"/>
        <v>43.834000000000003</v>
      </c>
      <c r="BM22" s="35">
        <f>SUM(BM9:BM20)</f>
        <v>138.11299999999997</v>
      </c>
      <c r="BN22" s="35">
        <f t="shared" ref="BN22:BW22" si="16">SUM(BN9:BN20)</f>
        <v>1.8673999999999999</v>
      </c>
      <c r="BO22" s="35">
        <f t="shared" si="16"/>
        <v>25.792000000000002</v>
      </c>
      <c r="BP22" s="35">
        <f t="shared" si="16"/>
        <v>42.664000000000001</v>
      </c>
      <c r="BQ22" s="35">
        <f t="shared" si="16"/>
        <v>34.463999999999999</v>
      </c>
      <c r="BR22" s="35">
        <f t="shared" si="16"/>
        <v>104.78739999999999</v>
      </c>
      <c r="BS22" s="35">
        <f>SUM(BS9:BS20)</f>
        <v>11.997</v>
      </c>
      <c r="BT22" s="35">
        <f>SUM(BT9:BT20)</f>
        <v>21.356999999999999</v>
      </c>
      <c r="BU22" s="35">
        <f t="shared" si="16"/>
        <v>37.018000000000008</v>
      </c>
      <c r="BV22" s="35">
        <f t="shared" si="16"/>
        <v>43.27</v>
      </c>
      <c r="BW22" s="35">
        <f t="shared" si="16"/>
        <v>113.64200000000004</v>
      </c>
      <c r="BX22" s="35">
        <f>SUM(BX9:BX20)</f>
        <v>0.75</v>
      </c>
      <c r="BY22" s="35">
        <f t="shared" ref="BY22:CG22" si="17">SUM(BY9:BY20)</f>
        <v>35.481999999999999</v>
      </c>
      <c r="BZ22" s="35">
        <f t="shared" si="17"/>
        <v>48.933</v>
      </c>
      <c r="CA22" s="35">
        <f>SUM(CA9:CA20)</f>
        <v>30.664999999999992</v>
      </c>
      <c r="CB22" s="35">
        <f t="shared" si="17"/>
        <v>115.82999999999997</v>
      </c>
      <c r="CC22" s="35">
        <f>SUM(CC9:CC20)</f>
        <v>-10.821999999999999</v>
      </c>
      <c r="CD22" s="35">
        <f>SUM(CD9:CD20)</f>
        <v>-8.0289999999999999</v>
      </c>
      <c r="CE22" s="35">
        <f t="shared" si="17"/>
        <v>14.096</v>
      </c>
      <c r="CF22" s="35">
        <f t="shared" si="17"/>
        <v>-9.3350000000000009</v>
      </c>
      <c r="CG22" s="35">
        <f t="shared" si="17"/>
        <v>-14.089999999999993</v>
      </c>
      <c r="CH22" s="35">
        <f>SUM(CH9:CH20)</f>
        <v>-2.2799999999999998</v>
      </c>
      <c r="CI22" s="35">
        <f>SUM(CI9:CI20)</f>
        <v>-27.13</v>
      </c>
      <c r="CJ22" s="35">
        <f>SUM(CJ9:CJ20)</f>
        <v>-51.173261999999838</v>
      </c>
      <c r="CK22" s="35">
        <f t="shared" ref="CK22:CP22" si="18">SUM(CK9:CK20)</f>
        <v>-509.64363114625002</v>
      </c>
      <c r="CL22" s="35">
        <f t="shared" si="18"/>
        <v>-590.22689314624995</v>
      </c>
      <c r="CM22" s="35">
        <f t="shared" si="18"/>
        <v>-3.9201935191581221</v>
      </c>
      <c r="CN22" s="35">
        <f t="shared" si="18"/>
        <v>-6.6974339037462691</v>
      </c>
      <c r="CO22" s="35">
        <f t="shared" si="18"/>
        <v>1.995293261634032</v>
      </c>
      <c r="CP22" s="35">
        <f t="shared" si="18"/>
        <v>4.9323199634352761</v>
      </c>
      <c r="CQ22" s="35">
        <f>SUM(CQ9:CQ20)</f>
        <v>-3.6900141978350831</v>
      </c>
      <c r="CR22" s="35">
        <f t="shared" ref="CR22:CV22" si="19">SUM(CR9:CR20)</f>
        <v>6.9979631548811909</v>
      </c>
      <c r="CS22" s="35">
        <f t="shared" si="19"/>
        <v>6.2675723289552145</v>
      </c>
      <c r="CT22" s="35">
        <f t="shared" si="19"/>
        <v>14.762187871514293</v>
      </c>
      <c r="CU22" s="35">
        <f t="shared" si="19"/>
        <v>17.333275340897838</v>
      </c>
      <c r="CV22" s="35">
        <f t="shared" si="19"/>
        <v>45.360998696248537</v>
      </c>
      <c r="CW22" s="87"/>
      <c r="CX22" s="87"/>
      <c r="CY22" s="87"/>
      <c r="CZ22" s="87"/>
      <c r="DA22" s="87"/>
      <c r="DB22" s="87"/>
      <c r="DC22" s="87"/>
      <c r="DD22" s="87"/>
      <c r="DE22" s="87"/>
      <c r="DF22" s="87"/>
      <c r="DG22" s="87"/>
      <c r="DH22" s="87"/>
      <c r="DI22" s="87"/>
      <c r="DJ22" s="87"/>
      <c r="DK22" s="87"/>
      <c r="DL22" s="87"/>
      <c r="DM22" s="87"/>
      <c r="DN22" s="87"/>
      <c r="DO22" s="87"/>
      <c r="DP22" s="87"/>
      <c r="DQ22" s="87"/>
      <c r="DR22" s="87"/>
      <c r="DS22" s="87"/>
      <c r="DT22" s="87"/>
      <c r="DU22" s="87"/>
      <c r="DV22" s="87"/>
      <c r="DW22" s="87"/>
      <c r="DX22" s="87"/>
      <c r="DY22" s="87"/>
      <c r="DZ22" s="87"/>
      <c r="EA22" s="87"/>
      <c r="EB22" s="87"/>
      <c r="EC22" s="87"/>
      <c r="ED22" s="87"/>
      <c r="EE22" s="87"/>
      <c r="EF22" s="87"/>
      <c r="EG22" s="87"/>
      <c r="EH22" s="87"/>
      <c r="EI22" s="87"/>
      <c r="EJ22" s="87"/>
      <c r="EK22" s="87"/>
      <c r="EL22" s="87"/>
      <c r="EM22" s="87"/>
      <c r="EN22" s="87"/>
      <c r="EO22" s="87"/>
      <c r="EP22" s="87"/>
      <c r="EQ22" s="87"/>
      <c r="ER22" s="87"/>
      <c r="ES22" s="87"/>
      <c r="ET22" s="87"/>
      <c r="EU22" s="87"/>
      <c r="EV22" s="87"/>
      <c r="EW22" s="87"/>
      <c r="EX22" s="87"/>
      <c r="EY22" s="87"/>
      <c r="EZ22" s="87"/>
      <c r="FA22" s="87"/>
      <c r="FB22" s="87"/>
      <c r="FC22" s="87"/>
      <c r="FD22" s="87"/>
      <c r="FE22" s="87"/>
      <c r="FF22" s="87"/>
      <c r="FG22" s="87"/>
      <c r="FH22" s="87"/>
      <c r="FI22" s="87"/>
      <c r="FJ22" s="87"/>
      <c r="FK22" s="87"/>
      <c r="FL22" s="87"/>
      <c r="FM22" s="87"/>
      <c r="FN22" s="87"/>
      <c r="FO22" s="87"/>
      <c r="FP22" s="87"/>
      <c r="FQ22" s="87"/>
      <c r="FR22" s="87"/>
      <c r="FS22" s="87"/>
      <c r="FT22" s="87"/>
      <c r="FU22" s="87"/>
      <c r="FV22" s="87"/>
      <c r="FW22" s="87"/>
      <c r="FX22" s="87"/>
      <c r="FY22" s="87"/>
      <c r="FZ22" s="87"/>
      <c r="GA22" s="87"/>
      <c r="GB22" s="87"/>
      <c r="GC22" s="87"/>
      <c r="GD22" s="87"/>
      <c r="GE22" s="87"/>
      <c r="GF22" s="87"/>
      <c r="GG22" s="87"/>
      <c r="GH22" s="87"/>
      <c r="GI22" s="87"/>
      <c r="GJ22" s="87"/>
      <c r="GK22" s="87"/>
      <c r="GL22" s="87"/>
      <c r="GM22" s="87"/>
      <c r="GN22" s="87"/>
      <c r="GO22" s="87"/>
      <c r="GP22" s="87"/>
      <c r="GQ22" s="87"/>
      <c r="GR22" s="87"/>
      <c r="GS22" s="87"/>
      <c r="GT22" s="87"/>
      <c r="GU22" s="87"/>
      <c r="GV22" s="87"/>
      <c r="GW22" s="87"/>
      <c r="GX22" s="87"/>
      <c r="GY22" s="87"/>
      <c r="GZ22" s="87"/>
      <c r="HA22" s="87"/>
      <c r="HB22" s="87"/>
      <c r="HC22" s="87"/>
      <c r="HD22" s="87"/>
      <c r="HE22" s="87"/>
      <c r="HF22" s="87"/>
      <c r="HG22" s="87"/>
      <c r="HH22" s="87"/>
      <c r="HI22" s="87"/>
      <c r="HJ22" s="87"/>
      <c r="HK22" s="87"/>
      <c r="HL22" s="87"/>
      <c r="HM22" s="87"/>
      <c r="HN22" s="87"/>
      <c r="HO22" s="87"/>
      <c r="HP22" s="87"/>
      <c r="HQ22" s="87"/>
      <c r="HR22" s="87"/>
      <c r="HS22" s="87"/>
      <c r="HT22" s="87"/>
      <c r="HU22" s="87"/>
      <c r="HV22" s="87"/>
      <c r="HW22" s="87"/>
      <c r="HX22" s="87"/>
      <c r="HY22" s="87"/>
      <c r="HZ22" s="87"/>
      <c r="IA22" s="87"/>
      <c r="IB22" s="87"/>
      <c r="IC22" s="87"/>
      <c r="ID22" s="87"/>
      <c r="IE22" s="87"/>
      <c r="IF22" s="87"/>
      <c r="IG22" s="87"/>
      <c r="IH22" s="87"/>
      <c r="II22" s="87"/>
      <c r="IJ22" s="87"/>
      <c r="IK22" s="87"/>
      <c r="IL22" s="87"/>
      <c r="IM22" s="87"/>
      <c r="IN22" s="87"/>
      <c r="IO22" s="87"/>
      <c r="IP22" s="87"/>
      <c r="IQ22" s="87"/>
      <c r="IR22" s="87"/>
      <c r="IS22" s="87"/>
      <c r="IT22" s="87"/>
      <c r="IU22" s="87"/>
      <c r="IV22" s="87"/>
    </row>
    <row r="23" spans="1:256" s="27" customFormat="1" ht="12" customHeight="1" x14ac:dyDescent="0.25">
      <c r="A23" s="122"/>
      <c r="B23" s="122"/>
      <c r="C23" s="375"/>
      <c r="D23" s="376"/>
      <c r="F23" s="186"/>
      <c r="G23" s="186"/>
      <c r="H23" s="186"/>
      <c r="I23" s="186"/>
      <c r="J23" s="186"/>
      <c r="K23" s="169"/>
      <c r="L23" s="169"/>
      <c r="M23" s="169"/>
      <c r="N23" s="169"/>
      <c r="O23" s="186"/>
      <c r="P23" s="169"/>
      <c r="Q23" s="169"/>
      <c r="R23" s="169"/>
      <c r="S23" s="169"/>
      <c r="T23" s="186"/>
      <c r="U23" s="169"/>
      <c r="V23" s="169"/>
      <c r="W23" s="169"/>
      <c r="X23" s="169"/>
      <c r="Y23" s="186"/>
      <c r="Z23" s="169"/>
      <c r="AA23" s="169"/>
      <c r="AB23" s="169"/>
      <c r="AC23" s="169"/>
      <c r="AD23" s="186"/>
      <c r="AE23" s="169"/>
      <c r="AF23" s="169"/>
      <c r="AG23" s="169"/>
      <c r="AH23" s="169"/>
      <c r="AI23" s="186"/>
      <c r="AJ23" s="169"/>
      <c r="AK23" s="169"/>
      <c r="AL23" s="169"/>
      <c r="AM23" s="169"/>
      <c r="AN23" s="186"/>
      <c r="AO23" s="169"/>
      <c r="AP23" s="169"/>
      <c r="AQ23" s="376"/>
      <c r="AR23" s="169"/>
      <c r="AS23" s="186"/>
      <c r="AT23" s="169"/>
      <c r="AU23" s="169"/>
      <c r="AV23" s="169"/>
      <c r="AW23" s="169"/>
      <c r="AX23" s="186"/>
      <c r="AY23" s="376"/>
      <c r="AZ23" s="376"/>
      <c r="BA23" s="376"/>
      <c r="BB23" s="376"/>
      <c r="BC23" s="186"/>
      <c r="BD23" s="376"/>
      <c r="BE23" s="376"/>
      <c r="BF23" s="376"/>
      <c r="BG23" s="376"/>
      <c r="BH23" s="186"/>
      <c r="BI23" s="376"/>
      <c r="BJ23" s="376"/>
      <c r="BK23" s="376"/>
      <c r="BL23" s="376"/>
      <c r="BM23" s="186"/>
      <c r="BN23" s="376"/>
      <c r="BO23" s="376"/>
      <c r="BP23" s="376"/>
      <c r="BQ23" s="376"/>
      <c r="BR23" s="186"/>
      <c r="BS23" s="532"/>
      <c r="BT23" s="532"/>
      <c r="BU23" s="532"/>
      <c r="BV23" s="532"/>
      <c r="BW23" s="186"/>
      <c r="BX23" s="532"/>
      <c r="BY23" s="532"/>
      <c r="BZ23" s="532"/>
      <c r="CA23" s="532"/>
      <c r="CB23" s="186"/>
      <c r="CC23" s="532"/>
      <c r="CD23" s="532"/>
      <c r="CE23" s="532"/>
      <c r="CF23" s="532"/>
      <c r="CG23" s="186"/>
      <c r="CH23" s="532"/>
      <c r="CI23" s="532"/>
      <c r="CJ23" s="532"/>
      <c r="CK23" s="532"/>
      <c r="CL23" s="186"/>
      <c r="CM23" s="532"/>
      <c r="CN23" s="532"/>
      <c r="CO23" s="532"/>
      <c r="CP23" s="532"/>
      <c r="CQ23" s="186"/>
      <c r="CR23" s="532"/>
      <c r="CS23" s="532"/>
      <c r="CT23" s="532"/>
      <c r="CU23" s="532"/>
      <c r="CV23" s="186"/>
      <c r="CW23" s="85"/>
      <c r="CX23" s="85"/>
      <c r="CY23" s="85"/>
      <c r="CZ23" s="85"/>
      <c r="DA23" s="85"/>
      <c r="DB23" s="85"/>
      <c r="DC23" s="85"/>
      <c r="DD23" s="85"/>
      <c r="DE23" s="85"/>
      <c r="DF23" s="85"/>
      <c r="DG23" s="85"/>
      <c r="DH23" s="85"/>
      <c r="DI23" s="85"/>
      <c r="DJ23" s="85"/>
      <c r="DK23" s="85"/>
      <c r="DL23" s="85"/>
      <c r="DM23" s="85"/>
      <c r="DN23" s="85"/>
      <c r="DO23" s="85"/>
      <c r="DP23" s="85"/>
      <c r="DQ23" s="85"/>
      <c r="DR23" s="85"/>
      <c r="DS23" s="85"/>
      <c r="DT23" s="85"/>
      <c r="DU23" s="85"/>
      <c r="DV23" s="85"/>
      <c r="DW23" s="85"/>
      <c r="DX23" s="85"/>
      <c r="DY23" s="85"/>
      <c r="DZ23" s="85"/>
      <c r="EA23" s="85"/>
      <c r="EB23" s="85"/>
      <c r="EC23" s="85"/>
      <c r="ED23" s="85"/>
      <c r="EE23" s="85"/>
      <c r="EF23" s="85"/>
      <c r="EG23" s="85"/>
      <c r="EH23" s="85"/>
      <c r="EI23" s="85"/>
      <c r="EJ23" s="85"/>
      <c r="EK23" s="85"/>
      <c r="EL23" s="85"/>
      <c r="EM23" s="85"/>
      <c r="EN23" s="85"/>
      <c r="EO23" s="85"/>
      <c r="EP23" s="85"/>
      <c r="EQ23" s="85"/>
      <c r="ER23" s="85"/>
      <c r="ES23" s="85"/>
      <c r="ET23" s="85"/>
      <c r="EU23" s="85"/>
      <c r="EV23" s="85"/>
      <c r="EW23" s="85"/>
      <c r="EX23" s="85"/>
      <c r="EY23" s="85"/>
      <c r="EZ23" s="85"/>
      <c r="FA23" s="85"/>
      <c r="FB23" s="85"/>
      <c r="FC23" s="85"/>
      <c r="FD23" s="85"/>
      <c r="FE23" s="85"/>
      <c r="FF23" s="85"/>
      <c r="FG23" s="85"/>
      <c r="FH23" s="85"/>
      <c r="FI23" s="85"/>
      <c r="FJ23" s="85"/>
      <c r="FK23" s="85"/>
      <c r="FL23" s="85"/>
      <c r="FM23" s="85"/>
      <c r="FN23" s="85"/>
      <c r="FO23" s="85"/>
      <c r="FP23" s="85"/>
      <c r="FQ23" s="85"/>
      <c r="FR23" s="85"/>
      <c r="FS23" s="85"/>
      <c r="FT23" s="85"/>
      <c r="FU23" s="85"/>
      <c r="FV23" s="85"/>
      <c r="FW23" s="85"/>
      <c r="FX23" s="85"/>
      <c r="FY23" s="85"/>
      <c r="FZ23" s="85"/>
      <c r="GA23" s="85"/>
      <c r="GB23" s="85"/>
      <c r="GC23" s="85"/>
      <c r="GD23" s="85"/>
      <c r="GE23" s="85"/>
      <c r="GF23" s="85"/>
      <c r="GG23" s="85"/>
      <c r="GH23" s="85"/>
      <c r="GI23" s="85"/>
      <c r="GJ23" s="85"/>
      <c r="GK23" s="85"/>
      <c r="GL23" s="85"/>
      <c r="GM23" s="85"/>
      <c r="GN23" s="85"/>
      <c r="GO23" s="85"/>
      <c r="GP23" s="85"/>
      <c r="GQ23" s="85"/>
      <c r="GR23" s="85"/>
      <c r="GS23" s="85"/>
      <c r="GT23" s="85"/>
      <c r="GU23" s="85"/>
      <c r="GV23" s="85"/>
      <c r="GW23" s="85"/>
      <c r="GX23" s="85"/>
      <c r="GY23" s="85"/>
      <c r="GZ23" s="85"/>
      <c r="HA23" s="85"/>
      <c r="HB23" s="85"/>
      <c r="HC23" s="85"/>
      <c r="HD23" s="85"/>
      <c r="HE23" s="85"/>
      <c r="HF23" s="85"/>
      <c r="HG23" s="85"/>
      <c r="HH23" s="85"/>
      <c r="HI23" s="85"/>
      <c r="HJ23" s="85"/>
      <c r="HK23" s="85"/>
      <c r="HL23" s="85"/>
      <c r="HM23" s="85"/>
      <c r="HN23" s="85"/>
      <c r="HO23" s="85"/>
      <c r="HP23" s="85"/>
      <c r="HQ23" s="85"/>
      <c r="HR23" s="85"/>
      <c r="HS23" s="85"/>
      <c r="HT23" s="85"/>
      <c r="HU23" s="85"/>
      <c r="HV23" s="85"/>
      <c r="HW23" s="85"/>
      <c r="HX23" s="85"/>
      <c r="HY23" s="85"/>
      <c r="HZ23" s="85"/>
      <c r="IA23" s="85"/>
      <c r="IB23" s="85"/>
      <c r="IC23" s="85"/>
      <c r="ID23" s="85"/>
      <c r="IE23" s="85"/>
      <c r="IF23" s="85"/>
      <c r="IG23" s="85"/>
      <c r="IH23" s="85"/>
      <c r="II23" s="85"/>
      <c r="IJ23" s="85"/>
      <c r="IK23" s="85"/>
      <c r="IL23" s="85"/>
      <c r="IM23" s="85"/>
      <c r="IN23" s="85"/>
      <c r="IO23" s="85"/>
      <c r="IP23" s="85"/>
      <c r="IQ23" s="85"/>
      <c r="IR23" s="85"/>
      <c r="IS23" s="85"/>
      <c r="IT23" s="85"/>
      <c r="IU23" s="85"/>
      <c r="IV23" s="85"/>
    </row>
    <row r="24" spans="1:256" s="27" customFormat="1" ht="12" customHeight="1" x14ac:dyDescent="0.25">
      <c r="A24" s="122"/>
      <c r="B24" s="122"/>
      <c r="C24" s="170"/>
      <c r="D24" s="376"/>
      <c r="E24" s="158" t="s">
        <v>54</v>
      </c>
      <c r="F24" s="139"/>
      <c r="G24" s="139"/>
      <c r="H24" s="139"/>
      <c r="I24" s="139"/>
      <c r="J24" s="139"/>
      <c r="O24" s="139"/>
      <c r="T24" s="139"/>
      <c r="Y24" s="139"/>
      <c r="AD24" s="139"/>
      <c r="AI24" s="139"/>
      <c r="AN24" s="139"/>
      <c r="AS24" s="139"/>
      <c r="AX24" s="139"/>
      <c r="AY24" s="171"/>
      <c r="BC24" s="139"/>
      <c r="BF24" s="107"/>
      <c r="BH24" s="139"/>
      <c r="BI24" s="171"/>
      <c r="BM24" s="139"/>
      <c r="BN24" s="171"/>
      <c r="BR24" s="139"/>
      <c r="BS24" s="171"/>
      <c r="BT24" s="171"/>
      <c r="BU24" s="171"/>
      <c r="BV24" s="171"/>
      <c r="BW24" s="139"/>
      <c r="BX24" s="171"/>
      <c r="CB24" s="139"/>
      <c r="CC24" s="171"/>
      <c r="CG24" s="139"/>
      <c r="CH24" s="171"/>
      <c r="CI24" s="171"/>
      <c r="CL24" s="139"/>
      <c r="CM24" s="171"/>
      <c r="CQ24" s="139"/>
      <c r="CR24" s="171"/>
      <c r="CV24" s="139"/>
      <c r="CW24" s="85"/>
      <c r="CX24" s="85"/>
      <c r="CY24" s="85"/>
      <c r="CZ24" s="85"/>
      <c r="DA24" s="85"/>
      <c r="DB24" s="85"/>
      <c r="DC24" s="85"/>
      <c r="DD24" s="85"/>
      <c r="DE24" s="85"/>
      <c r="DF24" s="85"/>
      <c r="DG24" s="85"/>
      <c r="DH24" s="85"/>
      <c r="DI24" s="85"/>
      <c r="DJ24" s="85"/>
      <c r="DK24" s="85"/>
      <c r="DL24" s="85"/>
      <c r="DM24" s="85"/>
      <c r="DN24" s="85"/>
      <c r="DO24" s="85"/>
      <c r="DP24" s="85"/>
      <c r="DQ24" s="85"/>
      <c r="DR24" s="85"/>
      <c r="DS24" s="85"/>
      <c r="DT24" s="85"/>
      <c r="DU24" s="85"/>
      <c r="DV24" s="85"/>
      <c r="DW24" s="85"/>
      <c r="DX24" s="85"/>
      <c r="DY24" s="85"/>
      <c r="DZ24" s="85"/>
      <c r="EA24" s="85"/>
      <c r="EB24" s="85"/>
      <c r="EC24" s="85"/>
      <c r="ED24" s="85"/>
      <c r="EE24" s="85"/>
      <c r="EF24" s="85"/>
      <c r="EG24" s="85"/>
      <c r="EH24" s="85"/>
      <c r="EI24" s="85"/>
      <c r="EJ24" s="85"/>
      <c r="EK24" s="85"/>
      <c r="EL24" s="85"/>
      <c r="EM24" s="85"/>
      <c r="EN24" s="85"/>
      <c r="EO24" s="85"/>
      <c r="EP24" s="85"/>
      <c r="EQ24" s="85"/>
      <c r="ER24" s="85"/>
      <c r="ES24" s="85"/>
      <c r="ET24" s="85"/>
      <c r="EU24" s="85"/>
      <c r="EV24" s="85"/>
      <c r="EW24" s="85"/>
      <c r="EX24" s="85"/>
      <c r="EY24" s="85"/>
      <c r="EZ24" s="85"/>
      <c r="FA24" s="85"/>
      <c r="FB24" s="85"/>
      <c r="FC24" s="85"/>
      <c r="FD24" s="85"/>
      <c r="FE24" s="85"/>
      <c r="FF24" s="85"/>
      <c r="FG24" s="85"/>
      <c r="FH24" s="85"/>
      <c r="FI24" s="85"/>
      <c r="FJ24" s="85"/>
      <c r="FK24" s="85"/>
      <c r="FL24" s="85"/>
      <c r="FM24" s="85"/>
      <c r="FN24" s="85"/>
      <c r="FO24" s="85"/>
      <c r="FP24" s="85"/>
      <c r="FQ24" s="85"/>
      <c r="FR24" s="85"/>
      <c r="FS24" s="85"/>
      <c r="FT24" s="85"/>
      <c r="FU24" s="85"/>
      <c r="FV24" s="85"/>
      <c r="FW24" s="85"/>
      <c r="FX24" s="85"/>
      <c r="FY24" s="85"/>
      <c r="FZ24" s="85"/>
      <c r="GA24" s="85"/>
      <c r="GB24" s="85"/>
      <c r="GC24" s="85"/>
      <c r="GD24" s="85"/>
      <c r="GE24" s="85"/>
      <c r="GF24" s="85"/>
      <c r="GG24" s="85"/>
      <c r="GH24" s="85"/>
      <c r="GI24" s="85"/>
      <c r="GJ24" s="85"/>
      <c r="GK24" s="85"/>
      <c r="GL24" s="85"/>
      <c r="GM24" s="85"/>
      <c r="GN24" s="85"/>
      <c r="GO24" s="85"/>
      <c r="GP24" s="85"/>
      <c r="GQ24" s="85"/>
      <c r="GR24" s="85"/>
      <c r="GS24" s="85"/>
      <c r="GT24" s="85"/>
      <c r="GU24" s="85"/>
      <c r="GV24" s="85"/>
      <c r="GW24" s="85"/>
      <c r="GX24" s="85"/>
      <c r="GY24" s="85"/>
      <c r="GZ24" s="85"/>
      <c r="HA24" s="85"/>
      <c r="HB24" s="85"/>
      <c r="HC24" s="85"/>
      <c r="HD24" s="85"/>
      <c r="HE24" s="85"/>
      <c r="HF24" s="85"/>
      <c r="HG24" s="85"/>
      <c r="HH24" s="85"/>
      <c r="HI24" s="85"/>
      <c r="HJ24" s="85"/>
      <c r="HK24" s="85"/>
      <c r="HL24" s="85"/>
      <c r="HM24" s="85"/>
      <c r="HN24" s="85"/>
      <c r="HO24" s="85"/>
      <c r="HP24" s="85"/>
      <c r="HQ24" s="85"/>
      <c r="HR24" s="85"/>
      <c r="HS24" s="85"/>
      <c r="HT24" s="85"/>
      <c r="HU24" s="85"/>
      <c r="HV24" s="85"/>
      <c r="HW24" s="85"/>
      <c r="HX24" s="85"/>
      <c r="HY24" s="85"/>
      <c r="HZ24" s="85"/>
      <c r="IA24" s="85"/>
      <c r="IB24" s="85"/>
      <c r="IC24" s="85"/>
      <c r="ID24" s="85"/>
      <c r="IE24" s="85"/>
      <c r="IF24" s="85"/>
      <c r="IG24" s="85"/>
      <c r="IH24" s="85"/>
      <c r="II24" s="85"/>
      <c r="IJ24" s="85"/>
      <c r="IK24" s="85"/>
      <c r="IL24" s="85"/>
      <c r="IM24" s="85"/>
      <c r="IN24" s="85"/>
      <c r="IO24" s="85"/>
      <c r="IP24" s="85"/>
      <c r="IQ24" s="85"/>
      <c r="IR24" s="85"/>
      <c r="IS24" s="85"/>
      <c r="IT24" s="85"/>
      <c r="IU24" s="85"/>
      <c r="IV24" s="85"/>
    </row>
    <row r="25" spans="1:256" s="27" customFormat="1" ht="12" customHeight="1" x14ac:dyDescent="0.25">
      <c r="A25" s="122">
        <v>-16</v>
      </c>
      <c r="B25" s="122"/>
      <c r="C25" s="122">
        <v>-18</v>
      </c>
      <c r="D25" s="122">
        <v>-20</v>
      </c>
      <c r="E25" s="27" t="s">
        <v>346</v>
      </c>
      <c r="F25" s="140"/>
      <c r="G25" s="140"/>
      <c r="H25" s="140"/>
      <c r="I25" s="140"/>
      <c r="J25" s="140"/>
      <c r="K25" s="124"/>
      <c r="L25" s="124"/>
      <c r="M25" s="124"/>
      <c r="N25" s="124"/>
      <c r="O25" s="139"/>
      <c r="P25" s="124"/>
      <c r="Q25" s="124"/>
      <c r="R25" s="124"/>
      <c r="S25" s="124"/>
      <c r="T25" s="140">
        <v>-20.294</v>
      </c>
      <c r="U25" s="124"/>
      <c r="V25" s="124"/>
      <c r="W25" s="124"/>
      <c r="X25" s="124"/>
      <c r="Y25" s="140">
        <v>-21.902999999999999</v>
      </c>
      <c r="Z25" s="124"/>
      <c r="AA25" s="124"/>
      <c r="AB25" s="124"/>
      <c r="AC25" s="124"/>
      <c r="AD25" s="140">
        <v>-27.443000000000001</v>
      </c>
      <c r="AE25" s="124">
        <v>-8.4469999999999992</v>
      </c>
      <c r="AF25" s="124">
        <v>-9.82</v>
      </c>
      <c r="AG25" s="124">
        <v>-8.5069999999999997</v>
      </c>
      <c r="AH25" s="124">
        <v>-6.5709999999999997</v>
      </c>
      <c r="AI25" s="139">
        <f>SUM(AE25:AH25)</f>
        <v>-33.344999999999999</v>
      </c>
      <c r="AJ25" s="124">
        <v>-5.0110000000000001</v>
      </c>
      <c r="AK25" s="124">
        <v>-4.1180000000000003</v>
      </c>
      <c r="AL25" s="124">
        <v>-3.8719999999999999</v>
      </c>
      <c r="AM25" s="124">
        <v>-3.238</v>
      </c>
      <c r="AN25" s="139">
        <f>SUM(AJ25:AM25)</f>
        <v>-16.239000000000001</v>
      </c>
      <c r="AO25" s="124">
        <v>-2.3839999999999999</v>
      </c>
      <c r="AP25" s="124">
        <v>-2.431</v>
      </c>
      <c r="AQ25" s="124">
        <v>-1.8460000000000001</v>
      </c>
      <c r="AR25" s="124">
        <v>-1.5960000000000001</v>
      </c>
      <c r="AS25" s="139">
        <f>SUM(AO25:AR25)</f>
        <v>-8.2569999999999997</v>
      </c>
      <c r="AT25" s="124">
        <v>-1.226</v>
      </c>
      <c r="AU25" s="124">
        <v>-1.341</v>
      </c>
      <c r="AV25" s="124">
        <v>-1.0249999999999999</v>
      </c>
      <c r="AW25" s="124">
        <v>-0.96299999999999997</v>
      </c>
      <c r="AX25" s="139">
        <f>SUM(AT25:AW25)</f>
        <v>-4.5549999999999997</v>
      </c>
      <c r="AY25" s="124">
        <v>-0.52900000000000003</v>
      </c>
      <c r="AZ25" s="124">
        <v>-0.99099999999999999</v>
      </c>
      <c r="BA25" s="124">
        <v>-1.647</v>
      </c>
      <c r="BB25" s="124">
        <v>-2.0950000000000002</v>
      </c>
      <c r="BC25" s="139">
        <f>SUM(AY25:BB25)</f>
        <v>-5.2620000000000005</v>
      </c>
      <c r="BD25" s="124">
        <v>-3.673</v>
      </c>
      <c r="BE25" s="124">
        <v>-4.0739999999999998</v>
      </c>
      <c r="BF25" s="124">
        <v>-5.4429999999999996</v>
      </c>
      <c r="BG25" s="124">
        <v>-6.6890000000000001</v>
      </c>
      <c r="BH25" s="139">
        <f>SUM(BD25:BG25)</f>
        <v>-19.878999999999998</v>
      </c>
      <c r="BI25" s="124">
        <v>-5.9539999999999997</v>
      </c>
      <c r="BJ25" s="124">
        <v>-7.66</v>
      </c>
      <c r="BK25" s="124">
        <v>-5.4950000000000001</v>
      </c>
      <c r="BL25" s="124">
        <v>-5.4080000000000004</v>
      </c>
      <c r="BM25" s="139">
        <f>SUM(BI25:BL25)</f>
        <v>-24.517000000000003</v>
      </c>
      <c r="BN25" s="124">
        <v>-4.9690000000000003</v>
      </c>
      <c r="BO25" s="124">
        <v>-5.6079999999999997</v>
      </c>
      <c r="BP25" s="124">
        <v>-4.4080000000000004</v>
      </c>
      <c r="BQ25" s="124">
        <v>-3.6019999999999999</v>
      </c>
      <c r="BR25" s="139">
        <f>SUM(BN25:BQ25)</f>
        <v>-18.587</v>
      </c>
      <c r="BS25" s="124">
        <v>-2.7970000000000002</v>
      </c>
      <c r="BT25" s="124">
        <v>-3.9359999999999999</v>
      </c>
      <c r="BU25" s="124">
        <v>-3.6269999999999998</v>
      </c>
      <c r="BV25" s="124">
        <v>-4.5199999999999996</v>
      </c>
      <c r="BW25" s="139">
        <f>SUM(BS25:BV25)</f>
        <v>-14.879999999999999</v>
      </c>
      <c r="BX25" s="124">
        <v>-3.9820000000000002</v>
      </c>
      <c r="BY25" s="124">
        <v>-3.8919999999999999</v>
      </c>
      <c r="BZ25" s="124">
        <v>-3.2959999999999998</v>
      </c>
      <c r="CA25" s="124">
        <f>-14.477-BZ25-BY25-BX25</f>
        <v>-3.3070000000000013</v>
      </c>
      <c r="CB25" s="139">
        <f>SUM(BX25:CA25)</f>
        <v>-14.477</v>
      </c>
      <c r="CC25" s="124">
        <f>-1.213-CD25</f>
        <v>-0.57500000000000007</v>
      </c>
      <c r="CD25" s="124">
        <v>-0.63800000000000001</v>
      </c>
      <c r="CE25" s="124">
        <v>-0.50700000000000001</v>
      </c>
      <c r="CF25" s="124">
        <v>-1.546</v>
      </c>
      <c r="CG25" s="139">
        <f>SUM(CC25:CF25)</f>
        <v>-3.266</v>
      </c>
      <c r="CH25" s="124">
        <f>-1.322-CI25</f>
        <v>-0.89900000000000002</v>
      </c>
      <c r="CI25" s="124">
        <v>-0.42299999999999999</v>
      </c>
      <c r="CJ25" s="166">
        <v>-1</v>
      </c>
      <c r="CK25" s="166">
        <v>-4</v>
      </c>
      <c r="CL25" s="139">
        <f>SUM(CH25:CK25)</f>
        <v>-6.3220000000000001</v>
      </c>
      <c r="CM25" s="724">
        <v>-2.4</v>
      </c>
      <c r="CN25" s="724">
        <f>CM25-0.4</f>
        <v>-2.8</v>
      </c>
      <c r="CO25" s="724">
        <f>CN25-0.3</f>
        <v>-3.0999999999999996</v>
      </c>
      <c r="CP25" s="724">
        <f>CO25-0.3</f>
        <v>-3.3999999999999995</v>
      </c>
      <c r="CQ25" s="139">
        <f>SUM(CM25:CP25)</f>
        <v>-11.7</v>
      </c>
      <c r="CR25" s="724">
        <f>CP25-0.3</f>
        <v>-3.6999999999999993</v>
      </c>
      <c r="CS25" s="724">
        <f>CR25-0.3</f>
        <v>-3.9999999999999991</v>
      </c>
      <c r="CT25" s="724">
        <f>CS25-0.3</f>
        <v>-4.2999999999999989</v>
      </c>
      <c r="CU25" s="724">
        <f>CT25-0.13</f>
        <v>-4.4299999999999988</v>
      </c>
      <c r="CV25" s="139">
        <f>SUM(CR25:CU25)</f>
        <v>-16.429999999999996</v>
      </c>
      <c r="CW25" s="85"/>
      <c r="CX25" s="85"/>
      <c r="CY25" s="85"/>
      <c r="CZ25" s="85"/>
      <c r="DA25" s="85"/>
      <c r="DB25" s="85"/>
      <c r="DC25" s="85"/>
      <c r="DD25" s="85"/>
      <c r="DE25" s="85"/>
      <c r="DF25" s="85"/>
      <c r="DG25" s="85"/>
      <c r="DH25" s="85"/>
      <c r="DI25" s="85"/>
      <c r="DJ25" s="85"/>
      <c r="DK25" s="85"/>
      <c r="DL25" s="85"/>
      <c r="DM25" s="85"/>
      <c r="DN25" s="85"/>
      <c r="DO25" s="85"/>
      <c r="DP25" s="85"/>
      <c r="DQ25" s="85"/>
      <c r="DR25" s="85"/>
      <c r="DS25" s="85"/>
      <c r="DT25" s="85"/>
      <c r="DU25" s="85"/>
      <c r="DV25" s="85"/>
      <c r="DW25" s="85"/>
      <c r="DX25" s="85"/>
      <c r="DY25" s="85"/>
      <c r="DZ25" s="85"/>
      <c r="EA25" s="85"/>
      <c r="EB25" s="85"/>
      <c r="EC25" s="85"/>
      <c r="ED25" s="85"/>
      <c r="EE25" s="85"/>
      <c r="EF25" s="85"/>
      <c r="EG25" s="85"/>
      <c r="EH25" s="85"/>
      <c r="EI25" s="85"/>
      <c r="EJ25" s="85"/>
      <c r="EK25" s="85"/>
      <c r="EL25" s="85"/>
      <c r="EM25" s="85"/>
      <c r="EN25" s="85"/>
      <c r="EO25" s="85"/>
      <c r="EP25" s="85"/>
      <c r="EQ25" s="85"/>
      <c r="ER25" s="85"/>
      <c r="ES25" s="85"/>
      <c r="ET25" s="85"/>
      <c r="EU25" s="85"/>
      <c r="EV25" s="85"/>
      <c r="EW25" s="85"/>
      <c r="EX25" s="85"/>
      <c r="EY25" s="85"/>
      <c r="EZ25" s="85"/>
      <c r="FA25" s="85"/>
      <c r="FB25" s="85"/>
      <c r="FC25" s="85"/>
      <c r="FD25" s="85"/>
      <c r="FE25" s="85"/>
      <c r="FF25" s="85"/>
      <c r="FG25" s="85"/>
      <c r="FH25" s="85"/>
      <c r="FI25" s="85"/>
      <c r="FJ25" s="85"/>
      <c r="FK25" s="85"/>
      <c r="FL25" s="85"/>
      <c r="FM25" s="85"/>
      <c r="FN25" s="85"/>
      <c r="FO25" s="85"/>
      <c r="FP25" s="85"/>
      <c r="FQ25" s="85"/>
      <c r="FR25" s="85"/>
      <c r="FS25" s="85"/>
      <c r="FT25" s="85"/>
      <c r="FU25" s="85"/>
      <c r="FV25" s="85"/>
      <c r="FW25" s="85"/>
      <c r="FX25" s="85"/>
      <c r="FY25" s="85"/>
      <c r="FZ25" s="85"/>
      <c r="GA25" s="85"/>
      <c r="GB25" s="85"/>
      <c r="GC25" s="85"/>
      <c r="GD25" s="85"/>
      <c r="GE25" s="85"/>
      <c r="GF25" s="85"/>
      <c r="GG25" s="85"/>
      <c r="GH25" s="85"/>
      <c r="GI25" s="85"/>
      <c r="GJ25" s="85"/>
      <c r="GK25" s="85"/>
      <c r="GL25" s="85"/>
      <c r="GM25" s="85"/>
      <c r="GN25" s="85"/>
      <c r="GO25" s="85"/>
      <c r="GP25" s="85"/>
      <c r="GQ25" s="85"/>
      <c r="GR25" s="85"/>
      <c r="GS25" s="85"/>
      <c r="GT25" s="85"/>
      <c r="GU25" s="85"/>
      <c r="GV25" s="85"/>
      <c r="GW25" s="85"/>
      <c r="GX25" s="85"/>
      <c r="GY25" s="85"/>
      <c r="GZ25" s="85"/>
      <c r="HA25" s="85"/>
      <c r="HB25" s="85"/>
      <c r="HC25" s="85"/>
      <c r="HD25" s="85"/>
      <c r="HE25" s="85"/>
      <c r="HF25" s="85"/>
      <c r="HG25" s="85"/>
      <c r="HH25" s="85"/>
      <c r="HI25" s="85"/>
      <c r="HJ25" s="85"/>
      <c r="HK25" s="85"/>
      <c r="HL25" s="85"/>
      <c r="HM25" s="85"/>
      <c r="HN25" s="85"/>
      <c r="HO25" s="85"/>
      <c r="HP25" s="85"/>
      <c r="HQ25" s="85"/>
      <c r="HR25" s="85"/>
      <c r="HS25" s="85"/>
      <c r="HT25" s="85"/>
      <c r="HU25" s="85"/>
      <c r="HV25" s="85"/>
      <c r="HW25" s="85"/>
      <c r="HX25" s="85"/>
      <c r="HY25" s="85"/>
      <c r="HZ25" s="85"/>
      <c r="IA25" s="85"/>
      <c r="IB25" s="85"/>
      <c r="IC25" s="85"/>
      <c r="ID25" s="85"/>
      <c r="IE25" s="85"/>
      <c r="IF25" s="85"/>
      <c r="IG25" s="85"/>
      <c r="IH25" s="85"/>
      <c r="II25" s="85"/>
      <c r="IJ25" s="85"/>
      <c r="IK25" s="85"/>
      <c r="IL25" s="85"/>
      <c r="IM25" s="85"/>
      <c r="IN25" s="85"/>
      <c r="IO25" s="85"/>
      <c r="IP25" s="85"/>
      <c r="IQ25" s="85"/>
      <c r="IR25" s="85"/>
      <c r="IS25" s="85"/>
      <c r="IT25" s="85"/>
      <c r="IU25" s="85"/>
      <c r="IV25" s="85"/>
    </row>
    <row r="26" spans="1:256" s="27" customFormat="1" ht="12" customHeight="1" x14ac:dyDescent="0.25">
      <c r="A26" s="122">
        <v>-55</v>
      </c>
      <c r="B26" s="122"/>
      <c r="C26" s="122">
        <v>-45</v>
      </c>
      <c r="D26" s="122">
        <v>-50</v>
      </c>
      <c r="E26" s="27" t="s">
        <v>60</v>
      </c>
      <c r="F26" s="140"/>
      <c r="G26" s="140"/>
      <c r="H26" s="140"/>
      <c r="I26" s="140"/>
      <c r="J26" s="140"/>
      <c r="K26" s="124"/>
      <c r="L26" s="124"/>
      <c r="M26" s="124"/>
      <c r="N26" s="124"/>
      <c r="O26" s="139"/>
      <c r="P26" s="124"/>
      <c r="Q26" s="124"/>
      <c r="R26" s="124"/>
      <c r="S26" s="124"/>
      <c r="T26" s="140">
        <v>-14.33</v>
      </c>
      <c r="U26" s="124"/>
      <c r="V26" s="124"/>
      <c r="W26" s="124"/>
      <c r="X26" s="124"/>
      <c r="Y26" s="140">
        <v>-6.8479999999999999</v>
      </c>
      <c r="Z26" s="124"/>
      <c r="AA26" s="124"/>
      <c r="AB26" s="124"/>
      <c r="AC26" s="124"/>
      <c r="AD26" s="140">
        <v>-14.225</v>
      </c>
      <c r="AE26" s="124">
        <v>-2.867</v>
      </c>
      <c r="AF26" s="124">
        <v>-5.2910000000000004</v>
      </c>
      <c r="AG26" s="124">
        <v>-6.891</v>
      </c>
      <c r="AH26" s="124">
        <v>-6.5510000000000002</v>
      </c>
      <c r="AI26" s="139">
        <f>SUM(AE26:AH26)</f>
        <v>-21.6</v>
      </c>
      <c r="AJ26" s="124">
        <v>-5.7060000000000004</v>
      </c>
      <c r="AK26" s="124">
        <v>-7.2450000000000001</v>
      </c>
      <c r="AL26" s="124">
        <v>-6.2320000000000002</v>
      </c>
      <c r="AM26" s="124">
        <v>-12.266</v>
      </c>
      <c r="AN26" s="139">
        <f>SUM(AJ26:AM26)</f>
        <v>-31.448999999999998</v>
      </c>
      <c r="AO26" s="124">
        <v>-7.431</v>
      </c>
      <c r="AP26" s="124">
        <v>-14.462</v>
      </c>
      <c r="AQ26" s="124">
        <v>-9.4789999999999992</v>
      </c>
      <c r="AR26" s="124">
        <v>-26.536000000000001</v>
      </c>
      <c r="AS26" s="139">
        <f>SUM(AO26:AR26)</f>
        <v>-57.908000000000001</v>
      </c>
      <c r="AT26" s="124">
        <v>-8.7520000000000007</v>
      </c>
      <c r="AU26" s="124">
        <v>-21.734000000000002</v>
      </c>
      <c r="AV26" s="124">
        <v>-16.321999999999999</v>
      </c>
      <c r="AW26" s="124">
        <v>-12.212999999999999</v>
      </c>
      <c r="AX26" s="139">
        <f>SUM(AT26:AW26)</f>
        <v>-59.021000000000008</v>
      </c>
      <c r="AY26" s="124">
        <v>-12.577</v>
      </c>
      <c r="AZ26" s="124">
        <v>-12.134</v>
      </c>
      <c r="BA26" s="124">
        <v>-14.436</v>
      </c>
      <c r="BB26" s="124">
        <v>-12.444000000000001</v>
      </c>
      <c r="BC26" s="139">
        <f>SUM(AY26:BB26)</f>
        <v>-51.591000000000001</v>
      </c>
      <c r="BD26" s="124">
        <v>-3.5379999999999998</v>
      </c>
      <c r="BE26" s="124">
        <v>-8.1777999999999995</v>
      </c>
      <c r="BF26" s="124">
        <v>-10.26</v>
      </c>
      <c r="BG26" s="124">
        <v>-16.515000000000001</v>
      </c>
      <c r="BH26" s="139">
        <f>SUM(BD26:BG26)</f>
        <v>-38.4908</v>
      </c>
      <c r="BI26" s="124">
        <v>-8.92</v>
      </c>
      <c r="BJ26" s="124">
        <v>-9.2690000000000001</v>
      </c>
      <c r="BK26" s="124">
        <v>-6.7</v>
      </c>
      <c r="BL26" s="124">
        <v>-14.409000000000001</v>
      </c>
      <c r="BM26" s="139">
        <f>SUM(BI26:BL26)</f>
        <v>-39.298000000000002</v>
      </c>
      <c r="BN26" s="124">
        <v>-19.001000000000001</v>
      </c>
      <c r="BO26" s="124">
        <v>-19.396000000000001</v>
      </c>
      <c r="BP26" s="124">
        <v>-13.132</v>
      </c>
      <c r="BQ26" s="124">
        <v>-17.512</v>
      </c>
      <c r="BR26" s="139">
        <f>SUM(BN26:BQ26)</f>
        <v>-69.040999999999997</v>
      </c>
      <c r="BS26" s="124">
        <v>-12.875999999999999</v>
      </c>
      <c r="BT26" s="124">
        <v>-10.244</v>
      </c>
      <c r="BU26" s="124">
        <v>-10.702</v>
      </c>
      <c r="BV26" s="124">
        <v>-13.601000000000001</v>
      </c>
      <c r="BW26" s="139">
        <f>SUM(BS26:BV26)</f>
        <v>-47.422999999999995</v>
      </c>
      <c r="BX26" s="124">
        <v>-10.694000000000001</v>
      </c>
      <c r="BY26" s="124">
        <v>-9.8450000000000006</v>
      </c>
      <c r="BZ26" s="124">
        <v>-9.5570000000000004</v>
      </c>
      <c r="CA26" s="124">
        <f>-47.993-BZ26-BY26-BX26</f>
        <v>-17.896999999999998</v>
      </c>
      <c r="CB26" s="139">
        <f>SUM(BX26:CA26)</f>
        <v>-47.993000000000002</v>
      </c>
      <c r="CC26" s="124">
        <f>-2.687-CD26</f>
        <v>-2.3569999999999998</v>
      </c>
      <c r="CD26" s="124">
        <v>-0.33</v>
      </c>
      <c r="CE26" s="124">
        <v>-2.5619999999999998</v>
      </c>
      <c r="CF26" s="124">
        <v>-4.1260000000000003</v>
      </c>
      <c r="CG26" s="139">
        <f>SUM(CC26:CF26)</f>
        <v>-9.375</v>
      </c>
      <c r="CH26" s="124">
        <f>-2.035-CI26</f>
        <v>-0.71200000000000019</v>
      </c>
      <c r="CI26" s="124">
        <v>-1.323</v>
      </c>
      <c r="CJ26" s="724">
        <v>-2</v>
      </c>
      <c r="CK26" s="724">
        <v>-3.4</v>
      </c>
      <c r="CL26" s="139">
        <f>SUM(CH26:CK26)</f>
        <v>-7.4350000000000005</v>
      </c>
      <c r="CM26" s="724">
        <f>-0.0585*LiveRamp!CM16-CM25</f>
        <v>-2.35091955</v>
      </c>
      <c r="CN26" s="724">
        <f>-0.06*LiveRamp!CN16-CN25</f>
        <v>-2.5179847999999998</v>
      </c>
      <c r="CO26" s="724">
        <f>-0.0585*LiveRamp!CO16-CO25</f>
        <v>-2.7741681506300013</v>
      </c>
      <c r="CP26" s="724">
        <f>-0.0585*LiveRamp!CP16-CP25</f>
        <v>-2.5829891790500019</v>
      </c>
      <c r="CQ26" s="139">
        <f>SUM(CM26:CP26)</f>
        <v>-10.226061679680003</v>
      </c>
      <c r="CR26" s="724">
        <f>-0.058*LiveRamp!CR16-CR25</f>
        <v>-2.5032567740000022</v>
      </c>
      <c r="CS26" s="724">
        <f>-0.058*LiveRamp!CS16-CS25</f>
        <v>-2.7432965024000007</v>
      </c>
      <c r="CT26" s="724">
        <f>-0.058*LiveRamp!CT16-CT25</f>
        <v>-3.3625244230334026</v>
      </c>
      <c r="CU26" s="724">
        <f>-0.058*LiveRamp!CU16-CU25</f>
        <v>-3.3653954863320035</v>
      </c>
      <c r="CV26" s="139">
        <f>SUM(CR26:CU26)</f>
        <v>-11.97447318576541</v>
      </c>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c r="IR26" s="85"/>
      <c r="IS26" s="85"/>
      <c r="IT26" s="85"/>
      <c r="IU26" s="85"/>
      <c r="IV26" s="85"/>
    </row>
    <row r="27" spans="1:256" s="27" customFormat="1" ht="12" customHeight="1" x14ac:dyDescent="0.25">
      <c r="A27" s="122">
        <v>-1.5</v>
      </c>
      <c r="B27" s="122"/>
      <c r="C27" s="122">
        <v>-18</v>
      </c>
      <c r="D27" s="122">
        <v>-18</v>
      </c>
      <c r="E27" s="27" t="s">
        <v>327</v>
      </c>
      <c r="F27" s="140"/>
      <c r="G27" s="140"/>
      <c r="H27" s="140"/>
      <c r="I27" s="140"/>
      <c r="J27" s="140"/>
      <c r="K27" s="124"/>
      <c r="L27" s="124"/>
      <c r="M27" s="124"/>
      <c r="N27" s="124"/>
      <c r="O27" s="139"/>
      <c r="P27" s="124"/>
      <c r="Q27" s="124"/>
      <c r="R27" s="124"/>
      <c r="S27" s="124"/>
      <c r="T27" s="140">
        <v>-53.427999999999997</v>
      </c>
      <c r="U27" s="124"/>
      <c r="V27" s="124"/>
      <c r="W27" s="124"/>
      <c r="X27" s="124"/>
      <c r="Y27" s="140">
        <v>-70.453999999999994</v>
      </c>
      <c r="Z27" s="124"/>
      <c r="AA27" s="124"/>
      <c r="AB27" s="124"/>
      <c r="AC27" s="124"/>
      <c r="AD27" s="140">
        <v>-66.686999999999998</v>
      </c>
      <c r="AE27" s="124">
        <v>-8.5850000000000009</v>
      </c>
      <c r="AF27" s="124">
        <v>-4.4029999999999996</v>
      </c>
      <c r="AG27" s="124">
        <v>-9.6340000000000003</v>
      </c>
      <c r="AH27" s="124">
        <v>-9.5419999999999998</v>
      </c>
      <c r="AI27" s="139">
        <f>SUM(AE27:AH27)</f>
        <v>-32.164000000000001</v>
      </c>
      <c r="AJ27" s="124">
        <v>-8.6219999999999999</v>
      </c>
      <c r="AK27" s="124">
        <v>-6.5069999999999997</v>
      </c>
      <c r="AL27" s="124">
        <v>-7.8250000000000002</v>
      </c>
      <c r="AM27" s="124">
        <v>-7.6070000000000002</v>
      </c>
      <c r="AN27" s="139">
        <f>SUM(AJ27:AM27)</f>
        <v>-30.561</v>
      </c>
      <c r="AO27" s="124">
        <v>-5.7770000000000001</v>
      </c>
      <c r="AP27" s="124">
        <v>-3.004</v>
      </c>
      <c r="AQ27" s="124">
        <v>-5.45</v>
      </c>
      <c r="AR27" s="124">
        <v>-4.577</v>
      </c>
      <c r="AS27" s="139">
        <f>SUM(AO27:AR27)</f>
        <v>-18.808</v>
      </c>
      <c r="AT27" s="124">
        <v>-4.3259999999999996</v>
      </c>
      <c r="AU27" s="124">
        <v>-2.625</v>
      </c>
      <c r="AV27" s="124">
        <v>-3.7650000000000001</v>
      </c>
      <c r="AW27" s="124">
        <v>-2.65</v>
      </c>
      <c r="AX27" s="139">
        <f>SUM(AT27:AW27)</f>
        <v>-13.366</v>
      </c>
      <c r="AY27" s="124">
        <v>-2.7759999999999998</v>
      </c>
      <c r="AZ27" s="124">
        <v>-1.774</v>
      </c>
      <c r="BA27" s="124">
        <v>-3.9990000000000001</v>
      </c>
      <c r="BB27" s="124">
        <v>-3.7629999999999999</v>
      </c>
      <c r="BC27" s="139">
        <f>SUM(AY27:BB27)</f>
        <v>-12.311999999999999</v>
      </c>
      <c r="BD27" s="124">
        <v>-2.302</v>
      </c>
      <c r="BE27" s="124">
        <v>-1.3959999999999999</v>
      </c>
      <c r="BF27" s="124">
        <v>-2.766</v>
      </c>
      <c r="BG27" s="124">
        <v>-2.1059999999999999</v>
      </c>
      <c r="BH27" s="139">
        <f>SUM(BD27:BG27)</f>
        <v>-8.57</v>
      </c>
      <c r="BI27" s="124">
        <v>-1.9610000000000001</v>
      </c>
      <c r="BJ27" s="124">
        <v>-0.91300000000000003</v>
      </c>
      <c r="BK27" s="124">
        <v>-1.786</v>
      </c>
      <c r="BL27" s="124">
        <v>-3.085</v>
      </c>
      <c r="BM27" s="139">
        <f>SUM(BI27:BL27)</f>
        <v>-7.7450000000000001</v>
      </c>
      <c r="BN27" s="124">
        <v>-0.63500000000000001</v>
      </c>
      <c r="BO27" s="124">
        <v>-0.46800000000000003</v>
      </c>
      <c r="BP27" s="124">
        <v>-0.39400000000000002</v>
      </c>
      <c r="BQ27" s="124">
        <v>-0.374</v>
      </c>
      <c r="BR27" s="139">
        <f>SUM(BN27:BQ27)</f>
        <v>-1.871</v>
      </c>
      <c r="BS27" s="124">
        <v>-0.43</v>
      </c>
      <c r="BT27" s="124">
        <v>-0.28100000000000003</v>
      </c>
      <c r="BU27" s="124">
        <v>-0.42399999999999999</v>
      </c>
      <c r="BV27" s="124">
        <v>-0.41799999999999998</v>
      </c>
      <c r="BW27" s="139">
        <f>SUM(BS27:BV27)</f>
        <v>-1.5529999999999999</v>
      </c>
      <c r="BX27" s="124">
        <v>-0.02</v>
      </c>
      <c r="BY27" s="124">
        <v>-0.247</v>
      </c>
      <c r="BZ27" s="124">
        <v>-0.19600000000000001</v>
      </c>
      <c r="CA27" s="124">
        <f>-0.881-BZ27-BY27-BX27</f>
        <v>-0.41800000000000004</v>
      </c>
      <c r="CB27" s="139">
        <f>SUM(BX27:CA27)</f>
        <v>-0.88100000000000001</v>
      </c>
      <c r="CC27" s="124">
        <v>0</v>
      </c>
      <c r="CD27" s="124">
        <v>0</v>
      </c>
      <c r="CE27" s="799">
        <v>0</v>
      </c>
      <c r="CF27" s="799">
        <v>0</v>
      </c>
      <c r="CG27" s="139">
        <f>SUM(CC27:CF27)</f>
        <v>0</v>
      </c>
      <c r="CH27" s="124">
        <v>0</v>
      </c>
      <c r="CI27" s="124">
        <v>0</v>
      </c>
      <c r="CJ27" s="166">
        <v>-0.4</v>
      </c>
      <c r="CK27" s="166">
        <v>0</v>
      </c>
      <c r="CL27" s="139">
        <f>SUM(CH27:CK27)</f>
        <v>-0.4</v>
      </c>
      <c r="CM27" s="724">
        <v>0</v>
      </c>
      <c r="CN27" s="724">
        <v>0</v>
      </c>
      <c r="CO27" s="724">
        <v>0</v>
      </c>
      <c r="CP27" s="724">
        <v>0</v>
      </c>
      <c r="CQ27" s="139">
        <f>SUM(CM27:CP27)</f>
        <v>0</v>
      </c>
      <c r="CR27" s="724">
        <v>0</v>
      </c>
      <c r="CS27" s="724">
        <v>0</v>
      </c>
      <c r="CT27" s="724">
        <v>0</v>
      </c>
      <c r="CU27" s="724">
        <v>0</v>
      </c>
      <c r="CV27" s="139">
        <f>SUM(CR27:CU27)</f>
        <v>0</v>
      </c>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c r="IR27" s="85"/>
      <c r="IS27" s="85"/>
      <c r="IT27" s="85"/>
      <c r="IU27" s="85"/>
      <c r="IV27" s="85"/>
    </row>
    <row r="28" spans="1:256" s="29" customFormat="1" ht="12" customHeight="1" x14ac:dyDescent="0.25">
      <c r="A28" s="129"/>
      <c r="B28" s="129"/>
      <c r="C28" s="129"/>
      <c r="D28" s="129"/>
      <c r="E28" s="29" t="s">
        <v>109</v>
      </c>
      <c r="F28" s="141"/>
      <c r="G28" s="141"/>
      <c r="H28" s="141"/>
      <c r="I28" s="141"/>
      <c r="J28" s="141"/>
      <c r="K28" s="125"/>
      <c r="L28" s="125"/>
      <c r="M28" s="125"/>
      <c r="N28" s="125"/>
      <c r="O28" s="149"/>
      <c r="P28" s="125"/>
      <c r="Q28" s="125"/>
      <c r="R28" s="125"/>
      <c r="S28" s="125"/>
      <c r="T28" s="141">
        <f>-127.719-SUM(T25:T27)</f>
        <v>-39.667000000000002</v>
      </c>
      <c r="U28" s="125"/>
      <c r="V28" s="125"/>
      <c r="W28" s="125"/>
      <c r="X28" s="125"/>
      <c r="Y28" s="141">
        <f>-210.104-SUM(Y25:Y27)</f>
        <v>-110.89900000000003</v>
      </c>
      <c r="Z28" s="125"/>
      <c r="AA28" s="125"/>
      <c r="AB28" s="125"/>
      <c r="AC28" s="125"/>
      <c r="AD28" s="141">
        <f>-128.664-SUM(AD25:AD27)</f>
        <v>-20.308999999999997</v>
      </c>
      <c r="AE28" s="125">
        <f>-22.579-SUM(AE25:AE27)</f>
        <v>-2.6799999999999997</v>
      </c>
      <c r="AF28" s="125">
        <f>-20.506-SUM(AF25:AF27)</f>
        <v>-0.99200000000000088</v>
      </c>
      <c r="AG28" s="125">
        <f>-12.698-SUM(AG25:AG27)</f>
        <v>12.334</v>
      </c>
      <c r="AH28" s="125">
        <f>-24.708-SUM(AH25:AH27)</f>
        <v>-2.0439999999999969</v>
      </c>
      <c r="AI28" s="149">
        <f>SUM(AE28:AH28)</f>
        <v>6.6180000000000021</v>
      </c>
      <c r="AJ28" s="125">
        <f>-14.88-SUM(AJ25:AJ27)</f>
        <v>4.4589999999999979</v>
      </c>
      <c r="AK28" s="125">
        <f>-6.262-SUM(AK25:AK27)</f>
        <v>11.607999999999997</v>
      </c>
      <c r="AL28" s="125">
        <f>-20.629-SUM(AL25:AL27)</f>
        <v>-2.7000000000000028</v>
      </c>
      <c r="AM28" s="125">
        <f>-23.608-SUM(AM25:AM27)</f>
        <v>-0.49699999999999989</v>
      </c>
      <c r="AN28" s="149">
        <f>SUM(AJ28:AM28)</f>
        <v>12.86999999999999</v>
      </c>
      <c r="AO28" s="125">
        <f>-15.592-SUM(AO25:AO27)</f>
        <v>0</v>
      </c>
      <c r="AP28" s="125">
        <f>-19.54-SUM(AP25:AP27)</f>
        <v>0.35700000000000287</v>
      </c>
      <c r="AQ28" s="125">
        <f>-20.502-SUM(AQ25:AQ27)</f>
        <v>-3.7270000000000003</v>
      </c>
      <c r="AR28" s="125">
        <f>-33.709-SUM(AR25:AR27)</f>
        <v>-1</v>
      </c>
      <c r="AS28" s="149">
        <f>SUM(AO28:AR28)</f>
        <v>-4.3699999999999974</v>
      </c>
      <c r="AT28" s="125">
        <f>-16.107-SUM(AT25:AT27)</f>
        <v>-1.8029999999999973</v>
      </c>
      <c r="AU28" s="125">
        <f>-36.649-SUM(AU25:AU27)</f>
        <v>-10.948999999999998</v>
      </c>
      <c r="AV28" s="125">
        <f>-21.112-SUM(AV25:AV27)</f>
        <v>0</v>
      </c>
      <c r="AW28" s="125">
        <f>-16.905-SUM(AW25:AW27)</f>
        <v>-1.0790000000000024</v>
      </c>
      <c r="AX28" s="149">
        <f>SUM(AT28:AW28)</f>
        <v>-13.830999999999998</v>
      </c>
      <c r="AY28" s="125">
        <f>-16.137-SUM(AY25:AY27)</f>
        <v>-0.25500000000000078</v>
      </c>
      <c r="AZ28" s="125">
        <f>-15.942-SUM(AZ25:AZ27)</f>
        <v>-1.0429999999999993</v>
      </c>
      <c r="BA28" s="125">
        <f>-19.712-SUM(BA25:BA27)</f>
        <v>0.36999999999999744</v>
      </c>
      <c r="BB28" s="373">
        <f>55.166-SUM(BB25:BB27)</f>
        <v>73.467999999999989</v>
      </c>
      <c r="BC28" s="149">
        <f>SUM(AY28:BB28)</f>
        <v>72.539999999999992</v>
      </c>
      <c r="BD28" s="125">
        <f>-9.513-SUM(BD25:BD27)</f>
        <v>0</v>
      </c>
      <c r="BE28" s="125">
        <f>-13.648-SUM(BE25:BE27)</f>
        <v>-1.9999999999953388E-4</v>
      </c>
      <c r="BF28" s="125">
        <f>-18.469-SUM(BF25:BF27)</f>
        <v>0</v>
      </c>
      <c r="BG28" s="373">
        <f>-25.31-SUM(BG25:BG27)</f>
        <v>0</v>
      </c>
      <c r="BH28" s="149">
        <f>SUM(BD28:BG28)</f>
        <v>-1.9999999999953388E-4</v>
      </c>
      <c r="BI28" s="125">
        <f>-16.835-SUM(BI25:BI27)</f>
        <v>0</v>
      </c>
      <c r="BJ28" s="125">
        <f>-17.842-SUM(BJ25:BJ27)</f>
        <v>0</v>
      </c>
      <c r="BK28" s="125">
        <f>-10.348-SUM(BK25:BK27)</f>
        <v>3.6329999999999991</v>
      </c>
      <c r="BL28" s="125">
        <f>-23.212-SUM(BL25:BL27)</f>
        <v>-0.30999999999999872</v>
      </c>
      <c r="BM28" s="149">
        <f>SUM(BI28:BL28)</f>
        <v>3.3230000000000004</v>
      </c>
      <c r="BN28" s="125">
        <f>-24.605-SUM(BN25:BN27)</f>
        <v>0</v>
      </c>
      <c r="BO28" s="125">
        <f>-291.144-SUM(BO25:BO27)</f>
        <v>-265.67200000000003</v>
      </c>
      <c r="BP28" s="125">
        <f>-17.934-SUM(BP25:BP27)</f>
        <v>0</v>
      </c>
      <c r="BQ28" s="125">
        <f>-21.488-SUM(BQ25:BQ27)</f>
        <v>0</v>
      </c>
      <c r="BR28" s="149">
        <f>SUM(BN28:BQ28)</f>
        <v>-265.67200000000003</v>
      </c>
      <c r="BS28" s="125">
        <f>-16.103-SUM(BS25:BS27)</f>
        <v>0</v>
      </c>
      <c r="BT28" s="125">
        <f>-14.461-SUM(BT25:BT27)</f>
        <v>0</v>
      </c>
      <c r="BU28" s="125">
        <f>-20.139-SUM(BU25:BU27)</f>
        <v>-5.3859999999999992</v>
      </c>
      <c r="BV28" s="125">
        <f>-18.539-SUM(BV25:BV27)</f>
        <v>0</v>
      </c>
      <c r="BW28" s="149">
        <f>SUM(BS28:BV28)</f>
        <v>-5.3859999999999992</v>
      </c>
      <c r="BX28" s="125">
        <f>-14.696-SUM(BX25:BX27)</f>
        <v>0</v>
      </c>
      <c r="BY28" s="125">
        <f>3.003-SUM(BY25:BY27)</f>
        <v>16.987000000000002</v>
      </c>
      <c r="BZ28" s="125">
        <f>-150.432-SUM(BZ25:BZ27)</f>
        <v>-137.38299999999998</v>
      </c>
      <c r="CA28" s="125">
        <f>-159.252-SUM(CA25:CA27)-BZ30-BY30-BX30</f>
        <v>24.49499999999999</v>
      </c>
      <c r="CB28" s="149">
        <f>SUM(BX28:CA28)</f>
        <v>-95.900999999999996</v>
      </c>
      <c r="CC28" s="125">
        <f>0.1-SUM(CC25:CC27)-CD30</f>
        <v>0</v>
      </c>
      <c r="CD28" s="125">
        <f>3.032-SUM(CD25:CD27)</f>
        <v>4</v>
      </c>
      <c r="CE28" s="800">
        <f>-4-SUM(CE25:CE27)</f>
        <v>-0.93100000000000005</v>
      </c>
      <c r="CF28" s="800">
        <f>-4-SUM(CF25:CF27)</f>
        <v>1.6720000000000006</v>
      </c>
      <c r="CG28" s="149">
        <f>SUM(CC28:CF28)</f>
        <v>4.7410000000000005</v>
      </c>
      <c r="CH28" s="125">
        <f>-5.857-SUM(CH25:CH27)-CI30</f>
        <v>-2.5000000000000004</v>
      </c>
      <c r="CI28" s="125">
        <f>-1.746-SUM(CI25:CI27)</f>
        <v>0</v>
      </c>
      <c r="CJ28" s="172">
        <f>2300</f>
        <v>2300</v>
      </c>
      <c r="CK28" s="172">
        <v>0</v>
      </c>
      <c r="CL28" s="149">
        <f>SUM(CH28:CK28)</f>
        <v>2297.5</v>
      </c>
      <c r="CM28" s="172">
        <v>0</v>
      </c>
      <c r="CN28" s="172">
        <v>0</v>
      </c>
      <c r="CO28" s="172">
        <v>0</v>
      </c>
      <c r="CP28" s="172">
        <v>0</v>
      </c>
      <c r="CQ28" s="149">
        <f>SUM(CM28:CP28)</f>
        <v>0</v>
      </c>
      <c r="CR28" s="172">
        <v>0</v>
      </c>
      <c r="CS28" s="172">
        <v>0</v>
      </c>
      <c r="CT28" s="172">
        <v>0</v>
      </c>
      <c r="CU28" s="172">
        <v>0</v>
      </c>
      <c r="CV28" s="149">
        <f>SUM(CR28:CU28)</f>
        <v>0</v>
      </c>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c r="IR28" s="86"/>
      <c r="IS28" s="86"/>
      <c r="IT28" s="86"/>
      <c r="IU28" s="86"/>
      <c r="IV28" s="86"/>
    </row>
    <row r="29" spans="1:256" s="29" customFormat="1" ht="3.95" customHeight="1" x14ac:dyDescent="0.25">
      <c r="A29" s="129"/>
      <c r="B29" s="129"/>
      <c r="C29" s="129"/>
      <c r="D29" s="129"/>
      <c r="F29" s="149"/>
      <c r="G29" s="149"/>
      <c r="H29" s="149"/>
      <c r="I29" s="149"/>
      <c r="J29" s="149"/>
      <c r="O29" s="149"/>
      <c r="T29" s="149"/>
      <c r="Y29" s="149"/>
      <c r="AD29" s="149"/>
      <c r="AI29" s="149"/>
      <c r="AN29" s="149"/>
      <c r="AS29" s="149"/>
      <c r="AX29" s="149"/>
      <c r="BC29" s="149"/>
      <c r="BH29" s="149"/>
      <c r="BM29" s="149"/>
      <c r="BR29" s="149"/>
      <c r="BW29" s="149"/>
      <c r="CB29" s="149"/>
      <c r="CG29" s="149"/>
      <c r="CL29" s="149"/>
      <c r="CQ29" s="149"/>
      <c r="CV29" s="149"/>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c r="IR29" s="86"/>
      <c r="IS29" s="86"/>
      <c r="IT29" s="86"/>
      <c r="IU29" s="86"/>
      <c r="IV29" s="86"/>
    </row>
    <row r="30" spans="1:256" s="35" customFormat="1" ht="12" customHeight="1" x14ac:dyDescent="0.25">
      <c r="A30" s="129"/>
      <c r="B30" s="129"/>
      <c r="C30" s="129"/>
      <c r="D30" s="129"/>
      <c r="E30" s="35" t="s">
        <v>54</v>
      </c>
      <c r="T30" s="35">
        <f>SUM(T25:T28)</f>
        <v>-127.71899999999999</v>
      </c>
      <c r="Y30" s="35">
        <f>SUM(Y25:Y28)</f>
        <v>-210.10400000000001</v>
      </c>
      <c r="AD30" s="35">
        <f>SUM(AD25:AD28)</f>
        <v>-128.66399999999999</v>
      </c>
      <c r="AE30" s="35">
        <f t="shared" ref="AE30:AP30" si="20">SUM(AE25:AE28)</f>
        <v>-22.579000000000001</v>
      </c>
      <c r="AF30" s="35">
        <f t="shared" si="20"/>
        <v>-20.506</v>
      </c>
      <c r="AG30" s="35">
        <f t="shared" si="20"/>
        <v>-12.698</v>
      </c>
      <c r="AH30" s="35">
        <f t="shared" si="20"/>
        <v>-24.707999999999998</v>
      </c>
      <c r="AI30" s="35">
        <f t="shared" si="20"/>
        <v>-80.491000000000014</v>
      </c>
      <c r="AJ30" s="35">
        <f t="shared" si="20"/>
        <v>-14.88</v>
      </c>
      <c r="AK30" s="35">
        <f t="shared" si="20"/>
        <v>-6.2620000000000005</v>
      </c>
      <c r="AL30" s="35">
        <f t="shared" si="20"/>
        <v>-20.629000000000001</v>
      </c>
      <c r="AM30" s="35">
        <f t="shared" si="20"/>
        <v>-23.608000000000001</v>
      </c>
      <c r="AN30" s="35">
        <f t="shared" si="20"/>
        <v>-65.379000000000005</v>
      </c>
      <c r="AO30" s="35">
        <f t="shared" si="20"/>
        <v>-15.591999999999999</v>
      </c>
      <c r="AP30" s="35">
        <f t="shared" si="20"/>
        <v>-19.54</v>
      </c>
      <c r="AQ30" s="35">
        <f t="shared" ref="AQ30:BM30" si="21">SUM(AQ25:AQ28)</f>
        <v>-20.501999999999999</v>
      </c>
      <c r="AR30" s="35">
        <f>SUM(AR25:AR28)</f>
        <v>-33.709000000000003</v>
      </c>
      <c r="AS30" s="35">
        <f t="shared" si="21"/>
        <v>-89.343000000000018</v>
      </c>
      <c r="AT30" s="35">
        <f>SUM(AT25:AT28)</f>
        <v>-16.106999999999999</v>
      </c>
      <c r="AU30" s="35">
        <f>SUM(AU25:AU28)</f>
        <v>-36.649000000000001</v>
      </c>
      <c r="AV30" s="35">
        <f t="shared" si="21"/>
        <v>-21.111999999999998</v>
      </c>
      <c r="AW30" s="35">
        <f>SUM(AW25:AW28)</f>
        <v>-16.905000000000001</v>
      </c>
      <c r="AX30" s="35">
        <f t="shared" si="21"/>
        <v>-90.77300000000001</v>
      </c>
      <c r="AY30" s="35">
        <f t="shared" si="21"/>
        <v>-16.137</v>
      </c>
      <c r="AZ30" s="35">
        <f t="shared" si="21"/>
        <v>-15.942</v>
      </c>
      <c r="BA30" s="35">
        <f t="shared" si="21"/>
        <v>-19.712</v>
      </c>
      <c r="BB30" s="35">
        <f t="shared" si="21"/>
        <v>55.16599999999999</v>
      </c>
      <c r="BC30" s="35">
        <f t="shared" si="21"/>
        <v>3.3749999999999858</v>
      </c>
      <c r="BD30" s="35">
        <f t="shared" si="21"/>
        <v>-9.5129999999999999</v>
      </c>
      <c r="BE30" s="35">
        <f t="shared" si="21"/>
        <v>-13.648</v>
      </c>
      <c r="BF30" s="35">
        <f t="shared" si="21"/>
        <v>-18.469000000000001</v>
      </c>
      <c r="BG30" s="35">
        <f>SUM(BG25:BG28)</f>
        <v>-25.310000000000002</v>
      </c>
      <c r="BH30" s="35">
        <f t="shared" si="21"/>
        <v>-66.94</v>
      </c>
      <c r="BI30" s="35">
        <f t="shared" si="21"/>
        <v>-16.834999999999997</v>
      </c>
      <c r="BJ30" s="35">
        <f t="shared" si="21"/>
        <v>-17.842000000000002</v>
      </c>
      <c r="BK30" s="35">
        <f t="shared" si="21"/>
        <v>-10.348000000000001</v>
      </c>
      <c r="BL30" s="35">
        <f t="shared" si="21"/>
        <v>-23.212</v>
      </c>
      <c r="BM30" s="35">
        <f t="shared" si="21"/>
        <v>-68.236999999999995</v>
      </c>
      <c r="BN30" s="35">
        <f t="shared" ref="BN30:BW30" si="22">SUM(BN25:BN28)</f>
        <v>-24.605000000000004</v>
      </c>
      <c r="BO30" s="35">
        <f t="shared" si="22"/>
        <v>-291.14400000000001</v>
      </c>
      <c r="BP30" s="35">
        <f t="shared" si="22"/>
        <v>-17.933999999999997</v>
      </c>
      <c r="BQ30" s="35">
        <f t="shared" si="22"/>
        <v>-21.488</v>
      </c>
      <c r="BR30" s="35">
        <f t="shared" si="22"/>
        <v>-355.17100000000005</v>
      </c>
      <c r="BS30" s="35">
        <f>SUM(BS25:BS28)</f>
        <v>-16.103000000000002</v>
      </c>
      <c r="BT30" s="35">
        <f>SUM(BT25:BT28)</f>
        <v>-14.461</v>
      </c>
      <c r="BU30" s="35">
        <f t="shared" si="22"/>
        <v>-20.138999999999999</v>
      </c>
      <c r="BV30" s="35">
        <f>SUM(BV25:BV28)</f>
        <v>-18.539000000000001</v>
      </c>
      <c r="BW30" s="35">
        <f t="shared" si="22"/>
        <v>-69.24199999999999</v>
      </c>
      <c r="BX30" s="35">
        <f>SUM(BX25:BX28)</f>
        <v>-14.696000000000002</v>
      </c>
      <c r="BY30" s="35">
        <f t="shared" ref="BY30:CG30" si="23">SUM(BY25:BY28)</f>
        <v>3.0030000000000019</v>
      </c>
      <c r="BZ30" s="35">
        <f t="shared" si="23"/>
        <v>-150.43199999999999</v>
      </c>
      <c r="CA30" s="35">
        <f t="shared" si="23"/>
        <v>2.8729999999999905</v>
      </c>
      <c r="CB30" s="35">
        <f t="shared" si="23"/>
        <v>-159.25200000000001</v>
      </c>
      <c r="CC30" s="35">
        <f t="shared" si="23"/>
        <v>-2.9319999999999999</v>
      </c>
      <c r="CD30" s="35">
        <f>SUM(CD25:CD28)</f>
        <v>3.032</v>
      </c>
      <c r="CE30" s="35">
        <f>SUM(CE25:CE28)</f>
        <v>-4</v>
      </c>
      <c r="CF30" s="35">
        <f>SUM(CF25:CF28)</f>
        <v>-4</v>
      </c>
      <c r="CG30" s="35">
        <f t="shared" si="23"/>
        <v>-7.8999999999999995</v>
      </c>
      <c r="CH30" s="35">
        <f>SUM(CH25:CH28)</f>
        <v>-4.1110000000000007</v>
      </c>
      <c r="CI30" s="35">
        <f t="shared" ref="CI30:CQ30" si="24">SUM(CI25:CI28)</f>
        <v>-1.746</v>
      </c>
      <c r="CJ30" s="35">
        <f>SUM(CJ25:CJ28)</f>
        <v>2296.6</v>
      </c>
      <c r="CK30" s="35">
        <f t="shared" si="24"/>
        <v>-7.4</v>
      </c>
      <c r="CL30" s="35">
        <f t="shared" si="24"/>
        <v>2283.3429999999998</v>
      </c>
      <c r="CM30" s="35">
        <f t="shared" si="24"/>
        <v>-4.7509195499999999</v>
      </c>
      <c r="CN30" s="35">
        <f t="shared" si="24"/>
        <v>-5.3179847999999996</v>
      </c>
      <c r="CO30" s="35">
        <f t="shared" si="24"/>
        <v>-5.874168150630001</v>
      </c>
      <c r="CP30" s="35">
        <f t="shared" si="24"/>
        <v>-5.9829891790500014</v>
      </c>
      <c r="CQ30" s="35">
        <f t="shared" si="24"/>
        <v>-21.926061679680004</v>
      </c>
      <c r="CR30" s="35">
        <f t="shared" ref="CR30:CV30" si="25">SUM(CR25:CR28)</f>
        <v>-6.2032567740000015</v>
      </c>
      <c r="CS30" s="35">
        <f t="shared" si="25"/>
        <v>-6.7432965023999998</v>
      </c>
      <c r="CT30" s="35">
        <f t="shared" si="25"/>
        <v>-7.6625244230334015</v>
      </c>
      <c r="CU30" s="35">
        <f t="shared" si="25"/>
        <v>-7.7953954863320023</v>
      </c>
      <c r="CV30" s="35">
        <f t="shared" si="25"/>
        <v>-28.404473185765404</v>
      </c>
      <c r="CW30" s="87"/>
      <c r="CX30" s="87"/>
      <c r="CY30" s="87"/>
      <c r="CZ30" s="87"/>
      <c r="DA30" s="87"/>
      <c r="DB30" s="87"/>
      <c r="DC30" s="87"/>
      <c r="DD30" s="87"/>
      <c r="DE30" s="87"/>
      <c r="DF30" s="87"/>
      <c r="DG30" s="87"/>
      <c r="DH30" s="87"/>
      <c r="DI30" s="87"/>
      <c r="DJ30" s="87"/>
      <c r="DK30" s="87"/>
      <c r="DL30" s="87"/>
      <c r="DM30" s="87"/>
      <c r="DN30" s="87"/>
      <c r="DO30" s="87"/>
      <c r="DP30" s="87"/>
      <c r="DQ30" s="87"/>
      <c r="DR30" s="87"/>
      <c r="DS30" s="87"/>
      <c r="DT30" s="87"/>
      <c r="DU30" s="87"/>
      <c r="DV30" s="87"/>
      <c r="DW30" s="87"/>
      <c r="DX30" s="87"/>
      <c r="DY30" s="87"/>
      <c r="DZ30" s="87"/>
      <c r="EA30" s="87"/>
      <c r="EB30" s="87"/>
      <c r="EC30" s="87"/>
      <c r="ED30" s="87"/>
      <c r="EE30" s="87"/>
      <c r="EF30" s="87"/>
      <c r="EG30" s="87"/>
      <c r="EH30" s="87"/>
      <c r="EI30" s="87"/>
      <c r="EJ30" s="87"/>
      <c r="EK30" s="87"/>
      <c r="EL30" s="87"/>
      <c r="EM30" s="87"/>
      <c r="EN30" s="87"/>
      <c r="EO30" s="87"/>
      <c r="EP30" s="87"/>
      <c r="EQ30" s="87"/>
      <c r="ER30" s="87"/>
      <c r="ES30" s="87"/>
      <c r="ET30" s="87"/>
      <c r="EU30" s="87"/>
      <c r="EV30" s="87"/>
      <c r="EW30" s="87"/>
      <c r="EX30" s="87"/>
      <c r="EY30" s="87"/>
      <c r="EZ30" s="87"/>
      <c r="FA30" s="87"/>
      <c r="FB30" s="87"/>
      <c r="FC30" s="87"/>
      <c r="FD30" s="87"/>
      <c r="FE30" s="87"/>
      <c r="FF30" s="87"/>
      <c r="FG30" s="87"/>
      <c r="FH30" s="87"/>
      <c r="FI30" s="87"/>
      <c r="FJ30" s="87"/>
      <c r="FK30" s="87"/>
      <c r="FL30" s="87"/>
      <c r="FM30" s="87"/>
      <c r="FN30" s="87"/>
      <c r="FO30" s="87"/>
      <c r="FP30" s="87"/>
      <c r="FQ30" s="87"/>
      <c r="FR30" s="87"/>
      <c r="FS30" s="87"/>
      <c r="FT30" s="87"/>
      <c r="FU30" s="87"/>
      <c r="FV30" s="87"/>
      <c r="FW30" s="87"/>
      <c r="FX30" s="87"/>
      <c r="FY30" s="87"/>
      <c r="FZ30" s="87"/>
      <c r="GA30" s="87"/>
      <c r="GB30" s="87"/>
      <c r="GC30" s="87"/>
      <c r="GD30" s="87"/>
      <c r="GE30" s="87"/>
      <c r="GF30" s="87"/>
      <c r="GG30" s="87"/>
      <c r="GH30" s="87"/>
      <c r="GI30" s="87"/>
      <c r="GJ30" s="87"/>
      <c r="GK30" s="87"/>
      <c r="GL30" s="87"/>
      <c r="GM30" s="87"/>
      <c r="GN30" s="87"/>
      <c r="GO30" s="87"/>
      <c r="GP30" s="87"/>
      <c r="GQ30" s="87"/>
      <c r="GR30" s="87"/>
      <c r="GS30" s="87"/>
      <c r="GT30" s="87"/>
      <c r="GU30" s="87"/>
      <c r="GV30" s="87"/>
      <c r="GW30" s="87"/>
      <c r="GX30" s="87"/>
      <c r="GY30" s="87"/>
      <c r="GZ30" s="87"/>
      <c r="HA30" s="87"/>
      <c r="HB30" s="87"/>
      <c r="HC30" s="87"/>
      <c r="HD30" s="87"/>
      <c r="HE30" s="87"/>
      <c r="HF30" s="87"/>
      <c r="HG30" s="87"/>
      <c r="HH30" s="87"/>
      <c r="HI30" s="87"/>
      <c r="HJ30" s="87"/>
      <c r="HK30" s="87"/>
      <c r="HL30" s="87"/>
      <c r="HM30" s="87"/>
      <c r="HN30" s="87"/>
      <c r="HO30" s="87"/>
      <c r="HP30" s="87"/>
      <c r="HQ30" s="87"/>
      <c r="HR30" s="87"/>
      <c r="HS30" s="87"/>
      <c r="HT30" s="87"/>
      <c r="HU30" s="87"/>
      <c r="HV30" s="87"/>
      <c r="HW30" s="87"/>
      <c r="HX30" s="87"/>
      <c r="HY30" s="87"/>
      <c r="HZ30" s="87"/>
      <c r="IA30" s="87"/>
      <c r="IB30" s="87"/>
      <c r="IC30" s="87"/>
      <c r="ID30" s="87"/>
      <c r="IE30" s="87"/>
      <c r="IF30" s="87"/>
      <c r="IG30" s="87"/>
      <c r="IH30" s="87"/>
      <c r="II30" s="87"/>
      <c r="IJ30" s="87"/>
      <c r="IK30" s="87"/>
      <c r="IL30" s="87"/>
      <c r="IM30" s="87"/>
      <c r="IN30" s="87"/>
      <c r="IO30" s="87"/>
      <c r="IP30" s="87"/>
      <c r="IQ30" s="87"/>
      <c r="IR30" s="87"/>
      <c r="IS30" s="87"/>
      <c r="IT30" s="87"/>
      <c r="IU30" s="87"/>
      <c r="IV30" s="87"/>
    </row>
    <row r="31" spans="1:256" s="27" customFormat="1" ht="3.95" customHeight="1" x14ac:dyDescent="0.25">
      <c r="A31" s="122"/>
      <c r="B31" s="122"/>
      <c r="C31" s="122"/>
      <c r="D31" s="122"/>
      <c r="F31" s="139"/>
      <c r="G31" s="139"/>
      <c r="H31" s="139"/>
      <c r="I31" s="139"/>
      <c r="J31" s="139"/>
      <c r="O31" s="127"/>
      <c r="T31" s="139"/>
      <c r="Y31" s="139"/>
      <c r="AD31" s="139"/>
      <c r="AI31" s="127"/>
      <c r="AN31" s="127"/>
      <c r="AS31" s="127"/>
      <c r="AX31" s="127"/>
      <c r="BC31" s="127"/>
      <c r="BH31" s="127"/>
      <c r="BM31" s="127"/>
      <c r="BR31" s="127"/>
      <c r="BW31" s="127"/>
      <c r="CB31" s="127"/>
      <c r="CG31" s="127"/>
      <c r="CL31" s="127"/>
      <c r="CQ31" s="127"/>
      <c r="CV31" s="127"/>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c r="IR31" s="85"/>
      <c r="IS31" s="85"/>
      <c r="IT31" s="85"/>
      <c r="IU31" s="85"/>
      <c r="IV31" s="85"/>
    </row>
    <row r="32" spans="1:256" s="27" customFormat="1" ht="12" customHeight="1" x14ac:dyDescent="0.25">
      <c r="A32" s="122"/>
      <c r="B32" s="122"/>
      <c r="C32" s="122"/>
      <c r="D32" s="122"/>
      <c r="E32" s="158" t="s">
        <v>12</v>
      </c>
      <c r="F32" s="139"/>
      <c r="G32" s="139"/>
      <c r="H32" s="139"/>
      <c r="I32" s="139"/>
      <c r="J32" s="139"/>
      <c r="O32" s="139"/>
      <c r="T32" s="139"/>
      <c r="Y32" s="139"/>
      <c r="AD32" s="139"/>
      <c r="AI32" s="139"/>
      <c r="AN32" s="139"/>
      <c r="AS32" s="139"/>
      <c r="AX32" s="139"/>
      <c r="BC32" s="139"/>
      <c r="BH32" s="139"/>
      <c r="BM32" s="139"/>
      <c r="BR32" s="139"/>
      <c r="BW32" s="139"/>
      <c r="CB32" s="139"/>
      <c r="CG32" s="139"/>
      <c r="CL32" s="139"/>
      <c r="CQ32" s="139"/>
      <c r="CV32" s="139"/>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c r="IR32" s="85"/>
      <c r="IS32" s="85"/>
      <c r="IT32" s="85"/>
      <c r="IU32" s="85"/>
      <c r="IV32" s="85"/>
    </row>
    <row r="33" spans="1:256" s="27" customFormat="1" ht="12" customHeight="1" x14ac:dyDescent="0.25">
      <c r="A33" s="122"/>
      <c r="B33" s="122"/>
      <c r="C33" s="122"/>
      <c r="D33" s="122"/>
      <c r="E33" s="27" t="s">
        <v>61</v>
      </c>
      <c r="F33" s="140"/>
      <c r="G33" s="140"/>
      <c r="H33" s="140"/>
      <c r="I33" s="140"/>
      <c r="J33" s="140"/>
      <c r="K33" s="124"/>
      <c r="L33" s="124"/>
      <c r="M33" s="124"/>
      <c r="N33" s="124"/>
      <c r="O33" s="139"/>
      <c r="P33" s="124"/>
      <c r="Q33" s="124"/>
      <c r="R33" s="124"/>
      <c r="S33" s="124"/>
      <c r="T33" s="140">
        <f>216.138-311.35</f>
        <v>-95.212000000000018</v>
      </c>
      <c r="U33" s="124"/>
      <c r="V33" s="124"/>
      <c r="W33" s="124"/>
      <c r="X33" s="124"/>
      <c r="Y33" s="140">
        <f>437.87-307.12</f>
        <v>130.75</v>
      </c>
      <c r="Z33" s="124"/>
      <c r="AA33" s="124"/>
      <c r="AB33" s="124"/>
      <c r="AC33" s="124"/>
      <c r="AD33" s="140">
        <f>649.756-471.67</f>
        <v>178.08599999999996</v>
      </c>
      <c r="AE33" s="124">
        <v>-31.283999999999999</v>
      </c>
      <c r="AF33" s="124">
        <v>-27.346</v>
      </c>
      <c r="AG33" s="124">
        <v>-49.38</v>
      </c>
      <c r="AH33" s="124">
        <v>-50.689</v>
      </c>
      <c r="AI33" s="139">
        <f t="shared" ref="AI33:AI38" si="26">SUM(AE33:AH33)</f>
        <v>-158.69899999999998</v>
      </c>
      <c r="AJ33" s="124">
        <v>-23.303999999999998</v>
      </c>
      <c r="AK33" s="124">
        <f>-36.197</f>
        <v>-36.197000000000003</v>
      </c>
      <c r="AL33" s="124">
        <v>-14.193</v>
      </c>
      <c r="AM33" s="124">
        <v>-13.076000000000001</v>
      </c>
      <c r="AN33" s="139">
        <f t="shared" ref="AN33:AN38" si="27">SUM(AJ33:AM33)</f>
        <v>-86.77000000000001</v>
      </c>
      <c r="AO33" s="124">
        <f>-13.724</f>
        <v>-13.724</v>
      </c>
      <c r="AP33" s="124">
        <f>-41.402</f>
        <v>-41.402000000000001</v>
      </c>
      <c r="AQ33" s="124">
        <f>-17.316-4.563</f>
        <v>-21.878999999999998</v>
      </c>
      <c r="AR33" s="124">
        <v>-32.079000000000001</v>
      </c>
      <c r="AS33" s="139">
        <f t="shared" ref="AS33:AS38" si="28">SUM(AO33:AR33)</f>
        <v>-109.084</v>
      </c>
      <c r="AT33" s="124">
        <f>-8.964</f>
        <v>-8.9640000000000004</v>
      </c>
      <c r="AU33" s="124">
        <v>-27.603000000000002</v>
      </c>
      <c r="AV33" s="124">
        <v>-41.521999999999998</v>
      </c>
      <c r="AW33" s="124">
        <v>-24.012</v>
      </c>
      <c r="AX33" s="139">
        <f t="shared" ref="AX33:AX38" si="29">SUM(AT33:AW33)</f>
        <v>-102.101</v>
      </c>
      <c r="AY33" s="124">
        <v>-32.311999999999998</v>
      </c>
      <c r="AZ33" s="124">
        <v>-81.462999999999994</v>
      </c>
      <c r="BA33" s="124">
        <v>-31.992999999999999</v>
      </c>
      <c r="BB33" s="417">
        <v>-9.1080000000000005</v>
      </c>
      <c r="BC33" s="139">
        <f t="shared" ref="BC33:BC38" si="30">SUM(AY33:BB33)</f>
        <v>-154.876</v>
      </c>
      <c r="BD33" s="417">
        <v>-6.8559999999999999</v>
      </c>
      <c r="BE33" s="417">
        <v>-6.6820000000000004</v>
      </c>
      <c r="BF33" s="417">
        <v>-6.2519999999999998</v>
      </c>
      <c r="BG33" s="417">
        <v>-7.0810000000000004</v>
      </c>
      <c r="BH33" s="139">
        <f t="shared" ref="BH33:BH38" si="31">SUM(BD33:BG33)</f>
        <v>-26.870999999999999</v>
      </c>
      <c r="BI33" s="417">
        <v>-4.8899999999999997</v>
      </c>
      <c r="BJ33" s="417">
        <v>-4.343</v>
      </c>
      <c r="BK33" s="417">
        <f>300-220.934-4.37</f>
        <v>74.695999999999998</v>
      </c>
      <c r="BL33" s="417">
        <v>-5.7279999999999998</v>
      </c>
      <c r="BM33" s="139">
        <f t="shared" ref="BM33:BM38" si="32">SUM(BI33:BL33)</f>
        <v>59.734999999999992</v>
      </c>
      <c r="BN33" s="417">
        <v>-5.5019999999999998</v>
      </c>
      <c r="BO33" s="417">
        <v>-5.3559999999999999</v>
      </c>
      <c r="BP33" s="417">
        <v>-8.9570000000000007</v>
      </c>
      <c r="BQ33" s="417">
        <v>-8.6059999999999999</v>
      </c>
      <c r="BR33" s="139">
        <f t="shared" ref="BR33:BR38" si="33">SUM(BN33:BQ33)</f>
        <v>-28.420999999999999</v>
      </c>
      <c r="BS33" s="417">
        <v>-8.0990000000000002</v>
      </c>
      <c r="BT33" s="417">
        <v>-63.039000000000001</v>
      </c>
      <c r="BU33" s="417">
        <v>-8.0449999999999999</v>
      </c>
      <c r="BV33" s="417">
        <v>-8.048</v>
      </c>
      <c r="BW33" s="139">
        <f t="shared" ref="BW33:BW38" si="34">SUM(BS33:BV33)</f>
        <v>-87.231000000000009</v>
      </c>
      <c r="BX33" s="417">
        <v>-8.0530000000000008</v>
      </c>
      <c r="BY33" s="417">
        <v>-8.0579999999999998</v>
      </c>
      <c r="BZ33" s="417">
        <f>70-8.062</f>
        <v>61.938000000000002</v>
      </c>
      <c r="CA33" s="417">
        <f>70-32.243-BZ33-BY33-BX33</f>
        <v>-8.0700000000000038</v>
      </c>
      <c r="CB33" s="139">
        <f t="shared" ref="CB33:CB37" si="35">SUM(BX33:CA33)</f>
        <v>37.756999999999991</v>
      </c>
      <c r="CC33" s="124">
        <f>230-226.15-CD33</f>
        <v>4.4279999999999946</v>
      </c>
      <c r="CD33" s="124">
        <v>-0.57799999999999996</v>
      </c>
      <c r="CE33" s="799">
        <v>0</v>
      </c>
      <c r="CF33" s="799">
        <v>0</v>
      </c>
      <c r="CG33" s="139">
        <f t="shared" ref="CG33:CG38" si="36">SUM(CC33:CF33)</f>
        <v>3.8499999999999948</v>
      </c>
      <c r="CH33" s="124">
        <f>-3.293-CI33</f>
        <v>-0.59200000000000008</v>
      </c>
      <c r="CI33" s="124">
        <v>-2.7010000000000001</v>
      </c>
      <c r="CJ33" s="408">
        <v>-228.762</v>
      </c>
      <c r="CK33" s="408">
        <v>0</v>
      </c>
      <c r="CL33" s="139">
        <f t="shared" ref="CL33:CL38" si="37">SUM(CH33:CK33)</f>
        <v>-232.05500000000001</v>
      </c>
      <c r="CM33" s="408">
        <v>0</v>
      </c>
      <c r="CN33" s="408">
        <v>0</v>
      </c>
      <c r="CO33" s="408">
        <v>0</v>
      </c>
      <c r="CP33" s="408">
        <v>0</v>
      </c>
      <c r="CQ33" s="139">
        <f t="shared" ref="CQ33:CQ37" si="38">SUM(CM33:CP33)</f>
        <v>0</v>
      </c>
      <c r="CR33" s="408">
        <v>0</v>
      </c>
      <c r="CS33" s="408">
        <v>0</v>
      </c>
      <c r="CT33" s="408">
        <v>0</v>
      </c>
      <c r="CU33" s="408">
        <v>0</v>
      </c>
      <c r="CV33" s="139">
        <f t="shared" ref="CV33:CV37" si="39">SUM(CR33:CU33)</f>
        <v>0</v>
      </c>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c r="IR33" s="85"/>
      <c r="IS33" s="85"/>
      <c r="IT33" s="85"/>
      <c r="IU33" s="85"/>
      <c r="IV33" s="85"/>
    </row>
    <row r="34" spans="1:256" s="27" customFormat="1" ht="12" customHeight="1" x14ac:dyDescent="0.25">
      <c r="A34" s="122"/>
      <c r="B34" s="122"/>
      <c r="C34" s="122"/>
      <c r="D34" s="122"/>
      <c r="E34" s="27" t="s">
        <v>67</v>
      </c>
      <c r="F34" s="140"/>
      <c r="G34" s="140"/>
      <c r="H34" s="140"/>
      <c r="I34" s="140"/>
      <c r="J34" s="140"/>
      <c r="K34" s="124"/>
      <c r="L34" s="124"/>
      <c r="M34" s="124"/>
      <c r="N34" s="124"/>
      <c r="O34" s="139"/>
      <c r="P34" s="124"/>
      <c r="Q34" s="124"/>
      <c r="R34" s="124"/>
      <c r="S34" s="124"/>
      <c r="T34" s="140">
        <v>0</v>
      </c>
      <c r="U34" s="124"/>
      <c r="V34" s="124"/>
      <c r="W34" s="124"/>
      <c r="X34" s="124"/>
      <c r="Y34" s="140">
        <v>0</v>
      </c>
      <c r="Z34" s="124"/>
      <c r="AA34" s="124"/>
      <c r="AB34" s="124"/>
      <c r="AC34" s="124"/>
      <c r="AD34" s="140">
        <v>0</v>
      </c>
      <c r="AE34" s="124">
        <v>0</v>
      </c>
      <c r="AF34" s="124">
        <v>0</v>
      </c>
      <c r="AG34" s="124">
        <v>0</v>
      </c>
      <c r="AH34" s="124">
        <v>0</v>
      </c>
      <c r="AI34" s="139">
        <f t="shared" si="26"/>
        <v>0</v>
      </c>
      <c r="AJ34" s="124">
        <v>0</v>
      </c>
      <c r="AK34" s="124">
        <v>0</v>
      </c>
      <c r="AL34" s="124">
        <v>0</v>
      </c>
      <c r="AM34" s="124">
        <v>0</v>
      </c>
      <c r="AN34" s="139">
        <f t="shared" si="27"/>
        <v>0</v>
      </c>
      <c r="AO34" s="124">
        <v>0</v>
      </c>
      <c r="AP34" s="124">
        <v>0</v>
      </c>
      <c r="AQ34" s="124">
        <v>0</v>
      </c>
      <c r="AR34" s="124">
        <v>0</v>
      </c>
      <c r="AS34" s="139">
        <f t="shared" si="28"/>
        <v>0</v>
      </c>
      <c r="AT34" s="124">
        <v>0</v>
      </c>
      <c r="AU34" s="124">
        <v>0</v>
      </c>
      <c r="AV34" s="124">
        <v>0</v>
      </c>
      <c r="AW34" s="124">
        <v>0</v>
      </c>
      <c r="AX34" s="139">
        <f t="shared" si="29"/>
        <v>0</v>
      </c>
      <c r="AY34" s="124">
        <v>0</v>
      </c>
      <c r="AZ34" s="124">
        <v>0</v>
      </c>
      <c r="BA34" s="124">
        <v>0</v>
      </c>
      <c r="BB34" s="124">
        <v>0</v>
      </c>
      <c r="BC34" s="139">
        <f t="shared" si="30"/>
        <v>0</v>
      </c>
      <c r="BD34" s="124">
        <v>0</v>
      </c>
      <c r="BE34" s="124">
        <v>0</v>
      </c>
      <c r="BF34" s="124">
        <v>0</v>
      </c>
      <c r="BG34" s="124">
        <v>0</v>
      </c>
      <c r="BH34" s="139">
        <f t="shared" si="31"/>
        <v>0</v>
      </c>
      <c r="BI34" s="124">
        <v>0</v>
      </c>
      <c r="BJ34" s="124">
        <v>0</v>
      </c>
      <c r="BK34" s="124">
        <v>0</v>
      </c>
      <c r="BL34" s="124">
        <v>0</v>
      </c>
      <c r="BM34" s="139">
        <f t="shared" si="32"/>
        <v>0</v>
      </c>
      <c r="BN34" s="124">
        <v>0</v>
      </c>
      <c r="BO34" s="124">
        <v>0</v>
      </c>
      <c r="BP34" s="124">
        <v>0</v>
      </c>
      <c r="BQ34" s="124">
        <v>0</v>
      </c>
      <c r="BR34" s="139">
        <f t="shared" si="33"/>
        <v>0</v>
      </c>
      <c r="BS34" s="124">
        <v>0</v>
      </c>
      <c r="BT34" s="124">
        <v>0</v>
      </c>
      <c r="BU34" s="124">
        <v>0</v>
      </c>
      <c r="BV34" s="124">
        <v>0</v>
      </c>
      <c r="BW34" s="139">
        <f t="shared" si="34"/>
        <v>0</v>
      </c>
      <c r="BX34" s="124">
        <v>0</v>
      </c>
      <c r="BY34" s="124">
        <v>0</v>
      </c>
      <c r="BZ34" s="124">
        <v>0</v>
      </c>
      <c r="CA34" s="124">
        <v>0</v>
      </c>
      <c r="CB34" s="139">
        <f t="shared" si="35"/>
        <v>0</v>
      </c>
      <c r="CC34" s="124">
        <v>0</v>
      </c>
      <c r="CD34" s="124">
        <v>0</v>
      </c>
      <c r="CE34" s="799">
        <v>0</v>
      </c>
      <c r="CF34" s="799">
        <v>0</v>
      </c>
      <c r="CG34" s="139">
        <f t="shared" si="36"/>
        <v>0</v>
      </c>
      <c r="CH34" s="124">
        <v>0</v>
      </c>
      <c r="CI34" s="124">
        <v>0</v>
      </c>
      <c r="CJ34" s="166">
        <v>0</v>
      </c>
      <c r="CK34" s="166">
        <v>0</v>
      </c>
      <c r="CL34" s="139">
        <f t="shared" si="37"/>
        <v>0</v>
      </c>
      <c r="CM34" s="166">
        <v>0</v>
      </c>
      <c r="CN34" s="166">
        <v>0</v>
      </c>
      <c r="CO34" s="166">
        <v>0</v>
      </c>
      <c r="CP34" s="166">
        <v>0</v>
      </c>
      <c r="CQ34" s="139">
        <f t="shared" si="38"/>
        <v>0</v>
      </c>
      <c r="CR34" s="724">
        <v>0</v>
      </c>
      <c r="CS34" s="724">
        <v>0</v>
      </c>
      <c r="CT34" s="724">
        <v>0</v>
      </c>
      <c r="CU34" s="724">
        <v>0</v>
      </c>
      <c r="CV34" s="139">
        <f t="shared" si="39"/>
        <v>0</v>
      </c>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c r="IR34" s="85"/>
      <c r="IS34" s="85"/>
      <c r="IT34" s="85"/>
      <c r="IU34" s="85"/>
      <c r="IV34" s="85"/>
    </row>
    <row r="35" spans="1:256" s="27" customFormat="1" ht="12" customHeight="1" x14ac:dyDescent="0.25">
      <c r="A35" s="122"/>
      <c r="B35" s="122"/>
      <c r="C35" s="122"/>
      <c r="D35" s="122"/>
      <c r="E35" s="27" t="s">
        <v>110</v>
      </c>
      <c r="F35" s="140"/>
      <c r="G35" s="140"/>
      <c r="H35" s="140"/>
      <c r="I35" s="140"/>
      <c r="J35" s="140"/>
      <c r="K35" s="124"/>
      <c r="L35" s="124"/>
      <c r="M35" s="124"/>
      <c r="N35" s="124"/>
      <c r="O35" s="139"/>
      <c r="P35" s="124"/>
      <c r="Q35" s="124"/>
      <c r="R35" s="124"/>
      <c r="S35" s="124"/>
      <c r="T35" s="140">
        <v>0</v>
      </c>
      <c r="U35" s="124"/>
      <c r="V35" s="124"/>
      <c r="W35" s="124"/>
      <c r="X35" s="124"/>
      <c r="Y35" s="140">
        <v>0</v>
      </c>
      <c r="Z35" s="124"/>
      <c r="AA35" s="124"/>
      <c r="AB35" s="124"/>
      <c r="AC35" s="124"/>
      <c r="AD35" s="140">
        <v>0</v>
      </c>
      <c r="AE35" s="124">
        <v>0</v>
      </c>
      <c r="AF35" s="124">
        <v>0</v>
      </c>
      <c r="AG35" s="124">
        <v>0</v>
      </c>
      <c r="AH35" s="124">
        <v>0</v>
      </c>
      <c r="AI35" s="139">
        <f t="shared" si="26"/>
        <v>0</v>
      </c>
      <c r="AJ35" s="124">
        <v>0</v>
      </c>
      <c r="AK35" s="124">
        <v>0</v>
      </c>
      <c r="AL35" s="124">
        <v>0</v>
      </c>
      <c r="AM35" s="124">
        <v>0</v>
      </c>
      <c r="AN35" s="139">
        <f t="shared" si="27"/>
        <v>0</v>
      </c>
      <c r="AO35" s="124">
        <v>0</v>
      </c>
      <c r="AP35" s="124">
        <v>0</v>
      </c>
      <c r="AQ35" s="124">
        <v>0</v>
      </c>
      <c r="AR35" s="124">
        <v>0</v>
      </c>
      <c r="AS35" s="139">
        <f t="shared" si="28"/>
        <v>0</v>
      </c>
      <c r="AT35" s="124">
        <v>0</v>
      </c>
      <c r="AU35" s="124">
        <v>0</v>
      </c>
      <c r="AV35" s="124">
        <v>0</v>
      </c>
      <c r="AW35" s="124">
        <v>0</v>
      </c>
      <c r="AX35" s="139">
        <f t="shared" si="29"/>
        <v>0</v>
      </c>
      <c r="AY35" s="124">
        <v>0</v>
      </c>
      <c r="AZ35" s="124">
        <v>0</v>
      </c>
      <c r="BA35" s="124">
        <v>0</v>
      </c>
      <c r="BB35" s="124">
        <v>0</v>
      </c>
      <c r="BC35" s="139">
        <f t="shared" si="30"/>
        <v>0</v>
      </c>
      <c r="BD35" s="124">
        <v>0</v>
      </c>
      <c r="BE35" s="124">
        <v>0</v>
      </c>
      <c r="BF35" s="124">
        <v>0</v>
      </c>
      <c r="BG35" s="124">
        <v>0</v>
      </c>
      <c r="BH35" s="139">
        <f t="shared" si="31"/>
        <v>0</v>
      </c>
      <c r="BI35" s="124">
        <v>0</v>
      </c>
      <c r="BJ35" s="124">
        <v>0</v>
      </c>
      <c r="BK35" s="124">
        <v>0</v>
      </c>
      <c r="BL35" s="124">
        <v>0</v>
      </c>
      <c r="BM35" s="139">
        <f t="shared" si="32"/>
        <v>0</v>
      </c>
      <c r="BN35" s="124">
        <v>0</v>
      </c>
      <c r="BO35" s="124">
        <v>0</v>
      </c>
      <c r="BP35" s="124">
        <v>0</v>
      </c>
      <c r="BQ35" s="124">
        <v>0</v>
      </c>
      <c r="BR35" s="139">
        <f t="shared" si="33"/>
        <v>0</v>
      </c>
      <c r="BS35" s="124">
        <v>0</v>
      </c>
      <c r="BT35" s="124">
        <v>0</v>
      </c>
      <c r="BU35" s="124">
        <v>0</v>
      </c>
      <c r="BV35" s="124">
        <v>0</v>
      </c>
      <c r="BW35" s="139">
        <f t="shared" si="34"/>
        <v>0</v>
      </c>
      <c r="BX35" s="124">
        <v>0</v>
      </c>
      <c r="BY35" s="124">
        <v>0</v>
      </c>
      <c r="BZ35" s="124">
        <v>0</v>
      </c>
      <c r="CA35" s="124">
        <v>0</v>
      </c>
      <c r="CB35" s="139">
        <f t="shared" si="35"/>
        <v>0</v>
      </c>
      <c r="CC35" s="124">
        <v>0</v>
      </c>
      <c r="CD35" s="124">
        <v>0</v>
      </c>
      <c r="CE35" s="799">
        <v>0</v>
      </c>
      <c r="CF35" s="799">
        <v>0</v>
      </c>
      <c r="CG35" s="139">
        <f t="shared" si="36"/>
        <v>0</v>
      </c>
      <c r="CH35" s="124">
        <v>0</v>
      </c>
      <c r="CI35" s="124">
        <v>0</v>
      </c>
      <c r="CJ35" s="166">
        <v>0</v>
      </c>
      <c r="CK35" s="166">
        <v>0</v>
      </c>
      <c r="CL35" s="139">
        <f t="shared" si="37"/>
        <v>0</v>
      </c>
      <c r="CM35" s="166">
        <v>0</v>
      </c>
      <c r="CN35" s="166">
        <v>0</v>
      </c>
      <c r="CO35" s="166">
        <v>0</v>
      </c>
      <c r="CP35" s="166">
        <v>0</v>
      </c>
      <c r="CQ35" s="139">
        <f t="shared" si="38"/>
        <v>0</v>
      </c>
      <c r="CR35" s="724">
        <v>0</v>
      </c>
      <c r="CS35" s="724">
        <v>0</v>
      </c>
      <c r="CT35" s="724">
        <v>0</v>
      </c>
      <c r="CU35" s="724">
        <v>0</v>
      </c>
      <c r="CV35" s="139">
        <f t="shared" si="39"/>
        <v>0</v>
      </c>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c r="IR35" s="85"/>
      <c r="IS35" s="85"/>
      <c r="IT35" s="85"/>
      <c r="IU35" s="85"/>
      <c r="IV35" s="85"/>
    </row>
    <row r="36" spans="1:256" s="27" customFormat="1" ht="12" customHeight="1" x14ac:dyDescent="0.25">
      <c r="A36" s="122"/>
      <c r="B36" s="122"/>
      <c r="C36" s="122"/>
      <c r="D36" s="122"/>
      <c r="E36" s="27" t="s">
        <v>345</v>
      </c>
      <c r="F36" s="140"/>
      <c r="G36" s="140"/>
      <c r="H36" s="140"/>
      <c r="I36" s="140"/>
      <c r="J36" s="140"/>
      <c r="K36" s="124"/>
      <c r="L36" s="124"/>
      <c r="M36" s="124"/>
      <c r="N36" s="124"/>
      <c r="O36" s="139"/>
      <c r="P36" s="124"/>
      <c r="Q36" s="124"/>
      <c r="R36" s="124"/>
      <c r="S36" s="124"/>
      <c r="T36" s="140">
        <v>0</v>
      </c>
      <c r="U36" s="124"/>
      <c r="V36" s="124"/>
      <c r="W36" s="124"/>
      <c r="X36" s="124"/>
      <c r="Y36" s="140">
        <v>0</v>
      </c>
      <c r="Z36" s="124"/>
      <c r="AA36" s="124"/>
      <c r="AB36" s="124"/>
      <c r="AC36" s="124"/>
      <c r="AD36" s="140">
        <v>4.1420000000000003</v>
      </c>
      <c r="AE36" s="124">
        <v>5.6239999999999997</v>
      </c>
      <c r="AF36" s="124">
        <v>0</v>
      </c>
      <c r="AG36" s="124">
        <v>0</v>
      </c>
      <c r="AH36" s="124">
        <v>-0.48</v>
      </c>
      <c r="AI36" s="139">
        <f t="shared" si="26"/>
        <v>5.1440000000000001</v>
      </c>
      <c r="AJ36" s="124">
        <v>0.06</v>
      </c>
      <c r="AK36" s="124">
        <v>0</v>
      </c>
      <c r="AL36" s="124">
        <v>0</v>
      </c>
      <c r="AM36" s="124">
        <v>-8.1000000000000003E-2</v>
      </c>
      <c r="AN36" s="139">
        <f t="shared" si="27"/>
        <v>-2.1000000000000005E-2</v>
      </c>
      <c r="AO36" s="124">
        <v>0</v>
      </c>
      <c r="AP36" s="124">
        <v>0</v>
      </c>
      <c r="AQ36" s="124">
        <v>0</v>
      </c>
      <c r="AR36" s="124">
        <v>-0.68300000000000005</v>
      </c>
      <c r="AS36" s="139">
        <f t="shared" si="28"/>
        <v>-0.68300000000000005</v>
      </c>
      <c r="AT36" s="124">
        <v>0</v>
      </c>
      <c r="AU36" s="124">
        <v>0</v>
      </c>
      <c r="AV36" s="124">
        <v>0</v>
      </c>
      <c r="AW36" s="124">
        <v>-0.316</v>
      </c>
      <c r="AX36" s="139">
        <f t="shared" si="29"/>
        <v>-0.316</v>
      </c>
      <c r="AY36" s="124">
        <v>0</v>
      </c>
      <c r="AZ36" s="124">
        <v>0</v>
      </c>
      <c r="BA36" s="124">
        <v>0</v>
      </c>
      <c r="BB36" s="124">
        <v>-1.31</v>
      </c>
      <c r="BC36" s="139">
        <f t="shared" si="30"/>
        <v>-1.31</v>
      </c>
      <c r="BD36" s="124">
        <v>0</v>
      </c>
      <c r="BE36" s="124">
        <v>0</v>
      </c>
      <c r="BF36" s="124">
        <v>0</v>
      </c>
      <c r="BG36" s="124">
        <v>0.35699999999999998</v>
      </c>
      <c r="BH36" s="139">
        <f t="shared" si="31"/>
        <v>0.35699999999999998</v>
      </c>
      <c r="BI36" s="124">
        <v>0</v>
      </c>
      <c r="BJ36" s="124">
        <v>0</v>
      </c>
      <c r="BK36" s="124">
        <v>0</v>
      </c>
      <c r="BL36" s="124">
        <v>11.295</v>
      </c>
      <c r="BM36" s="139">
        <f t="shared" si="32"/>
        <v>11.295</v>
      </c>
      <c r="BN36" s="124">
        <v>-0.67400000000000004</v>
      </c>
      <c r="BO36" s="124">
        <v>0</v>
      </c>
      <c r="BP36" s="124">
        <v>0</v>
      </c>
      <c r="BQ36" s="124">
        <v>4.6449999999999996</v>
      </c>
      <c r="BR36" s="139">
        <f t="shared" si="33"/>
        <v>3.9709999999999996</v>
      </c>
      <c r="BS36" s="124">
        <v>-7.6999999999999999E-2</v>
      </c>
      <c r="BT36" s="124">
        <v>-0.47499999999999998</v>
      </c>
      <c r="BU36" s="124">
        <v>2.5739999999999998</v>
      </c>
      <c r="BV36" s="124">
        <v>1.5289999999999999</v>
      </c>
      <c r="BW36" s="139">
        <f t="shared" si="34"/>
        <v>3.5509999999999997</v>
      </c>
      <c r="BX36" s="124">
        <v>0.51400000000000001</v>
      </c>
      <c r="BY36" s="124">
        <v>0.90100000000000002</v>
      </c>
      <c r="BZ36" s="124">
        <v>0</v>
      </c>
      <c r="CA36" s="124">
        <v>0</v>
      </c>
      <c r="CB36" s="139">
        <f t="shared" si="35"/>
        <v>1.415</v>
      </c>
      <c r="CC36" s="124">
        <v>0</v>
      </c>
      <c r="CD36" s="124">
        <v>0</v>
      </c>
      <c r="CE36" s="799">
        <v>0</v>
      </c>
      <c r="CF36" s="799">
        <v>0</v>
      </c>
      <c r="CG36" s="139">
        <f t="shared" si="36"/>
        <v>0</v>
      </c>
      <c r="CH36" s="124">
        <v>0</v>
      </c>
      <c r="CI36" s="124">
        <v>0</v>
      </c>
      <c r="CJ36" s="166">
        <v>0</v>
      </c>
      <c r="CK36" s="166">
        <v>0</v>
      </c>
      <c r="CL36" s="139">
        <f t="shared" si="37"/>
        <v>0</v>
      </c>
      <c r="CM36" s="166">
        <v>0</v>
      </c>
      <c r="CN36" s="166">
        <v>0</v>
      </c>
      <c r="CO36" s="166">
        <v>0</v>
      </c>
      <c r="CP36" s="166">
        <v>0</v>
      </c>
      <c r="CQ36" s="139">
        <f t="shared" si="38"/>
        <v>0</v>
      </c>
      <c r="CR36" s="724">
        <v>0</v>
      </c>
      <c r="CS36" s="724">
        <v>0</v>
      </c>
      <c r="CT36" s="724">
        <v>0</v>
      </c>
      <c r="CU36" s="724">
        <v>0</v>
      </c>
      <c r="CV36" s="139">
        <f t="shared" si="39"/>
        <v>0</v>
      </c>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c r="IR36" s="85"/>
      <c r="IS36" s="85"/>
      <c r="IT36" s="85"/>
      <c r="IU36" s="85"/>
      <c r="IV36" s="85"/>
    </row>
    <row r="37" spans="1:256" s="27" customFormat="1" ht="12" customHeight="1" x14ac:dyDescent="0.25">
      <c r="A37" s="122"/>
      <c r="B37" s="122"/>
      <c r="C37" s="122"/>
      <c r="D37" s="122"/>
      <c r="E37" s="27" t="s">
        <v>140</v>
      </c>
      <c r="F37" s="140"/>
      <c r="G37" s="140"/>
      <c r="H37" s="140"/>
      <c r="I37" s="140"/>
      <c r="J37" s="140"/>
      <c r="K37" s="124"/>
      <c r="L37" s="124"/>
      <c r="M37" s="124"/>
      <c r="N37" s="124"/>
      <c r="O37" s="139"/>
      <c r="P37" s="124"/>
      <c r="Q37" s="124"/>
      <c r="R37" s="124"/>
      <c r="S37" s="124"/>
      <c r="T37" s="140">
        <v>-14.648999999999999</v>
      </c>
      <c r="U37" s="124"/>
      <c r="V37" s="124"/>
      <c r="W37" s="124"/>
      <c r="X37" s="124"/>
      <c r="Y37" s="140">
        <v>-17.405999999999999</v>
      </c>
      <c r="Z37" s="124"/>
      <c r="AA37" s="124"/>
      <c r="AB37" s="124"/>
      <c r="AC37" s="124"/>
      <c r="AD37" s="140">
        <v>-18.173999999999999</v>
      </c>
      <c r="AE37" s="124">
        <v>0</v>
      </c>
      <c r="AF37" s="124">
        <v>0</v>
      </c>
      <c r="AG37" s="124">
        <v>-4.8499999999999996</v>
      </c>
      <c r="AH37" s="124">
        <v>-4.6260000000000003</v>
      </c>
      <c r="AI37" s="139">
        <f t="shared" si="26"/>
        <v>-9.4759999999999991</v>
      </c>
      <c r="AJ37" s="124">
        <v>-4.649</v>
      </c>
      <c r="AK37" s="124">
        <v>-4.6619999999999999</v>
      </c>
      <c r="AL37" s="124">
        <v>0</v>
      </c>
      <c r="AM37" s="124">
        <v>0</v>
      </c>
      <c r="AN37" s="139">
        <f t="shared" si="27"/>
        <v>-9.3109999999999999</v>
      </c>
      <c r="AO37" s="124">
        <v>0</v>
      </c>
      <c r="AP37" s="124">
        <v>0</v>
      </c>
      <c r="AQ37" s="124">
        <v>0</v>
      </c>
      <c r="AR37" s="124">
        <v>0</v>
      </c>
      <c r="AS37" s="139">
        <f t="shared" si="28"/>
        <v>0</v>
      </c>
      <c r="AT37" s="124">
        <v>0</v>
      </c>
      <c r="AU37" s="124">
        <v>0</v>
      </c>
      <c r="AV37" s="124">
        <v>0</v>
      </c>
      <c r="AW37" s="124">
        <v>0</v>
      </c>
      <c r="AX37" s="139">
        <f t="shared" si="29"/>
        <v>0</v>
      </c>
      <c r="AY37" s="124">
        <v>0</v>
      </c>
      <c r="AZ37" s="124">
        <v>0</v>
      </c>
      <c r="BA37" s="124">
        <v>0</v>
      </c>
      <c r="BB37" s="124">
        <v>0</v>
      </c>
      <c r="BC37" s="139">
        <f t="shared" si="30"/>
        <v>0</v>
      </c>
      <c r="BD37" s="124">
        <v>0</v>
      </c>
      <c r="BE37" s="124">
        <v>0</v>
      </c>
      <c r="BF37" s="124">
        <v>0</v>
      </c>
      <c r="BG37" s="124">
        <v>0</v>
      </c>
      <c r="BH37" s="139">
        <f t="shared" si="31"/>
        <v>0</v>
      </c>
      <c r="BI37" s="124">
        <v>0</v>
      </c>
      <c r="BJ37" s="124">
        <v>0</v>
      </c>
      <c r="BK37" s="124">
        <v>0</v>
      </c>
      <c r="BL37" s="124">
        <v>0</v>
      </c>
      <c r="BM37" s="139">
        <f t="shared" si="32"/>
        <v>0</v>
      </c>
      <c r="BN37" s="124">
        <v>0</v>
      </c>
      <c r="BO37" s="124">
        <v>0</v>
      </c>
      <c r="BP37" s="124">
        <v>0</v>
      </c>
      <c r="BQ37" s="124">
        <v>0</v>
      </c>
      <c r="BR37" s="139">
        <f t="shared" si="33"/>
        <v>0</v>
      </c>
      <c r="BS37" s="124">
        <v>0</v>
      </c>
      <c r="BT37" s="124">
        <v>0</v>
      </c>
      <c r="BU37" s="124">
        <v>0</v>
      </c>
      <c r="BV37" s="124">
        <v>0</v>
      </c>
      <c r="BW37" s="139">
        <f>SUM(BS37:BV37)</f>
        <v>0</v>
      </c>
      <c r="BX37" s="124">
        <v>0</v>
      </c>
      <c r="BY37" s="124">
        <v>0</v>
      </c>
      <c r="BZ37" s="124">
        <v>0</v>
      </c>
      <c r="CA37" s="124">
        <v>0</v>
      </c>
      <c r="CB37" s="139">
        <f t="shared" si="35"/>
        <v>0</v>
      </c>
      <c r="CC37" s="124">
        <v>0</v>
      </c>
      <c r="CD37" s="124">
        <v>0</v>
      </c>
      <c r="CE37" s="799">
        <v>0</v>
      </c>
      <c r="CF37" s="799">
        <v>0</v>
      </c>
      <c r="CG37" s="139">
        <f t="shared" si="36"/>
        <v>0</v>
      </c>
      <c r="CH37" s="124">
        <v>0</v>
      </c>
      <c r="CI37" s="124">
        <v>0</v>
      </c>
      <c r="CJ37" s="27">
        <f>Income!CJ166*Income!CJ85</f>
        <v>0</v>
      </c>
      <c r="CK37" s="27">
        <f>Income!CK166*Income!CK85</f>
        <v>0</v>
      </c>
      <c r="CL37" s="139">
        <f t="shared" si="37"/>
        <v>0</v>
      </c>
      <c r="CM37" s="27">
        <f>Income!CM166*Income!CM85</f>
        <v>0</v>
      </c>
      <c r="CN37" s="27">
        <f>Income!CN166*Income!CN85</f>
        <v>0</v>
      </c>
      <c r="CO37" s="27">
        <f>Income!CO166*Income!CO85</f>
        <v>0</v>
      </c>
      <c r="CP37" s="27">
        <f>Income!CP166*Income!CP85</f>
        <v>0</v>
      </c>
      <c r="CQ37" s="139">
        <f t="shared" si="38"/>
        <v>0</v>
      </c>
      <c r="CR37" s="27">
        <f>Income!CR166*Income!CR85</f>
        <v>0</v>
      </c>
      <c r="CS37" s="27">
        <f>Income!CS166*Income!CS85</f>
        <v>0</v>
      </c>
      <c r="CT37" s="27">
        <f>Income!CT166*Income!CT85</f>
        <v>0</v>
      </c>
      <c r="CU37" s="27">
        <f>Income!CU166*Income!CU85</f>
        <v>0</v>
      </c>
      <c r="CV37" s="139">
        <f t="shared" si="39"/>
        <v>0</v>
      </c>
      <c r="CW37" s="85"/>
      <c r="CX37" s="85"/>
      <c r="CY37" s="85"/>
      <c r="CZ37" s="85"/>
      <c r="DA37" s="85"/>
      <c r="DB37" s="85"/>
      <c r="DC37" s="85"/>
      <c r="DD37" s="85"/>
      <c r="DE37" s="85"/>
      <c r="DF37" s="85"/>
      <c r="DG37" s="85"/>
      <c r="DH37" s="85"/>
      <c r="DI37" s="85"/>
      <c r="DJ37" s="85"/>
      <c r="DK37" s="85"/>
      <c r="DL37" s="85"/>
      <c r="DM37" s="85"/>
      <c r="DN37" s="85"/>
      <c r="DO37" s="85"/>
      <c r="DP37" s="85"/>
      <c r="DQ37" s="85"/>
      <c r="DR37" s="85"/>
      <c r="DS37" s="85"/>
      <c r="DT37" s="85"/>
      <c r="DU37" s="85"/>
      <c r="DV37" s="85"/>
      <c r="DW37" s="85"/>
      <c r="DX37" s="85"/>
      <c r="DY37" s="85"/>
      <c r="DZ37" s="85"/>
      <c r="EA37" s="85"/>
      <c r="EB37" s="85"/>
      <c r="EC37" s="85"/>
      <c r="ED37" s="85"/>
      <c r="EE37" s="85"/>
      <c r="EF37" s="85"/>
      <c r="EG37" s="85"/>
      <c r="EH37" s="85"/>
      <c r="EI37" s="85"/>
      <c r="EJ37" s="85"/>
      <c r="EK37" s="85"/>
      <c r="EL37" s="85"/>
      <c r="EM37" s="85"/>
      <c r="EN37" s="85"/>
      <c r="EO37" s="85"/>
      <c r="EP37" s="85"/>
      <c r="EQ37" s="85"/>
      <c r="ER37" s="85"/>
      <c r="ES37" s="85"/>
      <c r="ET37" s="85"/>
      <c r="EU37" s="85"/>
      <c r="EV37" s="85"/>
      <c r="EW37" s="85"/>
      <c r="EX37" s="85"/>
      <c r="EY37" s="85"/>
      <c r="EZ37" s="85"/>
      <c r="FA37" s="85"/>
      <c r="FB37" s="85"/>
      <c r="FC37" s="85"/>
      <c r="FD37" s="85"/>
      <c r="FE37" s="85"/>
      <c r="FF37" s="85"/>
      <c r="FG37" s="85"/>
      <c r="FH37" s="85"/>
      <c r="FI37" s="85"/>
      <c r="FJ37" s="85"/>
      <c r="FK37" s="85"/>
      <c r="FL37" s="85"/>
      <c r="FM37" s="85"/>
      <c r="FN37" s="85"/>
      <c r="FO37" s="85"/>
      <c r="FP37" s="85"/>
      <c r="FQ37" s="85"/>
      <c r="FR37" s="85"/>
      <c r="FS37" s="85"/>
      <c r="FT37" s="85"/>
      <c r="FU37" s="85"/>
      <c r="FV37" s="85"/>
      <c r="FW37" s="85"/>
      <c r="FX37" s="85"/>
      <c r="FY37" s="85"/>
      <c r="FZ37" s="85"/>
      <c r="GA37" s="85"/>
      <c r="GB37" s="85"/>
      <c r="GC37" s="85"/>
      <c r="GD37" s="85"/>
      <c r="GE37" s="85"/>
      <c r="GF37" s="85"/>
      <c r="GG37" s="85"/>
      <c r="GH37" s="85"/>
      <c r="GI37" s="85"/>
      <c r="GJ37" s="85"/>
      <c r="GK37" s="85"/>
      <c r="GL37" s="85"/>
      <c r="GM37" s="85"/>
      <c r="GN37" s="85"/>
      <c r="GO37" s="85"/>
      <c r="GP37" s="85"/>
      <c r="GQ37" s="85"/>
      <c r="GR37" s="85"/>
      <c r="GS37" s="85"/>
      <c r="GT37" s="85"/>
      <c r="GU37" s="85"/>
      <c r="GV37" s="85"/>
      <c r="GW37" s="85"/>
      <c r="GX37" s="85"/>
      <c r="GY37" s="85"/>
      <c r="GZ37" s="85"/>
      <c r="HA37" s="85"/>
      <c r="HB37" s="85"/>
      <c r="HC37" s="85"/>
      <c r="HD37" s="85"/>
      <c r="HE37" s="85"/>
      <c r="HF37" s="85"/>
      <c r="HG37" s="85"/>
      <c r="HH37" s="85"/>
      <c r="HI37" s="85"/>
      <c r="HJ37" s="85"/>
      <c r="HK37" s="85"/>
      <c r="HL37" s="85"/>
      <c r="HM37" s="85"/>
      <c r="HN37" s="85"/>
      <c r="HO37" s="85"/>
      <c r="HP37" s="85"/>
      <c r="HQ37" s="85"/>
      <c r="HR37" s="85"/>
      <c r="HS37" s="85"/>
      <c r="HT37" s="85"/>
      <c r="HU37" s="85"/>
      <c r="HV37" s="85"/>
      <c r="HW37" s="85"/>
      <c r="HX37" s="85"/>
      <c r="HY37" s="85"/>
      <c r="HZ37" s="85"/>
      <c r="IA37" s="85"/>
      <c r="IB37" s="85"/>
      <c r="IC37" s="85"/>
      <c r="ID37" s="85"/>
      <c r="IE37" s="85"/>
      <c r="IF37" s="85"/>
      <c r="IG37" s="85"/>
      <c r="IH37" s="85"/>
      <c r="II37" s="85"/>
      <c r="IJ37" s="85"/>
      <c r="IK37" s="85"/>
      <c r="IL37" s="85"/>
      <c r="IM37" s="85"/>
      <c r="IN37" s="85"/>
      <c r="IO37" s="85"/>
      <c r="IP37" s="85"/>
      <c r="IQ37" s="85"/>
      <c r="IR37" s="85"/>
      <c r="IS37" s="85"/>
      <c r="IT37" s="85"/>
      <c r="IU37" s="85"/>
      <c r="IV37" s="85"/>
    </row>
    <row r="38" spans="1:256" s="29" customFormat="1" ht="12" customHeight="1" x14ac:dyDescent="0.25">
      <c r="A38" s="129"/>
      <c r="B38" s="129"/>
      <c r="C38" s="129"/>
      <c r="D38" s="129"/>
      <c r="E38" s="29" t="s">
        <v>62</v>
      </c>
      <c r="F38" s="141"/>
      <c r="G38" s="141"/>
      <c r="H38" s="141"/>
      <c r="I38" s="141"/>
      <c r="J38" s="141"/>
      <c r="K38" s="125"/>
      <c r="L38" s="125"/>
      <c r="M38" s="125"/>
      <c r="N38" s="125"/>
      <c r="O38" s="149"/>
      <c r="P38" s="125"/>
      <c r="Q38" s="125"/>
      <c r="R38" s="125"/>
      <c r="S38" s="125"/>
      <c r="T38" s="141">
        <f>-129.636-SUM(T33:T37)</f>
        <v>-19.774999999999977</v>
      </c>
      <c r="U38" s="125"/>
      <c r="V38" s="125"/>
      <c r="W38" s="125"/>
      <c r="X38" s="125"/>
      <c r="Y38" s="141">
        <f>-61.812-SUM(Y33:Y37)</f>
        <v>-175.15600000000001</v>
      </c>
      <c r="Z38" s="125"/>
      <c r="AA38" s="125"/>
      <c r="AB38" s="125"/>
      <c r="AC38" s="125"/>
      <c r="AD38" s="141">
        <f>-101.783-SUM(AD33:AD37)</f>
        <v>-265.83699999999993</v>
      </c>
      <c r="AE38" s="125">
        <f>12.288-SUM(AE33:AE37)</f>
        <v>37.948</v>
      </c>
      <c r="AF38" s="125">
        <f>-20.721-SUM(AF33:AF37)</f>
        <v>6.625</v>
      </c>
      <c r="AG38" s="125">
        <f>-97.059-SUM(AG33:AG37)</f>
        <v>-42.828999999999994</v>
      </c>
      <c r="AH38" s="125">
        <f>-57.651-SUM(AH33:AH37)</f>
        <v>-1.8560000000000088</v>
      </c>
      <c r="AI38" s="149">
        <f t="shared" si="26"/>
        <v>-0.11200000000000188</v>
      </c>
      <c r="AJ38" s="125">
        <f>-24.62-SUM(AJ33:AJ37)</f>
        <v>3.2729999999999997</v>
      </c>
      <c r="AK38" s="125">
        <f>-38.163-SUM(AK33:AK37)</f>
        <v>2.6960000000000051</v>
      </c>
      <c r="AL38" s="125">
        <f>-12.401-SUM(AL33:AL37)</f>
        <v>1.7919999999999998</v>
      </c>
      <c r="AM38" s="125">
        <f>-11.756-SUM(AM33:AM37)</f>
        <v>1.4009999999999998</v>
      </c>
      <c r="AN38" s="149">
        <f t="shared" si="27"/>
        <v>9.1620000000000044</v>
      </c>
      <c r="AO38" s="125">
        <f>-11.604-SUM(AO33:AO37)</f>
        <v>2.120000000000001</v>
      </c>
      <c r="AP38" s="125">
        <f>-41.166-SUM(AP33:AP37)</f>
        <v>0.23600000000000421</v>
      </c>
      <c r="AQ38" s="125">
        <f>-21.071-SUM(AQ33:AQ37)</f>
        <v>0.80799999999999628</v>
      </c>
      <c r="AR38" s="125">
        <f>-29.851-SUM(AR33:AR37)</f>
        <v>2.9110000000000014</v>
      </c>
      <c r="AS38" s="149">
        <f t="shared" si="28"/>
        <v>6.0750000000000028</v>
      </c>
      <c r="AT38" s="125">
        <f>-5.163-SUM(AT33:AT37)</f>
        <v>3.8010000000000002</v>
      </c>
      <c r="AU38" s="125">
        <f>-26.451-SUM(AU33:AU37)</f>
        <v>1.152000000000001</v>
      </c>
      <c r="AV38" s="125">
        <f>-38.672-SUM(AV33:AV37)</f>
        <v>2.8500000000000014</v>
      </c>
      <c r="AW38" s="125">
        <f>-22.331-SUM(AW33:AW37)</f>
        <v>1.9969999999999999</v>
      </c>
      <c r="AX38" s="149">
        <f t="shared" si="29"/>
        <v>9.8000000000000025</v>
      </c>
      <c r="AY38" s="125">
        <f>-32.599-SUM(AY33:AY37)</f>
        <v>-0.28699999999999903</v>
      </c>
      <c r="AZ38" s="125">
        <f>-112.784-SUM(AZ33:AZ37)</f>
        <v>-31.321000000000012</v>
      </c>
      <c r="BA38" s="125">
        <f>-36.22-SUM(BA33:BA37)</f>
        <v>-4.2270000000000003</v>
      </c>
      <c r="BB38" s="125">
        <f>-28.239-SUM(BB33:BB37)</f>
        <v>-17.820999999999998</v>
      </c>
      <c r="BC38" s="149">
        <f t="shared" si="30"/>
        <v>-53.656000000000006</v>
      </c>
      <c r="BD38" s="125">
        <f>-38.479-SUM(BD33:BD37)</f>
        <v>-31.622999999999998</v>
      </c>
      <c r="BE38" s="125">
        <f>-16.711-SUM(BE33:BE37)</f>
        <v>-10.028999999999998</v>
      </c>
      <c r="BF38" s="125">
        <f>-22.38-SUM(BF33:BF37)</f>
        <v>-16.128</v>
      </c>
      <c r="BG38" s="125">
        <f>-11.653-SUM(BG33:BG37)</f>
        <v>-4.9290000000000003</v>
      </c>
      <c r="BH38" s="149">
        <f t="shared" si="31"/>
        <v>-62.708999999999996</v>
      </c>
      <c r="BI38" s="125">
        <f>-15.274-SUM(BI33:BI37)</f>
        <v>-10.384</v>
      </c>
      <c r="BJ38" s="125">
        <f>-14.237-SUM(BJ33:BJ37)</f>
        <v>-9.8940000000000001</v>
      </c>
      <c r="BK38" s="125">
        <f>110.817-SUM(BK33:BK37)</f>
        <v>36.120999999999995</v>
      </c>
      <c r="BL38" s="125">
        <f>16.951-SUM(BL33:BL37)</f>
        <v>11.384</v>
      </c>
      <c r="BM38" s="149">
        <f t="shared" si="32"/>
        <v>27.226999999999997</v>
      </c>
      <c r="BN38" s="125">
        <f>-6.176-SUM(BN33:BN37)</f>
        <v>0</v>
      </c>
      <c r="BO38" s="125">
        <f>-17.037-SUM(BO33:BO37)</f>
        <v>-11.680999999999999</v>
      </c>
      <c r="BP38" s="125">
        <f>-7.277-SUM(BP33:BP37)</f>
        <v>1.6800000000000006</v>
      </c>
      <c r="BQ38" s="125">
        <f>1.885-SUM(BQ33:BQ37)</f>
        <v>5.8460000000000001</v>
      </c>
      <c r="BR38" s="149">
        <f t="shared" si="33"/>
        <v>-4.1549999999999976</v>
      </c>
      <c r="BS38" s="125">
        <f>-21.058-SUM(BS33:BS37)</f>
        <v>-12.882</v>
      </c>
      <c r="BT38" s="125">
        <f>-73.791-SUM(BT33:BT37)</f>
        <v>-10.276999999999994</v>
      </c>
      <c r="BU38" s="125">
        <f>-13.504-SUM(BU33:BU37)</f>
        <v>-8.0329999999999995</v>
      </c>
      <c r="BV38" s="125">
        <f>-17.674-SUM(BV33:BV37)</f>
        <v>-11.154999999999999</v>
      </c>
      <c r="BW38" s="149">
        <f t="shared" si="34"/>
        <v>-42.346999999999994</v>
      </c>
      <c r="BX38" s="125">
        <f>-24.772-SUM(BX33:BX37)</f>
        <v>-17.232999999999997</v>
      </c>
      <c r="BY38" s="125">
        <f>-13.166-SUM(BY33:BY37)</f>
        <v>-6.0090000000000003</v>
      </c>
      <c r="BZ38" s="125">
        <f>64.678-SUM(BZ33:BZ37)</f>
        <v>2.7399999999999949</v>
      </c>
      <c r="CA38" s="125">
        <f>25.776-SUM(CA33:CA37)-BZ40-BY40-BX40</f>
        <v>7.1060000000000052</v>
      </c>
      <c r="CB38" s="149">
        <f>SUM(BX38:CA38)</f>
        <v>-13.395999999999997</v>
      </c>
      <c r="CC38" s="125">
        <f>-16.232-SUM(CC33:CC37)-CD40</f>
        <v>-6.5399999999999938</v>
      </c>
      <c r="CD38" s="125">
        <f>-14.12-SUM(CD33:CD37)</f>
        <v>-13.542</v>
      </c>
      <c r="CE38" s="800">
        <f>-3-SUM(CE33:CE37)</f>
        <v>-3</v>
      </c>
      <c r="CF38" s="800">
        <f>-3-SUM(CF33:CF37)</f>
        <v>-3</v>
      </c>
      <c r="CG38" s="149">
        <f t="shared" si="36"/>
        <v>-26.081999999999994</v>
      </c>
      <c r="CH38" s="125">
        <f>-55.862-SUM(CH33:CH37)-CI40</f>
        <v>-51.994</v>
      </c>
      <c r="CI38" s="125">
        <f>-3.276-SUM(CI33:CI37)</f>
        <v>-0.57499999999999973</v>
      </c>
      <c r="CJ38" s="172">
        <v>-500</v>
      </c>
      <c r="CK38" s="172">
        <v>-85</v>
      </c>
      <c r="CL38" s="149">
        <f t="shared" si="37"/>
        <v>-637.56899999999996</v>
      </c>
      <c r="CM38" s="172">
        <v>-85</v>
      </c>
      <c r="CN38" s="172">
        <v>-85</v>
      </c>
      <c r="CO38" s="172">
        <v>-75</v>
      </c>
      <c r="CP38" s="172">
        <v>-70</v>
      </c>
      <c r="CQ38" s="149">
        <f>SUM(CM38:CP38)</f>
        <v>-315</v>
      </c>
      <c r="CR38" s="172">
        <v>-25</v>
      </c>
      <c r="CS38" s="172">
        <v>-25</v>
      </c>
      <c r="CT38" s="172">
        <v>-25</v>
      </c>
      <c r="CU38" s="172">
        <v>-25</v>
      </c>
      <c r="CV38" s="149">
        <f>SUM(CR38:CU38)</f>
        <v>-100</v>
      </c>
      <c r="CW38" s="86"/>
      <c r="CX38" s="86"/>
      <c r="CY38" s="86"/>
      <c r="CZ38" s="86"/>
      <c r="DA38" s="86"/>
      <c r="DB38" s="86"/>
      <c r="DC38" s="86"/>
      <c r="DD38" s="86"/>
      <c r="DE38" s="86"/>
      <c r="DF38" s="86"/>
      <c r="DG38" s="86"/>
      <c r="DH38" s="86"/>
      <c r="DI38" s="86"/>
      <c r="DJ38" s="86"/>
      <c r="DK38" s="86"/>
      <c r="DL38" s="86"/>
      <c r="DM38" s="86"/>
      <c r="DN38" s="86"/>
      <c r="DO38" s="86"/>
      <c r="DP38" s="86"/>
      <c r="DQ38" s="86"/>
      <c r="DR38" s="86"/>
      <c r="DS38" s="86"/>
      <c r="DT38" s="86"/>
      <c r="DU38" s="86"/>
      <c r="DV38" s="86"/>
      <c r="DW38" s="86"/>
      <c r="DX38" s="86"/>
      <c r="DY38" s="86"/>
      <c r="DZ38" s="86"/>
      <c r="EA38" s="86"/>
      <c r="EB38" s="86"/>
      <c r="EC38" s="86"/>
      <c r="ED38" s="86"/>
      <c r="EE38" s="86"/>
      <c r="EF38" s="86"/>
      <c r="EG38" s="86"/>
      <c r="EH38" s="86"/>
      <c r="EI38" s="86"/>
      <c r="EJ38" s="86"/>
      <c r="EK38" s="86"/>
      <c r="EL38" s="86"/>
      <c r="EM38" s="86"/>
      <c r="EN38" s="86"/>
      <c r="EO38" s="86"/>
      <c r="EP38" s="86"/>
      <c r="EQ38" s="86"/>
      <c r="ER38" s="86"/>
      <c r="ES38" s="86"/>
      <c r="ET38" s="86"/>
      <c r="EU38" s="86"/>
      <c r="EV38" s="86"/>
      <c r="EW38" s="86"/>
      <c r="EX38" s="86"/>
      <c r="EY38" s="86"/>
      <c r="EZ38" s="86"/>
      <c r="FA38" s="86"/>
      <c r="FB38" s="86"/>
      <c r="FC38" s="86"/>
      <c r="FD38" s="86"/>
      <c r="FE38" s="86"/>
      <c r="FF38" s="86"/>
      <c r="FG38" s="86"/>
      <c r="FH38" s="86"/>
      <c r="FI38" s="86"/>
      <c r="FJ38" s="86"/>
      <c r="FK38" s="86"/>
      <c r="FL38" s="86"/>
      <c r="FM38" s="86"/>
      <c r="FN38" s="86"/>
      <c r="FO38" s="86"/>
      <c r="FP38" s="86"/>
      <c r="FQ38" s="86"/>
      <c r="FR38" s="86"/>
      <c r="FS38" s="86"/>
      <c r="FT38" s="86"/>
      <c r="FU38" s="86"/>
      <c r="FV38" s="86"/>
      <c r="FW38" s="86"/>
      <c r="FX38" s="86"/>
      <c r="FY38" s="86"/>
      <c r="FZ38" s="86"/>
      <c r="GA38" s="86"/>
      <c r="GB38" s="86"/>
      <c r="GC38" s="86"/>
      <c r="GD38" s="86"/>
      <c r="GE38" s="86"/>
      <c r="GF38" s="86"/>
      <c r="GG38" s="86"/>
      <c r="GH38" s="86"/>
      <c r="GI38" s="86"/>
      <c r="GJ38" s="86"/>
      <c r="GK38" s="86"/>
      <c r="GL38" s="86"/>
      <c r="GM38" s="86"/>
      <c r="GN38" s="86"/>
      <c r="GO38" s="86"/>
      <c r="GP38" s="86"/>
      <c r="GQ38" s="86"/>
      <c r="GR38" s="86"/>
      <c r="GS38" s="86"/>
      <c r="GT38" s="86"/>
      <c r="GU38" s="86"/>
      <c r="GV38" s="86"/>
      <c r="GW38" s="86"/>
      <c r="GX38" s="86"/>
      <c r="GY38" s="86"/>
      <c r="GZ38" s="86"/>
      <c r="HA38" s="86"/>
      <c r="HB38" s="86"/>
      <c r="HC38" s="86"/>
      <c r="HD38" s="86"/>
      <c r="HE38" s="86"/>
      <c r="HF38" s="86"/>
      <c r="HG38" s="86"/>
      <c r="HH38" s="86"/>
      <c r="HI38" s="86"/>
      <c r="HJ38" s="86"/>
      <c r="HK38" s="86"/>
      <c r="HL38" s="86"/>
      <c r="HM38" s="86"/>
      <c r="HN38" s="86"/>
      <c r="HO38" s="86"/>
      <c r="HP38" s="86"/>
      <c r="HQ38" s="86"/>
      <c r="HR38" s="86"/>
      <c r="HS38" s="86"/>
      <c r="HT38" s="86"/>
      <c r="HU38" s="86"/>
      <c r="HV38" s="86"/>
      <c r="HW38" s="86"/>
      <c r="HX38" s="86"/>
      <c r="HY38" s="86"/>
      <c r="HZ38" s="86"/>
      <c r="IA38" s="86"/>
      <c r="IB38" s="86"/>
      <c r="IC38" s="86"/>
      <c r="ID38" s="86"/>
      <c r="IE38" s="86"/>
      <c r="IF38" s="86"/>
      <c r="IG38" s="86"/>
      <c r="IH38" s="86"/>
      <c r="II38" s="86"/>
      <c r="IJ38" s="86"/>
      <c r="IK38" s="86"/>
      <c r="IL38" s="86"/>
      <c r="IM38" s="86"/>
      <c r="IN38" s="86"/>
      <c r="IO38" s="86"/>
      <c r="IP38" s="86"/>
      <c r="IQ38" s="86"/>
      <c r="IR38" s="86"/>
      <c r="IS38" s="86"/>
      <c r="IT38" s="86"/>
      <c r="IU38" s="86"/>
      <c r="IV38" s="86"/>
    </row>
    <row r="39" spans="1:256" s="29" customFormat="1" ht="3.95" customHeight="1" x14ac:dyDescent="0.25">
      <c r="A39" s="129"/>
      <c r="B39" s="129"/>
      <c r="C39" s="129"/>
      <c r="D39" s="129"/>
      <c r="F39" s="149"/>
      <c r="G39" s="149"/>
      <c r="H39" s="149"/>
      <c r="I39" s="149"/>
      <c r="J39" s="149"/>
      <c r="O39" s="149"/>
      <c r="T39" s="149"/>
      <c r="Y39" s="149"/>
      <c r="AD39" s="149"/>
      <c r="AI39" s="149"/>
      <c r="AN39" s="149"/>
      <c r="AS39" s="149"/>
      <c r="AX39" s="149"/>
      <c r="BC39" s="149"/>
      <c r="BH39" s="149"/>
      <c r="BM39" s="149"/>
      <c r="BR39" s="149"/>
      <c r="BW39" s="149"/>
      <c r="CB39" s="149"/>
      <c r="CG39" s="149"/>
      <c r="CL39" s="149"/>
      <c r="CQ39" s="149"/>
      <c r="CV39" s="149"/>
      <c r="CW39" s="86"/>
      <c r="CX39" s="86"/>
      <c r="CY39" s="86"/>
      <c r="CZ39" s="86"/>
      <c r="DA39" s="86"/>
      <c r="DB39" s="86"/>
      <c r="DC39" s="86"/>
      <c r="DD39" s="86"/>
      <c r="DE39" s="86"/>
      <c r="DF39" s="86"/>
      <c r="DG39" s="86"/>
      <c r="DH39" s="86"/>
      <c r="DI39" s="86"/>
      <c r="DJ39" s="86"/>
      <c r="DK39" s="86"/>
      <c r="DL39" s="86"/>
      <c r="DM39" s="86"/>
      <c r="DN39" s="86"/>
      <c r="DO39" s="86"/>
      <c r="DP39" s="86"/>
      <c r="DQ39" s="86"/>
      <c r="DR39" s="86"/>
      <c r="DS39" s="86"/>
      <c r="DT39" s="86"/>
      <c r="DU39" s="86"/>
      <c r="DV39" s="86"/>
      <c r="DW39" s="86"/>
      <c r="DX39" s="86"/>
      <c r="DY39" s="86"/>
      <c r="DZ39" s="86"/>
      <c r="EA39" s="86"/>
      <c r="EB39" s="86"/>
      <c r="EC39" s="86"/>
      <c r="ED39" s="86"/>
      <c r="EE39" s="86"/>
      <c r="EF39" s="86"/>
      <c r="EG39" s="86"/>
      <c r="EH39" s="86"/>
      <c r="EI39" s="86"/>
      <c r="EJ39" s="86"/>
      <c r="EK39" s="86"/>
      <c r="EL39" s="86"/>
      <c r="EM39" s="86"/>
      <c r="EN39" s="86"/>
      <c r="EO39" s="86"/>
      <c r="EP39" s="86"/>
      <c r="EQ39" s="86"/>
      <c r="ER39" s="86"/>
      <c r="ES39" s="86"/>
      <c r="ET39" s="86"/>
      <c r="EU39" s="86"/>
      <c r="EV39" s="86"/>
      <c r="EW39" s="86"/>
      <c r="EX39" s="86"/>
      <c r="EY39" s="86"/>
      <c r="EZ39" s="86"/>
      <c r="FA39" s="86"/>
      <c r="FB39" s="86"/>
      <c r="FC39" s="86"/>
      <c r="FD39" s="86"/>
      <c r="FE39" s="86"/>
      <c r="FF39" s="86"/>
      <c r="FG39" s="86"/>
      <c r="FH39" s="86"/>
      <c r="FI39" s="86"/>
      <c r="FJ39" s="86"/>
      <c r="FK39" s="86"/>
      <c r="FL39" s="86"/>
      <c r="FM39" s="86"/>
      <c r="FN39" s="86"/>
      <c r="FO39" s="86"/>
      <c r="FP39" s="86"/>
      <c r="FQ39" s="86"/>
      <c r="FR39" s="86"/>
      <c r="FS39" s="86"/>
      <c r="FT39" s="86"/>
      <c r="FU39" s="86"/>
      <c r="FV39" s="86"/>
      <c r="FW39" s="86"/>
      <c r="FX39" s="86"/>
      <c r="FY39" s="86"/>
      <c r="FZ39" s="86"/>
      <c r="GA39" s="86"/>
      <c r="GB39" s="86"/>
      <c r="GC39" s="86"/>
      <c r="GD39" s="86"/>
      <c r="GE39" s="86"/>
      <c r="GF39" s="86"/>
      <c r="GG39" s="86"/>
      <c r="GH39" s="86"/>
      <c r="GI39" s="86"/>
      <c r="GJ39" s="86"/>
      <c r="GK39" s="86"/>
      <c r="GL39" s="86"/>
      <c r="GM39" s="86"/>
      <c r="GN39" s="86"/>
      <c r="GO39" s="86"/>
      <c r="GP39" s="86"/>
      <c r="GQ39" s="86"/>
      <c r="GR39" s="86"/>
      <c r="GS39" s="86"/>
      <c r="GT39" s="86"/>
      <c r="GU39" s="86"/>
      <c r="GV39" s="86"/>
      <c r="GW39" s="86"/>
      <c r="GX39" s="86"/>
      <c r="GY39" s="86"/>
      <c r="GZ39" s="86"/>
      <c r="HA39" s="86"/>
      <c r="HB39" s="86"/>
      <c r="HC39" s="86"/>
      <c r="HD39" s="86"/>
      <c r="HE39" s="86"/>
      <c r="HF39" s="86"/>
      <c r="HG39" s="86"/>
      <c r="HH39" s="86"/>
      <c r="HI39" s="86"/>
      <c r="HJ39" s="86"/>
      <c r="HK39" s="86"/>
      <c r="HL39" s="86"/>
      <c r="HM39" s="86"/>
      <c r="HN39" s="86"/>
      <c r="HO39" s="86"/>
      <c r="HP39" s="86"/>
      <c r="HQ39" s="86"/>
      <c r="HR39" s="86"/>
      <c r="HS39" s="86"/>
      <c r="HT39" s="86"/>
      <c r="HU39" s="86"/>
      <c r="HV39" s="86"/>
      <c r="HW39" s="86"/>
      <c r="HX39" s="86"/>
      <c r="HY39" s="86"/>
      <c r="HZ39" s="86"/>
      <c r="IA39" s="86"/>
      <c r="IB39" s="86"/>
      <c r="IC39" s="86"/>
      <c r="ID39" s="86"/>
      <c r="IE39" s="86"/>
      <c r="IF39" s="86"/>
      <c r="IG39" s="86"/>
      <c r="IH39" s="86"/>
      <c r="II39" s="86"/>
      <c r="IJ39" s="86"/>
      <c r="IK39" s="86"/>
      <c r="IL39" s="86"/>
      <c r="IM39" s="86"/>
      <c r="IN39" s="86"/>
      <c r="IO39" s="86"/>
      <c r="IP39" s="86"/>
      <c r="IQ39" s="86"/>
      <c r="IR39" s="86"/>
      <c r="IS39" s="86"/>
      <c r="IT39" s="86"/>
      <c r="IU39" s="86"/>
      <c r="IV39" s="86"/>
    </row>
    <row r="40" spans="1:256" s="35" customFormat="1" ht="12" customHeight="1" x14ac:dyDescent="0.25">
      <c r="A40" s="129"/>
      <c r="B40" s="129"/>
      <c r="C40" s="129"/>
      <c r="D40" s="129"/>
      <c r="E40" s="35" t="s">
        <v>13</v>
      </c>
      <c r="T40" s="35">
        <f>SUM(T33:T38)</f>
        <v>-129.636</v>
      </c>
      <c r="Y40" s="35">
        <f>SUM(Y33:Y38)</f>
        <v>-61.812000000000012</v>
      </c>
      <c r="AD40" s="35">
        <f>SUM(AD33:AD38)</f>
        <v>-101.78299999999999</v>
      </c>
      <c r="AE40" s="35">
        <f>SUM(AE33:AE38)</f>
        <v>12.288</v>
      </c>
      <c r="AF40" s="35">
        <f>SUM(AF33:AF38)</f>
        <v>-20.721</v>
      </c>
      <c r="AG40" s="35">
        <f>SUM(AG33:AG38)</f>
        <v>-97.058999999999997</v>
      </c>
      <c r="AH40" s="35">
        <f>SUM(AH33:AH38)</f>
        <v>-57.651000000000003</v>
      </c>
      <c r="AI40" s="35">
        <f>SUM(AE40:AH40)</f>
        <v>-163.143</v>
      </c>
      <c r="AJ40" s="35">
        <f>SUM(AJ33:AJ38)</f>
        <v>-24.62</v>
      </c>
      <c r="AK40" s="35">
        <f>SUM(AK33:AK38)</f>
        <v>-38.162999999999997</v>
      </c>
      <c r="AL40" s="35">
        <f>SUM(AL33:AL38)</f>
        <v>-12.401</v>
      </c>
      <c r="AM40" s="35">
        <f>SUM(AM33:AM38)</f>
        <v>-11.756</v>
      </c>
      <c r="AN40" s="35">
        <f>SUM(AJ40:AM40)</f>
        <v>-86.94</v>
      </c>
      <c r="AO40" s="35">
        <f>SUM(AO33:AO39)</f>
        <v>-11.603999999999999</v>
      </c>
      <c r="AP40" s="35">
        <f>SUM(AP33:AP38)</f>
        <v>-41.165999999999997</v>
      </c>
      <c r="AQ40" s="35">
        <f>SUM(AQ33:AQ38)</f>
        <v>-21.071000000000002</v>
      </c>
      <c r="AR40" s="35">
        <f>SUM(AR33:AR38)</f>
        <v>-29.850999999999999</v>
      </c>
      <c r="AS40" s="35">
        <f>SUM(AO40:AR40)</f>
        <v>-103.69199999999999</v>
      </c>
      <c r="AT40" s="35">
        <f>SUM(AT33:AT39)</f>
        <v>-5.1630000000000003</v>
      </c>
      <c r="AU40" s="35">
        <f>SUM(AU33:AU38)</f>
        <v>-26.451000000000001</v>
      </c>
      <c r="AV40" s="35">
        <f>SUM(AV33:AV38)</f>
        <v>-38.671999999999997</v>
      </c>
      <c r="AW40" s="35">
        <f>SUM(AW33:AW38)</f>
        <v>-22.331</v>
      </c>
      <c r="AX40" s="35">
        <f>SUM(AT40:AW40)</f>
        <v>-92.617000000000004</v>
      </c>
      <c r="AY40" s="35">
        <f>SUM(AY33:AY38)</f>
        <v>-32.598999999999997</v>
      </c>
      <c r="AZ40" s="35">
        <f>SUM(AZ33:AZ38)</f>
        <v>-112.78400000000001</v>
      </c>
      <c r="BA40" s="35">
        <f>SUM(BA33:BA38)</f>
        <v>-36.22</v>
      </c>
      <c r="BB40" s="35">
        <f>SUM(BB33:BB38)</f>
        <v>-28.238999999999997</v>
      </c>
      <c r="BC40" s="35">
        <f>SUM(AY40:BB40)</f>
        <v>-209.84200000000001</v>
      </c>
      <c r="BD40" s="35">
        <f>SUM(BD33:BD38)</f>
        <v>-38.478999999999999</v>
      </c>
      <c r="BE40" s="35">
        <f>SUM(BE33:BE38)</f>
        <v>-16.710999999999999</v>
      </c>
      <c r="BF40" s="35">
        <f>SUM(BF33:BF38)</f>
        <v>-22.38</v>
      </c>
      <c r="BG40" s="35">
        <f>SUM(BG33:BG38)</f>
        <v>-11.653</v>
      </c>
      <c r="BH40" s="35">
        <f>SUM(BD40:BG40)</f>
        <v>-89.222999999999999</v>
      </c>
      <c r="BI40" s="35">
        <f>SUM(BI33:BI38)</f>
        <v>-15.274000000000001</v>
      </c>
      <c r="BJ40" s="35">
        <f>SUM(BJ33:BJ38)</f>
        <v>-14.237</v>
      </c>
      <c r="BK40" s="35">
        <f>SUM(BK33:BK38)</f>
        <v>110.81699999999999</v>
      </c>
      <c r="BL40" s="35">
        <f>SUM(BL33:BL38)</f>
        <v>16.951000000000001</v>
      </c>
      <c r="BM40" s="35">
        <f>SUM(BI40:BL40)</f>
        <v>98.256999999999977</v>
      </c>
      <c r="BN40" s="35">
        <f>SUM(BN33:BN38)</f>
        <v>-6.1760000000000002</v>
      </c>
      <c r="BO40" s="35">
        <f>SUM(BO33:BO38)</f>
        <v>-17.036999999999999</v>
      </c>
      <c r="BP40" s="35">
        <f>SUM(BP33:BP38)</f>
        <v>-7.2770000000000001</v>
      </c>
      <c r="BQ40" s="35">
        <f>SUM(BQ33:BQ38)</f>
        <v>1.8849999999999998</v>
      </c>
      <c r="BR40" s="35">
        <f>SUM(BN40:BQ40)</f>
        <v>-28.605000000000004</v>
      </c>
      <c r="BS40" s="35">
        <f>SUM(BS33:BS38)</f>
        <v>-21.058</v>
      </c>
      <c r="BT40" s="35">
        <f>SUM(BT33:BT38)</f>
        <v>-73.790999999999997</v>
      </c>
      <c r="BU40" s="35">
        <f>SUM(BU33:BU38)</f>
        <v>-13.504</v>
      </c>
      <c r="BV40" s="35">
        <f>SUM(BV33:BV38)</f>
        <v>-17.673999999999999</v>
      </c>
      <c r="BW40" s="35">
        <f>SUM(BS40:BV40)</f>
        <v>-126.02699999999999</v>
      </c>
      <c r="BX40" s="35">
        <f>SUM(BX33:BX38)</f>
        <v>-24.771999999999998</v>
      </c>
      <c r="BY40" s="35">
        <f>SUM(BY33:BY38)</f>
        <v>-13.166</v>
      </c>
      <c r="BZ40" s="35">
        <f>SUM(BZ33:BZ38)</f>
        <v>64.677999999999997</v>
      </c>
      <c r="CA40" s="35">
        <f>SUM(CA33:CA38)</f>
        <v>-0.96399999999999864</v>
      </c>
      <c r="CB40" s="35">
        <f>SUM(BX40:CA40)</f>
        <v>25.775999999999996</v>
      </c>
      <c r="CC40" s="35">
        <f>SUM(CC33:CC38)</f>
        <v>-2.1119999999999992</v>
      </c>
      <c r="CD40" s="35">
        <f>SUM(CD33:CD38)</f>
        <v>-14.12</v>
      </c>
      <c r="CE40" s="35">
        <f>SUM(CE33:CE38)</f>
        <v>-3</v>
      </c>
      <c r="CF40" s="35">
        <f>SUM(CF33:CF38)</f>
        <v>-3</v>
      </c>
      <c r="CG40" s="35">
        <f>SUM(CC40:CF40)</f>
        <v>-22.231999999999999</v>
      </c>
      <c r="CH40" s="35">
        <f>SUM(CH33:CH38)</f>
        <v>-52.585999999999999</v>
      </c>
      <c r="CI40" s="35">
        <f>SUM(CI33:CI38)</f>
        <v>-3.2759999999999998</v>
      </c>
      <c r="CJ40" s="35">
        <f>SUM(CJ33:CJ38)</f>
        <v>-728.76199999999994</v>
      </c>
      <c r="CK40" s="35">
        <f>SUM(CK33:CK38)</f>
        <v>-85</v>
      </c>
      <c r="CL40" s="35">
        <f>SUM(CH40:CK40)</f>
        <v>-869.62399999999991</v>
      </c>
      <c r="CM40" s="35">
        <f>SUM(CM33:CM38)</f>
        <v>-85</v>
      </c>
      <c r="CN40" s="35">
        <f>SUM(CN33:CN38)</f>
        <v>-85</v>
      </c>
      <c r="CO40" s="35">
        <f>SUM(CO33:CO38)</f>
        <v>-75</v>
      </c>
      <c r="CP40" s="35">
        <f>SUM(CP33:CP38)</f>
        <v>-70</v>
      </c>
      <c r="CQ40" s="35">
        <f>SUM(CM40:CP40)</f>
        <v>-315</v>
      </c>
      <c r="CR40" s="35">
        <f>SUM(CR33:CR38)</f>
        <v>-25</v>
      </c>
      <c r="CS40" s="35">
        <f>SUM(CS33:CS38)</f>
        <v>-25</v>
      </c>
      <c r="CT40" s="35">
        <f>SUM(CT33:CT38)</f>
        <v>-25</v>
      </c>
      <c r="CU40" s="35">
        <f>SUM(CU33:CU38)</f>
        <v>-25</v>
      </c>
      <c r="CV40" s="35">
        <f>SUM(CR40:CU40)</f>
        <v>-100</v>
      </c>
      <c r="CW40" s="87"/>
      <c r="CX40" s="87"/>
      <c r="CY40" s="87"/>
      <c r="CZ40" s="87"/>
      <c r="DA40" s="87"/>
      <c r="DB40" s="87"/>
      <c r="DC40" s="87"/>
      <c r="DD40" s="87"/>
      <c r="DE40" s="87"/>
      <c r="DF40" s="87"/>
      <c r="DG40" s="87"/>
      <c r="DH40" s="87"/>
      <c r="DI40" s="87"/>
      <c r="DJ40" s="87"/>
      <c r="DK40" s="87"/>
      <c r="DL40" s="87"/>
      <c r="DM40" s="87"/>
      <c r="DN40" s="87"/>
      <c r="DO40" s="87"/>
      <c r="DP40" s="87"/>
      <c r="DQ40" s="87"/>
      <c r="DR40" s="87"/>
      <c r="DS40" s="87"/>
      <c r="DT40" s="87"/>
      <c r="DU40" s="87"/>
      <c r="DV40" s="87"/>
      <c r="DW40" s="87"/>
      <c r="DX40" s="87"/>
      <c r="DY40" s="87"/>
      <c r="DZ40" s="87"/>
      <c r="EA40" s="87"/>
      <c r="EB40" s="87"/>
      <c r="EC40" s="87"/>
      <c r="ED40" s="87"/>
      <c r="EE40" s="87"/>
      <c r="EF40" s="87"/>
      <c r="EG40" s="87"/>
      <c r="EH40" s="87"/>
      <c r="EI40" s="87"/>
      <c r="EJ40" s="87"/>
      <c r="EK40" s="87"/>
      <c r="EL40" s="87"/>
      <c r="EM40" s="87"/>
      <c r="EN40" s="87"/>
      <c r="EO40" s="87"/>
      <c r="EP40" s="87"/>
      <c r="EQ40" s="87"/>
      <c r="ER40" s="87"/>
      <c r="ES40" s="87"/>
      <c r="ET40" s="87"/>
      <c r="EU40" s="87"/>
      <c r="EV40" s="87"/>
      <c r="EW40" s="87"/>
      <c r="EX40" s="87"/>
      <c r="EY40" s="87"/>
      <c r="EZ40" s="87"/>
      <c r="FA40" s="87"/>
      <c r="FB40" s="87"/>
      <c r="FC40" s="87"/>
      <c r="FD40" s="87"/>
      <c r="FE40" s="87"/>
      <c r="FF40" s="87"/>
      <c r="FG40" s="87"/>
      <c r="FH40" s="87"/>
      <c r="FI40" s="87"/>
      <c r="FJ40" s="87"/>
      <c r="FK40" s="87"/>
      <c r="FL40" s="87"/>
      <c r="FM40" s="87"/>
      <c r="FN40" s="87"/>
      <c r="FO40" s="87"/>
      <c r="FP40" s="87"/>
      <c r="FQ40" s="87"/>
      <c r="FR40" s="87"/>
      <c r="FS40" s="87"/>
      <c r="FT40" s="87"/>
      <c r="FU40" s="87"/>
      <c r="FV40" s="87"/>
      <c r="FW40" s="87"/>
      <c r="FX40" s="87"/>
      <c r="FY40" s="87"/>
      <c r="FZ40" s="87"/>
      <c r="GA40" s="87"/>
      <c r="GB40" s="87"/>
      <c r="GC40" s="87"/>
      <c r="GD40" s="87"/>
      <c r="GE40" s="87"/>
      <c r="GF40" s="87"/>
      <c r="GG40" s="87"/>
      <c r="GH40" s="87"/>
      <c r="GI40" s="87"/>
      <c r="GJ40" s="87"/>
      <c r="GK40" s="87"/>
      <c r="GL40" s="87"/>
      <c r="GM40" s="87"/>
      <c r="GN40" s="87"/>
      <c r="GO40" s="87"/>
      <c r="GP40" s="87"/>
      <c r="GQ40" s="87"/>
      <c r="GR40" s="87"/>
      <c r="GS40" s="87"/>
      <c r="GT40" s="87"/>
      <c r="GU40" s="87"/>
      <c r="GV40" s="87"/>
      <c r="GW40" s="87"/>
      <c r="GX40" s="87"/>
      <c r="GY40" s="87"/>
      <c r="GZ40" s="87"/>
      <c r="HA40" s="87"/>
      <c r="HB40" s="87"/>
      <c r="HC40" s="87"/>
      <c r="HD40" s="87"/>
      <c r="HE40" s="87"/>
      <c r="HF40" s="87"/>
      <c r="HG40" s="87"/>
      <c r="HH40" s="87"/>
      <c r="HI40" s="87"/>
      <c r="HJ40" s="87"/>
      <c r="HK40" s="87"/>
      <c r="HL40" s="87"/>
      <c r="HM40" s="87"/>
      <c r="HN40" s="87"/>
      <c r="HO40" s="87"/>
      <c r="HP40" s="87"/>
      <c r="HQ40" s="87"/>
      <c r="HR40" s="87"/>
      <c r="HS40" s="87"/>
      <c r="HT40" s="87"/>
      <c r="HU40" s="87"/>
      <c r="HV40" s="87"/>
      <c r="HW40" s="87"/>
      <c r="HX40" s="87"/>
      <c r="HY40" s="87"/>
      <c r="HZ40" s="87"/>
      <c r="IA40" s="87"/>
      <c r="IB40" s="87"/>
      <c r="IC40" s="87"/>
      <c r="ID40" s="87"/>
      <c r="IE40" s="87"/>
      <c r="IF40" s="87"/>
      <c r="IG40" s="87"/>
      <c r="IH40" s="87"/>
      <c r="II40" s="87"/>
      <c r="IJ40" s="87"/>
      <c r="IK40" s="87"/>
      <c r="IL40" s="87"/>
      <c r="IM40" s="87"/>
      <c r="IN40" s="87"/>
      <c r="IO40" s="87"/>
      <c r="IP40" s="87"/>
      <c r="IQ40" s="87"/>
      <c r="IR40" s="87"/>
      <c r="IS40" s="87"/>
      <c r="IT40" s="87"/>
      <c r="IU40" s="87"/>
      <c r="IV40" s="87"/>
    </row>
    <row r="41" spans="1:256" s="28" customFormat="1" ht="3.95" customHeight="1" x14ac:dyDescent="0.25">
      <c r="A41" s="173"/>
      <c r="B41" s="173"/>
      <c r="C41" s="173"/>
      <c r="D41" s="173"/>
      <c r="F41" s="35"/>
      <c r="G41" s="35"/>
      <c r="H41" s="35"/>
      <c r="I41" s="35"/>
      <c r="J41" s="35"/>
      <c r="O41" s="35"/>
      <c r="T41" s="35"/>
      <c r="Y41" s="35"/>
      <c r="AD41" s="35"/>
      <c r="AI41" s="35"/>
      <c r="AN41" s="35"/>
      <c r="AS41" s="35"/>
      <c r="AX41" s="35"/>
      <c r="BC41" s="35"/>
      <c r="BH41" s="35"/>
      <c r="BM41" s="35"/>
      <c r="BR41" s="35"/>
      <c r="BW41" s="35"/>
      <c r="CB41" s="35"/>
      <c r="CG41" s="35"/>
      <c r="CL41" s="35"/>
      <c r="CQ41" s="35"/>
      <c r="CV41" s="35"/>
      <c r="CW41" s="87"/>
      <c r="CX41" s="87"/>
      <c r="CY41" s="87"/>
      <c r="CZ41" s="87"/>
      <c r="DA41" s="87"/>
      <c r="DB41" s="87"/>
      <c r="DC41" s="87"/>
      <c r="DD41" s="87"/>
      <c r="DE41" s="87"/>
      <c r="DF41" s="87"/>
      <c r="DG41" s="87"/>
      <c r="DH41" s="87"/>
      <c r="DI41" s="87"/>
      <c r="DJ41" s="87"/>
      <c r="DK41" s="87"/>
      <c r="DL41" s="87"/>
      <c r="DM41" s="87"/>
      <c r="DN41" s="87"/>
      <c r="DO41" s="87"/>
      <c r="DP41" s="87"/>
      <c r="DQ41" s="87"/>
      <c r="DR41" s="87"/>
      <c r="DS41" s="87"/>
      <c r="DT41" s="87"/>
      <c r="DU41" s="87"/>
      <c r="DV41" s="87"/>
      <c r="DW41" s="87"/>
      <c r="DX41" s="87"/>
      <c r="DY41" s="87"/>
      <c r="DZ41" s="87"/>
      <c r="EA41" s="87"/>
      <c r="EB41" s="87"/>
      <c r="EC41" s="87"/>
      <c r="ED41" s="87"/>
      <c r="EE41" s="87"/>
      <c r="EF41" s="87"/>
      <c r="EG41" s="87"/>
      <c r="EH41" s="87"/>
      <c r="EI41" s="87"/>
      <c r="EJ41" s="87"/>
      <c r="EK41" s="87"/>
      <c r="EL41" s="87"/>
      <c r="EM41" s="87"/>
      <c r="EN41" s="87"/>
      <c r="EO41" s="87"/>
      <c r="EP41" s="87"/>
      <c r="EQ41" s="87"/>
      <c r="ER41" s="87"/>
      <c r="ES41" s="87"/>
      <c r="ET41" s="87"/>
      <c r="EU41" s="87"/>
      <c r="EV41" s="87"/>
      <c r="EW41" s="87"/>
      <c r="EX41" s="87"/>
      <c r="EY41" s="87"/>
      <c r="EZ41" s="87"/>
      <c r="FA41" s="87"/>
      <c r="FB41" s="87"/>
      <c r="FC41" s="87"/>
      <c r="FD41" s="87"/>
      <c r="FE41" s="87"/>
      <c r="FF41" s="87"/>
      <c r="FG41" s="87"/>
      <c r="FH41" s="87"/>
      <c r="FI41" s="87"/>
      <c r="FJ41" s="87"/>
      <c r="FK41" s="87"/>
      <c r="FL41" s="87"/>
      <c r="FM41" s="87"/>
      <c r="FN41" s="87"/>
      <c r="FO41" s="87"/>
      <c r="FP41" s="87"/>
      <c r="FQ41" s="87"/>
      <c r="FR41" s="87"/>
      <c r="FS41" s="87"/>
      <c r="FT41" s="87"/>
      <c r="FU41" s="87"/>
      <c r="FV41" s="87"/>
      <c r="FW41" s="87"/>
      <c r="FX41" s="87"/>
      <c r="FY41" s="87"/>
      <c r="FZ41" s="87"/>
      <c r="GA41" s="87"/>
      <c r="GB41" s="87"/>
      <c r="GC41" s="87"/>
      <c r="GD41" s="87"/>
      <c r="GE41" s="87"/>
      <c r="GF41" s="87"/>
      <c r="GG41" s="87"/>
      <c r="GH41" s="87"/>
      <c r="GI41" s="87"/>
      <c r="GJ41" s="87"/>
      <c r="GK41" s="87"/>
      <c r="GL41" s="87"/>
      <c r="GM41" s="87"/>
      <c r="GN41" s="87"/>
      <c r="GO41" s="87"/>
      <c r="GP41" s="87"/>
      <c r="GQ41" s="87"/>
      <c r="GR41" s="87"/>
      <c r="GS41" s="87"/>
      <c r="GT41" s="87"/>
      <c r="GU41" s="87"/>
      <c r="GV41" s="87"/>
      <c r="GW41" s="87"/>
      <c r="GX41" s="87"/>
      <c r="GY41" s="87"/>
      <c r="GZ41" s="87"/>
      <c r="HA41" s="87"/>
      <c r="HB41" s="87"/>
      <c r="HC41" s="87"/>
      <c r="HD41" s="87"/>
      <c r="HE41" s="87"/>
      <c r="HF41" s="87"/>
      <c r="HG41" s="87"/>
      <c r="HH41" s="87"/>
      <c r="HI41" s="87"/>
      <c r="HJ41" s="87"/>
      <c r="HK41" s="87"/>
      <c r="HL41" s="87"/>
      <c r="HM41" s="87"/>
      <c r="HN41" s="87"/>
      <c r="HO41" s="87"/>
      <c r="HP41" s="87"/>
      <c r="HQ41" s="87"/>
      <c r="HR41" s="87"/>
      <c r="HS41" s="87"/>
      <c r="HT41" s="87"/>
      <c r="HU41" s="87"/>
      <c r="HV41" s="87"/>
      <c r="HW41" s="87"/>
      <c r="HX41" s="87"/>
      <c r="HY41" s="87"/>
      <c r="HZ41" s="87"/>
      <c r="IA41" s="87"/>
      <c r="IB41" s="87"/>
      <c r="IC41" s="87"/>
      <c r="ID41" s="87"/>
      <c r="IE41" s="87"/>
      <c r="IF41" s="87"/>
      <c r="IG41" s="87"/>
      <c r="IH41" s="87"/>
      <c r="II41" s="87"/>
      <c r="IJ41" s="87"/>
      <c r="IK41" s="87"/>
      <c r="IL41" s="87"/>
      <c r="IM41" s="87"/>
      <c r="IN41" s="87"/>
      <c r="IO41" s="87"/>
      <c r="IP41" s="87"/>
      <c r="IQ41" s="87"/>
      <c r="IR41" s="87"/>
      <c r="IS41" s="87"/>
      <c r="IT41" s="87"/>
      <c r="IU41" s="87"/>
      <c r="IV41" s="87"/>
    </row>
    <row r="42" spans="1:256" s="27" customFormat="1" ht="12" customHeight="1" x14ac:dyDescent="0.25">
      <c r="A42" s="122"/>
      <c r="B42" s="122"/>
      <c r="C42" s="122"/>
      <c r="D42" s="122"/>
      <c r="E42" s="27" t="s">
        <v>56</v>
      </c>
      <c r="F42" s="140"/>
      <c r="G42" s="140"/>
      <c r="H42" s="140"/>
      <c r="I42" s="140"/>
      <c r="J42" s="140"/>
      <c r="K42" s="124"/>
      <c r="L42" s="124"/>
      <c r="M42" s="124"/>
      <c r="N42" s="124"/>
      <c r="O42" s="139"/>
      <c r="P42" s="124"/>
      <c r="Q42" s="124"/>
      <c r="R42" s="124"/>
      <c r="S42" s="124"/>
      <c r="T42" s="140">
        <v>0.17100000000000001</v>
      </c>
      <c r="U42" s="124"/>
      <c r="V42" s="124"/>
      <c r="W42" s="124"/>
      <c r="X42" s="124"/>
      <c r="Y42" s="140">
        <v>-0.39700000000000002</v>
      </c>
      <c r="Z42" s="124"/>
      <c r="AA42" s="124"/>
      <c r="AB42" s="124"/>
      <c r="AC42" s="124"/>
      <c r="AD42" s="140">
        <v>0.56599999999999995</v>
      </c>
      <c r="AE42" s="124">
        <v>0.307</v>
      </c>
      <c r="AF42" s="124">
        <v>0.26200000000000001</v>
      </c>
      <c r="AG42" s="124">
        <v>-7.8E-2</v>
      </c>
      <c r="AH42" s="124">
        <v>0.221</v>
      </c>
      <c r="AI42" s="139">
        <f>SUM(AE42:AH42)</f>
        <v>0.71199999999999997</v>
      </c>
      <c r="AJ42" s="124">
        <v>0.16500000000000001</v>
      </c>
      <c r="AK42" s="124">
        <v>-0.80700000000000005</v>
      </c>
      <c r="AL42" s="124">
        <v>-1.1779999999999999</v>
      </c>
      <c r="AM42" s="124">
        <v>-0.19700000000000001</v>
      </c>
      <c r="AN42" s="139">
        <f>SUM(AJ42:AM42)</f>
        <v>-2.0169999999999999</v>
      </c>
      <c r="AO42" s="124">
        <v>1.534</v>
      </c>
      <c r="AP42" s="124">
        <v>-3.3000000000000002E-2</v>
      </c>
      <c r="AQ42" s="124">
        <v>1.2E-2</v>
      </c>
      <c r="AR42" s="124">
        <v>-0.82199999999999995</v>
      </c>
      <c r="AS42" s="139">
        <f>SUM(AO42:AR42)</f>
        <v>0.69100000000000017</v>
      </c>
      <c r="AT42" s="124">
        <v>-1.365</v>
      </c>
      <c r="AU42" s="124">
        <v>1.0609999999999999</v>
      </c>
      <c r="AV42" s="124">
        <v>0.106</v>
      </c>
      <c r="AW42" s="124">
        <v>0.28799999999999998</v>
      </c>
      <c r="AX42" s="139">
        <f>SUM(AT42:AW42)</f>
        <v>8.9999999999999913E-2</v>
      </c>
      <c r="AY42" s="124">
        <v>5.2999999999999999E-2</v>
      </c>
      <c r="AZ42" s="124">
        <f>-0.919-0.05</f>
        <v>-0.96900000000000008</v>
      </c>
      <c r="BA42" s="124">
        <v>0.14199999999999999</v>
      </c>
      <c r="BB42" s="124">
        <v>0.41499999999999998</v>
      </c>
      <c r="BC42" s="139">
        <f>SUM(AY42:BB42)</f>
        <v>-0.35900000000000004</v>
      </c>
      <c r="BD42" s="124">
        <v>-0.50700000000000001</v>
      </c>
      <c r="BE42" s="124">
        <v>0.246</v>
      </c>
      <c r="BF42" s="124">
        <v>0.122</v>
      </c>
      <c r="BG42" s="124">
        <v>-0.504</v>
      </c>
      <c r="BH42" s="139">
        <f>SUM(BD42:BG42)</f>
        <v>-0.64300000000000002</v>
      </c>
      <c r="BI42" s="124">
        <v>-8.4000000000000005E-2</v>
      </c>
      <c r="BJ42" s="124">
        <v>0.54400000000000004</v>
      </c>
      <c r="BK42" s="124">
        <v>5.0999999999999997E-2</v>
      </c>
      <c r="BL42" s="124">
        <v>0.105</v>
      </c>
      <c r="BM42" s="139">
        <f>SUM(BI42:BL42)</f>
        <v>0.61599999999999999</v>
      </c>
      <c r="BN42" s="124">
        <v>0.33200000000000002</v>
      </c>
      <c r="BO42" s="124">
        <v>-0.80100000000000005</v>
      </c>
      <c r="BP42" s="124">
        <v>-0.51200000000000001</v>
      </c>
      <c r="BQ42" s="124">
        <v>-0.63800000000000001</v>
      </c>
      <c r="BR42" s="139">
        <f>SUM(BN42:BQ42)</f>
        <v>-1.6190000000000002</v>
      </c>
      <c r="BS42" s="124">
        <v>0.33</v>
      </c>
      <c r="BT42" s="124">
        <v>-0.67600000000000005</v>
      </c>
      <c r="BU42" s="124">
        <v>-0.16700000000000001</v>
      </c>
      <c r="BV42" s="124">
        <v>0.13600000000000001</v>
      </c>
      <c r="BW42" s="139">
        <f>SUM(BS42:BV42)</f>
        <v>-0.377</v>
      </c>
      <c r="BX42" s="124">
        <v>-0.751</v>
      </c>
      <c r="BY42" s="124">
        <v>-7.0000000000000007E-2</v>
      </c>
      <c r="BZ42" s="124">
        <v>-0.73799999999999999</v>
      </c>
      <c r="CA42" s="124">
        <f>-1.64-BZ42-BY42-BX42</f>
        <v>-8.099999999999985E-2</v>
      </c>
      <c r="CB42" s="139">
        <f>SUM(BX42:CA42)</f>
        <v>-1.6399999999999997</v>
      </c>
      <c r="CC42" s="124">
        <f>0.609-CD42</f>
        <v>0.33099999999999996</v>
      </c>
      <c r="CD42" s="124">
        <v>0.27800000000000002</v>
      </c>
      <c r="CE42" s="799">
        <v>0.32300000000000001</v>
      </c>
      <c r="CF42" s="799">
        <v>0.60099999999999998</v>
      </c>
      <c r="CG42" s="139">
        <f>SUM(CC42:CF42)</f>
        <v>1.5329999999999999</v>
      </c>
      <c r="CH42" s="124">
        <f>-1.484-CI42</f>
        <v>-0.92699999999999994</v>
      </c>
      <c r="CI42" s="124">
        <v>-0.55700000000000005</v>
      </c>
      <c r="CJ42" s="166">
        <v>0</v>
      </c>
      <c r="CK42" s="166">
        <v>0</v>
      </c>
      <c r="CL42" s="139">
        <f>SUM(CH42:CK42)</f>
        <v>-1.484</v>
      </c>
      <c r="CM42" s="166">
        <v>0</v>
      </c>
      <c r="CN42" s="166">
        <v>0</v>
      </c>
      <c r="CO42" s="166">
        <v>0</v>
      </c>
      <c r="CP42" s="166">
        <v>0</v>
      </c>
      <c r="CQ42" s="139">
        <f>SUM(CM42:CP42)</f>
        <v>0</v>
      </c>
      <c r="CR42" s="724">
        <v>0</v>
      </c>
      <c r="CS42" s="724">
        <v>0</v>
      </c>
      <c r="CT42" s="724">
        <v>0</v>
      </c>
      <c r="CU42" s="724">
        <v>0</v>
      </c>
      <c r="CV42" s="139">
        <f>SUM(CR42:CU42)</f>
        <v>0</v>
      </c>
      <c r="CW42" s="85"/>
      <c r="CX42" s="85"/>
      <c r="CY42" s="85"/>
      <c r="CZ42" s="85"/>
      <c r="DA42" s="85"/>
      <c r="DB42" s="85"/>
      <c r="DC42" s="85"/>
      <c r="DD42" s="85"/>
      <c r="DE42" s="85"/>
      <c r="DF42" s="85"/>
      <c r="DG42" s="85"/>
      <c r="DH42" s="85"/>
      <c r="DI42" s="85"/>
      <c r="DJ42" s="85"/>
      <c r="DK42" s="85"/>
      <c r="DL42" s="85"/>
      <c r="DM42" s="85"/>
      <c r="DN42" s="85"/>
      <c r="DO42" s="85"/>
      <c r="DP42" s="85"/>
      <c r="DQ42" s="85"/>
      <c r="DR42" s="85"/>
      <c r="DS42" s="85"/>
      <c r="DT42" s="85"/>
      <c r="DU42" s="85"/>
      <c r="DV42" s="85"/>
      <c r="DW42" s="85"/>
      <c r="DX42" s="85"/>
      <c r="DY42" s="85"/>
      <c r="DZ42" s="85"/>
      <c r="EA42" s="85"/>
      <c r="EB42" s="85"/>
      <c r="EC42" s="85"/>
      <c r="ED42" s="85"/>
      <c r="EE42" s="85"/>
      <c r="EF42" s="85"/>
      <c r="EG42" s="85"/>
      <c r="EH42" s="85"/>
      <c r="EI42" s="85"/>
      <c r="EJ42" s="85"/>
      <c r="EK42" s="85"/>
      <c r="EL42" s="85"/>
      <c r="EM42" s="85"/>
      <c r="EN42" s="85"/>
      <c r="EO42" s="85"/>
      <c r="EP42" s="85"/>
      <c r="EQ42" s="85"/>
      <c r="ER42" s="85"/>
      <c r="ES42" s="85"/>
      <c r="ET42" s="85"/>
      <c r="EU42" s="85"/>
      <c r="EV42" s="85"/>
      <c r="EW42" s="85"/>
      <c r="EX42" s="85"/>
      <c r="EY42" s="85"/>
      <c r="EZ42" s="85"/>
      <c r="FA42" s="85"/>
      <c r="FB42" s="85"/>
      <c r="FC42" s="85"/>
      <c r="FD42" s="85"/>
      <c r="FE42" s="85"/>
      <c r="FF42" s="85"/>
      <c r="FG42" s="85"/>
      <c r="FH42" s="85"/>
      <c r="FI42" s="85"/>
      <c r="FJ42" s="85"/>
      <c r="FK42" s="85"/>
      <c r="FL42" s="85"/>
      <c r="FM42" s="85"/>
      <c r="FN42" s="85"/>
      <c r="FO42" s="85"/>
      <c r="FP42" s="85"/>
      <c r="FQ42" s="85"/>
      <c r="FR42" s="85"/>
      <c r="FS42" s="85"/>
      <c r="FT42" s="85"/>
      <c r="FU42" s="85"/>
      <c r="FV42" s="85"/>
      <c r="FW42" s="85"/>
      <c r="FX42" s="85"/>
      <c r="FY42" s="85"/>
      <c r="FZ42" s="85"/>
      <c r="GA42" s="85"/>
      <c r="GB42" s="85"/>
      <c r="GC42" s="85"/>
      <c r="GD42" s="85"/>
      <c r="GE42" s="85"/>
      <c r="GF42" s="85"/>
      <c r="GG42" s="85"/>
      <c r="GH42" s="85"/>
      <c r="GI42" s="85"/>
      <c r="GJ42" s="85"/>
      <c r="GK42" s="85"/>
      <c r="GL42" s="85"/>
      <c r="GM42" s="85"/>
      <c r="GN42" s="85"/>
      <c r="GO42" s="85"/>
      <c r="GP42" s="85"/>
      <c r="GQ42" s="85"/>
      <c r="GR42" s="85"/>
      <c r="GS42" s="85"/>
      <c r="GT42" s="85"/>
      <c r="GU42" s="85"/>
      <c r="GV42" s="85"/>
      <c r="GW42" s="85"/>
      <c r="GX42" s="85"/>
      <c r="GY42" s="85"/>
      <c r="GZ42" s="85"/>
      <c r="HA42" s="85"/>
      <c r="HB42" s="85"/>
      <c r="HC42" s="85"/>
      <c r="HD42" s="85"/>
      <c r="HE42" s="85"/>
      <c r="HF42" s="85"/>
      <c r="HG42" s="85"/>
      <c r="HH42" s="85"/>
      <c r="HI42" s="85"/>
      <c r="HJ42" s="85"/>
      <c r="HK42" s="85"/>
      <c r="HL42" s="85"/>
      <c r="HM42" s="85"/>
      <c r="HN42" s="85"/>
      <c r="HO42" s="85"/>
      <c r="HP42" s="85"/>
      <c r="HQ42" s="85"/>
      <c r="HR42" s="85"/>
      <c r="HS42" s="85"/>
      <c r="HT42" s="85"/>
      <c r="HU42" s="85"/>
      <c r="HV42" s="85"/>
      <c r="HW42" s="85"/>
      <c r="HX42" s="85"/>
      <c r="HY42" s="85"/>
      <c r="HZ42" s="85"/>
      <c r="IA42" s="85"/>
      <c r="IB42" s="85"/>
      <c r="IC42" s="85"/>
      <c r="ID42" s="85"/>
      <c r="IE42" s="85"/>
      <c r="IF42" s="85"/>
      <c r="IG42" s="85"/>
      <c r="IH42" s="85"/>
      <c r="II42" s="85"/>
      <c r="IJ42" s="85"/>
      <c r="IK42" s="85"/>
      <c r="IL42" s="85"/>
      <c r="IM42" s="85"/>
      <c r="IN42" s="85"/>
      <c r="IO42" s="85"/>
      <c r="IP42" s="85"/>
      <c r="IQ42" s="85"/>
      <c r="IR42" s="85"/>
      <c r="IS42" s="85"/>
      <c r="IT42" s="85"/>
      <c r="IU42" s="85"/>
      <c r="IV42" s="85"/>
    </row>
    <row r="43" spans="1:256" s="27" customFormat="1" ht="12" customHeight="1" x14ac:dyDescent="0.25">
      <c r="A43" s="122"/>
      <c r="B43" s="122"/>
      <c r="C43" s="122"/>
      <c r="D43" s="122"/>
      <c r="E43" s="29" t="s">
        <v>57</v>
      </c>
      <c r="F43" s="141"/>
      <c r="G43" s="141"/>
      <c r="H43" s="141"/>
      <c r="I43" s="141"/>
      <c r="J43" s="141"/>
      <c r="K43" s="125"/>
      <c r="L43" s="125"/>
      <c r="M43" s="125"/>
      <c r="N43" s="125"/>
      <c r="O43" s="149"/>
      <c r="P43" s="125"/>
      <c r="Q43" s="125"/>
      <c r="R43" s="125"/>
      <c r="S43" s="125"/>
      <c r="T43" s="141">
        <v>0</v>
      </c>
      <c r="U43" s="125"/>
      <c r="V43" s="125"/>
      <c r="W43" s="125"/>
      <c r="X43" s="125"/>
      <c r="Y43" s="141">
        <v>0</v>
      </c>
      <c r="Z43" s="125"/>
      <c r="AA43" s="125"/>
      <c r="AB43" s="125"/>
      <c r="AC43" s="125"/>
      <c r="AD43" s="141">
        <v>0</v>
      </c>
      <c r="AE43" s="125">
        <v>0</v>
      </c>
      <c r="AF43" s="125">
        <v>0</v>
      </c>
      <c r="AG43" s="125">
        <v>0</v>
      </c>
      <c r="AH43" s="125">
        <v>0</v>
      </c>
      <c r="AI43" s="149">
        <f>SUM(AE43:AH43)</f>
        <v>0</v>
      </c>
      <c r="AJ43" s="125">
        <v>0</v>
      </c>
      <c r="AK43" s="125">
        <v>0</v>
      </c>
      <c r="AL43" s="125">
        <v>0</v>
      </c>
      <c r="AM43" s="125">
        <v>0</v>
      </c>
      <c r="AN43" s="149">
        <f>SUM(AJ43:AM43)</f>
        <v>0</v>
      </c>
      <c r="AO43" s="125">
        <v>0</v>
      </c>
      <c r="AP43" s="125">
        <v>0</v>
      </c>
      <c r="AQ43" s="125">
        <v>0</v>
      </c>
      <c r="AR43" s="125">
        <v>0</v>
      </c>
      <c r="AS43" s="149">
        <f>SUM(AO43:AR43)</f>
        <v>0</v>
      </c>
      <c r="AT43" s="125">
        <v>0</v>
      </c>
      <c r="AU43" s="125">
        <v>0</v>
      </c>
      <c r="AV43" s="125">
        <v>0</v>
      </c>
      <c r="AW43" s="125">
        <v>0</v>
      </c>
      <c r="AX43" s="149">
        <f>SUM(AT43:AW43)</f>
        <v>0</v>
      </c>
      <c r="AY43" s="125">
        <v>0</v>
      </c>
      <c r="AZ43" s="125">
        <v>0</v>
      </c>
      <c r="BA43" s="125">
        <v>0</v>
      </c>
      <c r="BB43" s="125">
        <v>0</v>
      </c>
      <c r="BC43" s="149">
        <f>SUM(AY43:BB43)</f>
        <v>0</v>
      </c>
      <c r="BD43" s="125">
        <v>0</v>
      </c>
      <c r="BE43" s="125">
        <v>0</v>
      </c>
      <c r="BF43" s="125">
        <v>0</v>
      </c>
      <c r="BG43" s="125">
        <v>0</v>
      </c>
      <c r="BH43" s="149">
        <f>SUM(BD43:BG43)</f>
        <v>0</v>
      </c>
      <c r="BI43" s="125">
        <v>0</v>
      </c>
      <c r="BJ43" s="125">
        <v>0</v>
      </c>
      <c r="BK43" s="125">
        <v>0</v>
      </c>
      <c r="BL43" s="125">
        <v>0</v>
      </c>
      <c r="BM43" s="149">
        <f>SUM(BI43:BL43)</f>
        <v>0</v>
      </c>
      <c r="BN43" s="125">
        <f>-0.013+2.927</f>
        <v>2.9140000000000001</v>
      </c>
      <c r="BO43" s="125">
        <f>0.082</f>
        <v>8.2000000000000003E-2</v>
      </c>
      <c r="BP43" s="125">
        <v>0.14000000000000001</v>
      </c>
      <c r="BQ43" s="125">
        <v>-0.104</v>
      </c>
      <c r="BR43" s="149">
        <f>SUM(BN43:BQ43)</f>
        <v>3.032</v>
      </c>
      <c r="BS43" s="125">
        <f>7.016</f>
        <v>7.016</v>
      </c>
      <c r="BT43" s="125">
        <v>125.324</v>
      </c>
      <c r="BU43" s="125">
        <f>0.562+1.675</f>
        <v>2.2370000000000001</v>
      </c>
      <c r="BV43" s="125">
        <v>-3.9540000000000002</v>
      </c>
      <c r="BW43" s="149">
        <f>SUM(BS43:BV43)</f>
        <v>130.62299999999999</v>
      </c>
      <c r="BX43" s="125">
        <v>0</v>
      </c>
      <c r="BY43" s="125">
        <v>0</v>
      </c>
      <c r="BZ43" s="125">
        <v>0</v>
      </c>
      <c r="CA43" s="125">
        <v>0</v>
      </c>
      <c r="CB43" s="149">
        <f>SUM(BX43:CA43)</f>
        <v>0</v>
      </c>
      <c r="CC43" s="125">
        <f>34.046-CD43</f>
        <v>9.0279999999999987</v>
      </c>
      <c r="CD43" s="125">
        <v>25.018000000000001</v>
      </c>
      <c r="CE43" s="800">
        <v>0</v>
      </c>
      <c r="CF43" s="800">
        <v>0</v>
      </c>
      <c r="CG43" s="149">
        <f>SUM(CC43:CF43)</f>
        <v>34.045999999999999</v>
      </c>
      <c r="CH43" s="125">
        <f>39.642-CI43</f>
        <v>13.441000000000003</v>
      </c>
      <c r="CI43" s="125">
        <v>26.201000000000001</v>
      </c>
      <c r="CJ43" s="172">
        <v>0</v>
      </c>
      <c r="CK43" s="172">
        <v>0</v>
      </c>
      <c r="CL43" s="149">
        <f>SUM(CH43:CK43)</f>
        <v>39.642000000000003</v>
      </c>
      <c r="CM43" s="172">
        <v>0</v>
      </c>
      <c r="CN43" s="172">
        <v>0</v>
      </c>
      <c r="CO43" s="172">
        <v>0</v>
      </c>
      <c r="CP43" s="172">
        <v>0</v>
      </c>
      <c r="CQ43" s="149">
        <f>SUM(CM43:CP43)</f>
        <v>0</v>
      </c>
      <c r="CR43" s="172">
        <v>0</v>
      </c>
      <c r="CS43" s="172">
        <v>0</v>
      </c>
      <c r="CT43" s="172">
        <v>0</v>
      </c>
      <c r="CU43" s="172">
        <v>0</v>
      </c>
      <c r="CV43" s="149">
        <f>SUM(CR43:CU43)</f>
        <v>0</v>
      </c>
      <c r="CW43" s="85"/>
      <c r="CX43" s="85"/>
      <c r="CY43" s="85"/>
      <c r="CZ43" s="85"/>
      <c r="DA43" s="85"/>
      <c r="DB43" s="85"/>
      <c r="DC43" s="85"/>
      <c r="DD43" s="85"/>
      <c r="DE43" s="85"/>
      <c r="DF43" s="85"/>
      <c r="DG43" s="85"/>
      <c r="DH43" s="85"/>
      <c r="DI43" s="85"/>
      <c r="DJ43" s="85"/>
      <c r="DK43" s="85"/>
      <c r="DL43" s="85"/>
      <c r="DM43" s="85"/>
      <c r="DN43" s="85"/>
      <c r="DO43" s="85"/>
      <c r="DP43" s="85"/>
      <c r="DQ43" s="85"/>
      <c r="DR43" s="85"/>
      <c r="DS43" s="85"/>
      <c r="DT43" s="85"/>
      <c r="DU43" s="85"/>
      <c r="DV43" s="85"/>
      <c r="DW43" s="85"/>
      <c r="DX43" s="85"/>
      <c r="DY43" s="85"/>
      <c r="DZ43" s="85"/>
      <c r="EA43" s="85"/>
      <c r="EB43" s="85"/>
      <c r="EC43" s="85"/>
      <c r="ED43" s="85"/>
      <c r="EE43" s="85"/>
      <c r="EF43" s="85"/>
      <c r="EG43" s="85"/>
      <c r="EH43" s="85"/>
      <c r="EI43" s="85"/>
      <c r="EJ43" s="85"/>
      <c r="EK43" s="85"/>
      <c r="EL43" s="85"/>
      <c r="EM43" s="85"/>
      <c r="EN43" s="85"/>
      <c r="EO43" s="85"/>
      <c r="EP43" s="85"/>
      <c r="EQ43" s="85"/>
      <c r="ER43" s="85"/>
      <c r="ES43" s="85"/>
      <c r="ET43" s="85"/>
      <c r="EU43" s="85"/>
      <c r="EV43" s="85"/>
      <c r="EW43" s="85"/>
      <c r="EX43" s="85"/>
      <c r="EY43" s="85"/>
      <c r="EZ43" s="85"/>
      <c r="FA43" s="85"/>
      <c r="FB43" s="85"/>
      <c r="FC43" s="85"/>
      <c r="FD43" s="85"/>
      <c r="FE43" s="85"/>
      <c r="FF43" s="85"/>
      <c r="FG43" s="85"/>
      <c r="FH43" s="85"/>
      <c r="FI43" s="85"/>
      <c r="FJ43" s="85"/>
      <c r="FK43" s="85"/>
      <c r="FL43" s="85"/>
      <c r="FM43" s="85"/>
      <c r="FN43" s="85"/>
      <c r="FO43" s="85"/>
      <c r="FP43" s="85"/>
      <c r="FQ43" s="85"/>
      <c r="FR43" s="85"/>
      <c r="FS43" s="85"/>
      <c r="FT43" s="85"/>
      <c r="FU43" s="85"/>
      <c r="FV43" s="85"/>
      <c r="FW43" s="85"/>
      <c r="FX43" s="85"/>
      <c r="FY43" s="85"/>
      <c r="FZ43" s="85"/>
      <c r="GA43" s="85"/>
      <c r="GB43" s="85"/>
      <c r="GC43" s="85"/>
      <c r="GD43" s="85"/>
      <c r="GE43" s="85"/>
      <c r="GF43" s="85"/>
      <c r="GG43" s="85"/>
      <c r="GH43" s="85"/>
      <c r="GI43" s="85"/>
      <c r="GJ43" s="85"/>
      <c r="GK43" s="85"/>
      <c r="GL43" s="85"/>
      <c r="GM43" s="85"/>
      <c r="GN43" s="85"/>
      <c r="GO43" s="85"/>
      <c r="GP43" s="85"/>
      <c r="GQ43" s="85"/>
      <c r="GR43" s="85"/>
      <c r="GS43" s="85"/>
      <c r="GT43" s="85"/>
      <c r="GU43" s="85"/>
      <c r="GV43" s="85"/>
      <c r="GW43" s="85"/>
      <c r="GX43" s="85"/>
      <c r="GY43" s="85"/>
      <c r="GZ43" s="85"/>
      <c r="HA43" s="85"/>
      <c r="HB43" s="85"/>
      <c r="HC43" s="85"/>
      <c r="HD43" s="85"/>
      <c r="HE43" s="85"/>
      <c r="HF43" s="85"/>
      <c r="HG43" s="85"/>
      <c r="HH43" s="85"/>
      <c r="HI43" s="85"/>
      <c r="HJ43" s="85"/>
      <c r="HK43" s="85"/>
      <c r="HL43" s="85"/>
      <c r="HM43" s="85"/>
      <c r="HN43" s="85"/>
      <c r="HO43" s="85"/>
      <c r="HP43" s="85"/>
      <c r="HQ43" s="85"/>
      <c r="HR43" s="85"/>
      <c r="HS43" s="85"/>
      <c r="HT43" s="85"/>
      <c r="HU43" s="85"/>
      <c r="HV43" s="85"/>
      <c r="HW43" s="85"/>
      <c r="HX43" s="85"/>
      <c r="HY43" s="85"/>
      <c r="HZ43" s="85"/>
      <c r="IA43" s="85"/>
      <c r="IB43" s="85"/>
      <c r="IC43" s="85"/>
      <c r="ID43" s="85"/>
      <c r="IE43" s="85"/>
      <c r="IF43" s="85"/>
      <c r="IG43" s="85"/>
      <c r="IH43" s="85"/>
      <c r="II43" s="85"/>
      <c r="IJ43" s="85"/>
      <c r="IK43" s="85"/>
      <c r="IL43" s="85"/>
      <c r="IM43" s="85"/>
      <c r="IN43" s="85"/>
      <c r="IO43" s="85"/>
      <c r="IP43" s="85"/>
      <c r="IQ43" s="85"/>
      <c r="IR43" s="85"/>
      <c r="IS43" s="85"/>
      <c r="IT43" s="85"/>
      <c r="IU43" s="85"/>
      <c r="IV43" s="85"/>
    </row>
    <row r="44" spans="1:256" s="27" customFormat="1" ht="3.95" customHeight="1" x14ac:dyDescent="0.25">
      <c r="A44" s="122"/>
      <c r="B44" s="122"/>
      <c r="C44" s="122"/>
      <c r="D44" s="122"/>
      <c r="F44" s="139"/>
      <c r="G44" s="139"/>
      <c r="H44" s="139"/>
      <c r="I44" s="139"/>
      <c r="J44" s="139"/>
      <c r="O44" s="139"/>
      <c r="T44" s="139"/>
      <c r="Y44" s="139"/>
      <c r="AD44" s="139"/>
      <c r="AI44" s="139"/>
      <c r="AN44" s="139"/>
      <c r="AS44" s="139"/>
      <c r="AX44" s="139"/>
      <c r="BC44" s="139"/>
      <c r="BH44" s="139"/>
      <c r="BM44" s="139"/>
      <c r="BR44" s="139"/>
      <c r="BW44" s="139"/>
      <c r="CB44" s="139"/>
      <c r="CG44" s="139"/>
      <c r="CL44" s="139"/>
      <c r="CQ44" s="139"/>
      <c r="CV44" s="139"/>
      <c r="CW44" s="85"/>
      <c r="CX44" s="85"/>
      <c r="CY44" s="85"/>
      <c r="CZ44" s="85"/>
      <c r="DA44" s="85"/>
      <c r="DB44" s="85"/>
      <c r="DC44" s="85"/>
      <c r="DD44" s="85"/>
      <c r="DE44" s="85"/>
      <c r="DF44" s="85"/>
      <c r="DG44" s="85"/>
      <c r="DH44" s="85"/>
      <c r="DI44" s="85"/>
      <c r="DJ44" s="85"/>
      <c r="DK44" s="85"/>
      <c r="DL44" s="85"/>
      <c r="DM44" s="85"/>
      <c r="DN44" s="85"/>
      <c r="DO44" s="85"/>
      <c r="DP44" s="85"/>
      <c r="DQ44" s="85"/>
      <c r="DR44" s="85"/>
      <c r="DS44" s="85"/>
      <c r="DT44" s="85"/>
      <c r="DU44" s="85"/>
      <c r="DV44" s="85"/>
      <c r="DW44" s="85"/>
      <c r="DX44" s="85"/>
      <c r="DY44" s="85"/>
      <c r="DZ44" s="85"/>
      <c r="EA44" s="85"/>
      <c r="EB44" s="85"/>
      <c r="EC44" s="85"/>
      <c r="ED44" s="85"/>
      <c r="EE44" s="85"/>
      <c r="EF44" s="85"/>
      <c r="EG44" s="85"/>
      <c r="EH44" s="85"/>
      <c r="EI44" s="85"/>
      <c r="EJ44" s="85"/>
      <c r="EK44" s="85"/>
      <c r="EL44" s="85"/>
      <c r="EM44" s="85"/>
      <c r="EN44" s="85"/>
      <c r="EO44" s="85"/>
      <c r="EP44" s="85"/>
      <c r="EQ44" s="85"/>
      <c r="ER44" s="85"/>
      <c r="ES44" s="85"/>
      <c r="ET44" s="85"/>
      <c r="EU44" s="85"/>
      <c r="EV44" s="85"/>
      <c r="EW44" s="85"/>
      <c r="EX44" s="85"/>
      <c r="EY44" s="85"/>
      <c r="EZ44" s="85"/>
      <c r="FA44" s="85"/>
      <c r="FB44" s="85"/>
      <c r="FC44" s="85"/>
      <c r="FD44" s="85"/>
      <c r="FE44" s="85"/>
      <c r="FF44" s="85"/>
      <c r="FG44" s="85"/>
      <c r="FH44" s="85"/>
      <c r="FI44" s="85"/>
      <c r="FJ44" s="85"/>
      <c r="FK44" s="85"/>
      <c r="FL44" s="85"/>
      <c r="FM44" s="85"/>
      <c r="FN44" s="85"/>
      <c r="FO44" s="85"/>
      <c r="FP44" s="85"/>
      <c r="FQ44" s="85"/>
      <c r="FR44" s="85"/>
      <c r="FS44" s="85"/>
      <c r="FT44" s="85"/>
      <c r="FU44" s="85"/>
      <c r="FV44" s="85"/>
      <c r="FW44" s="85"/>
      <c r="FX44" s="85"/>
      <c r="FY44" s="85"/>
      <c r="FZ44" s="85"/>
      <c r="GA44" s="85"/>
      <c r="GB44" s="85"/>
      <c r="GC44" s="85"/>
      <c r="GD44" s="85"/>
      <c r="GE44" s="85"/>
      <c r="GF44" s="85"/>
      <c r="GG44" s="85"/>
      <c r="GH44" s="85"/>
      <c r="GI44" s="85"/>
      <c r="GJ44" s="85"/>
      <c r="GK44" s="85"/>
      <c r="GL44" s="85"/>
      <c r="GM44" s="85"/>
      <c r="GN44" s="85"/>
      <c r="GO44" s="85"/>
      <c r="GP44" s="85"/>
      <c r="GQ44" s="85"/>
      <c r="GR44" s="85"/>
      <c r="GS44" s="85"/>
      <c r="GT44" s="85"/>
      <c r="GU44" s="85"/>
      <c r="GV44" s="85"/>
      <c r="GW44" s="85"/>
      <c r="GX44" s="85"/>
      <c r="GY44" s="85"/>
      <c r="GZ44" s="85"/>
      <c r="HA44" s="85"/>
      <c r="HB44" s="85"/>
      <c r="HC44" s="85"/>
      <c r="HD44" s="85"/>
      <c r="HE44" s="85"/>
      <c r="HF44" s="85"/>
      <c r="HG44" s="85"/>
      <c r="HH44" s="85"/>
      <c r="HI44" s="85"/>
      <c r="HJ44" s="85"/>
      <c r="HK44" s="85"/>
      <c r="HL44" s="85"/>
      <c r="HM44" s="85"/>
      <c r="HN44" s="85"/>
      <c r="HO44" s="85"/>
      <c r="HP44" s="85"/>
      <c r="HQ44" s="85"/>
      <c r="HR44" s="85"/>
      <c r="HS44" s="85"/>
      <c r="HT44" s="85"/>
      <c r="HU44" s="85"/>
      <c r="HV44" s="85"/>
      <c r="HW44" s="85"/>
      <c r="HX44" s="85"/>
      <c r="HY44" s="85"/>
      <c r="HZ44" s="85"/>
      <c r="IA44" s="85"/>
      <c r="IB44" s="85"/>
      <c r="IC44" s="85"/>
      <c r="ID44" s="85"/>
      <c r="IE44" s="85"/>
      <c r="IF44" s="85"/>
      <c r="IG44" s="85"/>
      <c r="IH44" s="85"/>
      <c r="II44" s="85"/>
      <c r="IJ44" s="85"/>
      <c r="IK44" s="85"/>
      <c r="IL44" s="85"/>
      <c r="IM44" s="85"/>
      <c r="IN44" s="85"/>
      <c r="IO44" s="85"/>
      <c r="IP44" s="85"/>
      <c r="IQ44" s="85"/>
      <c r="IR44" s="85"/>
      <c r="IS44" s="85"/>
      <c r="IT44" s="85"/>
      <c r="IU44" s="85"/>
      <c r="IV44" s="85"/>
    </row>
    <row r="45" spans="1:256" s="27" customFormat="1" ht="12" customHeight="1" x14ac:dyDescent="0.25">
      <c r="A45" s="122"/>
      <c r="B45" s="122"/>
      <c r="C45" s="122"/>
      <c r="D45" s="122"/>
      <c r="E45" s="27" t="s">
        <v>55</v>
      </c>
      <c r="F45" s="139"/>
      <c r="G45" s="139"/>
      <c r="H45" s="139"/>
      <c r="I45" s="139"/>
      <c r="J45" s="139"/>
      <c r="O45" s="139"/>
      <c r="T45" s="139">
        <f>T22+T30+T40+T42+T43</f>
        <v>-10.16999999999998</v>
      </c>
      <c r="Y45" s="139">
        <f>Y22+Y30+Y40+Y42+Y43</f>
        <v>3.5200000000000014</v>
      </c>
      <c r="AD45" s="139">
        <f>AD22+AD30+AD40+AD42+AD43</f>
        <v>30.071000000000023</v>
      </c>
      <c r="AE45" s="27">
        <f>AE22+AE30+AE40+AE42+AE43</f>
        <v>23.603999999999999</v>
      </c>
      <c r="AF45" s="27">
        <f>AF22+AF30+AF40+AF42+AF43</f>
        <v>-7.549000000000003</v>
      </c>
      <c r="AG45" s="27">
        <f>AG22+AG30+AG40+AG42+AG43</f>
        <v>12.434000000000001</v>
      </c>
      <c r="AH45" s="27">
        <f>AH22+AH30+AH40+AH42+AH43</f>
        <v>-3.6039999999999957</v>
      </c>
      <c r="AI45" s="139">
        <f>SUM(AE45:AH45)</f>
        <v>24.885000000000002</v>
      </c>
      <c r="AJ45" s="27">
        <f>AJ22+AJ30+AJ40+AJ42+AJ43</f>
        <v>-10.862000000000004</v>
      </c>
      <c r="AK45" s="27">
        <f>AK22+AK30+AK40+AK42+AK43</f>
        <v>41.570999999999998</v>
      </c>
      <c r="AL45" s="27">
        <f>AL22+AL30+AL40+AL42+AL43</f>
        <v>44.704999999999998</v>
      </c>
      <c r="AM45" s="27">
        <f>AM22+AM30+AM40+AM42+AM43</f>
        <v>39.090999999999994</v>
      </c>
      <c r="AN45" s="139">
        <f>SUM(AJ45:AM45)</f>
        <v>114.50499999999998</v>
      </c>
      <c r="AO45" s="27">
        <f>AO22+AO30+AO40+AO42+AO43</f>
        <v>-9.4959999999999969</v>
      </c>
      <c r="AP45" s="27">
        <f>AP22+AP30+AP40+AP42+AP43</f>
        <v>-3.599999999999301E-2</v>
      </c>
      <c r="AQ45" s="27">
        <f>AQ22+AQ30+AQ40+AQ42+AQ43</f>
        <v>32.948000000000008</v>
      </c>
      <c r="AR45" s="27">
        <f>AR22+AR30+AR40+AR42+AR43</f>
        <v>23.521999999999995</v>
      </c>
      <c r="AS45" s="139">
        <f>SUM(AO45:AR45)</f>
        <v>46.938000000000017</v>
      </c>
      <c r="AT45" s="27">
        <f>AT22+AT30+AT40+AT42+AT43</f>
        <v>-5.6470000000000002</v>
      </c>
      <c r="AU45" s="27">
        <f>AU22+AU30+AU40+AU42+AU43</f>
        <v>-19.073</v>
      </c>
      <c r="AV45" s="27">
        <f>AV22+AV30+AV40+AV42+AV43</f>
        <v>4.552000000000012</v>
      </c>
      <c r="AW45" s="27">
        <f>AW22+AW30+AW40+AW42+AW43</f>
        <v>3.0869999999999957</v>
      </c>
      <c r="AX45" s="139">
        <f>SUM(AT45:AW45)</f>
        <v>-17.080999999999989</v>
      </c>
      <c r="AY45" s="27">
        <f>AY22+AY30+AY40+AY42+AY43</f>
        <v>-15.928999999999998</v>
      </c>
      <c r="AZ45" s="27">
        <f>AZ22+AZ30+AZ40+AZ42+AZ43</f>
        <v>-71.980999999999995</v>
      </c>
      <c r="BA45" s="27">
        <f>BA22+BA30+BA40+BA42+BA43</f>
        <v>26.750000000000004</v>
      </c>
      <c r="BB45" s="27">
        <f>BB22+BB30+BB40+BB42+BB43</f>
        <v>83.784999999999982</v>
      </c>
      <c r="BC45" s="139">
        <f>SUM(AY45:BB45)</f>
        <v>22.624999999999986</v>
      </c>
      <c r="BD45" s="27">
        <f>BD22+BD30+BD40+BD42+BD43</f>
        <v>-50.365999999999993</v>
      </c>
      <c r="BE45" s="27">
        <f>BE22+BE30+BE40+BE42+BE43</f>
        <v>9.1220000000000017</v>
      </c>
      <c r="BF45" s="27">
        <f>BF22+BF30+BF40+BF42+BF43</f>
        <v>-2.1840000000000011</v>
      </c>
      <c r="BG45" s="27">
        <f>BG22+BG30+BG40+BG42+BG43</f>
        <v>36.754000000000005</v>
      </c>
      <c r="BH45" s="139">
        <f>SUM(BD45:BG45)</f>
        <v>-6.6739999999999924</v>
      </c>
      <c r="BI45" s="27">
        <f>BI22+BI30+BI40+BI42+BI43</f>
        <v>-15.343999999999998</v>
      </c>
      <c r="BJ45" s="27">
        <f>BJ22+BJ30+BJ40+BJ42+BJ43</f>
        <v>8.9859999999999989</v>
      </c>
      <c r="BK45" s="27">
        <f>BK22+BK30+BK40+BK42+BK43</f>
        <v>164.29199999999997</v>
      </c>
      <c r="BL45" s="27">
        <f>BL22+BL30+BL40+BL42+BL43</f>
        <v>37.678000000000004</v>
      </c>
      <c r="BM45" s="139">
        <f>SUM(BI45:BL45)</f>
        <v>195.61199999999997</v>
      </c>
      <c r="BN45" s="27">
        <f>BN22+BN30+BN40+BN42+BN43</f>
        <v>-25.6676</v>
      </c>
      <c r="BO45" s="27">
        <f>BO22+BO30+BO40+BO42+BO43</f>
        <v>-283.10799999999995</v>
      </c>
      <c r="BP45" s="27">
        <f>BP22+BP30+BP40+BP42+BP43</f>
        <v>17.081000000000003</v>
      </c>
      <c r="BQ45" s="27">
        <f>BQ22+BQ30+BQ40+BQ42+BQ43</f>
        <v>14.119</v>
      </c>
      <c r="BR45" s="139">
        <f>SUM(BN45:BQ45)</f>
        <v>-277.57559999999989</v>
      </c>
      <c r="BS45" s="27">
        <f>BS22+BS30+BS40+BS42+BS43</f>
        <v>-17.818000000000005</v>
      </c>
      <c r="BT45" s="27">
        <f>BT22+BT30+BT40+BT42+BT43</f>
        <v>57.753</v>
      </c>
      <c r="BU45" s="27">
        <f>BU22+BU30+BU40+BU42+BU43</f>
        <v>5.4450000000000092</v>
      </c>
      <c r="BV45" s="27">
        <f>BV22+BV30+BV40+BV42+BV43</f>
        <v>3.2390000000000021</v>
      </c>
      <c r="BW45" s="139">
        <f>SUM(BS45:BV45)</f>
        <v>48.619000000000007</v>
      </c>
      <c r="BX45" s="27">
        <f>BX22+BX30+BX40+BX42+BX43</f>
        <v>-39.469000000000001</v>
      </c>
      <c r="BY45" s="27">
        <f>BY22+BY30+BY40+BY42+BY43</f>
        <v>25.248999999999999</v>
      </c>
      <c r="BZ45" s="27">
        <f>BZ22+BZ30+BZ40+BZ42+BZ43</f>
        <v>-37.558999999999997</v>
      </c>
      <c r="CA45" s="27">
        <f>CA22+CA30+CA40+CA42+CA43</f>
        <v>32.492999999999981</v>
      </c>
      <c r="CB45" s="139">
        <f>SUM(BX45:CA45)</f>
        <v>-19.286000000000016</v>
      </c>
      <c r="CC45" s="27">
        <f>CC22+CC30+CC40+CC42+CC43</f>
        <v>-6.5070000000000014</v>
      </c>
      <c r="CD45" s="27">
        <f>CD22+CD30+CD40+CD42+CD43</f>
        <v>6.179000000000002</v>
      </c>
      <c r="CE45" s="27">
        <f>CE22+CE30+CE40+CE42+CE43</f>
        <v>7.4190000000000005</v>
      </c>
      <c r="CF45" s="27">
        <f>CF22+CF30+CF40+CF42+CF43</f>
        <v>-15.734000000000002</v>
      </c>
      <c r="CG45" s="139">
        <f>SUM(CC45:CF45)</f>
        <v>-8.6430000000000007</v>
      </c>
      <c r="CH45" s="27">
        <f>CH22+CH30+CH40+CH42+CH43</f>
        <v>-46.462999999999994</v>
      </c>
      <c r="CI45" s="27">
        <f>CI22+CI30+CI40+CI42+CI43</f>
        <v>-6.5080000000000027</v>
      </c>
      <c r="CJ45" s="27">
        <f>CJ22+CJ30+CJ40+CJ42+CJ43</f>
        <v>1516.6647380000002</v>
      </c>
      <c r="CK45" s="27">
        <f>CK22+CK30+CK40+CK42+CK43</f>
        <v>-602.04363114625005</v>
      </c>
      <c r="CL45" s="139">
        <f>SUM(CH45:CK45)</f>
        <v>861.65010685375012</v>
      </c>
      <c r="CM45" s="27">
        <f>CM22+CM30+CM40+CM42+CM43</f>
        <v>-93.671113069158125</v>
      </c>
      <c r="CN45" s="27">
        <f>CN22+CN30+CN40+CN42+CN43</f>
        <v>-97.015418703746263</v>
      </c>
      <c r="CO45" s="27">
        <f>CO22+CO30+CO40+CO42+CO43</f>
        <v>-78.878874888995966</v>
      </c>
      <c r="CP45" s="27">
        <f>CP22+CP30+CP40+CP42+CP43</f>
        <v>-71.050669215614732</v>
      </c>
      <c r="CQ45" s="139">
        <f>SUM(CM45:CP45)</f>
        <v>-340.61607587751513</v>
      </c>
      <c r="CR45" s="27">
        <f>CR22+CR30+CR40+CR42+CR43</f>
        <v>-24.205293619118812</v>
      </c>
      <c r="CS45" s="27">
        <f>CS22+CS30+CS40+CS42+CS43</f>
        <v>-25.475724173444785</v>
      </c>
      <c r="CT45" s="27">
        <f>CT22+CT30+CT40+CT42+CT43</f>
        <v>-17.900336551519111</v>
      </c>
      <c r="CU45" s="27">
        <f>CU22+CU30+CU40+CU42+CU43</f>
        <v>-15.462120145434163</v>
      </c>
      <c r="CV45" s="139">
        <f>SUM(CR45:CU45)</f>
        <v>-83.043474489516882</v>
      </c>
      <c r="CW45" s="85"/>
      <c r="CX45" s="85"/>
      <c r="CY45" s="85"/>
      <c r="CZ45" s="85"/>
      <c r="DA45" s="85"/>
      <c r="DB45" s="85"/>
      <c r="DC45" s="85"/>
      <c r="DD45" s="85"/>
      <c r="DE45" s="85"/>
      <c r="DF45" s="85"/>
      <c r="DG45" s="85"/>
      <c r="DH45" s="85"/>
      <c r="DI45" s="85"/>
      <c r="DJ45" s="85"/>
      <c r="DK45" s="85"/>
      <c r="DL45" s="85"/>
      <c r="DM45" s="85"/>
      <c r="DN45" s="85"/>
      <c r="DO45" s="85"/>
      <c r="DP45" s="85"/>
      <c r="DQ45" s="85"/>
      <c r="DR45" s="85"/>
      <c r="DS45" s="85"/>
      <c r="DT45" s="85"/>
      <c r="DU45" s="85"/>
      <c r="DV45" s="85"/>
      <c r="DW45" s="85"/>
      <c r="DX45" s="85"/>
      <c r="DY45" s="85"/>
      <c r="DZ45" s="85"/>
      <c r="EA45" s="85"/>
      <c r="EB45" s="85"/>
      <c r="EC45" s="85"/>
      <c r="ED45" s="85"/>
      <c r="EE45" s="85"/>
      <c r="EF45" s="85"/>
      <c r="EG45" s="85"/>
      <c r="EH45" s="85"/>
      <c r="EI45" s="85"/>
      <c r="EJ45" s="85"/>
      <c r="EK45" s="85"/>
      <c r="EL45" s="85"/>
      <c r="EM45" s="85"/>
      <c r="EN45" s="85"/>
      <c r="EO45" s="85"/>
      <c r="EP45" s="85"/>
      <c r="EQ45" s="85"/>
      <c r="ER45" s="85"/>
      <c r="ES45" s="85"/>
      <c r="ET45" s="85"/>
      <c r="EU45" s="85"/>
      <c r="EV45" s="85"/>
      <c r="EW45" s="85"/>
      <c r="EX45" s="85"/>
      <c r="EY45" s="85"/>
      <c r="EZ45" s="85"/>
      <c r="FA45" s="85"/>
      <c r="FB45" s="85"/>
      <c r="FC45" s="85"/>
      <c r="FD45" s="85"/>
      <c r="FE45" s="85"/>
      <c r="FF45" s="85"/>
      <c r="FG45" s="85"/>
      <c r="FH45" s="85"/>
      <c r="FI45" s="85"/>
      <c r="FJ45" s="85"/>
      <c r="FK45" s="85"/>
      <c r="FL45" s="85"/>
      <c r="FM45" s="85"/>
      <c r="FN45" s="85"/>
      <c r="FO45" s="85"/>
      <c r="FP45" s="85"/>
      <c r="FQ45" s="85"/>
      <c r="FR45" s="85"/>
      <c r="FS45" s="85"/>
      <c r="FT45" s="85"/>
      <c r="FU45" s="85"/>
      <c r="FV45" s="85"/>
      <c r="FW45" s="85"/>
      <c r="FX45" s="85"/>
      <c r="FY45" s="85"/>
      <c r="FZ45" s="85"/>
      <c r="GA45" s="85"/>
      <c r="GB45" s="85"/>
      <c r="GC45" s="85"/>
      <c r="GD45" s="85"/>
      <c r="GE45" s="85"/>
      <c r="GF45" s="85"/>
      <c r="GG45" s="85"/>
      <c r="GH45" s="85"/>
      <c r="GI45" s="85"/>
      <c r="GJ45" s="85"/>
      <c r="GK45" s="85"/>
      <c r="GL45" s="85"/>
      <c r="GM45" s="85"/>
      <c r="GN45" s="85"/>
      <c r="GO45" s="85"/>
      <c r="GP45" s="85"/>
      <c r="GQ45" s="85"/>
      <c r="GR45" s="85"/>
      <c r="GS45" s="85"/>
      <c r="GT45" s="85"/>
      <c r="GU45" s="85"/>
      <c r="GV45" s="85"/>
      <c r="GW45" s="85"/>
      <c r="GX45" s="85"/>
      <c r="GY45" s="85"/>
      <c r="GZ45" s="85"/>
      <c r="HA45" s="85"/>
      <c r="HB45" s="85"/>
      <c r="HC45" s="85"/>
      <c r="HD45" s="85"/>
      <c r="HE45" s="85"/>
      <c r="HF45" s="85"/>
      <c r="HG45" s="85"/>
      <c r="HH45" s="85"/>
      <c r="HI45" s="85"/>
      <c r="HJ45" s="85"/>
      <c r="HK45" s="85"/>
      <c r="HL45" s="85"/>
      <c r="HM45" s="85"/>
      <c r="HN45" s="85"/>
      <c r="HO45" s="85"/>
      <c r="HP45" s="85"/>
      <c r="HQ45" s="85"/>
      <c r="HR45" s="85"/>
      <c r="HS45" s="85"/>
      <c r="HT45" s="85"/>
      <c r="HU45" s="85"/>
      <c r="HV45" s="85"/>
      <c r="HW45" s="85"/>
      <c r="HX45" s="85"/>
      <c r="HY45" s="85"/>
      <c r="HZ45" s="85"/>
      <c r="IA45" s="85"/>
      <c r="IB45" s="85"/>
      <c r="IC45" s="85"/>
      <c r="ID45" s="85"/>
      <c r="IE45" s="85"/>
      <c r="IF45" s="85"/>
      <c r="IG45" s="85"/>
      <c r="IH45" s="85"/>
      <c r="II45" s="85"/>
      <c r="IJ45" s="85"/>
      <c r="IK45" s="85"/>
      <c r="IL45" s="85"/>
      <c r="IM45" s="85"/>
      <c r="IN45" s="85"/>
      <c r="IO45" s="85"/>
      <c r="IP45" s="85"/>
      <c r="IQ45" s="85"/>
      <c r="IR45" s="85"/>
      <c r="IS45" s="85"/>
      <c r="IT45" s="85"/>
      <c r="IU45" s="85"/>
      <c r="IV45" s="85"/>
    </row>
    <row r="46" spans="1:256" s="27" customFormat="1" ht="12" customHeight="1" x14ac:dyDescent="0.25">
      <c r="A46" s="122"/>
      <c r="B46" s="122"/>
      <c r="C46" s="122"/>
      <c r="D46" s="122"/>
      <c r="E46" s="27" t="s">
        <v>14</v>
      </c>
      <c r="F46" s="185"/>
      <c r="G46" s="139"/>
      <c r="H46" s="139"/>
      <c r="I46" s="139"/>
      <c r="J46" s="139"/>
      <c r="O46" s="139"/>
      <c r="T46" s="139">
        <f>N48</f>
        <v>14.4</v>
      </c>
      <c r="Y46" s="139">
        <f>T48</f>
        <v>4.23000000000002</v>
      </c>
      <c r="AD46" s="139">
        <f>Y48</f>
        <v>7.7500000000000213</v>
      </c>
      <c r="AE46" s="27">
        <f>AD48</f>
        <v>37.821000000000041</v>
      </c>
      <c r="AF46" s="27">
        <f>AE48</f>
        <v>61.42500000000004</v>
      </c>
      <c r="AG46" s="27">
        <f>AF48</f>
        <v>53.876000000000033</v>
      </c>
      <c r="AH46" s="27">
        <f>AG48</f>
        <v>66.310000000000031</v>
      </c>
      <c r="AI46" s="139">
        <f>AD48</f>
        <v>37.821000000000041</v>
      </c>
      <c r="AJ46" s="27">
        <f>AH48</f>
        <v>62.706000000000031</v>
      </c>
      <c r="AK46" s="27">
        <f>AJ48</f>
        <v>51.84400000000003</v>
      </c>
      <c r="AL46" s="27">
        <f>AK48</f>
        <v>93.41500000000002</v>
      </c>
      <c r="AM46" s="27">
        <f>AL48</f>
        <v>138.12</v>
      </c>
      <c r="AN46" s="139">
        <f>AI48</f>
        <v>62.706000000000031</v>
      </c>
      <c r="AO46" s="27">
        <f>AM48</f>
        <v>177.21100000000001</v>
      </c>
      <c r="AP46" s="27">
        <f>AO48</f>
        <v>167.715</v>
      </c>
      <c r="AQ46" s="27">
        <f>AP48</f>
        <v>167.679</v>
      </c>
      <c r="AR46" s="27">
        <f>AQ48</f>
        <v>200.62700000000001</v>
      </c>
      <c r="AS46" s="139">
        <f>AN48</f>
        <v>177.21100000000001</v>
      </c>
      <c r="AT46" s="27">
        <v>224.10400000000001</v>
      </c>
      <c r="AU46" s="27">
        <f>AT48</f>
        <v>218.45700000000002</v>
      </c>
      <c r="AV46" s="27">
        <f>AU48</f>
        <v>199.38400000000001</v>
      </c>
      <c r="AW46" s="27">
        <f>AV48</f>
        <v>203.93600000000004</v>
      </c>
      <c r="AX46" s="139">
        <f>AS48</f>
        <v>224.149</v>
      </c>
      <c r="AY46" s="27">
        <f>AW48</f>
        <v>207.02300000000002</v>
      </c>
      <c r="AZ46" s="27">
        <f>AY48</f>
        <v>191.09400000000002</v>
      </c>
      <c r="BA46" s="27">
        <f>AZ48</f>
        <v>119.11300000000003</v>
      </c>
      <c r="BB46" s="27">
        <f>BA48</f>
        <v>145.86300000000003</v>
      </c>
      <c r="BC46" s="139">
        <f>AX48</f>
        <v>207.02300000000002</v>
      </c>
      <c r="BD46" s="27">
        <f>BB48</f>
        <v>229.64800000000002</v>
      </c>
      <c r="BE46" s="27">
        <f>BD48</f>
        <v>179.28200000000004</v>
      </c>
      <c r="BF46" s="27">
        <f>BE48</f>
        <v>188.40400000000005</v>
      </c>
      <c r="BG46" s="27">
        <f>BF48</f>
        <v>186.22000000000006</v>
      </c>
      <c r="BH46" s="139">
        <f>BC48</f>
        <v>229.64800000000002</v>
      </c>
      <c r="BI46" s="27">
        <f>BG48</f>
        <v>222.97400000000005</v>
      </c>
      <c r="BJ46" s="27">
        <f>BI48</f>
        <v>207.63000000000005</v>
      </c>
      <c r="BK46" s="27">
        <f>BJ48</f>
        <v>216.61600000000004</v>
      </c>
      <c r="BL46" s="27">
        <f>BK48</f>
        <v>380.90800000000002</v>
      </c>
      <c r="BM46" s="139">
        <f>BH48</f>
        <v>222.97400000000005</v>
      </c>
      <c r="BN46" s="27">
        <f>BL48</f>
        <v>418.58600000000001</v>
      </c>
      <c r="BO46" s="27">
        <f>BN48</f>
        <v>392.91840000000002</v>
      </c>
      <c r="BP46" s="27">
        <f>BO48</f>
        <v>109.81040000000007</v>
      </c>
      <c r="BQ46" s="27">
        <f>BP48</f>
        <v>126.89140000000008</v>
      </c>
      <c r="BR46" s="139">
        <f>BM48</f>
        <v>418.58600000000001</v>
      </c>
      <c r="BS46" s="27">
        <f>BQ48</f>
        <v>141.01040000000006</v>
      </c>
      <c r="BT46" s="27">
        <f>BS48</f>
        <v>123.19240000000005</v>
      </c>
      <c r="BU46" s="27">
        <f>BT48</f>
        <v>180.94540000000006</v>
      </c>
      <c r="BV46" s="27">
        <f>BU48</f>
        <v>186.39040000000008</v>
      </c>
      <c r="BW46" s="139">
        <f>BR48</f>
        <v>141.01040000000006</v>
      </c>
      <c r="BX46" s="27">
        <f>BV48</f>
        <v>189.62940000000009</v>
      </c>
      <c r="BY46" s="27">
        <f>BX48</f>
        <v>150.1604000000001</v>
      </c>
      <c r="BZ46" s="27">
        <f>BY48</f>
        <v>175.40940000000009</v>
      </c>
      <c r="CA46" s="27">
        <f>BZ48</f>
        <v>137.85040000000009</v>
      </c>
      <c r="CB46" s="139">
        <f>BW48</f>
        <v>189.62940000000009</v>
      </c>
      <c r="CC46" s="27">
        <f>CB48</f>
        <v>168.68</v>
      </c>
      <c r="CD46" s="27">
        <f>CC48</f>
        <v>162.173</v>
      </c>
      <c r="CE46" s="27">
        <f>CD48</f>
        <v>168.352</v>
      </c>
      <c r="CF46" s="27">
        <f>CE48</f>
        <v>175.77100000000002</v>
      </c>
      <c r="CG46" s="139">
        <f>CB48</f>
        <v>168.68</v>
      </c>
      <c r="CH46" s="27">
        <f>CG48</f>
        <v>140.018</v>
      </c>
      <c r="CI46" s="27">
        <f>CH48</f>
        <v>93.555000000000007</v>
      </c>
      <c r="CJ46" s="27">
        <f>CI48</f>
        <v>87.046999999999997</v>
      </c>
      <c r="CK46" s="27">
        <f>CJ48</f>
        <v>1603.7117380000002</v>
      </c>
      <c r="CL46" s="139">
        <f>CG48</f>
        <v>140.018</v>
      </c>
      <c r="CM46" s="27">
        <f>CK48</f>
        <v>1001.6681068537501</v>
      </c>
      <c r="CN46" s="27">
        <f>CM48</f>
        <v>907.99699378459206</v>
      </c>
      <c r="CO46" s="27">
        <f>CN48</f>
        <v>810.9815750808458</v>
      </c>
      <c r="CP46" s="27">
        <f>CO48</f>
        <v>732.10270019184986</v>
      </c>
      <c r="CQ46" s="139">
        <f>CL48</f>
        <v>1001.6681068537501</v>
      </c>
      <c r="CR46" s="27">
        <f>CP48</f>
        <v>661.05203097623507</v>
      </c>
      <c r="CS46" s="27">
        <f>CR48</f>
        <v>636.84673735711624</v>
      </c>
      <c r="CT46" s="27">
        <f>CS48</f>
        <v>611.37101318367149</v>
      </c>
      <c r="CU46" s="27">
        <f>CT48</f>
        <v>593.47067663215239</v>
      </c>
      <c r="CV46" s="139">
        <f>CQ48</f>
        <v>661.05203097623507</v>
      </c>
      <c r="CW46" s="85"/>
      <c r="CX46" s="85"/>
      <c r="CY46" s="85"/>
      <c r="CZ46" s="85"/>
      <c r="DA46" s="85"/>
      <c r="DB46" s="85"/>
      <c r="DC46" s="85"/>
      <c r="DD46" s="85"/>
      <c r="DE46" s="85"/>
      <c r="DF46" s="85"/>
      <c r="DG46" s="85"/>
      <c r="DH46" s="85"/>
      <c r="DI46" s="85"/>
      <c r="DJ46" s="85"/>
      <c r="DK46" s="85"/>
      <c r="DL46" s="85"/>
      <c r="DM46" s="85"/>
      <c r="DN46" s="85"/>
      <c r="DO46" s="85"/>
      <c r="DP46" s="85"/>
      <c r="DQ46" s="85"/>
      <c r="DR46" s="85"/>
      <c r="DS46" s="85"/>
      <c r="DT46" s="85"/>
      <c r="DU46" s="85"/>
      <c r="DV46" s="85"/>
      <c r="DW46" s="85"/>
      <c r="DX46" s="85"/>
      <c r="DY46" s="85"/>
      <c r="DZ46" s="85"/>
      <c r="EA46" s="85"/>
      <c r="EB46" s="85"/>
      <c r="EC46" s="85"/>
      <c r="ED46" s="85"/>
      <c r="EE46" s="85"/>
      <c r="EF46" s="85"/>
      <c r="EG46" s="85"/>
      <c r="EH46" s="85"/>
      <c r="EI46" s="85"/>
      <c r="EJ46" s="85"/>
      <c r="EK46" s="85"/>
      <c r="EL46" s="85"/>
      <c r="EM46" s="85"/>
      <c r="EN46" s="85"/>
      <c r="EO46" s="85"/>
      <c r="EP46" s="85"/>
      <c r="EQ46" s="85"/>
      <c r="ER46" s="85"/>
      <c r="ES46" s="85"/>
      <c r="ET46" s="85"/>
      <c r="EU46" s="85"/>
      <c r="EV46" s="85"/>
      <c r="EW46" s="85"/>
      <c r="EX46" s="85"/>
      <c r="EY46" s="85"/>
      <c r="EZ46" s="85"/>
      <c r="FA46" s="85"/>
      <c r="FB46" s="85"/>
      <c r="FC46" s="85"/>
      <c r="FD46" s="85"/>
      <c r="FE46" s="85"/>
      <c r="FF46" s="85"/>
      <c r="FG46" s="85"/>
      <c r="FH46" s="85"/>
      <c r="FI46" s="85"/>
      <c r="FJ46" s="85"/>
      <c r="FK46" s="85"/>
      <c r="FL46" s="85"/>
      <c r="FM46" s="85"/>
      <c r="FN46" s="85"/>
      <c r="FO46" s="85"/>
      <c r="FP46" s="85"/>
      <c r="FQ46" s="85"/>
      <c r="FR46" s="85"/>
      <c r="FS46" s="85"/>
      <c r="FT46" s="85"/>
      <c r="FU46" s="85"/>
      <c r="FV46" s="85"/>
      <c r="FW46" s="85"/>
      <c r="FX46" s="85"/>
      <c r="FY46" s="85"/>
      <c r="FZ46" s="85"/>
      <c r="GA46" s="85"/>
      <c r="GB46" s="85"/>
      <c r="GC46" s="85"/>
      <c r="GD46" s="85"/>
      <c r="GE46" s="85"/>
      <c r="GF46" s="85"/>
      <c r="GG46" s="85"/>
      <c r="GH46" s="85"/>
      <c r="GI46" s="85"/>
      <c r="GJ46" s="85"/>
      <c r="GK46" s="85"/>
      <c r="GL46" s="85"/>
      <c r="GM46" s="85"/>
      <c r="GN46" s="85"/>
      <c r="GO46" s="85"/>
      <c r="GP46" s="85"/>
      <c r="GQ46" s="85"/>
      <c r="GR46" s="85"/>
      <c r="GS46" s="85"/>
      <c r="GT46" s="85"/>
      <c r="GU46" s="85"/>
      <c r="GV46" s="85"/>
      <c r="GW46" s="85"/>
      <c r="GX46" s="85"/>
      <c r="GY46" s="85"/>
      <c r="GZ46" s="85"/>
      <c r="HA46" s="85"/>
      <c r="HB46" s="85"/>
      <c r="HC46" s="85"/>
      <c r="HD46" s="85"/>
      <c r="HE46" s="85"/>
      <c r="HF46" s="85"/>
      <c r="HG46" s="85"/>
      <c r="HH46" s="85"/>
      <c r="HI46" s="85"/>
      <c r="HJ46" s="85"/>
      <c r="HK46" s="85"/>
      <c r="HL46" s="85"/>
      <c r="HM46" s="85"/>
      <c r="HN46" s="85"/>
      <c r="HO46" s="85"/>
      <c r="HP46" s="85"/>
      <c r="HQ46" s="85"/>
      <c r="HR46" s="85"/>
      <c r="HS46" s="85"/>
      <c r="HT46" s="85"/>
      <c r="HU46" s="85"/>
      <c r="HV46" s="85"/>
      <c r="HW46" s="85"/>
      <c r="HX46" s="85"/>
      <c r="HY46" s="85"/>
      <c r="HZ46" s="85"/>
      <c r="IA46" s="85"/>
      <c r="IB46" s="85"/>
      <c r="IC46" s="85"/>
      <c r="ID46" s="85"/>
      <c r="IE46" s="85"/>
      <c r="IF46" s="85"/>
      <c r="IG46" s="85"/>
      <c r="IH46" s="85"/>
      <c r="II46" s="85"/>
      <c r="IJ46" s="85"/>
      <c r="IK46" s="85"/>
      <c r="IL46" s="85"/>
      <c r="IM46" s="85"/>
      <c r="IN46" s="85"/>
      <c r="IO46" s="85"/>
      <c r="IP46" s="85"/>
      <c r="IQ46" s="85"/>
      <c r="IR46" s="85"/>
      <c r="IS46" s="85"/>
      <c r="IT46" s="85"/>
      <c r="IU46" s="85"/>
      <c r="IV46" s="85"/>
    </row>
    <row r="47" spans="1:256" s="27" customFormat="1" ht="3.95" customHeight="1" x14ac:dyDescent="0.25">
      <c r="A47" s="122"/>
      <c r="B47" s="122"/>
      <c r="C47" s="122"/>
      <c r="D47" s="122"/>
      <c r="F47" s="139"/>
      <c r="G47" s="139"/>
      <c r="H47" s="139"/>
      <c r="I47" s="139"/>
      <c r="J47" s="139"/>
      <c r="O47" s="139"/>
      <c r="T47" s="139"/>
      <c r="Y47" s="139"/>
      <c r="AD47" s="139"/>
      <c r="AI47" s="139"/>
      <c r="AN47" s="139"/>
      <c r="AS47" s="139"/>
      <c r="AX47" s="139"/>
      <c r="BC47" s="139"/>
      <c r="BH47" s="139"/>
      <c r="BM47" s="139"/>
      <c r="BR47" s="139"/>
      <c r="BW47" s="139"/>
      <c r="CB47" s="139"/>
      <c r="CG47" s="139"/>
      <c r="CL47" s="139"/>
      <c r="CQ47" s="139"/>
      <c r="CV47" s="139"/>
      <c r="CW47" s="85"/>
      <c r="CX47" s="85"/>
      <c r="CY47" s="85"/>
      <c r="CZ47" s="85"/>
      <c r="DA47" s="85"/>
      <c r="DB47" s="85"/>
      <c r="DC47" s="85"/>
      <c r="DD47" s="85"/>
      <c r="DE47" s="85"/>
      <c r="DF47" s="85"/>
      <c r="DG47" s="85"/>
      <c r="DH47" s="85"/>
      <c r="DI47" s="85"/>
      <c r="DJ47" s="85"/>
      <c r="DK47" s="85"/>
      <c r="DL47" s="85"/>
      <c r="DM47" s="85"/>
      <c r="DN47" s="85"/>
      <c r="DO47" s="85"/>
      <c r="DP47" s="85"/>
      <c r="DQ47" s="85"/>
      <c r="DR47" s="85"/>
      <c r="DS47" s="85"/>
      <c r="DT47" s="85"/>
      <c r="DU47" s="85"/>
      <c r="DV47" s="85"/>
      <c r="DW47" s="85"/>
      <c r="DX47" s="85"/>
      <c r="DY47" s="85"/>
      <c r="DZ47" s="85"/>
      <c r="EA47" s="85"/>
      <c r="EB47" s="85"/>
      <c r="EC47" s="85"/>
      <c r="ED47" s="85"/>
      <c r="EE47" s="85"/>
      <c r="EF47" s="85"/>
      <c r="EG47" s="85"/>
      <c r="EH47" s="85"/>
      <c r="EI47" s="85"/>
      <c r="EJ47" s="85"/>
      <c r="EK47" s="85"/>
      <c r="EL47" s="85"/>
      <c r="EM47" s="85"/>
      <c r="EN47" s="85"/>
      <c r="EO47" s="85"/>
      <c r="EP47" s="85"/>
      <c r="EQ47" s="85"/>
      <c r="ER47" s="85"/>
      <c r="ES47" s="85"/>
      <c r="ET47" s="85"/>
      <c r="EU47" s="85"/>
      <c r="EV47" s="85"/>
      <c r="EW47" s="85"/>
      <c r="EX47" s="85"/>
      <c r="EY47" s="85"/>
      <c r="EZ47" s="85"/>
      <c r="FA47" s="85"/>
      <c r="FB47" s="85"/>
      <c r="FC47" s="85"/>
      <c r="FD47" s="85"/>
      <c r="FE47" s="85"/>
      <c r="FF47" s="85"/>
      <c r="FG47" s="85"/>
      <c r="FH47" s="85"/>
      <c r="FI47" s="85"/>
      <c r="FJ47" s="85"/>
      <c r="FK47" s="85"/>
      <c r="FL47" s="85"/>
      <c r="FM47" s="85"/>
      <c r="FN47" s="85"/>
      <c r="FO47" s="85"/>
      <c r="FP47" s="85"/>
      <c r="FQ47" s="85"/>
      <c r="FR47" s="85"/>
      <c r="FS47" s="85"/>
      <c r="FT47" s="85"/>
      <c r="FU47" s="85"/>
      <c r="FV47" s="85"/>
      <c r="FW47" s="85"/>
      <c r="FX47" s="85"/>
      <c r="FY47" s="85"/>
      <c r="FZ47" s="85"/>
      <c r="GA47" s="85"/>
      <c r="GB47" s="85"/>
      <c r="GC47" s="85"/>
      <c r="GD47" s="85"/>
      <c r="GE47" s="85"/>
      <c r="GF47" s="85"/>
      <c r="GG47" s="85"/>
      <c r="GH47" s="85"/>
      <c r="GI47" s="85"/>
      <c r="GJ47" s="85"/>
      <c r="GK47" s="85"/>
      <c r="GL47" s="85"/>
      <c r="GM47" s="85"/>
      <c r="GN47" s="85"/>
      <c r="GO47" s="85"/>
      <c r="GP47" s="85"/>
      <c r="GQ47" s="85"/>
      <c r="GR47" s="85"/>
      <c r="GS47" s="85"/>
      <c r="GT47" s="85"/>
      <c r="GU47" s="85"/>
      <c r="GV47" s="85"/>
      <c r="GW47" s="85"/>
      <c r="GX47" s="85"/>
      <c r="GY47" s="85"/>
      <c r="GZ47" s="85"/>
      <c r="HA47" s="85"/>
      <c r="HB47" s="85"/>
      <c r="HC47" s="85"/>
      <c r="HD47" s="85"/>
      <c r="HE47" s="85"/>
      <c r="HF47" s="85"/>
      <c r="HG47" s="85"/>
      <c r="HH47" s="85"/>
      <c r="HI47" s="85"/>
      <c r="HJ47" s="85"/>
      <c r="HK47" s="85"/>
      <c r="HL47" s="85"/>
      <c r="HM47" s="85"/>
      <c r="HN47" s="85"/>
      <c r="HO47" s="85"/>
      <c r="HP47" s="85"/>
      <c r="HQ47" s="85"/>
      <c r="HR47" s="85"/>
      <c r="HS47" s="85"/>
      <c r="HT47" s="85"/>
      <c r="HU47" s="85"/>
      <c r="HV47" s="85"/>
      <c r="HW47" s="85"/>
      <c r="HX47" s="85"/>
      <c r="HY47" s="85"/>
      <c r="HZ47" s="85"/>
      <c r="IA47" s="85"/>
      <c r="IB47" s="85"/>
      <c r="IC47" s="85"/>
      <c r="ID47" s="85"/>
      <c r="IE47" s="85"/>
      <c r="IF47" s="85"/>
      <c r="IG47" s="85"/>
      <c r="IH47" s="85"/>
      <c r="II47" s="85"/>
      <c r="IJ47" s="85"/>
      <c r="IK47" s="85"/>
      <c r="IL47" s="85"/>
      <c r="IM47" s="85"/>
      <c r="IN47" s="85"/>
      <c r="IO47" s="85"/>
      <c r="IP47" s="85"/>
      <c r="IQ47" s="85"/>
      <c r="IR47" s="85"/>
      <c r="IS47" s="85"/>
      <c r="IT47" s="85"/>
      <c r="IU47" s="85"/>
      <c r="IV47" s="85"/>
    </row>
    <row r="48" spans="1:256" s="28" customFormat="1" ht="12" customHeight="1" x14ac:dyDescent="0.25">
      <c r="E48" s="35" t="s">
        <v>15</v>
      </c>
      <c r="F48" s="35"/>
      <c r="G48" s="35"/>
      <c r="H48" s="35"/>
      <c r="I48" s="35"/>
      <c r="J48" s="35"/>
      <c r="K48" s="35"/>
      <c r="L48" s="35"/>
      <c r="M48" s="35"/>
      <c r="N48" s="374">
        <v>14.4</v>
      </c>
      <c r="O48" s="35">
        <f>N48</f>
        <v>14.4</v>
      </c>
      <c r="P48" s="35"/>
      <c r="Q48" s="35"/>
      <c r="R48" s="35"/>
      <c r="S48" s="374">
        <f>T48</f>
        <v>4.23000000000002</v>
      </c>
      <c r="T48" s="35">
        <f>T45+T46</f>
        <v>4.23000000000002</v>
      </c>
      <c r="U48" s="35"/>
      <c r="V48" s="35"/>
      <c r="W48" s="35"/>
      <c r="X48" s="374">
        <f>Y48</f>
        <v>7.7500000000000213</v>
      </c>
      <c r="Y48" s="35">
        <f>Y45+Y46</f>
        <v>7.7500000000000213</v>
      </c>
      <c r="Z48" s="35"/>
      <c r="AA48" s="35"/>
      <c r="AB48" s="35"/>
      <c r="AC48" s="374">
        <f>AD48</f>
        <v>37.821000000000041</v>
      </c>
      <c r="AD48" s="35">
        <f>AD45+AD46</f>
        <v>37.821000000000041</v>
      </c>
      <c r="AE48" s="35">
        <f>AE45+AE46</f>
        <v>61.42500000000004</v>
      </c>
      <c r="AF48" s="35">
        <f>AF45+AF46</f>
        <v>53.876000000000033</v>
      </c>
      <c r="AG48" s="35">
        <f>AG45+AG46</f>
        <v>66.310000000000031</v>
      </c>
      <c r="AH48" s="35">
        <f>AH45+AH46</f>
        <v>62.706000000000031</v>
      </c>
      <c r="AI48" s="35">
        <f>AH48</f>
        <v>62.706000000000031</v>
      </c>
      <c r="AJ48" s="35">
        <f>AJ45+AJ46</f>
        <v>51.84400000000003</v>
      </c>
      <c r="AK48" s="35">
        <f>AK45+AK46</f>
        <v>93.41500000000002</v>
      </c>
      <c r="AL48" s="35">
        <f>AL45+AL46</f>
        <v>138.12</v>
      </c>
      <c r="AM48" s="35">
        <f>AM45+AM46</f>
        <v>177.21100000000001</v>
      </c>
      <c r="AN48" s="35">
        <f>AM48</f>
        <v>177.21100000000001</v>
      </c>
      <c r="AO48" s="35">
        <f>AO45+AO46</f>
        <v>167.715</v>
      </c>
      <c r="AP48" s="35">
        <f>AP45+AP46</f>
        <v>167.679</v>
      </c>
      <c r="AQ48" s="35">
        <f>AQ45+AQ46</f>
        <v>200.62700000000001</v>
      </c>
      <c r="AR48" s="35">
        <f>AR45+AR46</f>
        <v>224.149</v>
      </c>
      <c r="AS48" s="35">
        <f>AR48</f>
        <v>224.149</v>
      </c>
      <c r="AT48" s="35">
        <f>AT45+AT46</f>
        <v>218.45700000000002</v>
      </c>
      <c r="AU48" s="35">
        <f>AU45+AU46</f>
        <v>199.38400000000001</v>
      </c>
      <c r="AV48" s="35">
        <f>AV45+AV46</f>
        <v>203.93600000000004</v>
      </c>
      <c r="AW48" s="35">
        <f>AW45+AW46</f>
        <v>207.02300000000002</v>
      </c>
      <c r="AX48" s="35">
        <f>AW48</f>
        <v>207.02300000000002</v>
      </c>
      <c r="AY48" s="446">
        <f>AY45+AY46</f>
        <v>191.09400000000002</v>
      </c>
      <c r="AZ48" s="35">
        <f>AZ45+AZ46</f>
        <v>119.11300000000003</v>
      </c>
      <c r="BA48" s="35">
        <f>BA45+BA46</f>
        <v>145.86300000000003</v>
      </c>
      <c r="BB48" s="35">
        <f>BB45+BB46</f>
        <v>229.64800000000002</v>
      </c>
      <c r="BC48" s="35">
        <f>BB48</f>
        <v>229.64800000000002</v>
      </c>
      <c r="BD48" s="35">
        <f>BD45+BD46</f>
        <v>179.28200000000004</v>
      </c>
      <c r="BE48" s="35">
        <f>BE45+BE46</f>
        <v>188.40400000000005</v>
      </c>
      <c r="BF48" s="35">
        <f>BF45+BF46</f>
        <v>186.22000000000006</v>
      </c>
      <c r="BG48" s="35">
        <f>BG45+BG46</f>
        <v>222.97400000000005</v>
      </c>
      <c r="BH48" s="35">
        <f>BG48</f>
        <v>222.97400000000005</v>
      </c>
      <c r="BI48" s="35">
        <f>BI45+BI46</f>
        <v>207.63000000000005</v>
      </c>
      <c r="BJ48" s="35">
        <f>BJ45+BJ46</f>
        <v>216.61600000000004</v>
      </c>
      <c r="BK48" s="35">
        <f>BK45+BK46</f>
        <v>380.90800000000002</v>
      </c>
      <c r="BL48" s="35">
        <f>BL45+BL46</f>
        <v>418.58600000000001</v>
      </c>
      <c r="BM48" s="35">
        <f>BL48</f>
        <v>418.58600000000001</v>
      </c>
      <c r="BN48" s="35">
        <f>BN45+BN46</f>
        <v>392.91840000000002</v>
      </c>
      <c r="BO48" s="35">
        <f>BO45+BO46</f>
        <v>109.81040000000007</v>
      </c>
      <c r="BP48" s="35">
        <f>BP45+BP46</f>
        <v>126.89140000000008</v>
      </c>
      <c r="BQ48" s="35">
        <f>BQ45+BQ46</f>
        <v>141.01040000000006</v>
      </c>
      <c r="BR48" s="35">
        <f>BQ48</f>
        <v>141.01040000000006</v>
      </c>
      <c r="BS48" s="35">
        <f>BS45+BS46</f>
        <v>123.19240000000005</v>
      </c>
      <c r="BT48" s="35">
        <f>BT45+BT46</f>
        <v>180.94540000000006</v>
      </c>
      <c r="BU48" s="35">
        <f>BU45+BU46</f>
        <v>186.39040000000008</v>
      </c>
      <c r="BV48" s="35">
        <f>BV45+BV46</f>
        <v>189.62940000000009</v>
      </c>
      <c r="BW48" s="35">
        <f>BV48</f>
        <v>189.62940000000009</v>
      </c>
      <c r="BX48" s="35">
        <f>BX45+BX46</f>
        <v>150.1604000000001</v>
      </c>
      <c r="BY48" s="35">
        <f>BY45+BY46</f>
        <v>175.40940000000009</v>
      </c>
      <c r="BZ48" s="35">
        <f>BZ45+BZ46</f>
        <v>137.85040000000009</v>
      </c>
      <c r="CA48" s="35">
        <f>CA45+CA46</f>
        <v>170.34340000000009</v>
      </c>
      <c r="CB48" s="545">
        <v>168.68</v>
      </c>
      <c r="CC48" s="35">
        <f>CC45+CC46</f>
        <v>162.173</v>
      </c>
      <c r="CD48" s="35">
        <f>CD45+CD46</f>
        <v>168.352</v>
      </c>
      <c r="CE48" s="35">
        <f>CE45+CE46</f>
        <v>175.77100000000002</v>
      </c>
      <c r="CF48" s="35">
        <f>CF45+CF46</f>
        <v>160.03700000000001</v>
      </c>
      <c r="CG48" s="545">
        <v>140.018</v>
      </c>
      <c r="CH48" s="35">
        <f>CH45+CH46</f>
        <v>93.555000000000007</v>
      </c>
      <c r="CI48" s="35">
        <f>CI45+CI46</f>
        <v>87.046999999999997</v>
      </c>
      <c r="CJ48" s="35">
        <f>CJ45+CJ46</f>
        <v>1603.7117380000002</v>
      </c>
      <c r="CK48" s="35">
        <f>CK45+CK46</f>
        <v>1001.6681068537501</v>
      </c>
      <c r="CL48" s="35">
        <f>CK48</f>
        <v>1001.6681068537501</v>
      </c>
      <c r="CM48" s="35">
        <f>CM45+CM46</f>
        <v>907.99699378459206</v>
      </c>
      <c r="CN48" s="35">
        <f>CN45+CN46</f>
        <v>810.9815750808458</v>
      </c>
      <c r="CO48" s="35">
        <f>CO45+CO46</f>
        <v>732.10270019184986</v>
      </c>
      <c r="CP48" s="35">
        <f>CP45+CP46</f>
        <v>661.05203097623507</v>
      </c>
      <c r="CQ48" s="35">
        <f>CP48</f>
        <v>661.05203097623507</v>
      </c>
      <c r="CR48" s="35">
        <f>CR45+CR46</f>
        <v>636.84673735711624</v>
      </c>
      <c r="CS48" s="35">
        <f>CS45+CS46</f>
        <v>611.37101318367149</v>
      </c>
      <c r="CT48" s="35">
        <f>CT45+CT46</f>
        <v>593.47067663215239</v>
      </c>
      <c r="CU48" s="35">
        <f>CU45+CU46</f>
        <v>578.00855648671825</v>
      </c>
      <c r="CV48" s="35">
        <f>CU48</f>
        <v>578.00855648671825</v>
      </c>
      <c r="CW48" s="87"/>
      <c r="CX48" s="87"/>
      <c r="CY48" s="87"/>
      <c r="CZ48" s="87"/>
      <c r="DA48" s="87"/>
      <c r="DB48" s="87"/>
      <c r="DC48" s="87"/>
      <c r="DD48" s="87"/>
      <c r="DE48" s="87"/>
      <c r="DF48" s="87"/>
      <c r="DG48" s="87"/>
      <c r="DH48" s="87"/>
      <c r="DI48" s="87"/>
      <c r="DJ48" s="87"/>
      <c r="DK48" s="87"/>
      <c r="DL48" s="87"/>
      <c r="DM48" s="87"/>
      <c r="DN48" s="87"/>
      <c r="DO48" s="87"/>
      <c r="DP48" s="87"/>
      <c r="DQ48" s="87"/>
      <c r="DR48" s="87"/>
      <c r="DS48" s="87"/>
      <c r="DT48" s="87"/>
      <c r="DU48" s="87"/>
      <c r="DV48" s="87"/>
      <c r="DW48" s="87"/>
      <c r="DX48" s="87"/>
      <c r="DY48" s="87"/>
      <c r="DZ48" s="87"/>
      <c r="EA48" s="87"/>
      <c r="EB48" s="87"/>
      <c r="EC48" s="87"/>
      <c r="ED48" s="87"/>
      <c r="EE48" s="87"/>
      <c r="EF48" s="87"/>
      <c r="EG48" s="87"/>
      <c r="EH48" s="87"/>
      <c r="EI48" s="87"/>
      <c r="EJ48" s="87"/>
      <c r="EK48" s="87"/>
      <c r="EL48" s="87"/>
      <c r="EM48" s="87"/>
      <c r="EN48" s="87"/>
      <c r="EO48" s="87"/>
      <c r="EP48" s="87"/>
      <c r="EQ48" s="87"/>
      <c r="ER48" s="87"/>
      <c r="ES48" s="87"/>
      <c r="ET48" s="87"/>
      <c r="EU48" s="87"/>
      <c r="EV48" s="87"/>
      <c r="EW48" s="87"/>
      <c r="EX48" s="87"/>
      <c r="EY48" s="87"/>
      <c r="EZ48" s="87"/>
      <c r="FA48" s="87"/>
      <c r="FB48" s="87"/>
      <c r="FC48" s="87"/>
      <c r="FD48" s="87"/>
      <c r="FE48" s="87"/>
      <c r="FF48" s="87"/>
      <c r="FG48" s="87"/>
      <c r="FH48" s="87"/>
      <c r="FI48" s="87"/>
      <c r="FJ48" s="87"/>
      <c r="FK48" s="87"/>
      <c r="FL48" s="87"/>
      <c r="FM48" s="87"/>
      <c r="FN48" s="87"/>
      <c r="FO48" s="87"/>
      <c r="FP48" s="87"/>
      <c r="FQ48" s="87"/>
      <c r="FR48" s="87"/>
      <c r="FS48" s="87"/>
      <c r="FT48" s="87"/>
      <c r="FU48" s="87"/>
      <c r="FV48" s="87"/>
      <c r="FW48" s="87"/>
      <c r="FX48" s="87"/>
      <c r="FY48" s="87"/>
      <c r="FZ48" s="87"/>
      <c r="GA48" s="87"/>
      <c r="GB48" s="87"/>
      <c r="GC48" s="87"/>
      <c r="GD48" s="87"/>
      <c r="GE48" s="87"/>
      <c r="GF48" s="87"/>
      <c r="GG48" s="87"/>
      <c r="GH48" s="87"/>
      <c r="GI48" s="87"/>
      <c r="GJ48" s="87"/>
      <c r="GK48" s="87"/>
      <c r="GL48" s="87"/>
      <c r="GM48" s="87"/>
      <c r="GN48" s="87"/>
      <c r="GO48" s="87"/>
      <c r="GP48" s="87"/>
      <c r="GQ48" s="87"/>
      <c r="GR48" s="87"/>
      <c r="GS48" s="87"/>
      <c r="GT48" s="87"/>
      <c r="GU48" s="87"/>
      <c r="GV48" s="87"/>
      <c r="GW48" s="87"/>
      <c r="GX48" s="87"/>
      <c r="GY48" s="87"/>
      <c r="GZ48" s="87"/>
      <c r="HA48" s="87"/>
      <c r="HB48" s="87"/>
      <c r="HC48" s="87"/>
      <c r="HD48" s="87"/>
      <c r="HE48" s="87"/>
      <c r="HF48" s="87"/>
      <c r="HG48" s="87"/>
      <c r="HH48" s="87"/>
      <c r="HI48" s="87"/>
      <c r="HJ48" s="87"/>
      <c r="HK48" s="87"/>
      <c r="HL48" s="87"/>
      <c r="HM48" s="87"/>
      <c r="HN48" s="87"/>
      <c r="HO48" s="87"/>
      <c r="HP48" s="87"/>
      <c r="HQ48" s="87"/>
      <c r="HR48" s="87"/>
      <c r="HS48" s="87"/>
      <c r="HT48" s="87"/>
      <c r="HU48" s="87"/>
      <c r="HV48" s="87"/>
      <c r="HW48" s="87"/>
      <c r="HX48" s="87"/>
      <c r="HY48" s="87"/>
      <c r="HZ48" s="87"/>
      <c r="IA48" s="87"/>
      <c r="IB48" s="87"/>
      <c r="IC48" s="87"/>
      <c r="ID48" s="87"/>
      <c r="IE48" s="87"/>
      <c r="IF48" s="87"/>
      <c r="IG48" s="87"/>
      <c r="IH48" s="87"/>
      <c r="II48" s="87"/>
      <c r="IJ48" s="87"/>
      <c r="IK48" s="87"/>
      <c r="IL48" s="87"/>
      <c r="IM48" s="87"/>
      <c r="IN48" s="87"/>
      <c r="IO48" s="87"/>
      <c r="IP48" s="87"/>
      <c r="IQ48" s="87"/>
      <c r="IR48" s="87"/>
      <c r="IS48" s="87"/>
      <c r="IT48" s="87"/>
      <c r="IU48" s="87"/>
      <c r="IV48" s="87"/>
    </row>
    <row r="49" spans="1:100" s="87" customFormat="1" ht="3.95" customHeight="1" x14ac:dyDescent="0.25">
      <c r="F49" s="35"/>
      <c r="G49" s="35"/>
      <c r="H49" s="35"/>
      <c r="I49" s="35"/>
      <c r="J49" s="35"/>
      <c r="O49" s="35"/>
      <c r="T49" s="35"/>
      <c r="Y49" s="35"/>
      <c r="AD49" s="35"/>
      <c r="AI49" s="35"/>
      <c r="AN49" s="35"/>
      <c r="AS49" s="35"/>
      <c r="AX49" s="35"/>
      <c r="BC49" s="35"/>
      <c r="BH49" s="35"/>
      <c r="BM49" s="35"/>
      <c r="BR49" s="35"/>
      <c r="BW49" s="35"/>
      <c r="CB49" s="35"/>
      <c r="CG49" s="35"/>
      <c r="CL49" s="35"/>
      <c r="CQ49" s="35"/>
      <c r="CV49" s="35"/>
    </row>
    <row r="50" spans="1:100" s="177" customFormat="1" ht="12" customHeight="1" x14ac:dyDescent="0.3">
      <c r="A50" s="174"/>
      <c r="B50" s="174"/>
      <c r="C50" s="175"/>
      <c r="D50" s="175"/>
      <c r="E50" s="176" t="s">
        <v>142</v>
      </c>
      <c r="F50" s="187"/>
      <c r="G50" s="187"/>
      <c r="H50" s="187"/>
      <c r="I50" s="187"/>
      <c r="J50" s="187"/>
      <c r="O50" s="187"/>
      <c r="T50" s="187"/>
      <c r="Y50" s="187"/>
      <c r="AD50" s="187"/>
      <c r="AI50" s="187"/>
      <c r="AN50" s="187"/>
      <c r="AS50" s="187"/>
      <c r="AX50" s="187"/>
      <c r="BC50" s="187"/>
      <c r="BH50" s="187"/>
      <c r="BM50" s="187"/>
      <c r="BR50" s="187"/>
      <c r="BW50" s="187"/>
      <c r="CB50" s="187"/>
      <c r="CC50" s="742"/>
      <c r="CG50" s="187"/>
      <c r="CK50" s="547"/>
      <c r="CL50" s="187"/>
      <c r="CQ50" s="187"/>
      <c r="CV50" s="187"/>
    </row>
    <row r="51" spans="1:100" s="177" customFormat="1" ht="12" customHeight="1" x14ac:dyDescent="0.25">
      <c r="A51" s="174"/>
      <c r="B51" s="174"/>
      <c r="C51" s="175"/>
      <c r="D51" s="175"/>
      <c r="E51" s="177" t="s">
        <v>37</v>
      </c>
      <c r="F51" s="188"/>
      <c r="G51" s="188"/>
      <c r="H51" s="188"/>
      <c r="I51" s="188"/>
      <c r="J51" s="188"/>
      <c r="O51" s="188"/>
      <c r="T51" s="188">
        <f>Income!T83</f>
        <v>69.717999999999904</v>
      </c>
      <c r="Y51" s="188">
        <f>Income!Y83</f>
        <v>64.127999999999986</v>
      </c>
      <c r="AD51" s="188">
        <f>Income!AD83</f>
        <v>70.739999999999966</v>
      </c>
      <c r="AI51" s="188">
        <f>Income!AI83</f>
        <v>-7.7800000000000935</v>
      </c>
      <c r="AN51" s="188">
        <f>Income!AN83</f>
        <v>38.193000000000012</v>
      </c>
      <c r="AS51" s="188">
        <f>Income!AS83</f>
        <v>44.549000000000014</v>
      </c>
      <c r="AX51" s="188">
        <f>Income!AX83</f>
        <v>-23.147999999999971</v>
      </c>
      <c r="BC51" s="188">
        <f>Income!BC83</f>
        <v>77.263000000000005</v>
      </c>
      <c r="BH51" s="188">
        <f>Income!BH83</f>
        <v>57.607000000000021</v>
      </c>
      <c r="BM51" s="188">
        <f>Income!BM83</f>
        <v>8.8029999999999973</v>
      </c>
      <c r="BR51" s="188">
        <f>Income!BR83</f>
        <v>-11.030999999999999</v>
      </c>
      <c r="BW51" s="188">
        <f>Income!BW83</f>
        <v>6.703000000000042</v>
      </c>
      <c r="CB51" s="188">
        <f>Income!CB83</f>
        <v>4.1079999999999899</v>
      </c>
      <c r="CC51" s="742"/>
      <c r="CD51" s="793"/>
      <c r="CG51" s="188">
        <f>Income!CG83</f>
        <v>23.479999999999976</v>
      </c>
      <c r="CI51" s="793"/>
      <c r="CJ51" s="598"/>
      <c r="CK51" s="742"/>
      <c r="CL51" s="188">
        <f>Income!CL83</f>
        <v>1099.89110685375</v>
      </c>
      <c r="CM51" s="742"/>
      <c r="CN51" s="742"/>
      <c r="CO51" s="742"/>
      <c r="CP51" s="742"/>
      <c r="CQ51" s="188">
        <f>Income!CQ83</f>
        <v>-79.338009938484589</v>
      </c>
      <c r="CR51" s="742"/>
      <c r="CS51" s="742"/>
      <c r="CT51" s="742"/>
      <c r="CU51" s="742"/>
      <c r="CV51" s="188">
        <f>Income!CV83</f>
        <v>-42.979300912626016</v>
      </c>
    </row>
    <row r="52" spans="1:100" s="177" customFormat="1" ht="12" customHeight="1" x14ac:dyDescent="0.25">
      <c r="A52" s="174"/>
      <c r="B52" s="174"/>
      <c r="C52" s="175"/>
      <c r="D52" s="175"/>
      <c r="E52" s="178" t="s">
        <v>143</v>
      </c>
      <c r="F52" s="188"/>
      <c r="G52" s="188"/>
      <c r="H52" s="188"/>
      <c r="I52" s="188"/>
      <c r="J52" s="188"/>
      <c r="O52" s="188"/>
      <c r="T52" s="188">
        <f>T10</f>
        <v>195.12</v>
      </c>
      <c r="Y52" s="188">
        <f>Y10</f>
        <v>231.137</v>
      </c>
      <c r="AD52" s="188">
        <f>AD10</f>
        <v>229.566</v>
      </c>
      <c r="AI52" s="188">
        <f>AI10</f>
        <v>294.065</v>
      </c>
      <c r="AN52" s="188">
        <f>AN10</f>
        <v>198.684</v>
      </c>
      <c r="AS52" s="188">
        <f>AS10</f>
        <v>167.56399999999999</v>
      </c>
      <c r="AX52" s="188">
        <f>AX10</f>
        <v>146.35499999999999</v>
      </c>
      <c r="BC52" s="188">
        <f>BC10</f>
        <v>134.66200000000001</v>
      </c>
      <c r="BH52" s="188">
        <f>BH10</f>
        <v>116.208</v>
      </c>
      <c r="BM52" s="188">
        <f>BM10</f>
        <v>103.006</v>
      </c>
      <c r="BR52" s="188">
        <f>BR10</f>
        <v>80.447000000000003</v>
      </c>
      <c r="BW52" s="188">
        <f>BW10</f>
        <v>85.462999999999994</v>
      </c>
      <c r="CB52" s="188">
        <f>CB10</f>
        <v>82.69</v>
      </c>
      <c r="CC52" s="742"/>
      <c r="CG52" s="188">
        <f>CG10</f>
        <v>38.633000000000003</v>
      </c>
      <c r="CJ52" s="742"/>
      <c r="CK52" s="742"/>
      <c r="CL52" s="188">
        <f>CL10</f>
        <v>33.94</v>
      </c>
      <c r="CM52" s="742"/>
      <c r="CN52" s="742"/>
      <c r="CO52" s="742"/>
      <c r="CP52" s="742"/>
      <c r="CQ52" s="188">
        <f>CQ10</f>
        <v>34.65</v>
      </c>
      <c r="CR52" s="742"/>
      <c r="CS52" s="742"/>
      <c r="CT52" s="742"/>
      <c r="CU52" s="742"/>
      <c r="CV52" s="188">
        <f>CV10</f>
        <v>34.4</v>
      </c>
    </row>
    <row r="53" spans="1:100" s="177" customFormat="1" ht="12" customHeight="1" x14ac:dyDescent="0.25">
      <c r="A53" s="174"/>
      <c r="B53" s="174"/>
      <c r="C53" s="175"/>
      <c r="D53" s="175"/>
      <c r="E53" s="178" t="s">
        <v>158</v>
      </c>
      <c r="F53" s="188"/>
      <c r="G53" s="188"/>
      <c r="H53" s="188"/>
      <c r="I53" s="188"/>
      <c r="J53" s="188"/>
      <c r="O53" s="188"/>
      <c r="T53" s="188">
        <f>T14</f>
        <v>3.5950000000000002</v>
      </c>
      <c r="Y53" s="188">
        <f>Y14</f>
        <v>1.3129999999999999</v>
      </c>
      <c r="AD53" s="188">
        <f>AD14</f>
        <v>3.823</v>
      </c>
      <c r="AI53" s="188">
        <f>AI14</f>
        <v>8.9320000000000004</v>
      </c>
      <c r="AN53" s="188">
        <f>AN14</f>
        <v>10.340999999999999</v>
      </c>
      <c r="AS53" s="188">
        <f>AS14</f>
        <v>10.788999999999998</v>
      </c>
      <c r="AX53" s="188">
        <f>AX14</f>
        <v>13.097000000000001</v>
      </c>
      <c r="BC53" s="188">
        <f>BC14</f>
        <v>8.9700000000000006</v>
      </c>
      <c r="BH53" s="188">
        <f>BH14</f>
        <v>12.002000000000001</v>
      </c>
      <c r="BM53" s="188">
        <f>BM14</f>
        <v>13.206</v>
      </c>
      <c r="BR53" s="188">
        <f>BR14</f>
        <v>28.315999999999995</v>
      </c>
      <c r="BW53" s="188">
        <f>BW14</f>
        <v>31.463000000000001</v>
      </c>
      <c r="CB53" s="188">
        <f>CB14</f>
        <v>49.144999999999996</v>
      </c>
      <c r="CG53" s="188">
        <f>CG14</f>
        <v>52.866</v>
      </c>
      <c r="CL53" s="188">
        <f>CL14</f>
        <v>77.965000000000003</v>
      </c>
      <c r="CQ53" s="188">
        <f>CQ14</f>
        <v>76</v>
      </c>
      <c r="CV53" s="188">
        <f>CV14</f>
        <v>74</v>
      </c>
    </row>
    <row r="54" spans="1:100" s="177" customFormat="1" ht="12" customHeight="1" x14ac:dyDescent="0.25">
      <c r="A54" s="174"/>
      <c r="B54" s="174"/>
      <c r="C54" s="175"/>
      <c r="D54" s="175"/>
      <c r="E54" s="178" t="s">
        <v>144</v>
      </c>
      <c r="F54" s="188"/>
      <c r="G54" s="188"/>
      <c r="H54" s="188"/>
      <c r="I54" s="188"/>
      <c r="J54" s="188"/>
      <c r="O54" s="188"/>
      <c r="T54" s="188">
        <f>-Income!T69</f>
        <v>0</v>
      </c>
      <c r="Y54" s="188">
        <f>-Income!Y69</f>
        <v>0</v>
      </c>
      <c r="AD54" s="188">
        <f>-Income!AD69</f>
        <v>0</v>
      </c>
      <c r="AI54" s="188">
        <f>-Income!AI69</f>
        <v>-0.47599999999999909</v>
      </c>
      <c r="AN54" s="188">
        <f>-Income!AN69</f>
        <v>27.855999999999995</v>
      </c>
      <c r="AS54" s="188">
        <f>-Income!AS69</f>
        <v>40.148000000000003</v>
      </c>
      <c r="AX54" s="188">
        <f>-Income!AX69</f>
        <v>8.7289999999999992</v>
      </c>
      <c r="BC54" s="188">
        <f>-Income!BC69</f>
        <v>8.363999999999999</v>
      </c>
      <c r="BH54" s="188">
        <f>-Income!BH69</f>
        <v>-24.406000000000002</v>
      </c>
      <c r="BM54" s="188">
        <f>-Income!BM69</f>
        <v>2.097</v>
      </c>
      <c r="BR54" s="188">
        <f>-Income!BR69</f>
        <v>-10.959999999999999</v>
      </c>
      <c r="BW54" s="188">
        <f>-Income!BW69</f>
        <v>-17.731999999999999</v>
      </c>
      <c r="CB54" s="188">
        <f>-Income!CB69</f>
        <v>-2.1520000000000001</v>
      </c>
      <c r="CG54" s="188">
        <f>-Income!CG69</f>
        <v>-64.114000000000004</v>
      </c>
      <c r="CL54" s="188">
        <f>-Income!CL69</f>
        <v>496.17200000000003</v>
      </c>
      <c r="CQ54" s="188">
        <f>-Income!CQ69</f>
        <v>-38.202004259350524</v>
      </c>
      <c r="CV54" s="188">
        <f>-Income!CV69</f>
        <v>-25.35970039112544</v>
      </c>
    </row>
    <row r="55" spans="1:100" s="177" customFormat="1" ht="12" customHeight="1" x14ac:dyDescent="0.25">
      <c r="A55" s="174"/>
      <c r="B55" s="174"/>
      <c r="C55" s="175"/>
      <c r="D55" s="175"/>
      <c r="E55" s="396" t="s">
        <v>145</v>
      </c>
      <c r="F55" s="188"/>
      <c r="G55" s="188"/>
      <c r="H55" s="188"/>
      <c r="I55" s="188"/>
      <c r="J55" s="188"/>
      <c r="O55" s="188"/>
      <c r="T55" s="188">
        <f>-Income!T76</f>
        <v>0</v>
      </c>
      <c r="Y55" s="188">
        <f>-Income!Y76</f>
        <v>0</v>
      </c>
      <c r="AD55" s="188">
        <f>-Income!AD76</f>
        <v>0</v>
      </c>
      <c r="AI55" s="188">
        <f>-Income!AI76</f>
        <v>0</v>
      </c>
      <c r="AN55" s="188">
        <f>-Income!AN76</f>
        <v>0</v>
      </c>
      <c r="AS55" s="188">
        <f>-Income!AS76</f>
        <v>-0.38999999999999996</v>
      </c>
      <c r="AX55" s="188">
        <f>-Income!AX76</f>
        <v>-5.2949999999999999</v>
      </c>
      <c r="BC55" s="188">
        <f>-Income!BC76</f>
        <v>-5.7469999999999999</v>
      </c>
      <c r="BH55" s="188">
        <f>-Income!BH76</f>
        <v>-0.48800000000000004</v>
      </c>
      <c r="BM55" s="188">
        <f>-Income!BM76</f>
        <v>0</v>
      </c>
      <c r="BR55" s="188">
        <f>-Income!BR76</f>
        <v>0</v>
      </c>
      <c r="BW55" s="188">
        <f>-Income!BW76</f>
        <v>0</v>
      </c>
      <c r="CB55" s="188">
        <f>-Income!CB76</f>
        <v>0</v>
      </c>
      <c r="CG55" s="188">
        <f>-Income!CG76</f>
        <v>0</v>
      </c>
      <c r="CL55" s="188">
        <f>-Income!CL76</f>
        <v>0</v>
      </c>
      <c r="CQ55" s="188">
        <f>-Income!CQ76</f>
        <v>0</v>
      </c>
      <c r="CV55" s="188">
        <f>-Income!CV76</f>
        <v>0</v>
      </c>
    </row>
    <row r="56" spans="1:100" s="177" customFormat="1" ht="12" customHeight="1" x14ac:dyDescent="0.25">
      <c r="A56" s="174"/>
      <c r="B56" s="174"/>
      <c r="C56" s="175"/>
      <c r="D56" s="175"/>
      <c r="E56" s="397" t="s">
        <v>360</v>
      </c>
      <c r="F56" s="188"/>
      <c r="G56" s="188"/>
      <c r="H56" s="188"/>
      <c r="I56" s="188"/>
      <c r="J56" s="188"/>
      <c r="O56" s="188"/>
      <c r="T56" s="188">
        <f>T25</f>
        <v>-20.294</v>
      </c>
      <c r="Y56" s="188">
        <f>Y25</f>
        <v>-21.902999999999999</v>
      </c>
      <c r="AD56" s="188">
        <f>AD25</f>
        <v>-27.443000000000001</v>
      </c>
      <c r="AI56" s="188">
        <f>AI25</f>
        <v>-33.344999999999999</v>
      </c>
      <c r="AN56" s="188">
        <f>AN25</f>
        <v>-16.239000000000001</v>
      </c>
      <c r="AS56" s="188">
        <f>AS25</f>
        <v>-8.2569999999999997</v>
      </c>
      <c r="AX56" s="188">
        <f>AX25</f>
        <v>-4.5549999999999997</v>
      </c>
      <c r="BC56" s="188">
        <f>BC25</f>
        <v>-5.2620000000000005</v>
      </c>
      <c r="BD56" s="422"/>
      <c r="BE56" s="422"/>
      <c r="BF56" s="422"/>
      <c r="BG56" s="422"/>
      <c r="BH56" s="188">
        <f>BH25</f>
        <v>-19.878999999999998</v>
      </c>
      <c r="BM56" s="188">
        <f>BM25</f>
        <v>-24.517000000000003</v>
      </c>
      <c r="BR56" s="188">
        <f>BR25</f>
        <v>-18.587</v>
      </c>
      <c r="BW56" s="188">
        <f>BW25</f>
        <v>-14.879999999999999</v>
      </c>
      <c r="CB56" s="188">
        <f>CB25</f>
        <v>-14.477</v>
      </c>
      <c r="CG56" s="188">
        <f>CG25</f>
        <v>-3.266</v>
      </c>
      <c r="CL56" s="188">
        <f>CL25</f>
        <v>-6.3220000000000001</v>
      </c>
      <c r="CQ56" s="188">
        <f>CQ25</f>
        <v>-11.7</v>
      </c>
      <c r="CV56" s="188">
        <f>CV25</f>
        <v>-16.429999999999996</v>
      </c>
    </row>
    <row r="57" spans="1:100" s="177" customFormat="1" ht="12" customHeight="1" x14ac:dyDescent="0.25">
      <c r="A57" s="174"/>
      <c r="B57" s="174"/>
      <c r="C57" s="175"/>
      <c r="D57" s="175"/>
      <c r="E57" s="396" t="s">
        <v>146</v>
      </c>
      <c r="F57" s="188"/>
      <c r="G57" s="188"/>
      <c r="H57" s="188"/>
      <c r="I57" s="188"/>
      <c r="J57" s="188"/>
      <c r="O57" s="188"/>
      <c r="T57" s="188">
        <f>T26</f>
        <v>-14.33</v>
      </c>
      <c r="Y57" s="188">
        <f>Y26</f>
        <v>-6.8479999999999999</v>
      </c>
      <c r="AD57" s="188">
        <f>AD26</f>
        <v>-14.225</v>
      </c>
      <c r="AI57" s="188">
        <f>AI26</f>
        <v>-21.6</v>
      </c>
      <c r="AN57" s="188">
        <f>AN26</f>
        <v>-31.448999999999998</v>
      </c>
      <c r="AS57" s="188">
        <f>AS26</f>
        <v>-57.908000000000001</v>
      </c>
      <c r="AX57" s="188">
        <f>AX26</f>
        <v>-59.021000000000008</v>
      </c>
      <c r="BC57" s="188">
        <f>BC26</f>
        <v>-51.591000000000001</v>
      </c>
      <c r="BD57" s="422"/>
      <c r="BE57" s="422"/>
      <c r="BF57" s="422"/>
      <c r="BG57" s="422"/>
      <c r="BH57" s="188">
        <f>BH26</f>
        <v>-38.4908</v>
      </c>
      <c r="BM57" s="188">
        <f>BM26</f>
        <v>-39.298000000000002</v>
      </c>
      <c r="BR57" s="188">
        <f>BR26</f>
        <v>-69.040999999999997</v>
      </c>
      <c r="BW57" s="188">
        <f>BW26</f>
        <v>-47.422999999999995</v>
      </c>
      <c r="CB57" s="188">
        <f>CB26</f>
        <v>-47.993000000000002</v>
      </c>
      <c r="CG57" s="188">
        <f>CG26</f>
        <v>-9.375</v>
      </c>
      <c r="CL57" s="188">
        <f>CL26</f>
        <v>-7.4350000000000005</v>
      </c>
      <c r="CQ57" s="188">
        <f>CQ26</f>
        <v>-10.226061679680003</v>
      </c>
      <c r="CV57" s="188">
        <f>CV26</f>
        <v>-11.97447318576541</v>
      </c>
    </row>
    <row r="58" spans="1:100" s="177" customFormat="1" ht="12" customHeight="1" x14ac:dyDescent="0.25">
      <c r="A58" s="174"/>
      <c r="B58" s="174"/>
      <c r="C58" s="175"/>
      <c r="D58" s="175"/>
      <c r="E58" s="396" t="s">
        <v>361</v>
      </c>
      <c r="F58" s="188"/>
      <c r="G58" s="188"/>
      <c r="H58" s="188"/>
      <c r="I58" s="188"/>
      <c r="J58" s="188"/>
      <c r="O58" s="188"/>
      <c r="T58" s="188">
        <f>T27</f>
        <v>-53.427999999999997</v>
      </c>
      <c r="Y58" s="188">
        <f>Y27</f>
        <v>-70.453999999999994</v>
      </c>
      <c r="AD58" s="188">
        <f>AD27</f>
        <v>-66.686999999999998</v>
      </c>
      <c r="AI58" s="188">
        <f>AI27</f>
        <v>-32.164000000000001</v>
      </c>
      <c r="AN58" s="188">
        <f>AN27</f>
        <v>-30.561</v>
      </c>
      <c r="AS58" s="188">
        <f>AS27</f>
        <v>-18.808</v>
      </c>
      <c r="AX58" s="188">
        <f>AX27</f>
        <v>-13.366</v>
      </c>
      <c r="BC58" s="188">
        <f>BC27</f>
        <v>-12.311999999999999</v>
      </c>
      <c r="BD58" s="422"/>
      <c r="BE58" s="422"/>
      <c r="BF58" s="422"/>
      <c r="BG58" s="422"/>
      <c r="BH58" s="188">
        <f>BH27</f>
        <v>-8.57</v>
      </c>
      <c r="BM58" s="188">
        <f>BM27</f>
        <v>-7.7450000000000001</v>
      </c>
      <c r="BR58" s="188">
        <f>BR27</f>
        <v>-1.871</v>
      </c>
      <c r="BW58" s="188">
        <f>BW27</f>
        <v>-1.5529999999999999</v>
      </c>
      <c r="CB58" s="188">
        <f>CB27</f>
        <v>-0.88100000000000001</v>
      </c>
      <c r="CG58" s="188">
        <f>CG27</f>
        <v>0</v>
      </c>
      <c r="CL58" s="188">
        <f>CL27</f>
        <v>-0.4</v>
      </c>
      <c r="CQ58" s="188">
        <f>CQ27</f>
        <v>0</v>
      </c>
      <c r="CV58" s="188">
        <f>CV27</f>
        <v>0</v>
      </c>
    </row>
    <row r="59" spans="1:100" s="177" customFormat="1" ht="12" customHeight="1" x14ac:dyDescent="0.25">
      <c r="A59" s="174"/>
      <c r="B59" s="174"/>
      <c r="C59" s="175"/>
      <c r="D59" s="175"/>
      <c r="E59" s="396" t="str">
        <f>E86</f>
        <v>- Payments on capital leases, installments</v>
      </c>
      <c r="F59" s="188"/>
      <c r="G59" s="188"/>
      <c r="H59" s="188"/>
      <c r="I59" s="188"/>
      <c r="J59" s="188"/>
      <c r="O59" s="188"/>
      <c r="T59" s="188"/>
      <c r="Y59" s="188">
        <f>Y86</f>
        <v>-72.231999999999999</v>
      </c>
      <c r="AD59" s="188">
        <f>AD86</f>
        <v>-76.135000000000005</v>
      </c>
      <c r="AI59" s="188">
        <f>AI86</f>
        <v>-69.707000000000008</v>
      </c>
      <c r="AN59" s="188">
        <f>AN86</f>
        <v>-40.789000000000001</v>
      </c>
      <c r="AS59" s="188">
        <f>AS86</f>
        <v>-29.696999999999999</v>
      </c>
      <c r="AX59" s="188">
        <f>AX86</f>
        <v>-22.356999999999999</v>
      </c>
      <c r="BC59" s="188">
        <f>BC86</f>
        <v>-18.331</v>
      </c>
      <c r="BD59" s="422"/>
      <c r="BE59" s="422"/>
      <c r="BF59" s="422"/>
      <c r="BG59" s="422"/>
      <c r="BH59" s="188">
        <f>BH86</f>
        <v>-16.513999999999999</v>
      </c>
      <c r="BM59" s="188">
        <f>BM86</f>
        <v>-9.8790000000000013</v>
      </c>
      <c r="BR59" s="188">
        <f>BR86</f>
        <v>-3.823</v>
      </c>
      <c r="BW59" s="188">
        <f>BW86</f>
        <v>-6.3E-2</v>
      </c>
      <c r="CB59" s="188">
        <f>CB86</f>
        <v>0</v>
      </c>
      <c r="CG59" s="188">
        <f>CG86</f>
        <v>0</v>
      </c>
      <c r="CL59" s="188">
        <f>CL86</f>
        <v>0</v>
      </c>
      <c r="CQ59" s="188">
        <f>CQ86</f>
        <v>0</v>
      </c>
      <c r="CV59" s="188">
        <f>CV86</f>
        <v>0</v>
      </c>
    </row>
    <row r="60" spans="1:100" s="177" customFormat="1" ht="12" customHeight="1" x14ac:dyDescent="0.25">
      <c r="A60" s="174"/>
      <c r="B60" s="174"/>
      <c r="C60" s="175"/>
      <c r="D60" s="175"/>
      <c r="E60" s="396" t="str">
        <f>E87</f>
        <v>- Payments on software and data</v>
      </c>
      <c r="F60" s="188"/>
      <c r="G60" s="188"/>
      <c r="H60" s="188"/>
      <c r="I60" s="188"/>
      <c r="J60" s="188"/>
      <c r="O60" s="188"/>
      <c r="T60" s="188"/>
      <c r="Y60" s="188">
        <f>Y87</f>
        <v>-29.068999999999999</v>
      </c>
      <c r="AD60" s="188">
        <f>AD87</f>
        <v>-26.896999999999998</v>
      </c>
      <c r="AI60" s="188">
        <f>AI87</f>
        <v>-31.819000000000003</v>
      </c>
      <c r="AN60" s="188">
        <f>AN87</f>
        <v>-23.216999999999999</v>
      </c>
      <c r="AS60" s="188">
        <f>AS87</f>
        <v>-7.5259999999999998</v>
      </c>
      <c r="AX60" s="188">
        <f>AX87</f>
        <v>-5.3160000000000007</v>
      </c>
      <c r="BC60" s="188">
        <f>BC87</f>
        <v>-2.9159999999999999</v>
      </c>
      <c r="BD60" s="422"/>
      <c r="BE60" s="422"/>
      <c r="BF60" s="422"/>
      <c r="BG60" s="422"/>
      <c r="BH60" s="188">
        <f>BH87</f>
        <v>-1.7689999999999999</v>
      </c>
      <c r="BM60" s="188">
        <f>BM87</f>
        <v>0</v>
      </c>
      <c r="BR60" s="188">
        <f>BR87</f>
        <v>0</v>
      </c>
      <c r="BW60" s="188">
        <f>BW87</f>
        <v>0</v>
      </c>
      <c r="CB60" s="188">
        <f>CB87</f>
        <v>0</v>
      </c>
      <c r="CG60" s="188">
        <f>CG87</f>
        <v>0</v>
      </c>
      <c r="CL60" s="188">
        <f>CL87</f>
        <v>0</v>
      </c>
      <c r="CQ60" s="188">
        <f>CQ87</f>
        <v>0</v>
      </c>
      <c r="CV60" s="188">
        <f>CV87</f>
        <v>0</v>
      </c>
    </row>
    <row r="61" spans="1:100" s="177" customFormat="1" ht="12" customHeight="1" x14ac:dyDescent="0.25">
      <c r="A61" s="174"/>
      <c r="B61" s="174"/>
      <c r="C61" s="175"/>
      <c r="D61" s="175"/>
      <c r="E61" s="179" t="s">
        <v>82</v>
      </c>
      <c r="F61" s="188"/>
      <c r="G61" s="188"/>
      <c r="H61" s="188"/>
      <c r="I61" s="188"/>
      <c r="J61" s="188"/>
      <c r="O61" s="188"/>
      <c r="T61" s="188">
        <v>0</v>
      </c>
      <c r="Y61" s="188">
        <v>0</v>
      </c>
      <c r="AD61" s="188">
        <v>0</v>
      </c>
      <c r="AI61" s="188">
        <v>0</v>
      </c>
      <c r="AN61" s="188">
        <v>0</v>
      </c>
      <c r="AS61" s="188">
        <v>0</v>
      </c>
      <c r="AX61" s="188">
        <v>0</v>
      </c>
      <c r="BC61" s="188">
        <v>0</v>
      </c>
      <c r="BH61" s="188">
        <v>0</v>
      </c>
      <c r="BM61" s="531">
        <f>4.2+0.34+14.007-2.567</f>
        <v>15.98</v>
      </c>
      <c r="BR61" s="531">
        <f>11.446+36.488+4.316+0.82</f>
        <v>53.07</v>
      </c>
      <c r="BW61" s="188">
        <v>0</v>
      </c>
      <c r="CB61" s="188">
        <v>0</v>
      </c>
      <c r="CG61" s="188">
        <v>0</v>
      </c>
      <c r="CL61" s="188">
        <v>-1800</v>
      </c>
      <c r="CQ61" s="188">
        <v>0</v>
      </c>
      <c r="CV61" s="188">
        <v>0</v>
      </c>
    </row>
    <row r="62" spans="1:100" s="177" customFormat="1" ht="12" customHeight="1" x14ac:dyDescent="0.3">
      <c r="C62" s="175"/>
      <c r="D62" s="175"/>
      <c r="E62" s="180" t="s">
        <v>45</v>
      </c>
      <c r="F62" s="181"/>
      <c r="G62" s="181"/>
      <c r="H62" s="181"/>
      <c r="I62" s="181"/>
      <c r="J62" s="181"/>
      <c r="K62" s="180"/>
      <c r="L62" s="180"/>
      <c r="M62" s="180"/>
      <c r="N62" s="180"/>
      <c r="O62" s="181"/>
      <c r="P62" s="180"/>
      <c r="Q62" s="180"/>
      <c r="R62" s="180"/>
      <c r="S62" s="180"/>
      <c r="T62" s="181">
        <f>SUM(T51:T57)</f>
        <v>233.80899999999991</v>
      </c>
      <c r="U62" s="180"/>
      <c r="V62" s="180"/>
      <c r="W62" s="180"/>
      <c r="X62" s="180"/>
      <c r="Y62" s="181">
        <f>SUM(Y51:Y61)</f>
        <v>96.071999999999932</v>
      </c>
      <c r="Z62" s="180"/>
      <c r="AA62" s="180"/>
      <c r="AB62" s="180"/>
      <c r="AC62" s="180"/>
      <c r="AD62" s="181">
        <f>SUM(AD51:AD61)</f>
        <v>92.741999999999933</v>
      </c>
      <c r="AE62" s="180"/>
      <c r="AF62" s="180"/>
      <c r="AG62" s="180"/>
      <c r="AH62" s="180"/>
      <c r="AI62" s="181">
        <f>SUM(AI51:AI61)</f>
        <v>106.10599999999995</v>
      </c>
      <c r="AJ62" s="180"/>
      <c r="AK62" s="180"/>
      <c r="AL62" s="180"/>
      <c r="AM62" s="180"/>
      <c r="AN62" s="181">
        <f>SUM(AN51:AN61)</f>
        <v>132.81900000000002</v>
      </c>
      <c r="AO62" s="180"/>
      <c r="AP62" s="180"/>
      <c r="AQ62" s="180"/>
      <c r="AR62" s="180"/>
      <c r="AS62" s="181">
        <f>SUM(AS51:AS61)</f>
        <v>140.464</v>
      </c>
      <c r="AT62" s="180"/>
      <c r="AU62" s="180"/>
      <c r="AV62" s="180"/>
      <c r="AW62" s="180"/>
      <c r="AX62" s="181">
        <f>SUM(AX51:AX61)</f>
        <v>35.123000000000005</v>
      </c>
      <c r="AY62" s="180"/>
      <c r="AZ62" s="180"/>
      <c r="BA62" s="180"/>
      <c r="BB62" s="180"/>
      <c r="BC62" s="181">
        <f>SUM(BC51:BC61)</f>
        <v>133.1</v>
      </c>
      <c r="BD62" s="180"/>
      <c r="BE62" s="180"/>
      <c r="BF62" s="180"/>
      <c r="BG62" s="180"/>
      <c r="BH62" s="181">
        <f>SUM(BH51:BH61)</f>
        <v>75.700200000000038</v>
      </c>
      <c r="BI62" s="180"/>
      <c r="BJ62" s="180"/>
      <c r="BK62" s="180"/>
      <c r="BL62" s="180"/>
      <c r="BM62" s="181">
        <f>SUM(BM51:BM61)</f>
        <v>61.653000000000006</v>
      </c>
      <c r="BN62" s="180"/>
      <c r="BO62" s="180"/>
      <c r="BP62" s="180"/>
      <c r="BQ62" s="180"/>
      <c r="BR62" s="181">
        <f>SUM(BR51:BR61)</f>
        <v>46.52</v>
      </c>
      <c r="BS62" s="180"/>
      <c r="BT62" s="180"/>
      <c r="BU62" s="180"/>
      <c r="BV62" s="180"/>
      <c r="BW62" s="181">
        <f>SUM(BW51:BW61)</f>
        <v>41.978000000000058</v>
      </c>
      <c r="BX62" s="180"/>
      <c r="BY62" s="180"/>
      <c r="BZ62" s="180"/>
      <c r="CA62" s="180"/>
      <c r="CB62" s="181">
        <f>SUM(CB51:CB61)</f>
        <v>70.44</v>
      </c>
      <c r="CC62" s="180"/>
      <c r="CD62" s="180"/>
      <c r="CE62" s="180"/>
      <c r="CF62" s="180"/>
      <c r="CG62" s="181">
        <f>SUM(CG51:CG61)</f>
        <v>38.223999999999982</v>
      </c>
      <c r="CH62" s="180"/>
      <c r="CI62" s="180"/>
      <c r="CJ62" s="180"/>
      <c r="CK62" s="180"/>
      <c r="CL62" s="181">
        <f>SUM(CL51:CL61)</f>
        <v>-106.18889314624994</v>
      </c>
      <c r="CM62" s="180"/>
      <c r="CN62" s="180"/>
      <c r="CO62" s="180"/>
      <c r="CP62" s="180"/>
      <c r="CQ62" s="181">
        <f>SUM(CQ51:CQ61)</f>
        <v>-28.816075877515118</v>
      </c>
      <c r="CR62" s="180"/>
      <c r="CS62" s="180"/>
      <c r="CT62" s="180"/>
      <c r="CU62" s="180"/>
      <c r="CV62" s="181">
        <f>SUM(CV51:CV61)</f>
        <v>11.656525510483126</v>
      </c>
    </row>
    <row r="63" spans="1:100" s="399" customFormat="1" ht="12" customHeight="1" x14ac:dyDescent="0.3">
      <c r="C63" s="400"/>
      <c r="D63" s="400"/>
      <c r="E63" s="401" t="s">
        <v>83</v>
      </c>
      <c r="F63" s="398"/>
      <c r="G63" s="398"/>
      <c r="H63" s="398"/>
      <c r="I63" s="398"/>
      <c r="J63" s="398"/>
      <c r="K63" s="398"/>
      <c r="L63" s="398"/>
      <c r="M63" s="398"/>
      <c r="N63" s="398"/>
      <c r="O63" s="398"/>
      <c r="P63" s="398"/>
      <c r="Q63" s="398"/>
      <c r="R63" s="398"/>
      <c r="S63" s="398"/>
      <c r="T63" s="398">
        <f>T62/Income!T86</f>
        <v>2.4873297872340414</v>
      </c>
      <c r="U63" s="398"/>
      <c r="V63" s="398"/>
      <c r="W63" s="398"/>
      <c r="X63" s="398"/>
      <c r="Y63" s="398">
        <f>Y62/Income!Y86</f>
        <v>1.0674666666666659</v>
      </c>
      <c r="Z63" s="398"/>
      <c r="AA63" s="398"/>
      <c r="AB63" s="398"/>
      <c r="AC63" s="398"/>
      <c r="AD63" s="398">
        <f>AD62/Income!AD86</f>
        <v>1.1040714285714277</v>
      </c>
      <c r="AE63" s="398"/>
      <c r="AF63" s="398"/>
      <c r="AG63" s="398"/>
      <c r="AH63" s="398"/>
      <c r="AI63" s="398">
        <f>AI62/Income!AI86</f>
        <v>1.3410259974975665</v>
      </c>
      <c r="AJ63" s="398"/>
      <c r="AK63" s="398"/>
      <c r="AL63" s="398"/>
      <c r="AM63" s="398"/>
      <c r="AN63" s="398">
        <f>AN62/Income!AN86</f>
        <v>1.6979098753595401</v>
      </c>
      <c r="AO63" s="398"/>
      <c r="AP63" s="398"/>
      <c r="AQ63" s="398"/>
      <c r="AR63" s="398"/>
      <c r="AS63" s="398">
        <f>AS62/Income!AS86</f>
        <v>1.7618563813107557</v>
      </c>
      <c r="AT63" s="398"/>
      <c r="AU63" s="398"/>
      <c r="AV63" s="398"/>
      <c r="AW63" s="398"/>
      <c r="AX63" s="398">
        <f>AX62/Income!AX86</f>
        <v>0.43193885488180195</v>
      </c>
      <c r="AY63" s="398"/>
      <c r="AZ63" s="398"/>
      <c r="BA63" s="398"/>
      <c r="BB63" s="398"/>
      <c r="BC63" s="398">
        <f>BC62/Income!BC86</f>
        <v>1.6555858920697313</v>
      </c>
      <c r="BD63" s="398"/>
      <c r="BE63" s="398"/>
      <c r="BF63" s="398"/>
      <c r="BG63" s="398"/>
      <c r="BH63" s="398">
        <f>BH62/Income!BH86</f>
        <v>0.98958713932291298</v>
      </c>
      <c r="BI63" s="398"/>
      <c r="BJ63" s="398"/>
      <c r="BK63" s="398"/>
      <c r="BL63" s="398"/>
      <c r="BM63" s="398">
        <f>BM62/Income!BM86</f>
        <v>0.80682067271043889</v>
      </c>
      <c r="BN63" s="398"/>
      <c r="BO63" s="398"/>
      <c r="BP63" s="398"/>
      <c r="BQ63" s="398"/>
      <c r="BR63" s="398">
        <f>BR62/Income!BR86</f>
        <v>0.60332920479083851</v>
      </c>
      <c r="BS63" s="398"/>
      <c r="BT63" s="398"/>
      <c r="BU63" s="398"/>
      <c r="BV63" s="398"/>
      <c r="BW63" s="398">
        <f>BW62/Income!BW86</f>
        <v>0.53070538632211806</v>
      </c>
      <c r="BX63" s="398"/>
      <c r="BY63" s="398"/>
      <c r="BZ63" s="398"/>
      <c r="CA63" s="398"/>
      <c r="CB63" s="398">
        <f>CB62/Income!CB86</f>
        <v>0.88217337261618123</v>
      </c>
      <c r="CC63" s="398"/>
      <c r="CD63" s="398"/>
      <c r="CE63" s="398"/>
      <c r="CF63" s="398"/>
      <c r="CG63" s="398">
        <f>CG62/Income!CG86</f>
        <v>0.48451661152729697</v>
      </c>
      <c r="CH63" s="398"/>
      <c r="CI63" s="398"/>
      <c r="CJ63" s="398"/>
      <c r="CK63" s="398"/>
      <c r="CL63" s="398">
        <f>CL62/Income!CL86</f>
        <v>-1.4567426755184691</v>
      </c>
      <c r="CM63" s="398"/>
      <c r="CN63" s="398"/>
      <c r="CO63" s="398"/>
      <c r="CP63" s="398"/>
      <c r="CQ63" s="398">
        <f>CQ62/Income!CQ86</f>
        <v>-0.46199598989170187</v>
      </c>
      <c r="CR63" s="398"/>
      <c r="CS63" s="398"/>
      <c r="CT63" s="398"/>
      <c r="CU63" s="398"/>
      <c r="CV63" s="398">
        <f>CV62/Income!CV86</f>
        <v>0.19476883956829177</v>
      </c>
    </row>
    <row r="64" spans="1:100" s="177" customFormat="1" ht="12" customHeight="1" x14ac:dyDescent="0.3">
      <c r="A64" s="174"/>
      <c r="B64" s="174"/>
      <c r="C64" s="175"/>
      <c r="D64" s="175"/>
      <c r="E64" s="182" t="s">
        <v>86</v>
      </c>
      <c r="F64" s="189"/>
      <c r="G64" s="189"/>
      <c r="H64" s="189"/>
      <c r="I64" s="189"/>
      <c r="J64" s="189"/>
      <c r="O64" s="189"/>
      <c r="T64" s="189"/>
      <c r="Y64" s="189"/>
      <c r="AD64" s="189"/>
      <c r="AI64" s="189"/>
      <c r="AN64" s="189">
        <f>(AN63-AI63)/ABS(AI63)</f>
        <v>0.26612748636338146</v>
      </c>
      <c r="AS64" s="189">
        <f>(AS63-AN63)/ABS(AN63)</f>
        <v>3.7661896475909645E-2</v>
      </c>
      <c r="AX64" s="189">
        <f>(AX63-AS63)/ABS(AS63)</f>
        <v>-0.75483878285217809</v>
      </c>
      <c r="BC64" s="189">
        <f>(BC63-AX63)/ABS(AX63)</f>
        <v>2.8329172598347854</v>
      </c>
      <c r="BH64" s="189">
        <f>(BH63-BC63)/ABS(BC63)</f>
        <v>-0.40227375452820496</v>
      </c>
      <c r="BM64" s="189">
        <f>(BM63-BH63)/ABS(BH63)</f>
        <v>-0.18468961382978868</v>
      </c>
      <c r="BR64" s="189">
        <f>(BR63-BM63)/ABS(BM63)</f>
        <v>-0.25221399847873227</v>
      </c>
      <c r="BW64" s="189">
        <f>(BW63-BR63)/ABS(BR63)</f>
        <v>-0.12037179352837329</v>
      </c>
      <c r="CB64" s="189">
        <f>(CB63-BW63)/ABS(BW63)</f>
        <v>0.66226572285199203</v>
      </c>
      <c r="CG64" s="189">
        <f>(CG63-CB63)/ABS(CB63)</f>
        <v>-0.45076939911435981</v>
      </c>
      <c r="CL64" s="189">
        <f>(CL63-CG63)/ABS(CG63)</f>
        <v>-4.0065897450378714</v>
      </c>
      <c r="CQ64" s="189">
        <f>(CQ63-CL63)/ABS(CL63)</f>
        <v>0.68285683006624842</v>
      </c>
      <c r="CV64" s="189">
        <f>(CV63-CQ63)/ABS(CQ63)</f>
        <v>1.4215812341010758</v>
      </c>
    </row>
    <row r="65" spans="1:256" s="87" customFormat="1" ht="3.95" customHeight="1" x14ac:dyDescent="0.25">
      <c r="F65" s="35"/>
      <c r="G65" s="35"/>
      <c r="H65" s="35"/>
      <c r="I65" s="35"/>
      <c r="J65" s="35"/>
      <c r="O65" s="35"/>
      <c r="T65" s="35"/>
      <c r="Y65" s="35"/>
      <c r="AD65" s="35"/>
      <c r="AI65" s="35"/>
      <c r="AN65" s="35"/>
      <c r="AS65" s="35"/>
      <c r="AX65" s="35"/>
      <c r="BC65" s="35"/>
      <c r="BH65" s="35"/>
      <c r="BM65" s="35"/>
      <c r="BR65" s="35"/>
      <c r="BW65" s="35"/>
      <c r="CB65" s="35"/>
      <c r="CG65" s="35"/>
      <c r="CL65" s="35"/>
      <c r="CQ65" s="35"/>
      <c r="CV65" s="35"/>
    </row>
    <row r="66" spans="1:256" s="6" customFormat="1" ht="12" customHeight="1" x14ac:dyDescent="0.25">
      <c r="A66" s="47"/>
      <c r="B66" s="47"/>
      <c r="C66" s="2"/>
      <c r="D66" s="2"/>
      <c r="E66" s="13" t="s">
        <v>196</v>
      </c>
      <c r="F66" s="33"/>
      <c r="G66" s="33"/>
      <c r="H66" s="33"/>
      <c r="I66" s="33"/>
      <c r="J66" s="33"/>
      <c r="O66" s="33"/>
      <c r="T66" s="33"/>
      <c r="Y66" s="33"/>
      <c r="AD66" s="33"/>
      <c r="AI66" s="33"/>
      <c r="AN66" s="33"/>
      <c r="AS66" s="33"/>
      <c r="AX66" s="33"/>
      <c r="BC66" s="33"/>
      <c r="BH66" s="33"/>
      <c r="BM66" s="33"/>
      <c r="BR66" s="33"/>
      <c r="BW66" s="33"/>
      <c r="CB66" s="33"/>
      <c r="CG66" s="33"/>
      <c r="CL66" s="33"/>
      <c r="CQ66" s="33"/>
      <c r="CR66" s="717"/>
      <c r="CS66" s="717"/>
      <c r="CT66" s="717"/>
      <c r="CU66" s="717"/>
      <c r="CV66" s="33"/>
    </row>
    <row r="67" spans="1:256" s="27" customFormat="1" ht="12" customHeight="1" x14ac:dyDescent="0.25">
      <c r="C67" s="122"/>
      <c r="D67" s="122"/>
      <c r="E67" s="179" t="s">
        <v>428</v>
      </c>
      <c r="F67" s="139"/>
      <c r="G67" s="139"/>
      <c r="H67" s="139"/>
      <c r="I67" s="139"/>
      <c r="J67" s="139"/>
      <c r="O67" s="139"/>
      <c r="T67" s="139">
        <f>Income!T134</f>
        <v>319.92299999999989</v>
      </c>
      <c r="Y67" s="139">
        <f>Income!Y134</f>
        <v>373.03699999999998</v>
      </c>
      <c r="AD67" s="139">
        <f>Income!AD134</f>
        <v>401.05599999999993</v>
      </c>
      <c r="AI67" s="139">
        <f>Income!AI134</f>
        <v>379.28699999999992</v>
      </c>
      <c r="AN67" s="139">
        <f>Income!AN134</f>
        <v>341.14100000000002</v>
      </c>
      <c r="AS67" s="139">
        <f>Income!AS134</f>
        <v>276.22200000000009</v>
      </c>
      <c r="AX67" s="139">
        <f>Income!AX134</f>
        <v>268.89999999999981</v>
      </c>
      <c r="BC67" s="139">
        <f>Income!BC134</f>
        <v>259.63600000000002</v>
      </c>
      <c r="BH67" s="139">
        <f>Income!BH134</f>
        <v>232.93899999999991</v>
      </c>
      <c r="BM67" s="139">
        <f>Income!BM134</f>
        <v>159.88999999999999</v>
      </c>
      <c r="BR67" s="139">
        <f>Income!BR134</f>
        <v>129.94800000000001</v>
      </c>
      <c r="BW67" s="139">
        <f>Income!BW134</f>
        <v>143.65000000000003</v>
      </c>
      <c r="CB67" s="139">
        <f>Income!CB134</f>
        <v>164.53799999999998</v>
      </c>
      <c r="CG67" s="139">
        <f>Income!CG134</f>
        <v>-21.515000000000008</v>
      </c>
      <c r="CL67" s="139">
        <f>Income!CL134</f>
        <v>-43.61713199999997</v>
      </c>
      <c r="CQ67" s="139">
        <f>Income!CQ134</f>
        <v>-18.818169919999974</v>
      </c>
      <c r="CV67" s="139">
        <f>Income!CV134</f>
        <v>34.032296306300047</v>
      </c>
    </row>
    <row r="68" spans="1:256" s="27" customFormat="1" ht="12" customHeight="1" x14ac:dyDescent="0.25">
      <c r="C68" s="122"/>
      <c r="D68" s="122"/>
      <c r="E68" s="179" t="s">
        <v>50</v>
      </c>
      <c r="F68" s="139"/>
      <c r="G68" s="139"/>
      <c r="H68" s="139"/>
      <c r="I68" s="139"/>
      <c r="J68" s="139"/>
      <c r="O68" s="139"/>
      <c r="T68" s="139">
        <f>Income!T61</f>
        <v>-19.190999999999999</v>
      </c>
      <c r="Y68" s="139">
        <f>Income!Y61</f>
        <v>-28.744</v>
      </c>
      <c r="AD68" s="139">
        <f>Income!AD61</f>
        <v>-46.631999999999998</v>
      </c>
      <c r="AI68" s="139">
        <f>Income!AI61</f>
        <v>-51.230000000000004</v>
      </c>
      <c r="AN68" s="139">
        <f>Income!AN61</f>
        <v>-32.595999999999997</v>
      </c>
      <c r="AS68" s="139">
        <f>Income!AS61</f>
        <v>-22.479999999999997</v>
      </c>
      <c r="AX68" s="139">
        <f>Income!AX61</f>
        <v>-23.823</v>
      </c>
      <c r="BC68" s="139">
        <f>Income!BC61</f>
        <v>-17.448</v>
      </c>
      <c r="BH68" s="139">
        <f>Income!BH61</f>
        <v>-12.693999999999999</v>
      </c>
      <c r="BM68" s="139">
        <f>Income!BM61</f>
        <v>-8.6710000000000012</v>
      </c>
      <c r="BR68" s="139">
        <f>Income!BR61</f>
        <v>-7.6719999999999988</v>
      </c>
      <c r="BW68" s="139">
        <f>Income!BW61</f>
        <v>-7.6690000000000005</v>
      </c>
      <c r="CB68" s="139">
        <f>Income!CB61</f>
        <v>-7.3810000000000002</v>
      </c>
      <c r="CG68" s="139">
        <f>Income!CG61</f>
        <v>0</v>
      </c>
      <c r="CL68" s="139">
        <f>Income!CL61</f>
        <v>16.616238853750001</v>
      </c>
      <c r="CQ68" s="139">
        <f>Income!CQ61</f>
        <v>16.128155722164898</v>
      </c>
      <c r="CV68" s="139">
        <f>Income!CV61</f>
        <v>12.968702389948492</v>
      </c>
    </row>
    <row r="69" spans="1:256" s="27" customFormat="1" ht="12" customHeight="1" x14ac:dyDescent="0.25">
      <c r="C69" s="122"/>
      <c r="D69" s="122"/>
      <c r="E69" s="179" t="s">
        <v>52</v>
      </c>
      <c r="F69" s="139"/>
      <c r="G69" s="139"/>
      <c r="H69" s="139"/>
      <c r="I69" s="139"/>
      <c r="J69" s="139"/>
      <c r="O69" s="139"/>
      <c r="T69" s="139">
        <f>Income!T68</f>
        <v>0</v>
      </c>
      <c r="Y69" s="139">
        <f>Income!Y68</f>
        <v>0</v>
      </c>
      <c r="AD69" s="139">
        <f>Income!AD68</f>
        <v>0</v>
      </c>
      <c r="AI69" s="139">
        <f>Income!AI68</f>
        <v>1.5049999999999999</v>
      </c>
      <c r="AN69" s="139">
        <f>Income!AN68</f>
        <v>3.1460000000000008</v>
      </c>
      <c r="AS69" s="139">
        <f>Income!AS68</f>
        <v>7.5489999999999995</v>
      </c>
      <c r="AX69" s="139">
        <f>Income!AX68</f>
        <v>-22.995000000000001</v>
      </c>
      <c r="BC69" s="139">
        <f>Income!BC68</f>
        <v>-20.765000000000001</v>
      </c>
      <c r="BH69" s="139">
        <f>Income!BH68</f>
        <v>-57.463999999999999</v>
      </c>
      <c r="BM69" s="139">
        <f>Income!BM68</f>
        <v>-9.9429999999999996</v>
      </c>
      <c r="BR69" s="139">
        <f>Income!BR68</f>
        <v>3.8449999999999998</v>
      </c>
      <c r="BW69" s="139">
        <f>Income!BW68</f>
        <v>-6.1</v>
      </c>
      <c r="CB69" s="139">
        <f>Income!CB68</f>
        <v>-6.6859999999999999</v>
      </c>
      <c r="CG69" s="139">
        <f>Income!CG68</f>
        <v>-1.236</v>
      </c>
      <c r="CL69" s="139">
        <f>Income!CL68</f>
        <v>-3.6</v>
      </c>
      <c r="CQ69" s="139">
        <f>Income!CQ68</f>
        <v>-4.2000000000000011</v>
      </c>
      <c r="CV69" s="139">
        <f>Income!CV68</f>
        <v>-6.9400000000000013</v>
      </c>
    </row>
    <row r="70" spans="1:256" s="27" customFormat="1" ht="12" customHeight="1" x14ac:dyDescent="0.25">
      <c r="C70" s="122"/>
      <c r="D70" s="122"/>
      <c r="E70" s="397" t="s">
        <v>360</v>
      </c>
      <c r="F70" s="139"/>
      <c r="G70" s="139"/>
      <c r="H70" s="139"/>
      <c r="I70" s="139"/>
      <c r="J70" s="139"/>
      <c r="O70" s="139"/>
      <c r="T70" s="139">
        <f>'Cash Flow'!T25</f>
        <v>-20.294</v>
      </c>
      <c r="Y70" s="139">
        <f>'Cash Flow'!Y25</f>
        <v>-21.902999999999999</v>
      </c>
      <c r="AD70" s="139">
        <f>'Cash Flow'!AD25</f>
        <v>-27.443000000000001</v>
      </c>
      <c r="AI70" s="139">
        <f>'Cash Flow'!AI25</f>
        <v>-33.344999999999999</v>
      </c>
      <c r="AN70" s="139">
        <f>'Cash Flow'!AN25</f>
        <v>-16.239000000000001</v>
      </c>
      <c r="AS70" s="139">
        <f>'Cash Flow'!AS25</f>
        <v>-8.2569999999999997</v>
      </c>
      <c r="AX70" s="139">
        <f>'Cash Flow'!AX25</f>
        <v>-4.5549999999999997</v>
      </c>
      <c r="BC70" s="139">
        <f>'Cash Flow'!BC25</f>
        <v>-5.2620000000000005</v>
      </c>
      <c r="BH70" s="139">
        <f>'Cash Flow'!BH25</f>
        <v>-19.878999999999998</v>
      </c>
      <c r="BM70" s="139">
        <f>'Cash Flow'!BM25</f>
        <v>-24.517000000000003</v>
      </c>
      <c r="BR70" s="139">
        <f>'Cash Flow'!BR25</f>
        <v>-18.587</v>
      </c>
      <c r="BW70" s="139">
        <f>'Cash Flow'!BW25</f>
        <v>-14.879999999999999</v>
      </c>
      <c r="CB70" s="139">
        <f>'Cash Flow'!CB25</f>
        <v>-14.477</v>
      </c>
      <c r="CG70" s="139">
        <f>'Cash Flow'!CG25</f>
        <v>-3.266</v>
      </c>
      <c r="CL70" s="139">
        <f>'Cash Flow'!CL25</f>
        <v>-6.3220000000000001</v>
      </c>
      <c r="CQ70" s="139">
        <f>'Cash Flow'!CQ25</f>
        <v>-11.7</v>
      </c>
      <c r="CV70" s="139">
        <f>'Cash Flow'!CV25</f>
        <v>-16.429999999999996</v>
      </c>
    </row>
    <row r="71" spans="1:256" s="27" customFormat="1" ht="12" customHeight="1" x14ac:dyDescent="0.25">
      <c r="C71" s="122"/>
      <c r="D71" s="122"/>
      <c r="E71" s="396" t="s">
        <v>146</v>
      </c>
      <c r="F71" s="139"/>
      <c r="G71" s="139"/>
      <c r="H71" s="139"/>
      <c r="I71" s="139"/>
      <c r="J71" s="139"/>
      <c r="O71" s="139"/>
      <c r="T71" s="139">
        <f>'Cash Flow'!T26</f>
        <v>-14.33</v>
      </c>
      <c r="Y71" s="139">
        <f>'Cash Flow'!Y26</f>
        <v>-6.8479999999999999</v>
      </c>
      <c r="AD71" s="139">
        <f>'Cash Flow'!AD26</f>
        <v>-14.225</v>
      </c>
      <c r="AI71" s="139">
        <f>'Cash Flow'!AI26</f>
        <v>-21.6</v>
      </c>
      <c r="AN71" s="139">
        <f>'Cash Flow'!AN26</f>
        <v>-31.448999999999998</v>
      </c>
      <c r="AS71" s="139">
        <f>'Cash Flow'!AS26</f>
        <v>-57.908000000000001</v>
      </c>
      <c r="AX71" s="139">
        <f>'Cash Flow'!AX26</f>
        <v>-59.021000000000008</v>
      </c>
      <c r="BC71" s="139">
        <f>'Cash Flow'!BC26</f>
        <v>-51.591000000000001</v>
      </c>
      <c r="BH71" s="139">
        <f>'Cash Flow'!BH26</f>
        <v>-38.4908</v>
      </c>
      <c r="BM71" s="139">
        <f>'Cash Flow'!BM26</f>
        <v>-39.298000000000002</v>
      </c>
      <c r="BR71" s="139">
        <f>'Cash Flow'!BR26</f>
        <v>-69.040999999999997</v>
      </c>
      <c r="BW71" s="139">
        <f>'Cash Flow'!BW26</f>
        <v>-47.422999999999995</v>
      </c>
      <c r="CB71" s="139">
        <f>'Cash Flow'!CB26</f>
        <v>-47.993000000000002</v>
      </c>
      <c r="CG71" s="139">
        <f>'Cash Flow'!CG26</f>
        <v>-9.375</v>
      </c>
      <c r="CL71" s="139">
        <f>'Cash Flow'!CL26</f>
        <v>-7.4350000000000005</v>
      </c>
      <c r="CQ71" s="139">
        <f>'Cash Flow'!CQ26</f>
        <v>-10.226061679680003</v>
      </c>
      <c r="CV71" s="139">
        <f>'Cash Flow'!CV26</f>
        <v>-11.97447318576541</v>
      </c>
    </row>
    <row r="72" spans="1:256" s="27" customFormat="1" ht="12" customHeight="1" x14ac:dyDescent="0.25">
      <c r="C72" s="122"/>
      <c r="D72" s="122"/>
      <c r="E72" s="396" t="s">
        <v>361</v>
      </c>
      <c r="F72" s="139"/>
      <c r="G72" s="139"/>
      <c r="H72" s="139"/>
      <c r="I72" s="139"/>
      <c r="J72" s="139"/>
      <c r="O72" s="139"/>
      <c r="T72" s="139">
        <f>'Cash Flow'!T27</f>
        <v>-53.427999999999997</v>
      </c>
      <c r="Y72" s="139">
        <f>'Cash Flow'!Y27</f>
        <v>-70.453999999999994</v>
      </c>
      <c r="AD72" s="139">
        <f>'Cash Flow'!AD27</f>
        <v>-66.686999999999998</v>
      </c>
      <c r="AI72" s="139">
        <f>'Cash Flow'!AI27</f>
        <v>-32.164000000000001</v>
      </c>
      <c r="AN72" s="139">
        <f>'Cash Flow'!AN27</f>
        <v>-30.561</v>
      </c>
      <c r="AS72" s="139">
        <f>'Cash Flow'!AS27</f>
        <v>-18.808</v>
      </c>
      <c r="AX72" s="139">
        <f>'Cash Flow'!AX27</f>
        <v>-13.366</v>
      </c>
      <c r="BC72" s="139">
        <f>'Cash Flow'!BC27</f>
        <v>-12.311999999999999</v>
      </c>
      <c r="BH72" s="139">
        <f>'Cash Flow'!BH27</f>
        <v>-8.57</v>
      </c>
      <c r="BM72" s="139">
        <f>'Cash Flow'!BM27</f>
        <v>-7.7450000000000001</v>
      </c>
      <c r="BR72" s="139">
        <f>'Cash Flow'!BR27</f>
        <v>-1.871</v>
      </c>
      <c r="BW72" s="139">
        <f>'Cash Flow'!BW27</f>
        <v>-1.5529999999999999</v>
      </c>
      <c r="CB72" s="139">
        <f>'Cash Flow'!CB27</f>
        <v>-0.88100000000000001</v>
      </c>
      <c r="CG72" s="139">
        <f>'Cash Flow'!CG27</f>
        <v>0</v>
      </c>
      <c r="CL72" s="139">
        <f>'Cash Flow'!CL27</f>
        <v>-0.4</v>
      </c>
      <c r="CQ72" s="139">
        <f>'Cash Flow'!CQ27</f>
        <v>0</v>
      </c>
      <c r="CV72" s="139">
        <f>'Cash Flow'!CV27</f>
        <v>0</v>
      </c>
    </row>
    <row r="73" spans="1:256" s="27" customFormat="1" ht="12" customHeight="1" x14ac:dyDescent="0.25">
      <c r="C73" s="122"/>
      <c r="D73" s="122"/>
      <c r="E73" s="396" t="str">
        <f>E86</f>
        <v>- Payments on capital leases, installments</v>
      </c>
      <c r="F73" s="139"/>
      <c r="G73" s="139"/>
      <c r="H73" s="139"/>
      <c r="I73" s="139"/>
      <c r="J73" s="139"/>
      <c r="O73" s="139"/>
      <c r="T73" s="139"/>
      <c r="Y73" s="139">
        <f>Y86</f>
        <v>-72.231999999999999</v>
      </c>
      <c r="AD73" s="139">
        <f>AD86</f>
        <v>-76.135000000000005</v>
      </c>
      <c r="AI73" s="139">
        <f>AI86</f>
        <v>-69.707000000000008</v>
      </c>
      <c r="AN73" s="139">
        <f>AN86</f>
        <v>-40.789000000000001</v>
      </c>
      <c r="AS73" s="139">
        <f>AS86</f>
        <v>-29.696999999999999</v>
      </c>
      <c r="AX73" s="139">
        <f>AX86</f>
        <v>-22.356999999999999</v>
      </c>
      <c r="BC73" s="139">
        <f>BC86</f>
        <v>-18.331</v>
      </c>
      <c r="BH73" s="139">
        <f>BH86</f>
        <v>-16.513999999999999</v>
      </c>
      <c r="BM73" s="139">
        <f>BM86</f>
        <v>-9.8790000000000013</v>
      </c>
      <c r="BR73" s="139">
        <f>BR86</f>
        <v>-3.823</v>
      </c>
      <c r="BW73" s="139">
        <f>BW86</f>
        <v>-6.3E-2</v>
      </c>
      <c r="CB73" s="139">
        <f>CB86</f>
        <v>0</v>
      </c>
      <c r="CG73" s="139">
        <f>CG86</f>
        <v>0</v>
      </c>
      <c r="CL73" s="139">
        <f>CL86</f>
        <v>0</v>
      </c>
      <c r="CQ73" s="139">
        <f>CQ86</f>
        <v>0</v>
      </c>
      <c r="CV73" s="139">
        <f>CV86</f>
        <v>0</v>
      </c>
    </row>
    <row r="74" spans="1:256" s="27" customFormat="1" ht="12" customHeight="1" x14ac:dyDescent="0.25">
      <c r="C74" s="122"/>
      <c r="D74" s="122"/>
      <c r="E74" s="396" t="str">
        <f>E87</f>
        <v>- Payments on software and data</v>
      </c>
      <c r="F74" s="139"/>
      <c r="G74" s="139"/>
      <c r="H74" s="139"/>
      <c r="I74" s="139"/>
      <c r="J74" s="139"/>
      <c r="O74" s="139"/>
      <c r="T74" s="139"/>
      <c r="Y74" s="139">
        <f>Y87</f>
        <v>-29.068999999999999</v>
      </c>
      <c r="AD74" s="139">
        <f>AD87</f>
        <v>-26.896999999999998</v>
      </c>
      <c r="AI74" s="139">
        <f>AI87</f>
        <v>-31.819000000000003</v>
      </c>
      <c r="AN74" s="139">
        <f>AN87</f>
        <v>-23.216999999999999</v>
      </c>
      <c r="AS74" s="139">
        <f>AS87</f>
        <v>-7.5259999999999998</v>
      </c>
      <c r="AX74" s="139">
        <f>AX87</f>
        <v>-5.3160000000000007</v>
      </c>
      <c r="BC74" s="139">
        <f>BC87</f>
        <v>-2.9159999999999999</v>
      </c>
      <c r="BH74" s="139">
        <f>BH87</f>
        <v>-1.7689999999999999</v>
      </c>
      <c r="BM74" s="139">
        <f>BM87</f>
        <v>0</v>
      </c>
      <c r="BR74" s="139">
        <f>BR87</f>
        <v>0</v>
      </c>
      <c r="BW74" s="139">
        <f>BW87</f>
        <v>0</v>
      </c>
      <c r="CB74" s="139">
        <f>CB87</f>
        <v>0</v>
      </c>
      <c r="CG74" s="139">
        <f>CG87</f>
        <v>0</v>
      </c>
      <c r="CL74" s="139">
        <f>CL87</f>
        <v>0</v>
      </c>
      <c r="CQ74" s="139">
        <f>CQ87</f>
        <v>0</v>
      </c>
      <c r="CV74" s="139">
        <f>CV87</f>
        <v>0</v>
      </c>
    </row>
    <row r="75" spans="1:256" s="27" customFormat="1" ht="12" customHeight="1" x14ac:dyDescent="0.25">
      <c r="C75" s="122"/>
      <c r="D75" s="122"/>
      <c r="E75" s="179" t="s">
        <v>82</v>
      </c>
      <c r="F75" s="139"/>
      <c r="G75" s="139"/>
      <c r="H75" s="139"/>
      <c r="I75" s="139"/>
      <c r="J75" s="139"/>
      <c r="O75" s="139"/>
      <c r="T75" s="139">
        <v>0</v>
      </c>
      <c r="Y75" s="139">
        <v>0</v>
      </c>
      <c r="AD75" s="139">
        <v>0</v>
      </c>
      <c r="AI75" s="139">
        <v>0</v>
      </c>
      <c r="AN75" s="139">
        <v>0</v>
      </c>
      <c r="AS75" s="139">
        <v>0</v>
      </c>
      <c r="AX75" s="139">
        <v>0</v>
      </c>
      <c r="BC75" s="139">
        <v>0</v>
      </c>
      <c r="BH75" s="139">
        <v>0</v>
      </c>
      <c r="BM75" s="139">
        <v>0</v>
      </c>
      <c r="BR75" s="139">
        <v>0</v>
      </c>
      <c r="BW75" s="139">
        <v>0</v>
      </c>
      <c r="CB75" s="139">
        <v>0</v>
      </c>
      <c r="CG75" s="139">
        <v>0</v>
      </c>
      <c r="CL75" s="139">
        <v>0</v>
      </c>
      <c r="CQ75" s="139">
        <v>0</v>
      </c>
      <c r="CV75" s="139">
        <v>0</v>
      </c>
    </row>
    <row r="76" spans="1:256" s="130" customFormat="1" ht="12" customHeight="1" x14ac:dyDescent="0.25">
      <c r="D76" s="126"/>
      <c r="E76" s="35" t="s">
        <v>45</v>
      </c>
      <c r="F76" s="35"/>
      <c r="G76" s="35"/>
      <c r="H76" s="35"/>
      <c r="I76" s="35"/>
      <c r="J76" s="35"/>
      <c r="K76" s="35"/>
      <c r="L76" s="35"/>
      <c r="M76" s="35"/>
      <c r="N76" s="35"/>
      <c r="O76" s="35"/>
      <c r="P76" s="35"/>
      <c r="Q76" s="35"/>
      <c r="R76" s="35"/>
      <c r="S76" s="35"/>
      <c r="T76" s="35">
        <f>SUM(T67:T75)</f>
        <v>212.67999999999995</v>
      </c>
      <c r="U76" s="35"/>
      <c r="V76" s="35"/>
      <c r="W76" s="35"/>
      <c r="X76" s="35"/>
      <c r="Y76" s="35">
        <f>SUM(Y67:Y75)</f>
        <v>143.78699999999998</v>
      </c>
      <c r="Z76" s="35"/>
      <c r="AA76" s="35"/>
      <c r="AB76" s="35"/>
      <c r="AC76" s="35"/>
      <c r="AD76" s="35">
        <f>SUM(AD67:AD75)</f>
        <v>143.03699999999992</v>
      </c>
      <c r="AE76" s="35"/>
      <c r="AF76" s="35"/>
      <c r="AG76" s="35"/>
      <c r="AH76" s="35"/>
      <c r="AI76" s="35">
        <f>SUM(AI67:AI75)</f>
        <v>140.92699999999985</v>
      </c>
      <c r="AJ76" s="35"/>
      <c r="AK76" s="35"/>
      <c r="AL76" s="35"/>
      <c r="AM76" s="35"/>
      <c r="AN76" s="35">
        <f>SUM(AN67:AN75)</f>
        <v>169.43600000000004</v>
      </c>
      <c r="AO76" s="35"/>
      <c r="AP76" s="35"/>
      <c r="AQ76" s="35"/>
      <c r="AR76" s="35"/>
      <c r="AS76" s="35">
        <f>SUM(AS67:AS75)</f>
        <v>139.09500000000008</v>
      </c>
      <c r="AT76" s="35"/>
      <c r="AU76" s="35"/>
      <c r="AV76" s="35"/>
      <c r="AW76" s="35"/>
      <c r="AX76" s="35">
        <f>SUM(AX67:AX75)</f>
        <v>117.46699999999976</v>
      </c>
      <c r="AY76" s="35"/>
      <c r="AZ76" s="35"/>
      <c r="BA76" s="35"/>
      <c r="BB76" s="35"/>
      <c r="BC76" s="35">
        <f>SUM(BC67:BC75)</f>
        <v>131.011</v>
      </c>
      <c r="BD76" s="35"/>
      <c r="BE76" s="35"/>
      <c r="BF76" s="35"/>
      <c r="BG76" s="35"/>
      <c r="BH76" s="35">
        <f>SUM(BH67:BH75)</f>
        <v>77.558199999999928</v>
      </c>
      <c r="BI76" s="35"/>
      <c r="BJ76" s="35"/>
      <c r="BK76" s="35"/>
      <c r="BL76" s="35"/>
      <c r="BM76" s="35">
        <f>SUM(BM67:BM75)</f>
        <v>59.836999999999975</v>
      </c>
      <c r="BN76" s="35"/>
      <c r="BO76" s="35"/>
      <c r="BP76" s="35"/>
      <c r="BQ76" s="35"/>
      <c r="BR76" s="35">
        <f>SUM(BR67:BR75)</f>
        <v>32.799000000000007</v>
      </c>
      <c r="BS76" s="35"/>
      <c r="BT76" s="35"/>
      <c r="BU76" s="35"/>
      <c r="BV76" s="35"/>
      <c r="BW76" s="35">
        <f>SUM(BW67:BW75)</f>
        <v>65.962000000000032</v>
      </c>
      <c r="BX76" s="35"/>
      <c r="BY76" s="35"/>
      <c r="BZ76" s="35"/>
      <c r="CA76" s="35"/>
      <c r="CB76" s="35">
        <f>SUM(CB67:CB75)</f>
        <v>87.119999999999976</v>
      </c>
      <c r="CC76" s="35"/>
      <c r="CD76" s="35"/>
      <c r="CE76" s="35"/>
      <c r="CF76" s="35"/>
      <c r="CG76" s="35">
        <f>SUM(CG67:CG75)</f>
        <v>-35.39200000000001</v>
      </c>
      <c r="CH76" s="35"/>
      <c r="CI76" s="35"/>
      <c r="CJ76" s="35"/>
      <c r="CK76" s="35"/>
      <c r="CL76" s="35">
        <f>SUM(CL67:CL75)</f>
        <v>-44.75789314624997</v>
      </c>
      <c r="CM76" s="35"/>
      <c r="CN76" s="35"/>
      <c r="CO76" s="35"/>
      <c r="CP76" s="35"/>
      <c r="CQ76" s="35">
        <f>SUM(CQ67:CQ75)</f>
        <v>-28.816075877515075</v>
      </c>
      <c r="CR76" s="35"/>
      <c r="CS76" s="35"/>
      <c r="CT76" s="35"/>
      <c r="CU76" s="35"/>
      <c r="CV76" s="35">
        <f>SUM(CV67:CV75)</f>
        <v>11.656525510483126</v>
      </c>
      <c r="CW76" s="27"/>
      <c r="CX76" s="27"/>
      <c r="CY76" s="27"/>
      <c r="CZ76" s="27"/>
      <c r="DA76" s="27"/>
      <c r="DB76" s="27"/>
      <c r="DC76" s="27"/>
      <c r="DD76" s="27"/>
      <c r="DE76" s="27"/>
      <c r="DF76" s="27"/>
      <c r="DG76" s="27"/>
      <c r="DH76" s="27"/>
      <c r="DI76" s="27"/>
      <c r="DJ76" s="27"/>
      <c r="DK76" s="27"/>
      <c r="DL76" s="27"/>
      <c r="DM76" s="27"/>
      <c r="DN76" s="27"/>
      <c r="DO76" s="27"/>
      <c r="DP76" s="27"/>
      <c r="DQ76" s="27"/>
      <c r="DR76" s="27"/>
      <c r="DS76" s="27"/>
      <c r="DT76" s="27"/>
      <c r="DU76" s="27"/>
      <c r="DV76" s="27"/>
      <c r="DW76" s="27"/>
      <c r="DX76" s="27"/>
      <c r="DY76" s="27"/>
      <c r="DZ76" s="27"/>
      <c r="EA76" s="27"/>
      <c r="EB76" s="27"/>
      <c r="EC76" s="27"/>
      <c r="ED76" s="27"/>
      <c r="EE76" s="27"/>
      <c r="EF76" s="27"/>
      <c r="EG76" s="27"/>
      <c r="EH76" s="27"/>
      <c r="EI76" s="27"/>
      <c r="EJ76" s="27"/>
      <c r="EK76" s="27"/>
      <c r="EL76" s="27"/>
      <c r="EM76" s="27"/>
      <c r="EN76" s="27"/>
      <c r="EO76" s="27"/>
      <c r="EP76" s="27"/>
      <c r="EQ76" s="27"/>
      <c r="ER76" s="27"/>
      <c r="ES76" s="27"/>
      <c r="ET76" s="27"/>
      <c r="EU76" s="27"/>
      <c r="EV76" s="27"/>
      <c r="EW76" s="27"/>
      <c r="EX76" s="27"/>
      <c r="EY76" s="27"/>
      <c r="EZ76" s="27"/>
      <c r="FA76" s="27"/>
      <c r="FB76" s="27"/>
      <c r="FC76" s="27"/>
      <c r="FD76" s="27"/>
      <c r="FE76" s="27"/>
      <c r="FF76" s="27"/>
      <c r="FG76" s="27"/>
      <c r="FH76" s="27"/>
      <c r="FI76" s="27"/>
      <c r="FJ76" s="27"/>
      <c r="FK76" s="27"/>
      <c r="FL76" s="27"/>
      <c r="FM76" s="27"/>
      <c r="FN76" s="27"/>
      <c r="FO76" s="27"/>
      <c r="FP76" s="27"/>
      <c r="FQ76" s="27"/>
      <c r="FR76" s="27"/>
      <c r="FS76" s="27"/>
      <c r="FT76" s="27"/>
      <c r="FU76" s="27"/>
      <c r="FV76" s="27"/>
      <c r="FW76" s="27"/>
      <c r="FX76" s="27"/>
      <c r="FY76" s="27"/>
      <c r="FZ76" s="27"/>
      <c r="GA76" s="27"/>
      <c r="GB76" s="27"/>
      <c r="GC76" s="27"/>
      <c r="GD76" s="27"/>
      <c r="GE76" s="27"/>
      <c r="GF76" s="27"/>
      <c r="GG76" s="27"/>
      <c r="GH76" s="27"/>
      <c r="GI76" s="27"/>
      <c r="GJ76" s="27"/>
      <c r="GK76" s="27"/>
      <c r="GL76" s="27"/>
      <c r="GM76" s="27"/>
      <c r="GN76" s="27"/>
      <c r="GO76" s="27"/>
      <c r="GP76" s="27"/>
      <c r="GQ76" s="27"/>
      <c r="GR76" s="27"/>
      <c r="GS76" s="27"/>
      <c r="GT76" s="27"/>
      <c r="GU76" s="27"/>
      <c r="GV76" s="27"/>
      <c r="GW76" s="27"/>
      <c r="GX76" s="27"/>
      <c r="GY76" s="27"/>
      <c r="GZ76" s="27"/>
      <c r="HA76" s="27"/>
      <c r="HB76" s="27"/>
      <c r="HC76" s="27"/>
      <c r="HD76" s="27"/>
      <c r="HE76" s="27"/>
      <c r="HF76" s="27"/>
      <c r="HG76" s="27"/>
      <c r="HH76" s="27"/>
      <c r="HI76" s="27"/>
      <c r="HJ76" s="27"/>
      <c r="HK76" s="27"/>
      <c r="HL76" s="27"/>
      <c r="HM76" s="27"/>
      <c r="HN76" s="27"/>
      <c r="HO76" s="27"/>
      <c r="HP76" s="27"/>
      <c r="HQ76" s="27"/>
      <c r="HR76" s="27"/>
      <c r="HS76" s="27"/>
      <c r="HT76" s="27"/>
      <c r="HU76" s="27"/>
      <c r="HV76" s="27"/>
      <c r="HW76" s="27"/>
      <c r="HX76" s="27"/>
      <c r="HY76" s="27"/>
      <c r="HZ76" s="27"/>
      <c r="IA76" s="27"/>
      <c r="IB76" s="27"/>
      <c r="IC76" s="27"/>
      <c r="ID76" s="27"/>
      <c r="IE76" s="27"/>
      <c r="IF76" s="27"/>
      <c r="IG76" s="27"/>
      <c r="IH76" s="27"/>
      <c r="II76" s="27"/>
      <c r="IJ76" s="27"/>
      <c r="IK76" s="27"/>
      <c r="IL76" s="27"/>
      <c r="IM76" s="27"/>
      <c r="IN76" s="27"/>
      <c r="IO76" s="27"/>
      <c r="IP76" s="27"/>
      <c r="IQ76" s="27"/>
      <c r="IR76" s="27"/>
      <c r="IS76" s="27"/>
      <c r="IT76" s="27"/>
      <c r="IU76" s="27"/>
      <c r="IV76" s="27"/>
    </row>
    <row r="77" spans="1:256" s="402" customFormat="1" ht="12" customHeight="1" x14ac:dyDescent="0.25">
      <c r="D77" s="403"/>
      <c r="E77" s="404" t="s">
        <v>83</v>
      </c>
      <c r="F77" s="38"/>
      <c r="G77" s="38"/>
      <c r="H77" s="38"/>
      <c r="I77" s="38"/>
      <c r="J77" s="38"/>
      <c r="K77" s="404"/>
      <c r="L77" s="404"/>
      <c r="M77" s="404"/>
      <c r="N77" s="404"/>
      <c r="O77" s="38"/>
      <c r="P77" s="404"/>
      <c r="Q77" s="404"/>
      <c r="R77" s="404"/>
      <c r="S77" s="404"/>
      <c r="T77" s="38">
        <f>T76/Income!T86</f>
        <v>2.2625531914893613</v>
      </c>
      <c r="U77" s="404"/>
      <c r="V77" s="404"/>
      <c r="W77" s="404"/>
      <c r="X77" s="404"/>
      <c r="Y77" s="38">
        <f>Y76/Income!Y86</f>
        <v>1.597633333333333</v>
      </c>
      <c r="Z77" s="404"/>
      <c r="AA77" s="404"/>
      <c r="AB77" s="404"/>
      <c r="AC77" s="404"/>
      <c r="AD77" s="38">
        <f>AD76/Income!AD86</f>
        <v>1.7028214285714276</v>
      </c>
      <c r="AE77" s="404"/>
      <c r="AF77" s="404"/>
      <c r="AG77" s="404"/>
      <c r="AH77" s="404"/>
      <c r="AI77" s="38">
        <f>AI76/Income!AI86</f>
        <v>1.7811129507222911</v>
      </c>
      <c r="AJ77" s="404"/>
      <c r="AK77" s="404"/>
      <c r="AL77" s="404"/>
      <c r="AM77" s="404"/>
      <c r="AN77" s="38">
        <f>AN76/Income!AN86</f>
        <v>2.1660083093640146</v>
      </c>
      <c r="AO77" s="404"/>
      <c r="AP77" s="404"/>
      <c r="AQ77" s="404"/>
      <c r="AR77" s="404"/>
      <c r="AS77" s="38">
        <f>AS76/Income!AS86</f>
        <v>1.7446848541862665</v>
      </c>
      <c r="AT77" s="404"/>
      <c r="AU77" s="404"/>
      <c r="AV77" s="404"/>
      <c r="AW77" s="404"/>
      <c r="AX77" s="38">
        <f>AX76/Income!AX86</f>
        <v>1.4445964600518326</v>
      </c>
      <c r="AY77" s="404"/>
      <c r="AZ77" s="404"/>
      <c r="BA77" s="404"/>
      <c r="BB77" s="404"/>
      <c r="BC77" s="38">
        <f>BC76/Income!BC86</f>
        <v>1.6296015274676752</v>
      </c>
      <c r="BD77" s="404"/>
      <c r="BE77" s="404"/>
      <c r="BF77" s="404"/>
      <c r="BG77" s="404"/>
      <c r="BH77" s="38">
        <f>BH76/Income!BH86</f>
        <v>1.0138757528914619</v>
      </c>
      <c r="BI77" s="404"/>
      <c r="BJ77" s="404"/>
      <c r="BK77" s="404"/>
      <c r="BL77" s="404"/>
      <c r="BM77" s="38">
        <f>BM76/Income!BM86</f>
        <v>0.78305562734943157</v>
      </c>
      <c r="BN77" s="404"/>
      <c r="BO77" s="404"/>
      <c r="BP77" s="404"/>
      <c r="BQ77" s="404"/>
      <c r="BR77" s="38">
        <f>BR76/Income!BR86</f>
        <v>0.42537821556179523</v>
      </c>
      <c r="BS77" s="404"/>
      <c r="BT77" s="404"/>
      <c r="BU77" s="404"/>
      <c r="BV77" s="404"/>
      <c r="BW77" s="38">
        <f>BW76/Income!BW86</f>
        <v>0.83392226148409931</v>
      </c>
      <c r="BX77" s="404"/>
      <c r="BY77" s="404"/>
      <c r="BZ77" s="404"/>
      <c r="CA77" s="404"/>
      <c r="CB77" s="38">
        <f>CB76/Income!CB86</f>
        <v>1.0910696226905408</v>
      </c>
      <c r="CC77" s="404"/>
      <c r="CD77" s="404"/>
      <c r="CE77" s="404"/>
      <c r="CF77" s="404"/>
      <c r="CG77" s="38">
        <f>CG76/Income!CG86</f>
        <v>-0.44861898061882871</v>
      </c>
      <c r="CH77" s="404"/>
      <c r="CI77" s="404"/>
      <c r="CJ77" s="404"/>
      <c r="CK77" s="404"/>
      <c r="CL77" s="38">
        <f>CL76/Income!CL86</f>
        <v>-0.61400708756460465</v>
      </c>
      <c r="CM77" s="404"/>
      <c r="CN77" s="404"/>
      <c r="CO77" s="404"/>
      <c r="CP77" s="404"/>
      <c r="CQ77" s="38">
        <f>CQ76/Income!CQ86</f>
        <v>-0.46199598989170121</v>
      </c>
      <c r="CR77" s="404"/>
      <c r="CS77" s="404"/>
      <c r="CT77" s="404"/>
      <c r="CU77" s="404"/>
      <c r="CV77" s="38">
        <f>CV76/Income!CV86</f>
        <v>0.19476883956829177</v>
      </c>
      <c r="CW77" s="98"/>
      <c r="CX77" s="98"/>
      <c r="CY77" s="98"/>
      <c r="CZ77" s="98"/>
      <c r="DA77" s="98"/>
      <c r="DB77" s="98"/>
      <c r="DC77" s="98"/>
      <c r="DD77" s="98"/>
      <c r="DE77" s="98"/>
      <c r="DF77" s="98"/>
      <c r="DG77" s="98"/>
      <c r="DH77" s="98"/>
      <c r="DI77" s="98"/>
      <c r="DJ77" s="98"/>
      <c r="DK77" s="98"/>
      <c r="DL77" s="98"/>
      <c r="DM77" s="98"/>
      <c r="DN77" s="98"/>
      <c r="DO77" s="98"/>
      <c r="DP77" s="98"/>
      <c r="DQ77" s="98"/>
      <c r="DR77" s="98"/>
      <c r="DS77" s="98"/>
      <c r="DT77" s="98"/>
      <c r="DU77" s="98"/>
      <c r="DV77" s="98"/>
      <c r="DW77" s="98"/>
      <c r="DX77" s="98"/>
      <c r="DY77" s="98"/>
      <c r="DZ77" s="98"/>
      <c r="EA77" s="98"/>
      <c r="EB77" s="98"/>
      <c r="EC77" s="98"/>
      <c r="ED77" s="98"/>
      <c r="EE77" s="98"/>
      <c r="EF77" s="98"/>
      <c r="EG77" s="98"/>
      <c r="EH77" s="98"/>
      <c r="EI77" s="98"/>
      <c r="EJ77" s="98"/>
      <c r="EK77" s="98"/>
      <c r="EL77" s="98"/>
      <c r="EM77" s="98"/>
      <c r="EN77" s="98"/>
      <c r="EO77" s="98"/>
      <c r="EP77" s="98"/>
      <c r="EQ77" s="98"/>
      <c r="ER77" s="98"/>
      <c r="ES77" s="98"/>
      <c r="ET77" s="98"/>
      <c r="EU77" s="98"/>
      <c r="EV77" s="98"/>
      <c r="EW77" s="98"/>
      <c r="EX77" s="98"/>
      <c r="EY77" s="98"/>
      <c r="EZ77" s="98"/>
      <c r="FA77" s="98"/>
      <c r="FB77" s="98"/>
      <c r="FC77" s="98"/>
      <c r="FD77" s="98"/>
      <c r="FE77" s="98"/>
      <c r="FF77" s="98"/>
      <c r="FG77" s="98"/>
      <c r="FH77" s="98"/>
      <c r="FI77" s="98"/>
      <c r="FJ77" s="98"/>
      <c r="FK77" s="98"/>
      <c r="FL77" s="98"/>
      <c r="FM77" s="98"/>
      <c r="FN77" s="98"/>
      <c r="FO77" s="98"/>
      <c r="FP77" s="98"/>
      <c r="FQ77" s="98"/>
      <c r="FR77" s="98"/>
      <c r="FS77" s="98"/>
      <c r="FT77" s="98"/>
      <c r="FU77" s="98"/>
      <c r="FV77" s="98"/>
      <c r="FW77" s="98"/>
      <c r="FX77" s="98"/>
      <c r="FY77" s="98"/>
      <c r="FZ77" s="98"/>
      <c r="GA77" s="98"/>
      <c r="GB77" s="98"/>
      <c r="GC77" s="98"/>
      <c r="GD77" s="98"/>
      <c r="GE77" s="98"/>
      <c r="GF77" s="98"/>
      <c r="GG77" s="98"/>
      <c r="GH77" s="98"/>
      <c r="GI77" s="98"/>
      <c r="GJ77" s="98"/>
      <c r="GK77" s="98"/>
      <c r="GL77" s="98"/>
      <c r="GM77" s="98"/>
      <c r="GN77" s="98"/>
      <c r="GO77" s="98"/>
      <c r="GP77" s="98"/>
      <c r="GQ77" s="98"/>
      <c r="GR77" s="98"/>
      <c r="GS77" s="98"/>
      <c r="GT77" s="98"/>
      <c r="GU77" s="98"/>
      <c r="GV77" s="98"/>
      <c r="GW77" s="98"/>
      <c r="GX77" s="98"/>
      <c r="GY77" s="98"/>
      <c r="GZ77" s="98"/>
      <c r="HA77" s="98"/>
      <c r="HB77" s="98"/>
      <c r="HC77" s="98"/>
      <c r="HD77" s="98"/>
      <c r="HE77" s="98"/>
      <c r="HF77" s="98"/>
      <c r="HG77" s="98"/>
      <c r="HH77" s="98"/>
      <c r="HI77" s="98"/>
      <c r="HJ77" s="98"/>
      <c r="HK77" s="98"/>
      <c r="HL77" s="98"/>
      <c r="HM77" s="98"/>
      <c r="HN77" s="98"/>
      <c r="HO77" s="98"/>
      <c r="HP77" s="98"/>
      <c r="HQ77" s="98"/>
      <c r="HR77" s="98"/>
      <c r="HS77" s="98"/>
      <c r="HT77" s="98"/>
      <c r="HU77" s="98"/>
      <c r="HV77" s="98"/>
      <c r="HW77" s="98"/>
      <c r="HX77" s="98"/>
      <c r="HY77" s="98"/>
      <c r="HZ77" s="98"/>
      <c r="IA77" s="98"/>
      <c r="IB77" s="98"/>
      <c r="IC77" s="98"/>
      <c r="ID77" s="98"/>
      <c r="IE77" s="98"/>
      <c r="IF77" s="98"/>
      <c r="IG77" s="98"/>
      <c r="IH77" s="98"/>
      <c r="II77" s="98"/>
      <c r="IJ77" s="98"/>
      <c r="IK77" s="98"/>
      <c r="IL77" s="98"/>
      <c r="IM77" s="98"/>
      <c r="IN77" s="98"/>
      <c r="IO77" s="98"/>
      <c r="IP77" s="98"/>
      <c r="IQ77" s="98"/>
      <c r="IR77" s="98"/>
      <c r="IS77" s="98"/>
      <c r="IT77" s="98"/>
      <c r="IU77" s="98"/>
      <c r="IV77" s="98"/>
    </row>
    <row r="78" spans="1:256" s="94" customFormat="1" ht="12" customHeight="1" x14ac:dyDescent="0.3">
      <c r="A78" s="123"/>
      <c r="B78" s="123"/>
      <c r="C78" s="99"/>
      <c r="D78" s="99"/>
      <c r="E78" s="94" t="s">
        <v>86</v>
      </c>
      <c r="F78" s="189"/>
      <c r="G78" s="189"/>
      <c r="H78" s="189"/>
      <c r="I78" s="189"/>
      <c r="J78" s="189"/>
      <c r="K78" s="183"/>
      <c r="L78" s="183"/>
      <c r="M78" s="183"/>
      <c r="N78" s="183"/>
      <c r="O78" s="32"/>
      <c r="P78" s="183"/>
      <c r="Q78" s="183"/>
      <c r="R78" s="183"/>
      <c r="S78" s="183"/>
      <c r="T78" s="32"/>
      <c r="U78" s="183"/>
      <c r="V78" s="183"/>
      <c r="W78" s="183"/>
      <c r="X78" s="183"/>
      <c r="Y78" s="32"/>
      <c r="Z78" s="183"/>
      <c r="AA78" s="183"/>
      <c r="AB78" s="183"/>
      <c r="AC78" s="183"/>
      <c r="AD78" s="32"/>
      <c r="AE78" s="183"/>
      <c r="AF78" s="183"/>
      <c r="AG78" s="183"/>
      <c r="AH78" s="183"/>
      <c r="AI78" s="32"/>
      <c r="AJ78" s="183"/>
      <c r="AK78" s="183"/>
      <c r="AL78" s="183"/>
      <c r="AM78" s="183"/>
      <c r="AN78" s="32">
        <f>(AN77-AI77)/ABS(AI77)</f>
        <v>0.21609823143761747</v>
      </c>
      <c r="AO78" s="183"/>
      <c r="AP78" s="183"/>
      <c r="AQ78" s="183"/>
      <c r="AR78" s="183"/>
      <c r="AS78" s="32">
        <f>(AS77-AN77)/ABS(AN77)</f>
        <v>-0.19451608442880694</v>
      </c>
      <c r="AT78" s="183"/>
      <c r="AU78" s="183"/>
      <c r="AV78" s="183"/>
      <c r="AW78" s="183"/>
      <c r="AX78" s="32">
        <f>(AX77-AS77)/ABS(AS77)</f>
        <v>-0.17200148979019897</v>
      </c>
      <c r="AY78" s="183"/>
      <c r="AZ78" s="183"/>
      <c r="BA78" s="183"/>
      <c r="BB78" s="183"/>
      <c r="BC78" s="32">
        <f>(BC77-AX77)/ABS(AX77)</f>
        <v>0.12806695332010193</v>
      </c>
      <c r="BD78" s="183"/>
      <c r="BE78" s="183"/>
      <c r="BF78" s="183"/>
      <c r="BG78" s="183"/>
      <c r="BH78" s="32">
        <f>(BH77-BC77)/ABS(BC77)</f>
        <v>-0.37783824094287788</v>
      </c>
      <c r="BI78" s="183"/>
      <c r="BJ78" s="183"/>
      <c r="BK78" s="183"/>
      <c r="BL78" s="183"/>
      <c r="BM78" s="32">
        <f>(BM77-BH77)/ABS(BH77)</f>
        <v>-0.22766115560388617</v>
      </c>
      <c r="BN78" s="183"/>
      <c r="BO78" s="183"/>
      <c r="BP78" s="183"/>
      <c r="BQ78" s="183"/>
      <c r="BR78" s="32">
        <f>(BR77-BM77)/ABS(BM77)</f>
        <v>-0.45677139566487784</v>
      </c>
      <c r="BS78" s="183"/>
      <c r="BT78" s="183"/>
      <c r="BU78" s="183"/>
      <c r="BV78" s="183"/>
      <c r="BW78" s="32">
        <f>(BW77-BR77)/ABS(BR77)</f>
        <v>0.96042540726431347</v>
      </c>
      <c r="BX78" s="183"/>
      <c r="BY78" s="183"/>
      <c r="BZ78" s="183"/>
      <c r="CA78" s="183"/>
      <c r="CB78" s="32">
        <f>(CB77-BW77)/ABS(BW77)</f>
        <v>0.30835891195518178</v>
      </c>
      <c r="CC78" s="183"/>
      <c r="CD78" s="183"/>
      <c r="CE78" s="183"/>
      <c r="CF78" s="183"/>
      <c r="CG78" s="32">
        <f>(CG77-CB77)/ABS(CB77)</f>
        <v>-1.4111735596785744</v>
      </c>
      <c r="CH78" s="183"/>
      <c r="CI78" s="183"/>
      <c r="CJ78" s="183"/>
      <c r="CK78" s="183"/>
      <c r="CL78" s="32">
        <f>(CL77-CG77)/ABS(CG77)</f>
        <v>-0.36866052059954801</v>
      </c>
      <c r="CM78" s="183"/>
      <c r="CN78" s="183"/>
      <c r="CO78" s="183"/>
      <c r="CP78" s="183"/>
      <c r="CQ78" s="32">
        <f>(CQ77-CL77)/ABS(CL77)</f>
        <v>0.2475722198514673</v>
      </c>
      <c r="CR78" s="183"/>
      <c r="CS78" s="183"/>
      <c r="CT78" s="183"/>
      <c r="CU78" s="183"/>
      <c r="CV78" s="32">
        <f>(CV77-CQ77)/ABS(CQ77)</f>
        <v>1.4215812341010765</v>
      </c>
      <c r="CW78" s="6"/>
      <c r="CX78" s="6"/>
      <c r="CY78" s="6"/>
      <c r="CZ78" s="6"/>
      <c r="DA78" s="6"/>
      <c r="DB78" s="6"/>
      <c r="DC78" s="6"/>
      <c r="DD78" s="6"/>
      <c r="DE78" s="6"/>
      <c r="DF78" s="6"/>
      <c r="DG78" s="6"/>
      <c r="DH78" s="6"/>
      <c r="DI78" s="6"/>
      <c r="DJ78" s="6"/>
      <c r="DK78" s="6"/>
      <c r="DL78" s="6"/>
      <c r="DM78" s="6"/>
      <c r="DN78" s="6"/>
      <c r="DO78" s="6"/>
      <c r="DP78" s="6"/>
      <c r="DQ78" s="6"/>
      <c r="DR78" s="6"/>
      <c r="DS78" s="6"/>
      <c r="DT78" s="6"/>
      <c r="DU78" s="6"/>
      <c r="DV78" s="6"/>
      <c r="DW78" s="6"/>
      <c r="DX78" s="6"/>
      <c r="DY78" s="6"/>
      <c r="DZ78" s="6"/>
      <c r="EA78" s="6"/>
      <c r="EB78" s="6"/>
      <c r="EC78" s="6"/>
      <c r="ED78" s="6"/>
      <c r="EE78" s="6"/>
      <c r="EF78" s="6"/>
      <c r="EG78" s="6"/>
      <c r="EH78" s="6"/>
      <c r="EI78" s="6"/>
      <c r="EJ78" s="6"/>
      <c r="EK78" s="6"/>
      <c r="EL78" s="6"/>
      <c r="EM78" s="6"/>
      <c r="EN78" s="6"/>
      <c r="EO78" s="6"/>
      <c r="EP78" s="6"/>
      <c r="EQ78" s="6"/>
      <c r="ER78" s="6"/>
      <c r="ES78" s="6"/>
      <c r="ET78" s="6"/>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6"/>
      <c r="FU78" s="6"/>
      <c r="FV78" s="6"/>
      <c r="FW78" s="6"/>
      <c r="FX78" s="6"/>
      <c r="FY78" s="6"/>
      <c r="FZ78" s="6"/>
      <c r="GA78" s="6"/>
      <c r="GB78" s="6"/>
      <c r="GC78" s="6"/>
      <c r="GD78" s="6"/>
      <c r="GE78" s="6"/>
      <c r="GF78" s="6"/>
      <c r="GG78" s="6"/>
      <c r="GH78" s="6"/>
      <c r="GI78" s="6"/>
      <c r="GJ78" s="6"/>
      <c r="GK78" s="6"/>
      <c r="GL78" s="6"/>
      <c r="GM78" s="6"/>
      <c r="GN78" s="6"/>
      <c r="GO78" s="6"/>
      <c r="GP78" s="6"/>
      <c r="GQ78" s="6"/>
      <c r="GR78" s="6"/>
      <c r="GS78" s="6"/>
      <c r="GT78" s="6"/>
      <c r="GU78" s="6"/>
      <c r="GV78" s="6"/>
      <c r="GW78" s="6"/>
      <c r="GX78" s="6"/>
      <c r="GY78" s="6"/>
      <c r="GZ78" s="6"/>
      <c r="HA78" s="6"/>
      <c r="HB78" s="6"/>
      <c r="HC78" s="6"/>
      <c r="HD78" s="6"/>
      <c r="HE78" s="6"/>
      <c r="HF78" s="6"/>
      <c r="HG78" s="6"/>
      <c r="HH78" s="6"/>
      <c r="HI78" s="6"/>
      <c r="HJ78" s="6"/>
      <c r="HK78" s="6"/>
      <c r="HL78" s="6"/>
      <c r="HM78" s="6"/>
      <c r="HN78" s="6"/>
      <c r="HO78" s="6"/>
      <c r="HP78" s="6"/>
      <c r="HQ78" s="6"/>
      <c r="HR78" s="6"/>
      <c r="HS78" s="6"/>
      <c r="HT78" s="6"/>
      <c r="HU78" s="6"/>
      <c r="HV78" s="6"/>
      <c r="HW78" s="6"/>
      <c r="HX78" s="6"/>
      <c r="HY78" s="6"/>
      <c r="HZ78" s="6"/>
      <c r="IA78" s="6"/>
      <c r="IB78" s="6"/>
      <c r="IC78" s="6"/>
      <c r="ID78" s="6"/>
      <c r="IE78" s="6"/>
      <c r="IF78" s="6"/>
      <c r="IG78" s="6"/>
      <c r="IH78" s="6"/>
      <c r="II78" s="6"/>
      <c r="IJ78" s="6"/>
      <c r="IK78" s="6"/>
      <c r="IL78" s="6"/>
      <c r="IM78" s="6"/>
      <c r="IN78" s="6"/>
      <c r="IO78" s="6"/>
      <c r="IP78" s="6"/>
      <c r="IQ78" s="6"/>
      <c r="IR78" s="6"/>
      <c r="IS78" s="6"/>
      <c r="IT78" s="6"/>
      <c r="IU78" s="6"/>
      <c r="IV78" s="6"/>
    </row>
    <row r="79" spans="1:256" s="6" customFormat="1" ht="3.95" customHeight="1" x14ac:dyDescent="0.25">
      <c r="A79" s="47"/>
      <c r="B79" s="47"/>
      <c r="C79" s="2"/>
      <c r="D79" s="2"/>
      <c r="F79" s="33"/>
      <c r="G79" s="33"/>
      <c r="H79" s="33"/>
      <c r="I79" s="33"/>
      <c r="J79" s="33"/>
      <c r="O79" s="33"/>
      <c r="T79" s="33"/>
      <c r="Y79" s="33"/>
      <c r="AD79" s="33"/>
      <c r="AI79" s="33"/>
      <c r="AN79" s="33"/>
      <c r="AS79" s="33"/>
      <c r="AX79" s="33"/>
      <c r="BC79" s="33"/>
      <c r="BH79" s="33"/>
      <c r="BM79" s="33"/>
      <c r="BR79" s="33"/>
      <c r="BW79" s="33"/>
      <c r="CB79" s="33"/>
      <c r="CG79" s="33"/>
      <c r="CL79" s="33"/>
      <c r="CQ79" s="33"/>
      <c r="CR79" s="717"/>
      <c r="CS79" s="717"/>
      <c r="CT79" s="717"/>
      <c r="CU79" s="717"/>
      <c r="CV79" s="33"/>
    </row>
    <row r="80" spans="1:256" s="177" customFormat="1" ht="13.5" x14ac:dyDescent="0.3">
      <c r="A80" s="175"/>
      <c r="B80" s="175"/>
      <c r="C80" s="175"/>
      <c r="D80" s="175"/>
      <c r="E80" s="176" t="s">
        <v>394</v>
      </c>
      <c r="F80" s="187"/>
      <c r="G80" s="187"/>
      <c r="H80" s="187"/>
      <c r="I80" s="187"/>
      <c r="J80" s="187"/>
      <c r="O80" s="187"/>
      <c r="T80" s="187"/>
      <c r="Y80" s="187"/>
      <c r="AD80" s="187"/>
      <c r="AI80" s="187"/>
      <c r="AN80" s="187"/>
      <c r="AS80" s="187"/>
      <c r="AX80" s="187"/>
      <c r="BC80" s="187"/>
      <c r="BH80" s="187"/>
      <c r="BM80" s="187"/>
      <c r="BR80" s="187"/>
      <c r="BW80" s="187"/>
      <c r="CB80" s="187"/>
      <c r="CG80" s="187"/>
      <c r="CL80" s="187"/>
      <c r="CQ80" s="187"/>
      <c r="CV80" s="187"/>
    </row>
    <row r="81" spans="1:100" s="177" customFormat="1" x14ac:dyDescent="0.25">
      <c r="A81" s="175"/>
      <c r="B81" s="175"/>
      <c r="C81" s="175"/>
      <c r="D81" s="175"/>
      <c r="E81" s="177" t="s">
        <v>147</v>
      </c>
      <c r="F81" s="188"/>
      <c r="G81" s="188"/>
      <c r="H81" s="188"/>
      <c r="I81" s="188"/>
      <c r="J81" s="188"/>
      <c r="O81" s="188"/>
      <c r="T81" s="188">
        <f>'Cash Flow'!T22</f>
        <v>247.01400000000001</v>
      </c>
      <c r="Y81" s="188">
        <f>'Cash Flow'!Y22</f>
        <v>275.83300000000003</v>
      </c>
      <c r="AD81" s="188">
        <f>'Cash Flow'!AD22</f>
        <v>259.952</v>
      </c>
      <c r="AI81" s="188">
        <f>'Cash Flow'!AI22</f>
        <v>267.80700000000013</v>
      </c>
      <c r="AN81" s="188">
        <f>'Cash Flow'!AN22</f>
        <v>268.84100000000001</v>
      </c>
      <c r="AS81" s="188">
        <f>'Cash Flow'!AS22</f>
        <v>239.28200000000004</v>
      </c>
      <c r="AT81" s="464">
        <f>'Cash Flow'!AT22</f>
        <v>16.988</v>
      </c>
      <c r="AU81" s="464">
        <f>'Cash Flow'!AU22</f>
        <v>42.966000000000001</v>
      </c>
      <c r="AV81" s="464">
        <f>'Cash Flow'!AV22</f>
        <v>64.23</v>
      </c>
      <c r="AW81" s="464">
        <f>'Cash Flow'!AW22</f>
        <v>42.034999999999997</v>
      </c>
      <c r="AX81" s="188">
        <f>'Cash Flow'!AX22</f>
        <v>166.21900000000002</v>
      </c>
      <c r="AY81" s="464">
        <f>'Cash Flow'!AY22</f>
        <v>32.753999999999998</v>
      </c>
      <c r="AZ81" s="464">
        <f>'Cash Flow'!AZ22</f>
        <v>57.713999999999999</v>
      </c>
      <c r="BA81" s="464">
        <f>'Cash Flow'!BA22</f>
        <v>82.54</v>
      </c>
      <c r="BB81" s="464">
        <f>'Cash Flow'!BB22</f>
        <v>56.442999999999998</v>
      </c>
      <c r="BC81" s="188">
        <f>'Cash Flow'!BC22</f>
        <v>229.45099999999996</v>
      </c>
      <c r="BD81" s="464">
        <f>'Cash Flow'!BD22</f>
        <v>-1.867</v>
      </c>
      <c r="BE81" s="464">
        <f>'Cash Flow'!BE22</f>
        <v>39.234999999999999</v>
      </c>
      <c r="BF81" s="464">
        <f>'Cash Flow'!BF22</f>
        <v>38.542999999999999</v>
      </c>
      <c r="BG81" s="464">
        <f>'Cash Flow'!BG22</f>
        <v>74.221000000000004</v>
      </c>
      <c r="BH81" s="188">
        <f>'Cash Flow'!BH22</f>
        <v>150.13200000000001</v>
      </c>
      <c r="BI81" s="464">
        <f>'Cash Flow'!BI22</f>
        <v>16.849</v>
      </c>
      <c r="BJ81" s="464">
        <f>'Cash Flow'!BJ22</f>
        <v>40.521000000000001</v>
      </c>
      <c r="BK81" s="464">
        <f>'Cash Flow'!BK22</f>
        <v>63.771999999999998</v>
      </c>
      <c r="BL81" s="464">
        <f>'Cash Flow'!BL22</f>
        <v>43.834000000000003</v>
      </c>
      <c r="BM81" s="188">
        <f>'Cash Flow'!BM22</f>
        <v>138.11299999999997</v>
      </c>
      <c r="BN81" s="464">
        <f>'Cash Flow'!BN22</f>
        <v>1.8673999999999999</v>
      </c>
      <c r="BO81" s="464">
        <f>'Cash Flow'!BO22</f>
        <v>25.792000000000002</v>
      </c>
      <c r="BP81" s="464">
        <f>'Cash Flow'!BP22</f>
        <v>42.664000000000001</v>
      </c>
      <c r="BQ81" s="464">
        <f>'Cash Flow'!BQ22</f>
        <v>34.463999999999999</v>
      </c>
      <c r="BR81" s="188">
        <f>'Cash Flow'!BR22</f>
        <v>104.78739999999999</v>
      </c>
      <c r="BS81" s="464">
        <f>'Cash Flow'!BS22</f>
        <v>11.997</v>
      </c>
      <c r="BT81" s="464">
        <f>'Cash Flow'!BT22</f>
        <v>21.356999999999999</v>
      </c>
      <c r="BU81" s="464">
        <f>'Cash Flow'!BU22</f>
        <v>37.018000000000008</v>
      </c>
      <c r="BV81" s="464">
        <f>'Cash Flow'!BV22</f>
        <v>43.27</v>
      </c>
      <c r="BW81" s="188">
        <f t="shared" ref="BW81:BW88" si="40">SUM(BS81:BV81)</f>
        <v>113.64200000000002</v>
      </c>
      <c r="BX81" s="464">
        <f>'Cash Flow'!BX22</f>
        <v>0.75</v>
      </c>
      <c r="BY81" s="464">
        <f>'Cash Flow'!BY22</f>
        <v>35.481999999999999</v>
      </c>
      <c r="BZ81" s="464">
        <f>'Cash Flow'!BZ22</f>
        <v>48.933</v>
      </c>
      <c r="CA81" s="464">
        <f>'Cash Flow'!CA22</f>
        <v>30.664999999999992</v>
      </c>
      <c r="CB81" s="188">
        <f t="shared" ref="CB81:CB88" si="41">SUM(BX81:CA81)</f>
        <v>115.82999999999998</v>
      </c>
      <c r="CC81" s="464">
        <f>'Cash Flow'!CC22</f>
        <v>-10.821999999999999</v>
      </c>
      <c r="CD81" s="464">
        <f>'Cash Flow'!CD22</f>
        <v>-8.0289999999999999</v>
      </c>
      <c r="CE81" s="464">
        <f>'Cash Flow'!CE22</f>
        <v>14.096</v>
      </c>
      <c r="CF81" s="464">
        <f>'Cash Flow'!CF22</f>
        <v>-9.3350000000000009</v>
      </c>
      <c r="CG81" s="188">
        <f t="shared" ref="CG81:CG88" si="42">SUM(CC81:CF81)</f>
        <v>-14.09</v>
      </c>
      <c r="CH81" s="464">
        <f>'Cash Flow'!CH22</f>
        <v>-2.2799999999999998</v>
      </c>
      <c r="CI81" s="464">
        <f>'Cash Flow'!CI22</f>
        <v>-27.13</v>
      </c>
      <c r="CJ81" s="464">
        <f>'Cash Flow'!CJ22</f>
        <v>-51.173261999999838</v>
      </c>
      <c r="CK81" s="464">
        <f>'Cash Flow'!CK22</f>
        <v>-509.64363114625002</v>
      </c>
      <c r="CL81" s="188">
        <f t="shared" ref="CL81:CL87" si="43">SUM(CH81:CK81)</f>
        <v>-590.22689314624984</v>
      </c>
      <c r="CM81" s="464">
        <f>'Cash Flow'!CM22</f>
        <v>-3.9201935191581221</v>
      </c>
      <c r="CN81" s="464">
        <f>'Cash Flow'!CN22</f>
        <v>-6.6974339037462691</v>
      </c>
      <c r="CO81" s="464">
        <f>'Cash Flow'!CO22</f>
        <v>1.995293261634032</v>
      </c>
      <c r="CP81" s="464">
        <f>'Cash Flow'!CP22</f>
        <v>4.9323199634352761</v>
      </c>
      <c r="CQ81" s="188">
        <f t="shared" ref="CQ81:CQ88" si="44">SUM(CM81:CP81)</f>
        <v>-3.6900141978350831</v>
      </c>
      <c r="CR81" s="464">
        <f>'Cash Flow'!CR22</f>
        <v>6.9979631548811909</v>
      </c>
      <c r="CS81" s="464">
        <f>'Cash Flow'!CS22</f>
        <v>6.2675723289552145</v>
      </c>
      <c r="CT81" s="464">
        <f>'Cash Flow'!CT22</f>
        <v>14.762187871514293</v>
      </c>
      <c r="CU81" s="464">
        <f>'Cash Flow'!CU22</f>
        <v>17.333275340897838</v>
      </c>
      <c r="CV81" s="188">
        <f t="shared" ref="CV81:CV88" si="45">SUM(CR81:CU81)</f>
        <v>45.360998696248537</v>
      </c>
    </row>
    <row r="82" spans="1:100" s="177" customFormat="1" x14ac:dyDescent="0.25">
      <c r="A82" s="175"/>
      <c r="B82" s="175"/>
      <c r="C82" s="175"/>
      <c r="D82" s="175"/>
      <c r="E82" s="178" t="s">
        <v>367</v>
      </c>
      <c r="F82" s="188"/>
      <c r="G82" s="188"/>
      <c r="H82" s="188"/>
      <c r="I82" s="188"/>
      <c r="J82" s="188"/>
      <c r="O82" s="188"/>
      <c r="T82" s="188">
        <f>T28</f>
        <v>-39.667000000000002</v>
      </c>
      <c r="Y82" s="188">
        <f>Y28</f>
        <v>-110.89900000000003</v>
      </c>
      <c r="AD82" s="188">
        <f>AD28</f>
        <v>-20.308999999999997</v>
      </c>
      <c r="AI82" s="188">
        <f>AI28</f>
        <v>6.6180000000000021</v>
      </c>
      <c r="AN82" s="372">
        <f>24.174+2.599</f>
        <v>26.773</v>
      </c>
      <c r="AS82" s="372">
        <v>1.0580000000000001</v>
      </c>
      <c r="AT82" s="465">
        <v>0</v>
      </c>
      <c r="AU82" s="465">
        <v>0</v>
      </c>
      <c r="AV82" s="465">
        <v>0</v>
      </c>
      <c r="AW82" s="465">
        <v>0</v>
      </c>
      <c r="AX82" s="407">
        <v>0</v>
      </c>
      <c r="AY82" s="465">
        <v>0</v>
      </c>
      <c r="AZ82" s="465">
        <v>0</v>
      </c>
      <c r="BA82" s="465">
        <v>0</v>
      </c>
      <c r="BB82" s="465">
        <v>0</v>
      </c>
      <c r="BC82" s="407">
        <v>0</v>
      </c>
      <c r="BD82" s="465">
        <v>0</v>
      </c>
      <c r="BE82" s="465">
        <v>0</v>
      </c>
      <c r="BF82" s="465">
        <v>0</v>
      </c>
      <c r="BG82" s="465">
        <v>0</v>
      </c>
      <c r="BH82" s="407">
        <v>0</v>
      </c>
      <c r="BI82" s="465">
        <v>0</v>
      </c>
      <c r="BJ82" s="465">
        <v>0</v>
      </c>
      <c r="BK82" s="473">
        <v>3.633</v>
      </c>
      <c r="BL82" s="473">
        <v>0.19</v>
      </c>
      <c r="BM82" s="188">
        <f>SUM(BI82:BL82)</f>
        <v>3.823</v>
      </c>
      <c r="BN82" s="473">
        <v>0</v>
      </c>
      <c r="BO82" s="473">
        <v>0</v>
      </c>
      <c r="BP82" s="473">
        <v>0.14000000000000001</v>
      </c>
      <c r="BQ82" s="473">
        <v>1.2E-2</v>
      </c>
      <c r="BR82" s="188">
        <f>SUM(BN82:BQ82)</f>
        <v>0.15200000000000002</v>
      </c>
      <c r="BS82" s="473">
        <v>0</v>
      </c>
      <c r="BT82" s="473">
        <v>0</v>
      </c>
      <c r="BU82" s="473">
        <v>0</v>
      </c>
      <c r="BV82" s="473">
        <v>0</v>
      </c>
      <c r="BW82" s="188">
        <f t="shared" si="40"/>
        <v>0</v>
      </c>
      <c r="BX82" s="473">
        <v>0</v>
      </c>
      <c r="BY82" s="473">
        <v>16.988</v>
      </c>
      <c r="BZ82" s="473">
        <v>0</v>
      </c>
      <c r="CA82" s="473">
        <v>25.494</v>
      </c>
      <c r="CB82" s="188">
        <f t="shared" si="41"/>
        <v>42.481999999999999</v>
      </c>
      <c r="CC82" s="473">
        <v>0</v>
      </c>
      <c r="CD82" s="473">
        <v>4</v>
      </c>
      <c r="CE82" s="473">
        <v>0</v>
      </c>
      <c r="CF82" s="473">
        <v>0</v>
      </c>
      <c r="CG82" s="188">
        <f t="shared" si="42"/>
        <v>4</v>
      </c>
      <c r="CH82" s="473">
        <v>0</v>
      </c>
      <c r="CI82" s="473">
        <v>0</v>
      </c>
      <c r="CJ82" s="465">
        <v>0</v>
      </c>
      <c r="CK82" s="465">
        <v>0</v>
      </c>
      <c r="CL82" s="188">
        <f t="shared" si="43"/>
        <v>0</v>
      </c>
      <c r="CM82" s="465">
        <v>0</v>
      </c>
      <c r="CN82" s="465">
        <v>0</v>
      </c>
      <c r="CO82" s="465">
        <v>0</v>
      </c>
      <c r="CP82" s="465">
        <v>0</v>
      </c>
      <c r="CQ82" s="188">
        <f t="shared" si="44"/>
        <v>0</v>
      </c>
      <c r="CR82" s="465">
        <v>0</v>
      </c>
      <c r="CS82" s="465">
        <v>0</v>
      </c>
      <c r="CT82" s="465">
        <v>0</v>
      </c>
      <c r="CU82" s="465">
        <v>0</v>
      </c>
      <c r="CV82" s="188">
        <f t="shared" si="45"/>
        <v>0</v>
      </c>
    </row>
    <row r="83" spans="1:100" s="177" customFormat="1" x14ac:dyDescent="0.25">
      <c r="A83" s="175"/>
      <c r="B83" s="175"/>
      <c r="C83" s="175"/>
      <c r="D83" s="175"/>
      <c r="E83" s="178" t="s">
        <v>360</v>
      </c>
      <c r="F83" s="188"/>
      <c r="G83" s="188"/>
      <c r="H83" s="188"/>
      <c r="I83" s="188"/>
      <c r="J83" s="188"/>
      <c r="O83" s="188"/>
      <c r="T83" s="188">
        <f>T25</f>
        <v>-20.294</v>
      </c>
      <c r="Y83" s="188">
        <f>Y25</f>
        <v>-21.902999999999999</v>
      </c>
      <c r="AD83" s="188">
        <f>AD25</f>
        <v>-27.443000000000001</v>
      </c>
      <c r="AI83" s="188">
        <f>AI25</f>
        <v>-33.344999999999999</v>
      </c>
      <c r="AN83" s="188">
        <f>AN25</f>
        <v>-16.239000000000001</v>
      </c>
      <c r="AS83" s="188">
        <f t="shared" ref="AS83:BT83" si="46">AS25</f>
        <v>-8.2569999999999997</v>
      </c>
      <c r="AT83" s="464">
        <f t="shared" si="46"/>
        <v>-1.226</v>
      </c>
      <c r="AU83" s="464">
        <f t="shared" si="46"/>
        <v>-1.341</v>
      </c>
      <c r="AV83" s="464">
        <f t="shared" si="46"/>
        <v>-1.0249999999999999</v>
      </c>
      <c r="AW83" s="464">
        <f t="shared" si="46"/>
        <v>-0.96299999999999997</v>
      </c>
      <c r="AX83" s="188">
        <f t="shared" si="46"/>
        <v>-4.5549999999999997</v>
      </c>
      <c r="AY83" s="464">
        <f t="shared" si="46"/>
        <v>-0.52900000000000003</v>
      </c>
      <c r="AZ83" s="464">
        <f t="shared" si="46"/>
        <v>-0.99099999999999999</v>
      </c>
      <c r="BA83" s="464">
        <f t="shared" si="46"/>
        <v>-1.647</v>
      </c>
      <c r="BB83" s="464">
        <f t="shared" si="46"/>
        <v>-2.0950000000000002</v>
      </c>
      <c r="BC83" s="188">
        <f t="shared" si="46"/>
        <v>-5.2620000000000005</v>
      </c>
      <c r="BD83" s="464">
        <f t="shared" si="46"/>
        <v>-3.673</v>
      </c>
      <c r="BE83" s="464">
        <f t="shared" si="46"/>
        <v>-4.0739999999999998</v>
      </c>
      <c r="BF83" s="464">
        <f t="shared" si="46"/>
        <v>-5.4429999999999996</v>
      </c>
      <c r="BG83" s="464">
        <f t="shared" si="46"/>
        <v>-6.6890000000000001</v>
      </c>
      <c r="BH83" s="188">
        <f t="shared" si="46"/>
        <v>-19.878999999999998</v>
      </c>
      <c r="BI83" s="464">
        <f>BI25</f>
        <v>-5.9539999999999997</v>
      </c>
      <c r="BJ83" s="464">
        <f t="shared" si="46"/>
        <v>-7.66</v>
      </c>
      <c r="BK83" s="464">
        <f t="shared" si="46"/>
        <v>-5.4950000000000001</v>
      </c>
      <c r="BL83" s="464">
        <f t="shared" si="46"/>
        <v>-5.4080000000000004</v>
      </c>
      <c r="BM83" s="188">
        <f t="shared" si="46"/>
        <v>-24.517000000000003</v>
      </c>
      <c r="BN83" s="464">
        <f t="shared" si="46"/>
        <v>-4.9690000000000003</v>
      </c>
      <c r="BO83" s="464">
        <f t="shared" si="46"/>
        <v>-5.6079999999999997</v>
      </c>
      <c r="BP83" s="464">
        <f t="shared" si="46"/>
        <v>-4.4080000000000004</v>
      </c>
      <c r="BQ83" s="464">
        <f t="shared" si="46"/>
        <v>-3.6019999999999999</v>
      </c>
      <c r="BR83" s="188">
        <f t="shared" si="46"/>
        <v>-18.587</v>
      </c>
      <c r="BS83" s="464">
        <f t="shared" si="46"/>
        <v>-2.7970000000000002</v>
      </c>
      <c r="BT83" s="464">
        <f t="shared" si="46"/>
        <v>-3.9359999999999999</v>
      </c>
      <c r="BU83" s="464">
        <f>BU25</f>
        <v>-3.6269999999999998</v>
      </c>
      <c r="BV83" s="464">
        <f>BV25</f>
        <v>-4.5199999999999996</v>
      </c>
      <c r="BW83" s="188">
        <f t="shared" si="40"/>
        <v>-14.879999999999999</v>
      </c>
      <c r="BX83" s="464">
        <f t="shared" ref="BX83:BY85" si="47">BX25</f>
        <v>-3.9820000000000002</v>
      </c>
      <c r="BY83" s="464">
        <f t="shared" si="47"/>
        <v>-3.8919999999999999</v>
      </c>
      <c r="BZ83" s="464">
        <f t="shared" ref="BZ83:CA83" si="48">BZ25</f>
        <v>-3.2959999999999998</v>
      </c>
      <c r="CA83" s="464">
        <f t="shared" si="48"/>
        <v>-3.3070000000000013</v>
      </c>
      <c r="CB83" s="188">
        <f t="shared" si="41"/>
        <v>-14.477</v>
      </c>
      <c r="CC83" s="464">
        <f>CC25</f>
        <v>-0.57500000000000007</v>
      </c>
      <c r="CD83" s="464">
        <f t="shared" ref="CD83:CE85" si="49">CD25</f>
        <v>-0.63800000000000001</v>
      </c>
      <c r="CE83" s="464">
        <f>CE25</f>
        <v>-0.50700000000000001</v>
      </c>
      <c r="CF83" s="464">
        <f>CF25</f>
        <v>-1.546</v>
      </c>
      <c r="CG83" s="188">
        <f t="shared" si="42"/>
        <v>-3.266</v>
      </c>
      <c r="CH83" s="464">
        <f t="shared" ref="CH83:CK85" si="50">CH25</f>
        <v>-0.89900000000000002</v>
      </c>
      <c r="CI83" s="464">
        <f t="shared" si="50"/>
        <v>-0.42299999999999999</v>
      </c>
      <c r="CJ83" s="464">
        <f>CJ25</f>
        <v>-1</v>
      </c>
      <c r="CK83" s="464">
        <f t="shared" si="50"/>
        <v>-4</v>
      </c>
      <c r="CL83" s="188">
        <f t="shared" si="43"/>
        <v>-6.3220000000000001</v>
      </c>
      <c r="CM83" s="464">
        <f t="shared" ref="CM83:CP83" si="51">CM25</f>
        <v>-2.4</v>
      </c>
      <c r="CN83" s="464">
        <f t="shared" si="51"/>
        <v>-2.8</v>
      </c>
      <c r="CO83" s="464">
        <f t="shared" si="51"/>
        <v>-3.0999999999999996</v>
      </c>
      <c r="CP83" s="464">
        <f t="shared" si="51"/>
        <v>-3.3999999999999995</v>
      </c>
      <c r="CQ83" s="188">
        <f t="shared" si="44"/>
        <v>-11.7</v>
      </c>
      <c r="CR83" s="464">
        <f t="shared" ref="CR83:CU83" si="52">CR25</f>
        <v>-3.6999999999999993</v>
      </c>
      <c r="CS83" s="464">
        <f t="shared" si="52"/>
        <v>-3.9999999999999991</v>
      </c>
      <c r="CT83" s="464">
        <f t="shared" si="52"/>
        <v>-4.2999999999999989</v>
      </c>
      <c r="CU83" s="464">
        <f t="shared" si="52"/>
        <v>-4.4299999999999988</v>
      </c>
      <c r="CV83" s="188">
        <f t="shared" si="45"/>
        <v>-16.429999999999996</v>
      </c>
    </row>
    <row r="84" spans="1:100" s="177" customFormat="1" x14ac:dyDescent="0.25">
      <c r="A84" s="175"/>
      <c r="B84" s="175"/>
      <c r="C84" s="175"/>
      <c r="D84" s="175"/>
      <c r="E84" s="178" t="s">
        <v>51</v>
      </c>
      <c r="F84" s="188"/>
      <c r="G84" s="188"/>
      <c r="H84" s="188"/>
      <c r="I84" s="188"/>
      <c r="J84" s="188"/>
      <c r="O84" s="188"/>
      <c r="T84" s="188">
        <f>'Cash Flow'!T26</f>
        <v>-14.33</v>
      </c>
      <c r="Y84" s="188">
        <f>'Cash Flow'!Y26</f>
        <v>-6.8479999999999999</v>
      </c>
      <c r="AD84" s="188">
        <f>'Cash Flow'!AD26</f>
        <v>-14.225</v>
      </c>
      <c r="AI84" s="188">
        <f>'Cash Flow'!AI26</f>
        <v>-21.6</v>
      </c>
      <c r="AN84" s="188">
        <f>'Cash Flow'!AN26</f>
        <v>-31.448999999999998</v>
      </c>
      <c r="AS84" s="188">
        <f>'Cash Flow'!AS26</f>
        <v>-57.908000000000001</v>
      </c>
      <c r="AT84" s="464">
        <f>'Cash Flow'!AT26</f>
        <v>-8.7520000000000007</v>
      </c>
      <c r="AU84" s="464">
        <f>'Cash Flow'!AU26</f>
        <v>-21.734000000000002</v>
      </c>
      <c r="AV84" s="464">
        <f>'Cash Flow'!AV26</f>
        <v>-16.321999999999999</v>
      </c>
      <c r="AW84" s="464">
        <f>'Cash Flow'!AW26</f>
        <v>-12.212999999999999</v>
      </c>
      <c r="AX84" s="188">
        <f>'Cash Flow'!AX26</f>
        <v>-59.021000000000008</v>
      </c>
      <c r="AY84" s="464">
        <f>'Cash Flow'!AY26</f>
        <v>-12.577</v>
      </c>
      <c r="AZ84" s="464">
        <f>'Cash Flow'!AZ26</f>
        <v>-12.134</v>
      </c>
      <c r="BA84" s="464">
        <f>'Cash Flow'!BA26</f>
        <v>-14.436</v>
      </c>
      <c r="BB84" s="464">
        <f>'Cash Flow'!BB26</f>
        <v>-12.444000000000001</v>
      </c>
      <c r="BC84" s="188">
        <f>'Cash Flow'!BC26</f>
        <v>-51.591000000000001</v>
      </c>
      <c r="BD84" s="464">
        <f>'Cash Flow'!BD26</f>
        <v>-3.5379999999999998</v>
      </c>
      <c r="BE84" s="464">
        <f>'Cash Flow'!BE26</f>
        <v>-8.1777999999999995</v>
      </c>
      <c r="BF84" s="464">
        <f>'Cash Flow'!BF26</f>
        <v>-10.26</v>
      </c>
      <c r="BG84" s="464">
        <f>'Cash Flow'!BG26</f>
        <v>-16.515000000000001</v>
      </c>
      <c r="BH84" s="188">
        <f>'Cash Flow'!BH26</f>
        <v>-38.4908</v>
      </c>
      <c r="BI84" s="464">
        <f>'Cash Flow'!BI26</f>
        <v>-8.92</v>
      </c>
      <c r="BJ84" s="464">
        <f>'Cash Flow'!BJ26</f>
        <v>-9.2690000000000001</v>
      </c>
      <c r="BK84" s="464">
        <f>'Cash Flow'!BK26</f>
        <v>-6.7</v>
      </c>
      <c r="BL84" s="464">
        <f>'Cash Flow'!BL26</f>
        <v>-14.409000000000001</v>
      </c>
      <c r="BM84" s="188">
        <f>'Cash Flow'!BM26</f>
        <v>-39.298000000000002</v>
      </c>
      <c r="BN84" s="464">
        <f>'Cash Flow'!BN26</f>
        <v>-19.001000000000001</v>
      </c>
      <c r="BO84" s="464">
        <f>'Cash Flow'!BO26</f>
        <v>-19.396000000000001</v>
      </c>
      <c r="BP84" s="464">
        <f>'Cash Flow'!BP26</f>
        <v>-13.132</v>
      </c>
      <c r="BQ84" s="464">
        <f>'Cash Flow'!BQ26</f>
        <v>-17.512</v>
      </c>
      <c r="BR84" s="188">
        <f>'Cash Flow'!BR26</f>
        <v>-69.040999999999997</v>
      </c>
      <c r="BS84" s="464">
        <f>'Cash Flow'!BS26</f>
        <v>-12.875999999999999</v>
      </c>
      <c r="BT84" s="464">
        <f>'Cash Flow'!BT26</f>
        <v>-10.244</v>
      </c>
      <c r="BU84" s="464">
        <f>'Cash Flow'!BU26</f>
        <v>-10.702</v>
      </c>
      <c r="BV84" s="464">
        <f>'Cash Flow'!BV26</f>
        <v>-13.601000000000001</v>
      </c>
      <c r="BW84" s="188">
        <f t="shared" si="40"/>
        <v>-47.422999999999995</v>
      </c>
      <c r="BX84" s="464">
        <f t="shared" si="47"/>
        <v>-10.694000000000001</v>
      </c>
      <c r="BY84" s="464">
        <f t="shared" si="47"/>
        <v>-9.8450000000000006</v>
      </c>
      <c r="BZ84" s="464">
        <f>BZ26</f>
        <v>-9.5570000000000004</v>
      </c>
      <c r="CA84" s="464">
        <f>CA26</f>
        <v>-17.896999999999998</v>
      </c>
      <c r="CB84" s="188">
        <f t="shared" si="41"/>
        <v>-47.993000000000002</v>
      </c>
      <c r="CC84" s="464">
        <f>CC26</f>
        <v>-2.3569999999999998</v>
      </c>
      <c r="CD84" s="464">
        <f t="shared" si="49"/>
        <v>-0.33</v>
      </c>
      <c r="CE84" s="464">
        <f t="shared" si="49"/>
        <v>-2.5619999999999998</v>
      </c>
      <c r="CF84" s="464">
        <f>CF26</f>
        <v>-4.1260000000000003</v>
      </c>
      <c r="CG84" s="188">
        <f t="shared" si="42"/>
        <v>-9.375</v>
      </c>
      <c r="CH84" s="464">
        <f t="shared" si="50"/>
        <v>-0.71200000000000019</v>
      </c>
      <c r="CI84" s="464">
        <f t="shared" si="50"/>
        <v>-1.323</v>
      </c>
      <c r="CJ84" s="464">
        <f>CJ26</f>
        <v>-2</v>
      </c>
      <c r="CK84" s="464">
        <f t="shared" si="50"/>
        <v>-3.4</v>
      </c>
      <c r="CL84" s="188">
        <f t="shared" si="43"/>
        <v>-7.4350000000000005</v>
      </c>
      <c r="CM84" s="464">
        <f t="shared" ref="CM84:CP84" si="53">CM26</f>
        <v>-2.35091955</v>
      </c>
      <c r="CN84" s="464">
        <f t="shared" si="53"/>
        <v>-2.5179847999999998</v>
      </c>
      <c r="CO84" s="464">
        <f t="shared" si="53"/>
        <v>-2.7741681506300013</v>
      </c>
      <c r="CP84" s="464">
        <f t="shared" si="53"/>
        <v>-2.5829891790500019</v>
      </c>
      <c r="CQ84" s="188">
        <f t="shared" si="44"/>
        <v>-10.226061679680003</v>
      </c>
      <c r="CR84" s="464">
        <f t="shared" ref="CR84:CU84" si="54">CR26</f>
        <v>-2.5032567740000022</v>
      </c>
      <c r="CS84" s="464">
        <f t="shared" si="54"/>
        <v>-2.7432965024000007</v>
      </c>
      <c r="CT84" s="464">
        <f t="shared" si="54"/>
        <v>-3.3625244230334026</v>
      </c>
      <c r="CU84" s="464">
        <f t="shared" si="54"/>
        <v>-3.3653954863320035</v>
      </c>
      <c r="CV84" s="188">
        <f t="shared" si="45"/>
        <v>-11.97447318576541</v>
      </c>
    </row>
    <row r="85" spans="1:100" s="177" customFormat="1" x14ac:dyDescent="0.25">
      <c r="A85" s="175"/>
      <c r="B85" s="175"/>
      <c r="C85" s="175"/>
      <c r="D85" s="175"/>
      <c r="E85" s="178" t="s">
        <v>361</v>
      </c>
      <c r="F85" s="188"/>
      <c r="G85" s="188"/>
      <c r="H85" s="188"/>
      <c r="I85" s="188"/>
      <c r="J85" s="188"/>
      <c r="O85" s="188"/>
      <c r="T85" s="188">
        <f>T27</f>
        <v>-53.427999999999997</v>
      </c>
      <c r="Y85" s="188">
        <f>Y27</f>
        <v>-70.453999999999994</v>
      </c>
      <c r="AD85" s="188">
        <f>AD27</f>
        <v>-66.686999999999998</v>
      </c>
      <c r="AI85" s="188">
        <f>AI27</f>
        <v>-32.164000000000001</v>
      </c>
      <c r="AN85" s="188">
        <f>AN27</f>
        <v>-30.561</v>
      </c>
      <c r="AS85" s="188">
        <f t="shared" ref="AS85:BS85" si="55">AS27</f>
        <v>-18.808</v>
      </c>
      <c r="AT85" s="464">
        <f t="shared" si="55"/>
        <v>-4.3259999999999996</v>
      </c>
      <c r="AU85" s="464">
        <f t="shared" si="55"/>
        <v>-2.625</v>
      </c>
      <c r="AV85" s="464">
        <f t="shared" si="55"/>
        <v>-3.7650000000000001</v>
      </c>
      <c r="AW85" s="464">
        <f t="shared" si="55"/>
        <v>-2.65</v>
      </c>
      <c r="AX85" s="188">
        <f t="shared" si="55"/>
        <v>-13.366</v>
      </c>
      <c r="AY85" s="464">
        <f t="shared" si="55"/>
        <v>-2.7759999999999998</v>
      </c>
      <c r="AZ85" s="464">
        <f t="shared" si="55"/>
        <v>-1.774</v>
      </c>
      <c r="BA85" s="464">
        <f t="shared" si="55"/>
        <v>-3.9990000000000001</v>
      </c>
      <c r="BB85" s="464">
        <f t="shared" si="55"/>
        <v>-3.7629999999999999</v>
      </c>
      <c r="BC85" s="188">
        <f t="shared" si="55"/>
        <v>-12.311999999999999</v>
      </c>
      <c r="BD85" s="464">
        <f t="shared" si="55"/>
        <v>-2.302</v>
      </c>
      <c r="BE85" s="464">
        <f t="shared" si="55"/>
        <v>-1.3959999999999999</v>
      </c>
      <c r="BF85" s="464">
        <f t="shared" si="55"/>
        <v>-2.766</v>
      </c>
      <c r="BG85" s="464">
        <f t="shared" si="55"/>
        <v>-2.1059999999999999</v>
      </c>
      <c r="BH85" s="188">
        <f t="shared" si="55"/>
        <v>-8.57</v>
      </c>
      <c r="BI85" s="464">
        <f t="shared" si="55"/>
        <v>-1.9610000000000001</v>
      </c>
      <c r="BJ85" s="464">
        <f t="shared" si="55"/>
        <v>-0.91300000000000003</v>
      </c>
      <c r="BK85" s="464">
        <f t="shared" si="55"/>
        <v>-1.786</v>
      </c>
      <c r="BL85" s="464">
        <f t="shared" si="55"/>
        <v>-3.085</v>
      </c>
      <c r="BM85" s="188">
        <f t="shared" si="55"/>
        <v>-7.7450000000000001</v>
      </c>
      <c r="BN85" s="464">
        <f t="shared" si="55"/>
        <v>-0.63500000000000001</v>
      </c>
      <c r="BO85" s="464">
        <f t="shared" si="55"/>
        <v>-0.46800000000000003</v>
      </c>
      <c r="BP85" s="464">
        <f t="shared" si="55"/>
        <v>-0.39400000000000002</v>
      </c>
      <c r="BQ85" s="464">
        <f t="shared" si="55"/>
        <v>-0.374</v>
      </c>
      <c r="BR85" s="188">
        <f t="shared" si="55"/>
        <v>-1.871</v>
      </c>
      <c r="BS85" s="464">
        <f t="shared" si="55"/>
        <v>-0.43</v>
      </c>
      <c r="BT85" s="464">
        <f>BT27</f>
        <v>-0.28100000000000003</v>
      </c>
      <c r="BU85" s="464">
        <f>BU27</f>
        <v>-0.42399999999999999</v>
      </c>
      <c r="BV85" s="464">
        <f>BV27</f>
        <v>-0.41799999999999998</v>
      </c>
      <c r="BW85" s="188">
        <f t="shared" si="40"/>
        <v>-1.5529999999999999</v>
      </c>
      <c r="BX85" s="464">
        <f t="shared" si="47"/>
        <v>-0.02</v>
      </c>
      <c r="BY85" s="464">
        <f t="shared" si="47"/>
        <v>-0.247</v>
      </c>
      <c r="BZ85" s="464">
        <f t="shared" ref="BZ85:CA85" si="56">BZ27</f>
        <v>-0.19600000000000001</v>
      </c>
      <c r="CA85" s="464">
        <f t="shared" si="56"/>
        <v>-0.41800000000000004</v>
      </c>
      <c r="CB85" s="188">
        <f t="shared" si="41"/>
        <v>-0.88100000000000001</v>
      </c>
      <c r="CC85" s="464">
        <f>CC27</f>
        <v>0</v>
      </c>
      <c r="CD85" s="464">
        <f t="shared" si="49"/>
        <v>0</v>
      </c>
      <c r="CE85" s="464">
        <f t="shared" si="49"/>
        <v>0</v>
      </c>
      <c r="CF85" s="464">
        <f>CF27</f>
        <v>0</v>
      </c>
      <c r="CG85" s="188">
        <f t="shared" si="42"/>
        <v>0</v>
      </c>
      <c r="CH85" s="464">
        <f t="shared" si="50"/>
        <v>0</v>
      </c>
      <c r="CI85" s="464">
        <f t="shared" si="50"/>
        <v>0</v>
      </c>
      <c r="CJ85" s="464">
        <f>CJ27</f>
        <v>-0.4</v>
      </c>
      <c r="CK85" s="464">
        <f t="shared" si="50"/>
        <v>0</v>
      </c>
      <c r="CL85" s="188">
        <f t="shared" si="43"/>
        <v>-0.4</v>
      </c>
      <c r="CM85" s="464">
        <f t="shared" ref="CM85:CP85" si="57">CM27</f>
        <v>0</v>
      </c>
      <c r="CN85" s="464">
        <f t="shared" si="57"/>
        <v>0</v>
      </c>
      <c r="CO85" s="464">
        <f t="shared" si="57"/>
        <v>0</v>
      </c>
      <c r="CP85" s="464">
        <f t="shared" si="57"/>
        <v>0</v>
      </c>
      <c r="CQ85" s="188">
        <f t="shared" si="44"/>
        <v>0</v>
      </c>
      <c r="CR85" s="464">
        <f t="shared" ref="CR85:CU85" si="58">CR27</f>
        <v>0</v>
      </c>
      <c r="CS85" s="464">
        <f t="shared" si="58"/>
        <v>0</v>
      </c>
      <c r="CT85" s="464">
        <f t="shared" si="58"/>
        <v>0</v>
      </c>
      <c r="CU85" s="464">
        <f t="shared" si="58"/>
        <v>0</v>
      </c>
      <c r="CV85" s="188">
        <f t="shared" si="45"/>
        <v>0</v>
      </c>
    </row>
    <row r="86" spans="1:100" s="177" customFormat="1" x14ac:dyDescent="0.25">
      <c r="A86" s="175"/>
      <c r="B86" s="175"/>
      <c r="C86" s="175"/>
      <c r="D86" s="175"/>
      <c r="E86" s="178" t="s">
        <v>362</v>
      </c>
      <c r="F86" s="188"/>
      <c r="G86" s="188"/>
      <c r="H86" s="188"/>
      <c r="I86" s="188"/>
      <c r="J86" s="188"/>
      <c r="O86" s="188"/>
      <c r="T86" s="188">
        <f>Debt!T60</f>
        <v>60.886000000000003</v>
      </c>
      <c r="Y86" s="188">
        <f>-Debt!Y60</f>
        <v>-72.231999999999999</v>
      </c>
      <c r="AD86" s="188">
        <f>-Debt!AD60</f>
        <v>-76.135000000000005</v>
      </c>
      <c r="AI86" s="188">
        <f>-Debt!AI60</f>
        <v>-69.707000000000008</v>
      </c>
      <c r="AN86" s="188">
        <f>-Debt!AN60</f>
        <v>-40.789000000000001</v>
      </c>
      <c r="AS86" s="188">
        <f>-Debt!AS60</f>
        <v>-29.696999999999999</v>
      </c>
      <c r="AT86" s="464">
        <f>-Debt!AT60</f>
        <v>-5.968</v>
      </c>
      <c r="AU86" s="464">
        <f>-Debt!AU60</f>
        <v>-5.4109999999999996</v>
      </c>
      <c r="AV86" s="464">
        <f>-Debt!AV60</f>
        <v>-5.726</v>
      </c>
      <c r="AW86" s="464">
        <f>-Debt!AW60</f>
        <v>-5.2520000000000007</v>
      </c>
      <c r="AX86" s="188">
        <f>-Debt!AX60</f>
        <v>-22.356999999999999</v>
      </c>
      <c r="AY86" s="464">
        <f>-Debt!AY60</f>
        <v>-4.7939999999999996</v>
      </c>
      <c r="AZ86" s="464">
        <f>-Debt!AZ60</f>
        <v>-4.1840000000000002</v>
      </c>
      <c r="BA86" s="464">
        <f>-Debt!BA60</f>
        <v>-4.7089999999999996</v>
      </c>
      <c r="BB86" s="464">
        <f>-Debt!BB60</f>
        <v>-4.6440000000000001</v>
      </c>
      <c r="BC86" s="188">
        <f>-Debt!BC60</f>
        <v>-18.331</v>
      </c>
      <c r="BD86" s="464">
        <f>-Debt!BD60</f>
        <v>-4.5620000000000003</v>
      </c>
      <c r="BE86" s="464">
        <f>-Debt!BE60</f>
        <v>-4.3840000000000003</v>
      </c>
      <c r="BF86" s="464">
        <f>-Debt!BF60</f>
        <v>-4.0019999999999998</v>
      </c>
      <c r="BG86" s="464">
        <f>-Debt!BG60</f>
        <v>-3.5659999999999998</v>
      </c>
      <c r="BH86" s="188">
        <f>-Debt!BH60</f>
        <v>-16.513999999999999</v>
      </c>
      <c r="BI86" s="464">
        <f>-Debt!BI60</f>
        <v>-4.4000000000000004</v>
      </c>
      <c r="BJ86" s="464">
        <f>-Debt!BJ60</f>
        <v>-2.339</v>
      </c>
      <c r="BK86" s="464">
        <f>-Debt!BK60</f>
        <v>-1.675</v>
      </c>
      <c r="BL86" s="464">
        <f>-Debt!BL60</f>
        <v>-1.4650000000000001</v>
      </c>
      <c r="BM86" s="188">
        <f>-Debt!BM60</f>
        <v>-9.8790000000000013</v>
      </c>
      <c r="BN86" s="464">
        <f>-Debt!BN60</f>
        <v>-1.2350000000000001</v>
      </c>
      <c r="BO86" s="464">
        <f>-Debt!BO60</f>
        <v>-1.0840000000000001</v>
      </c>
      <c r="BP86" s="464">
        <f>-Debt!BP60</f>
        <v>-0.93</v>
      </c>
      <c r="BQ86" s="464">
        <f>-Debt!BQ60</f>
        <v>-0.57399999999999995</v>
      </c>
      <c r="BR86" s="188">
        <f>-Debt!BR60</f>
        <v>-3.823</v>
      </c>
      <c r="BS86" s="464">
        <v>-6.3E-2</v>
      </c>
      <c r="BT86" s="464">
        <v>0</v>
      </c>
      <c r="BU86" s="464">
        <v>0</v>
      </c>
      <c r="BV86" s="464">
        <v>0</v>
      </c>
      <c r="BW86" s="188">
        <f t="shared" si="40"/>
        <v>-6.3E-2</v>
      </c>
      <c r="BX86" s="464">
        <f>-Debt!BX60</f>
        <v>0</v>
      </c>
      <c r="BY86" s="464">
        <f>-Debt!BY60</f>
        <v>0</v>
      </c>
      <c r="BZ86" s="464">
        <f>-Debt!BZ60</f>
        <v>0</v>
      </c>
      <c r="CA86" s="464">
        <f>-Debt!CA60</f>
        <v>0</v>
      </c>
      <c r="CB86" s="188">
        <f t="shared" si="41"/>
        <v>0</v>
      </c>
      <c r="CC86" s="464">
        <f>-Debt!CC60</f>
        <v>0</v>
      </c>
      <c r="CD86" s="464">
        <f>-Debt!CD60</f>
        <v>0</v>
      </c>
      <c r="CE86" s="464">
        <f>-Debt!CE60</f>
        <v>0</v>
      </c>
      <c r="CF86" s="464">
        <f>-Debt!CF60</f>
        <v>0</v>
      </c>
      <c r="CG86" s="188">
        <f t="shared" si="42"/>
        <v>0</v>
      </c>
      <c r="CH86" s="464">
        <f>-Debt!CH60</f>
        <v>0</v>
      </c>
      <c r="CI86" s="464">
        <f>-Debt!CI60</f>
        <v>0</v>
      </c>
      <c r="CJ86" s="464">
        <f>-Debt!CJ60</f>
        <v>0</v>
      </c>
      <c r="CK86" s="464">
        <f>-Debt!CK60</f>
        <v>0</v>
      </c>
      <c r="CL86" s="188">
        <f t="shared" si="43"/>
        <v>0</v>
      </c>
      <c r="CM86" s="464">
        <f>-Debt!CM60</f>
        <v>0</v>
      </c>
      <c r="CN86" s="464">
        <f>-Debt!CN60</f>
        <v>0</v>
      </c>
      <c r="CO86" s="464">
        <f>-Debt!CO60</f>
        <v>0</v>
      </c>
      <c r="CP86" s="464">
        <f>-Debt!CP60</f>
        <v>0</v>
      </c>
      <c r="CQ86" s="188">
        <f t="shared" si="44"/>
        <v>0</v>
      </c>
      <c r="CR86" s="464">
        <f>-Debt!CR60</f>
        <v>0</v>
      </c>
      <c r="CS86" s="464">
        <f>-Debt!CS60</f>
        <v>0</v>
      </c>
      <c r="CT86" s="464">
        <f>-Debt!CT60</f>
        <v>0</v>
      </c>
      <c r="CU86" s="464">
        <f>-Debt!CU60</f>
        <v>0</v>
      </c>
      <c r="CV86" s="188">
        <f t="shared" si="45"/>
        <v>0</v>
      </c>
    </row>
    <row r="87" spans="1:100" s="177" customFormat="1" x14ac:dyDescent="0.25">
      <c r="A87" s="175"/>
      <c r="B87" s="175"/>
      <c r="C87" s="175"/>
      <c r="D87" s="175"/>
      <c r="E87" s="178" t="s">
        <v>363</v>
      </c>
      <c r="F87" s="188"/>
      <c r="G87" s="188"/>
      <c r="H87" s="188"/>
      <c r="I87" s="188"/>
      <c r="J87" s="188"/>
      <c r="O87" s="188"/>
      <c r="T87" s="188">
        <f>Debt!T61</f>
        <v>24.748000000000001</v>
      </c>
      <c r="Y87" s="188">
        <f>-Debt!Y61</f>
        <v>-29.068999999999999</v>
      </c>
      <c r="AD87" s="188">
        <f>-Debt!AD61</f>
        <v>-26.896999999999998</v>
      </c>
      <c r="AI87" s="188">
        <f>-Debt!AI61</f>
        <v>-31.819000000000003</v>
      </c>
      <c r="AN87" s="188">
        <f>-Debt!AN61</f>
        <v>-23.216999999999999</v>
      </c>
      <c r="AS87" s="188">
        <f>-Debt!AS61</f>
        <v>-7.5259999999999998</v>
      </c>
      <c r="AT87" s="464">
        <f>-Debt!AT61</f>
        <v>-0.89300000000000002</v>
      </c>
      <c r="AU87" s="464">
        <f>-Debt!AU61</f>
        <v>-0.16400000000000001</v>
      </c>
      <c r="AV87" s="464">
        <f>-Debt!AV61</f>
        <v>-0.12</v>
      </c>
      <c r="AW87" s="464">
        <f>-Debt!AW61</f>
        <v>-4.1390000000000002</v>
      </c>
      <c r="AX87" s="188">
        <f>-Debt!AX61</f>
        <v>-5.3160000000000007</v>
      </c>
      <c r="AY87" s="464">
        <f>-Debt!AY61</f>
        <v>-0.36699999999999999</v>
      </c>
      <c r="AZ87" s="464">
        <f>-Debt!AZ61</f>
        <v>-0.124</v>
      </c>
      <c r="BA87" s="464">
        <f>-Debt!BA61</f>
        <v>-0.125</v>
      </c>
      <c r="BB87" s="464">
        <f>-Debt!BB61</f>
        <v>-2.2999999999999998</v>
      </c>
      <c r="BC87" s="188">
        <f>-Debt!BC61</f>
        <v>-2.9159999999999999</v>
      </c>
      <c r="BD87" s="464">
        <f>-Debt!BD61</f>
        <v>-0.129</v>
      </c>
      <c r="BE87" s="464">
        <f>-Debt!BE61</f>
        <v>-0.13</v>
      </c>
      <c r="BF87" s="464">
        <f>-Debt!BF61</f>
        <v>-7.8E-2</v>
      </c>
      <c r="BG87" s="464">
        <f>-Debt!BG61</f>
        <v>-1.4319999999999999</v>
      </c>
      <c r="BH87" s="188">
        <f>-Debt!BH61</f>
        <v>-1.7689999999999999</v>
      </c>
      <c r="BI87" s="464">
        <f>-Debt!BI61</f>
        <v>0</v>
      </c>
      <c r="BJ87" s="464">
        <f>-Debt!BJ61</f>
        <v>0</v>
      </c>
      <c r="BK87" s="464">
        <f>-Debt!BK61</f>
        <v>0</v>
      </c>
      <c r="BL87" s="464">
        <f>-Debt!BL61</f>
        <v>0</v>
      </c>
      <c r="BM87" s="188">
        <f>-Debt!BM61</f>
        <v>0</v>
      </c>
      <c r="BN87" s="464">
        <f>-Debt!BN61</f>
        <v>0</v>
      </c>
      <c r="BO87" s="464">
        <f>-Debt!BO61</f>
        <v>0</v>
      </c>
      <c r="BP87" s="464">
        <f>-Debt!BP61</f>
        <v>0</v>
      </c>
      <c r="BQ87" s="464">
        <f>-Debt!BQ61</f>
        <v>0</v>
      </c>
      <c r="BR87" s="188">
        <f>-Debt!BR61</f>
        <v>0</v>
      </c>
      <c r="BS87" s="464">
        <f>-Debt!BS61</f>
        <v>0</v>
      </c>
      <c r="BT87" s="464">
        <f>-Debt!BT61</f>
        <v>0</v>
      </c>
      <c r="BU87" s="464">
        <f>-Debt!BU61</f>
        <v>0</v>
      </c>
      <c r="BV87" s="464">
        <f>-Debt!BV61</f>
        <v>0</v>
      </c>
      <c r="BW87" s="188">
        <f t="shared" si="40"/>
        <v>0</v>
      </c>
      <c r="BX87" s="464">
        <f>-Debt!BX61</f>
        <v>0</v>
      </c>
      <c r="BY87" s="464">
        <f>-Debt!BY61</f>
        <v>0</v>
      </c>
      <c r="BZ87" s="464">
        <f>-Debt!BZ61</f>
        <v>0</v>
      </c>
      <c r="CA87" s="464">
        <f>-Debt!CA61</f>
        <v>0</v>
      </c>
      <c r="CB87" s="188">
        <f t="shared" si="41"/>
        <v>0</v>
      </c>
      <c r="CC87" s="464">
        <f>-Debt!CC61</f>
        <v>0</v>
      </c>
      <c r="CD87" s="464">
        <f>-Debt!CD61</f>
        <v>0</v>
      </c>
      <c r="CE87" s="464">
        <f>-Debt!CE61</f>
        <v>0</v>
      </c>
      <c r="CF87" s="464">
        <f>-Debt!CF61</f>
        <v>0</v>
      </c>
      <c r="CG87" s="188">
        <f t="shared" si="42"/>
        <v>0</v>
      </c>
      <c r="CH87" s="464">
        <f>-Debt!CH61</f>
        <v>0</v>
      </c>
      <c r="CI87" s="464">
        <f>-Debt!CI61</f>
        <v>0</v>
      </c>
      <c r="CJ87" s="464">
        <f>-Debt!CJ61</f>
        <v>0</v>
      </c>
      <c r="CK87" s="464">
        <f>-Debt!CK61</f>
        <v>0</v>
      </c>
      <c r="CL87" s="188">
        <f t="shared" si="43"/>
        <v>0</v>
      </c>
      <c r="CM87" s="464">
        <f>-Debt!CM61</f>
        <v>0</v>
      </c>
      <c r="CN87" s="464">
        <f>-Debt!CN61</f>
        <v>0</v>
      </c>
      <c r="CO87" s="464">
        <f>-Debt!CO61</f>
        <v>0</v>
      </c>
      <c r="CP87" s="464">
        <f>-Debt!CP61</f>
        <v>0</v>
      </c>
      <c r="CQ87" s="188">
        <f t="shared" si="44"/>
        <v>0</v>
      </c>
      <c r="CR87" s="464">
        <f>-Debt!CR61</f>
        <v>0</v>
      </c>
      <c r="CS87" s="464">
        <f>-Debt!CS61</f>
        <v>0</v>
      </c>
      <c r="CT87" s="464">
        <f>-Debt!CT61</f>
        <v>0</v>
      </c>
      <c r="CU87" s="464">
        <f>-Debt!CU61</f>
        <v>0</v>
      </c>
      <c r="CV87" s="188">
        <f t="shared" si="45"/>
        <v>0</v>
      </c>
    </row>
    <row r="88" spans="1:100" s="177" customFormat="1" x14ac:dyDescent="0.25">
      <c r="A88" s="175"/>
      <c r="B88" s="175"/>
      <c r="C88" s="175"/>
      <c r="D88" s="175"/>
      <c r="E88" s="178" t="s">
        <v>364</v>
      </c>
      <c r="F88" s="188"/>
      <c r="G88" s="188"/>
      <c r="H88" s="188"/>
      <c r="I88" s="188"/>
      <c r="J88" s="188"/>
      <c r="O88" s="188"/>
      <c r="T88" s="372">
        <v>0</v>
      </c>
      <c r="Y88" s="372">
        <v>0</v>
      </c>
      <c r="AD88" s="372">
        <v>0</v>
      </c>
      <c r="AI88" s="372">
        <v>0</v>
      </c>
      <c r="AN88" s="372">
        <v>-8.2639999999999993</v>
      </c>
      <c r="AS88" s="372">
        <v>-9.798</v>
      </c>
      <c r="AT88" s="464">
        <f>-Debt!AT63</f>
        <v>-2.1030000000000002</v>
      </c>
      <c r="AU88" s="464">
        <f>-Debt!AU63</f>
        <v>-2.028</v>
      </c>
      <c r="AV88" s="464">
        <f>-Debt!AV63</f>
        <v>-2.1429999999999998</v>
      </c>
      <c r="AW88" s="464">
        <f>-Debt!AW63</f>
        <v>-2.1539999999999999</v>
      </c>
      <c r="AX88" s="372">
        <v>-8.4280000000000008</v>
      </c>
      <c r="AY88" s="464">
        <f>-Debt!AY63</f>
        <v>-2.1509999999999998</v>
      </c>
      <c r="AZ88" s="464">
        <f>-Debt!AZ63</f>
        <v>-2.1549999999999998</v>
      </c>
      <c r="BA88" s="464">
        <f>-Debt!BA63</f>
        <v>-2.1589999999999998</v>
      </c>
      <c r="BB88" s="464">
        <f>-Debt!BB63</f>
        <v>-2.1640000000000001</v>
      </c>
      <c r="BC88" s="188">
        <f>-Debt!BC63</f>
        <v>-8.6289999999999996</v>
      </c>
      <c r="BD88" s="464">
        <f>-Debt!BD63</f>
        <v>-2.165</v>
      </c>
      <c r="BE88" s="464">
        <f>-Debt!BE63</f>
        <v>-2.1680000000000001</v>
      </c>
      <c r="BF88" s="464">
        <f>-Debt!BF63</f>
        <v>-2.1720000000000002</v>
      </c>
      <c r="BG88" s="464">
        <f>-Debt!BG63</f>
        <v>-2.0830000000000002</v>
      </c>
      <c r="BH88" s="188">
        <f>-Debt!BH63</f>
        <v>-8.588000000000001</v>
      </c>
      <c r="BI88" s="464">
        <f>-Debt!BI63</f>
        <v>-0.49</v>
      </c>
      <c r="BJ88" s="464">
        <f>-Debt!BJ63</f>
        <v>-2.004</v>
      </c>
      <c r="BK88" s="464">
        <f>-Debt!BK63</f>
        <v>-4.2590000000000003</v>
      </c>
      <c r="BL88" s="464">
        <f>-Debt!BL63</f>
        <v>-4.2629999999999999</v>
      </c>
      <c r="BM88" s="188">
        <f>-Debt!BM63</f>
        <v>-11.016</v>
      </c>
      <c r="BN88" s="464">
        <f>-Debt!BN63</f>
        <v>-4.2670000000000003</v>
      </c>
      <c r="BO88" s="464">
        <f>-Debt!BO63</f>
        <v>-4.2720000000000002</v>
      </c>
      <c r="BP88" s="464">
        <f>-Debt!BP63</f>
        <v>-8.0269999999999992</v>
      </c>
      <c r="BQ88" s="464">
        <f>-Debt!BQ63</f>
        <v>-8.032</v>
      </c>
      <c r="BR88" s="188">
        <f>-Debt!BR63</f>
        <v>-24.598000000000003</v>
      </c>
      <c r="BS88" s="464">
        <f>-Debt!BS63</f>
        <v>-8.0359999999999996</v>
      </c>
      <c r="BT88" s="464">
        <f>-Debt!BT63</f>
        <v>-8.0389999999999997</v>
      </c>
      <c r="BU88" s="464">
        <f>-Debt!BU63</f>
        <v>-8.0450000000000035</v>
      </c>
      <c r="BV88" s="464">
        <f>-Debt!BV63</f>
        <v>-8.0479999999999929</v>
      </c>
      <c r="BW88" s="188">
        <f t="shared" si="40"/>
        <v>-32.167999999999999</v>
      </c>
      <c r="BX88" s="473">
        <v>-8.0530000000000008</v>
      </c>
      <c r="BY88" s="473">
        <v>-8.0579999999999998</v>
      </c>
      <c r="BZ88" s="473">
        <v>-8.0619999999999994</v>
      </c>
      <c r="CA88" s="473">
        <v>-8.07</v>
      </c>
      <c r="CB88" s="188">
        <f t="shared" si="41"/>
        <v>-32.243000000000002</v>
      </c>
      <c r="CC88" s="473">
        <v>-0.57199999999999995</v>
      </c>
      <c r="CD88" s="473">
        <v>-0.57799999999999996</v>
      </c>
      <c r="CE88" s="473">
        <v>-0.58199999999999996</v>
      </c>
      <c r="CF88" s="473">
        <v>-0.58799999999999997</v>
      </c>
      <c r="CG88" s="188">
        <f t="shared" si="42"/>
        <v>-2.3199999999999998</v>
      </c>
      <c r="CH88" s="473">
        <v>-0.59199999999999997</v>
      </c>
      <c r="CI88" s="473">
        <v>-2.7010000000000001</v>
      </c>
      <c r="CJ88" s="465">
        <v>0</v>
      </c>
      <c r="CK88" s="465">
        <v>0</v>
      </c>
      <c r="CL88" s="188">
        <f>SUM(CH88:CK88)</f>
        <v>-3.2930000000000001</v>
      </c>
      <c r="CM88" s="465">
        <v>0</v>
      </c>
      <c r="CN88" s="465">
        <v>0</v>
      </c>
      <c r="CO88" s="465">
        <v>0</v>
      </c>
      <c r="CP88" s="465">
        <v>0</v>
      </c>
      <c r="CQ88" s="188">
        <f t="shared" si="44"/>
        <v>0</v>
      </c>
      <c r="CR88" s="465">
        <v>0</v>
      </c>
      <c r="CS88" s="465">
        <v>0</v>
      </c>
      <c r="CT88" s="465">
        <v>0</v>
      </c>
      <c r="CU88" s="465">
        <v>0</v>
      </c>
      <c r="CV88" s="188">
        <f t="shared" si="45"/>
        <v>0</v>
      </c>
    </row>
    <row r="89" spans="1:100" s="177" customFormat="1" hidden="1" x14ac:dyDescent="0.25">
      <c r="A89" s="175"/>
      <c r="B89" s="175"/>
      <c r="C89" s="175"/>
      <c r="D89" s="175"/>
      <c r="E89" s="178" t="s">
        <v>365</v>
      </c>
      <c r="F89" s="188"/>
      <c r="G89" s="188"/>
      <c r="H89" s="188"/>
      <c r="I89" s="188"/>
      <c r="J89" s="188"/>
      <c r="O89" s="188"/>
      <c r="T89" s="188">
        <f>T36</f>
        <v>0</v>
      </c>
      <c r="Y89" s="188">
        <f>Y36</f>
        <v>0</v>
      </c>
      <c r="AD89" s="188">
        <f>AD36</f>
        <v>4.1420000000000003</v>
      </c>
      <c r="AI89" s="188">
        <f>AI36</f>
        <v>5.1440000000000001</v>
      </c>
      <c r="AN89" s="188">
        <f>AN36</f>
        <v>-2.1000000000000005E-2</v>
      </c>
      <c r="AS89" s="188">
        <v>0</v>
      </c>
      <c r="AX89" s="188">
        <v>0</v>
      </c>
      <c r="BC89" s="188">
        <v>0</v>
      </c>
      <c r="BH89" s="372">
        <v>0</v>
      </c>
      <c r="BM89" s="372">
        <v>0</v>
      </c>
      <c r="BN89" s="547"/>
      <c r="BO89" s="547"/>
      <c r="BP89" s="547"/>
      <c r="BQ89" s="547"/>
      <c r="BR89" s="372">
        <v>0</v>
      </c>
      <c r="BS89" s="547"/>
      <c r="BT89" s="547"/>
      <c r="BW89" s="372">
        <v>0</v>
      </c>
      <c r="CB89" s="372">
        <v>0</v>
      </c>
      <c r="CG89" s="188">
        <f>CG36</f>
        <v>0</v>
      </c>
      <c r="CL89" s="188">
        <f>CL36</f>
        <v>0</v>
      </c>
      <c r="CQ89" s="188">
        <f>CQ36</f>
        <v>0</v>
      </c>
      <c r="CV89" s="188">
        <f>CV36</f>
        <v>0</v>
      </c>
    </row>
    <row r="90" spans="1:100" s="177" customFormat="1" hidden="1" x14ac:dyDescent="0.25">
      <c r="A90" s="175"/>
      <c r="B90" s="175"/>
      <c r="C90" s="175"/>
      <c r="D90" s="175"/>
      <c r="E90" s="178" t="s">
        <v>366</v>
      </c>
      <c r="F90" s="188"/>
      <c r="G90" s="188"/>
      <c r="H90" s="188"/>
      <c r="I90" s="188"/>
      <c r="J90" s="188"/>
      <c r="O90" s="188"/>
      <c r="T90" s="372">
        <v>0</v>
      </c>
      <c r="Y90" s="372">
        <v>0</v>
      </c>
      <c r="AD90" s="372">
        <v>0</v>
      </c>
      <c r="AI90" s="372">
        <v>0</v>
      </c>
      <c r="AN90" s="372">
        <v>2</v>
      </c>
      <c r="AS90" s="372">
        <v>0</v>
      </c>
      <c r="AX90" s="372">
        <v>0</v>
      </c>
      <c r="BC90" s="372">
        <v>0</v>
      </c>
      <c r="BH90" s="372">
        <v>0</v>
      </c>
      <c r="BM90" s="372">
        <v>0</v>
      </c>
      <c r="BN90" s="547"/>
      <c r="BO90" s="547"/>
      <c r="BP90" s="547"/>
      <c r="BQ90" s="547"/>
      <c r="BR90" s="372">
        <v>0</v>
      </c>
      <c r="BS90" s="547"/>
      <c r="BT90" s="547"/>
      <c r="BW90" s="372">
        <v>0</v>
      </c>
      <c r="CB90" s="372">
        <v>0</v>
      </c>
      <c r="CG90" s="372">
        <v>0</v>
      </c>
      <c r="CL90" s="372">
        <v>0</v>
      </c>
      <c r="CQ90" s="372">
        <v>0</v>
      </c>
      <c r="CV90" s="372">
        <v>0</v>
      </c>
    </row>
    <row r="91" spans="1:100" s="177" customFormat="1" x14ac:dyDescent="0.25">
      <c r="A91" s="175"/>
      <c r="B91" s="175"/>
      <c r="C91" s="175"/>
      <c r="D91" s="175"/>
      <c r="E91" s="179" t="s">
        <v>82</v>
      </c>
      <c r="F91" s="139"/>
      <c r="G91" s="139"/>
      <c r="H91" s="139"/>
      <c r="I91" s="139"/>
      <c r="J91" s="139"/>
      <c r="O91" s="139"/>
      <c r="T91" s="139">
        <v>0</v>
      </c>
      <c r="Y91" s="139">
        <v>0</v>
      </c>
      <c r="AD91" s="139">
        <v>0</v>
      </c>
      <c r="AI91" s="139">
        <v>0</v>
      </c>
      <c r="AN91" s="139">
        <v>0</v>
      </c>
      <c r="AS91" s="139">
        <v>0</v>
      </c>
      <c r="AX91" s="139">
        <v>0</v>
      </c>
      <c r="BC91" s="139">
        <v>0</v>
      </c>
      <c r="BH91" s="372">
        <v>0</v>
      </c>
      <c r="BM91" s="372">
        <v>0</v>
      </c>
      <c r="BN91" s="547"/>
      <c r="BO91" s="547"/>
      <c r="BP91" s="547"/>
      <c r="BQ91" s="547"/>
      <c r="BR91" s="372">
        <v>0</v>
      </c>
      <c r="BS91" s="547"/>
      <c r="BT91" s="547"/>
      <c r="BW91" s="188">
        <f>SUM(BS91:BV91)</f>
        <v>0</v>
      </c>
      <c r="CB91" s="188">
        <f>SUM(BX91:CA91)</f>
        <v>0</v>
      </c>
      <c r="CC91" s="473">
        <v>0</v>
      </c>
      <c r="CD91" s="473">
        <v>0</v>
      </c>
      <c r="CE91" s="473">
        <v>0</v>
      </c>
      <c r="CF91" s="473">
        <v>0</v>
      </c>
      <c r="CG91" s="188">
        <f>SUM(CC91:CF91)</f>
        <v>0</v>
      </c>
      <c r="CH91" s="473">
        <v>0</v>
      </c>
      <c r="CI91" s="473">
        <v>0</v>
      </c>
      <c r="CJ91" s="465">
        <v>0</v>
      </c>
      <c r="CK91" s="465">
        <f>-CK13</f>
        <v>496</v>
      </c>
      <c r="CL91" s="188">
        <f>SUM(CH91:CK91)</f>
        <v>496</v>
      </c>
      <c r="CM91" s="465">
        <v>0</v>
      </c>
      <c r="CN91" s="465">
        <v>0</v>
      </c>
      <c r="CO91" s="465">
        <v>0</v>
      </c>
      <c r="CP91" s="465">
        <v>0</v>
      </c>
      <c r="CQ91" s="188">
        <f>SUM(CM91:CP91)</f>
        <v>0</v>
      </c>
      <c r="CR91" s="465">
        <v>0</v>
      </c>
      <c r="CS91" s="465">
        <v>0</v>
      </c>
      <c r="CT91" s="465">
        <v>0</v>
      </c>
      <c r="CU91" s="465">
        <v>0</v>
      </c>
      <c r="CV91" s="188">
        <f>SUM(CR91:CU91)</f>
        <v>0</v>
      </c>
    </row>
    <row r="92" spans="1:100" s="177" customFormat="1" ht="13.5" x14ac:dyDescent="0.3">
      <c r="A92" s="175"/>
      <c r="B92" s="175"/>
      <c r="C92" s="175"/>
      <c r="D92" s="175"/>
      <c r="E92" s="181" t="s">
        <v>45</v>
      </c>
      <c r="F92" s="181"/>
      <c r="G92" s="181"/>
      <c r="H92" s="181"/>
      <c r="I92" s="181"/>
      <c r="J92" s="181"/>
      <c r="K92" s="181"/>
      <c r="L92" s="181"/>
      <c r="M92" s="181"/>
      <c r="N92" s="181"/>
      <c r="O92" s="181"/>
      <c r="P92" s="181"/>
      <c r="Q92" s="181"/>
      <c r="R92" s="181"/>
      <c r="S92" s="181"/>
      <c r="T92" s="181">
        <f>SUM(T81:T91)</f>
        <v>204.92899999999997</v>
      </c>
      <c r="U92" s="181"/>
      <c r="V92" s="181"/>
      <c r="W92" s="181"/>
      <c r="X92" s="181"/>
      <c r="Y92" s="181">
        <f>SUM(Y81:Y91)</f>
        <v>-35.572000000000003</v>
      </c>
      <c r="Z92" s="181"/>
      <c r="AA92" s="181"/>
      <c r="AB92" s="181"/>
      <c r="AC92" s="181"/>
      <c r="AD92" s="181">
        <f>SUM(AD81:AD91)</f>
        <v>32.39800000000001</v>
      </c>
      <c r="AE92" s="181"/>
      <c r="AF92" s="181"/>
      <c r="AG92" s="181"/>
      <c r="AH92" s="181"/>
      <c r="AI92" s="181">
        <f>SUM(AI81:AI91)</f>
        <v>90.93400000000014</v>
      </c>
      <c r="AJ92" s="181"/>
      <c r="AK92" s="181"/>
      <c r="AL92" s="181"/>
      <c r="AM92" s="181"/>
      <c r="AN92" s="181">
        <f>SUM(AN81:AN91)</f>
        <v>147.07400000000004</v>
      </c>
      <c r="AO92" s="181"/>
      <c r="AP92" s="181"/>
      <c r="AQ92" s="181"/>
      <c r="AR92" s="181"/>
      <c r="AS92" s="181">
        <f t="shared" ref="AS92:BU92" si="59">SUM(AS81:AS91)</f>
        <v>108.34600000000002</v>
      </c>
      <c r="AT92" s="181">
        <f t="shared" si="59"/>
        <v>-6.2799999999999994</v>
      </c>
      <c r="AU92" s="181">
        <f t="shared" si="59"/>
        <v>9.6629999999999985</v>
      </c>
      <c r="AV92" s="181">
        <f t="shared" si="59"/>
        <v>35.129000000000012</v>
      </c>
      <c r="AW92" s="181">
        <f t="shared" si="59"/>
        <v>14.663999999999994</v>
      </c>
      <c r="AX92" s="181">
        <f t="shared" si="59"/>
        <v>53.176000000000002</v>
      </c>
      <c r="AY92" s="181">
        <f t="shared" si="59"/>
        <v>9.5599999999999952</v>
      </c>
      <c r="AZ92" s="181">
        <f t="shared" si="59"/>
        <v>36.351999999999997</v>
      </c>
      <c r="BA92" s="181">
        <f t="shared" si="59"/>
        <v>55.464999999999996</v>
      </c>
      <c r="BB92" s="181">
        <f t="shared" si="59"/>
        <v>29.032999999999998</v>
      </c>
      <c r="BC92" s="181">
        <f t="shared" si="59"/>
        <v>130.40999999999997</v>
      </c>
      <c r="BD92" s="181">
        <f t="shared" si="59"/>
        <v>-18.236000000000001</v>
      </c>
      <c r="BE92" s="181">
        <f t="shared" si="59"/>
        <v>18.905200000000004</v>
      </c>
      <c r="BF92" s="181">
        <f t="shared" si="59"/>
        <v>13.822000000000006</v>
      </c>
      <c r="BG92" s="181">
        <f t="shared" si="59"/>
        <v>41.830000000000005</v>
      </c>
      <c r="BH92" s="181">
        <f t="shared" si="59"/>
        <v>56.321200000000012</v>
      </c>
      <c r="BI92" s="181">
        <f t="shared" si="59"/>
        <v>-4.8760000000000012</v>
      </c>
      <c r="BJ92" s="181">
        <f t="shared" si="59"/>
        <v>18.336000000000006</v>
      </c>
      <c r="BK92" s="181">
        <f t="shared" si="59"/>
        <v>47.49</v>
      </c>
      <c r="BL92" s="181">
        <f t="shared" si="59"/>
        <v>15.394</v>
      </c>
      <c r="BM92" s="181">
        <f t="shared" si="59"/>
        <v>49.480999999999973</v>
      </c>
      <c r="BN92" s="181">
        <f t="shared" si="59"/>
        <v>-28.239600000000003</v>
      </c>
      <c r="BO92" s="181">
        <f t="shared" si="59"/>
        <v>-5.0359999999999996</v>
      </c>
      <c r="BP92" s="181">
        <f t="shared" si="59"/>
        <v>15.913000000000006</v>
      </c>
      <c r="BQ92" s="181">
        <f t="shared" si="59"/>
        <v>4.3819999999999979</v>
      </c>
      <c r="BR92" s="181">
        <f>SUM(BR81:BR91)</f>
        <v>-12.980600000000011</v>
      </c>
      <c r="BS92" s="181">
        <f>SUM(BS81:BS91)</f>
        <v>-12.204999999999998</v>
      </c>
      <c r="BT92" s="181">
        <f t="shared" si="59"/>
        <v>-1.1429999999999998</v>
      </c>
      <c r="BU92" s="181">
        <f t="shared" si="59"/>
        <v>14.220000000000004</v>
      </c>
      <c r="BV92" s="181">
        <f>SUM(BV81:BV91)</f>
        <v>16.683000000000007</v>
      </c>
      <c r="BW92" s="181">
        <f>SUM(BW81:BW91)</f>
        <v>17.555000000000035</v>
      </c>
      <c r="BX92" s="181">
        <f>SUM(BX81:BX91)</f>
        <v>-21.999000000000002</v>
      </c>
      <c r="BY92" s="181">
        <f>SUM(BY81:BY91)</f>
        <v>30.427999999999997</v>
      </c>
      <c r="BZ92" s="181">
        <f t="shared" ref="BZ92:CC92" si="60">SUM(BZ81:BZ91)</f>
        <v>27.822000000000003</v>
      </c>
      <c r="CA92" s="181">
        <f t="shared" si="60"/>
        <v>26.466999999999992</v>
      </c>
      <c r="CB92" s="181">
        <f>SUM(CB81:CB91)</f>
        <v>62.717999999999982</v>
      </c>
      <c r="CC92" s="181">
        <f t="shared" si="60"/>
        <v>-14.325999999999997</v>
      </c>
      <c r="CD92" s="181">
        <f>SUM(CD81:CD91)</f>
        <v>-5.5750000000000002</v>
      </c>
      <c r="CE92" s="181">
        <f>SUM(CE81:CE91)</f>
        <v>10.445</v>
      </c>
      <c r="CF92" s="181">
        <f>SUM(CF81:CF91)</f>
        <v>-15.595000000000001</v>
      </c>
      <c r="CG92" s="181">
        <f>SUM(CG81:CG91)</f>
        <v>-25.051000000000002</v>
      </c>
      <c r="CH92" s="181">
        <f t="shared" ref="CH92:CK92" si="61">SUM(CH81:CH91)</f>
        <v>-4.4829999999999997</v>
      </c>
      <c r="CI92" s="181">
        <f t="shared" si="61"/>
        <v>-31.576999999999998</v>
      </c>
      <c r="CJ92" s="181">
        <f>SUM(CJ81:CJ91)</f>
        <v>-54.573261999999836</v>
      </c>
      <c r="CK92" s="181">
        <f t="shared" si="61"/>
        <v>-21.04363114625005</v>
      </c>
      <c r="CL92" s="181">
        <f>SUM(CL81:CL91)</f>
        <v>-111.67689314624977</v>
      </c>
      <c r="CM92" s="181">
        <f t="shared" ref="CM92:CP92" si="62">SUM(CM81:CM91)</f>
        <v>-8.6711130691581229</v>
      </c>
      <c r="CN92" s="181">
        <f t="shared" si="62"/>
        <v>-12.015418703746271</v>
      </c>
      <c r="CO92" s="181">
        <f t="shared" si="62"/>
        <v>-3.878874888995969</v>
      </c>
      <c r="CP92" s="181">
        <f t="shared" si="62"/>
        <v>-1.0506692156147253</v>
      </c>
      <c r="CQ92" s="181">
        <f>SUM(CQ81:CQ91)</f>
        <v>-25.616075877515087</v>
      </c>
      <c r="CR92" s="181">
        <f t="shared" ref="CR92:CU92" si="63">SUM(CR81:CR91)</f>
        <v>0.79470638088118939</v>
      </c>
      <c r="CS92" s="181">
        <f t="shared" si="63"/>
        <v>-0.47572417344478524</v>
      </c>
      <c r="CT92" s="181">
        <f t="shared" si="63"/>
        <v>7.0996634484808911</v>
      </c>
      <c r="CU92" s="181">
        <f t="shared" si="63"/>
        <v>9.5378798545658352</v>
      </c>
      <c r="CV92" s="181">
        <f>SUM(CV81:CV91)</f>
        <v>16.956525510483132</v>
      </c>
    </row>
    <row r="93" spans="1:100" s="399" customFormat="1" ht="13.5" x14ac:dyDescent="0.3">
      <c r="A93" s="400"/>
      <c r="B93" s="400"/>
      <c r="C93" s="400"/>
      <c r="D93" s="400"/>
      <c r="E93" s="401" t="s">
        <v>83</v>
      </c>
      <c r="F93" s="398"/>
      <c r="G93" s="398"/>
      <c r="H93" s="398"/>
      <c r="I93" s="398"/>
      <c r="J93" s="398"/>
      <c r="K93" s="401"/>
      <c r="L93" s="401"/>
      <c r="M93" s="401"/>
      <c r="N93" s="401"/>
      <c r="O93" s="398"/>
      <c r="P93" s="401"/>
      <c r="Q93" s="401"/>
      <c r="R93" s="401"/>
      <c r="S93" s="401"/>
      <c r="T93" s="398">
        <f>T92/Income!T86</f>
        <v>2.1800957446808509</v>
      </c>
      <c r="U93" s="401"/>
      <c r="V93" s="401"/>
      <c r="W93" s="401"/>
      <c r="X93" s="401"/>
      <c r="Y93" s="398">
        <f>Y92/Income!Y86</f>
        <v>-0.39524444444444445</v>
      </c>
      <c r="Z93" s="401"/>
      <c r="AA93" s="401"/>
      <c r="AB93" s="401"/>
      <c r="AC93" s="401"/>
      <c r="AD93" s="398">
        <f>AD92/Income!AD86</f>
        <v>0.38569047619047631</v>
      </c>
      <c r="AE93" s="401"/>
      <c r="AF93" s="401"/>
      <c r="AG93" s="401"/>
      <c r="AH93" s="401"/>
      <c r="AI93" s="398">
        <f>AI92/Income!AI86</f>
        <v>1.1492739152964389</v>
      </c>
      <c r="AJ93" s="401"/>
      <c r="AK93" s="401"/>
      <c r="AL93" s="401"/>
      <c r="AM93" s="401"/>
      <c r="AN93" s="398">
        <f>AN92/Income!AN86</f>
        <v>1.8801406200063924</v>
      </c>
      <c r="AO93" s="401"/>
      <c r="AP93" s="401"/>
      <c r="AQ93" s="401"/>
      <c r="AR93" s="401"/>
      <c r="AS93" s="398">
        <f>AS92/Income!AS86</f>
        <v>1.358996550642835</v>
      </c>
      <c r="AT93" s="398">
        <f>AT92/Income!AT86</f>
        <v>-7.7096837556472189E-2</v>
      </c>
      <c r="AU93" s="398">
        <f>AU92/Income!AU86</f>
        <v>0.11888240938953272</v>
      </c>
      <c r="AV93" s="398">
        <f>AV92/Income!AV86</f>
        <v>0.42789105702940405</v>
      </c>
      <c r="AW93" s="398">
        <f>AW92/Income!AW86</f>
        <v>0.18233589893438437</v>
      </c>
      <c r="AX93" s="398">
        <f>AX92/Income!AX86</f>
        <v>0.65395269615906093</v>
      </c>
      <c r="AY93" s="398">
        <f>AY92/Income!AY86</f>
        <v>0.11656546443290165</v>
      </c>
      <c r="AZ93" s="398">
        <f>AZ92/Income!AZ86</f>
        <v>0.44550657499662977</v>
      </c>
      <c r="BA93" s="398">
        <f>BA92/Income!BA86</f>
        <v>0.70191090863072636</v>
      </c>
      <c r="BB93" s="398">
        <f>BB92/Income!BB86</f>
        <v>0.36775304951423105</v>
      </c>
      <c r="BC93" s="398">
        <f>BC92/Income!BC86</f>
        <v>1.6221258916965711</v>
      </c>
      <c r="BD93" s="398">
        <f>BD92/Income!BD86</f>
        <v>-0.23362414645707624</v>
      </c>
      <c r="BE93" s="398">
        <f>BE92/Income!BE86</f>
        <v>0.24544238883479394</v>
      </c>
      <c r="BF93" s="398">
        <f>BF92/Income!BF86</f>
        <v>0.18216083713329301</v>
      </c>
      <c r="BG93" s="398">
        <f>BG92/Income!BG86</f>
        <v>0.55753262158956118</v>
      </c>
      <c r="BH93" s="398">
        <f>BH92/Income!BH86</f>
        <v>0.73625611545588565</v>
      </c>
      <c r="BI93" s="398">
        <f>BI92/Income!BI86</f>
        <v>-6.4590480984488233E-2</v>
      </c>
      <c r="BJ93" s="398">
        <f>BJ92/Income!BJ86</f>
        <v>0.241148929454469</v>
      </c>
      <c r="BK93" s="398">
        <f>BK92/Income!BK86</f>
        <v>0.61010547411965732</v>
      </c>
      <c r="BL93" s="398">
        <f>BL92/Income!BL86</f>
        <v>0.20177473686969968</v>
      </c>
      <c r="BM93" s="398">
        <f>BM92/Income!BM86</f>
        <v>0.64753205369382183</v>
      </c>
      <c r="BN93" s="398">
        <f>BN92/Income!BN86</f>
        <v>-0.36754519542384134</v>
      </c>
      <c r="BO93" s="398">
        <f>BO92/Income!BO86</f>
        <v>-6.5298289744952859E-2</v>
      </c>
      <c r="BP93" s="398">
        <f>BP92/Income!BP86</f>
        <v>0.2065577175196979</v>
      </c>
      <c r="BQ93" s="398">
        <f>BQ92/Income!BQ86</f>
        <v>5.6595244552933702E-2</v>
      </c>
      <c r="BR93" s="398">
        <f>BR92/Income!BR86</f>
        <v>-0.16834856138667165</v>
      </c>
      <c r="BS93" s="398">
        <f>BS92/Income!BS86</f>
        <v>-0.15380834761568704</v>
      </c>
      <c r="BT93" s="398">
        <f>BT92/Income!BT86</f>
        <v>-1.4411801790442564E-2</v>
      </c>
      <c r="BU93" s="398">
        <f>BU92/Income!BU86</f>
        <v>0.17921508330602681</v>
      </c>
      <c r="BV93" s="398">
        <f>BV92/Income!BV86</f>
        <v>0.21283137294925125</v>
      </c>
      <c r="BW93" s="398">
        <f>BW92/Income!BW86</f>
        <v>0.22193846912394086</v>
      </c>
      <c r="BX93" s="398">
        <f>BX92/Income!BX86</f>
        <v>-0.27722959434425926</v>
      </c>
      <c r="BY93" s="398">
        <f>BY92/Income!BY86</f>
        <v>0.3838187620621365</v>
      </c>
      <c r="BZ93" s="398">
        <f>BZ92/Income!BZ86</f>
        <v>0.34842393958748175</v>
      </c>
      <c r="CA93" s="398">
        <f>CA92/Income!CA86</f>
        <v>0.32710846351591838</v>
      </c>
      <c r="CB93" s="398">
        <f>CB92/Income!CB86</f>
        <v>0.78546492878679219</v>
      </c>
      <c r="CC93" s="398">
        <f>CC92/Income!CC86</f>
        <v>-0.18209782387634735</v>
      </c>
      <c r="CD93" s="398">
        <f>CD92/Income!CD86</f>
        <v>-7.0360320565406698E-2</v>
      </c>
      <c r="CE93" s="398">
        <f>CE92/Income!CE86</f>
        <v>0.13214326379312524</v>
      </c>
      <c r="CF93" s="398">
        <f>CF92/Income!CF86</f>
        <v>-0.19837433536011398</v>
      </c>
      <c r="CG93" s="398">
        <f>CG92/Income!CG86</f>
        <v>-0.31753938979097751</v>
      </c>
      <c r="CH93" s="398">
        <f>CH92/Income!CH86</f>
        <v>-5.8269968154935979E-2</v>
      </c>
      <c r="CI93" s="398">
        <f>CI92/Income!CI86</f>
        <v>-0.40771872740419379</v>
      </c>
      <c r="CJ93" s="398">
        <f>CJ92/Income!CJ86</f>
        <v>-0.76488846218534279</v>
      </c>
      <c r="CK93" s="398">
        <f>CK92/Income!CK86</f>
        <v>-0.31957889603708617</v>
      </c>
      <c r="CL93" s="398">
        <f>CL92/Income!CL86</f>
        <v>-1.5320293045281006</v>
      </c>
      <c r="CM93" s="398">
        <f>CM92/Income!CM86</f>
        <v>-0.13454433138589442</v>
      </c>
      <c r="CN93" s="398">
        <f>CN92/Income!CN86</f>
        <v>-0.19057573124835478</v>
      </c>
      <c r="CO93" s="398">
        <f>CO92/Income!CO86</f>
        <v>-6.2919719844860653E-2</v>
      </c>
      <c r="CP93" s="398">
        <f>CP92/Income!CP86</f>
        <v>-1.7410174581008905E-2</v>
      </c>
      <c r="CQ93" s="398">
        <f>CQ92/Income!CQ86</f>
        <v>-0.41069173965522088</v>
      </c>
      <c r="CR93" s="398">
        <f>CR92/Income!CR86</f>
        <v>1.3212515476511097E-2</v>
      </c>
      <c r="CS93" s="398">
        <f>CS92/Income!CS86</f>
        <v>-7.9356137560016235E-3</v>
      </c>
      <c r="CT93" s="398">
        <f>CT92/Income!CT86</f>
        <v>0.11882679668743544</v>
      </c>
      <c r="CU93" s="398">
        <f>CU92/Income!CU86</f>
        <v>0.1601712879452851</v>
      </c>
      <c r="CV93" s="398">
        <f>CV92/Income!CV86</f>
        <v>0.28332651902291023</v>
      </c>
    </row>
    <row r="94" spans="1:100" s="177" customFormat="1" ht="13.5" x14ac:dyDescent="0.3">
      <c r="A94" s="175"/>
      <c r="B94" s="175"/>
      <c r="C94" s="175"/>
      <c r="D94" s="175"/>
      <c r="E94" s="182" t="s">
        <v>86</v>
      </c>
      <c r="F94" s="189"/>
      <c r="G94" s="189"/>
      <c r="H94" s="189"/>
      <c r="I94" s="189"/>
      <c r="J94" s="189"/>
      <c r="O94" s="189"/>
      <c r="T94" s="189"/>
      <c r="Y94" s="189"/>
      <c r="AD94" s="189"/>
      <c r="AI94" s="189"/>
      <c r="AN94" s="189">
        <f>(AN93-AI93)/ABS(AI93)</f>
        <v>0.63593778209212803</v>
      </c>
      <c r="AS94" s="189">
        <f>(AS93-AN93)/ABS(AN93)</f>
        <v>-0.27718355947321938</v>
      </c>
      <c r="AX94" s="189">
        <f>(AX93-AS93)/ABS(AS93)</f>
        <v>-0.51879738337104164</v>
      </c>
      <c r="BC94" s="189">
        <f>(BC93-AX93)/ABS(AX93)</f>
        <v>1.4804942333352218</v>
      </c>
      <c r="BH94" s="189">
        <f>(BH93-BC93)/ABS(BC93)</f>
        <v>-0.54611653804142157</v>
      </c>
      <c r="BM94" s="189">
        <f>(BM93-BH93)/ABS(BH93)</f>
        <v>-0.12050706255543478</v>
      </c>
      <c r="BR94" s="189">
        <f>(BR93-BM93)/ABS(BM93)</f>
        <v>-1.2599849079691634</v>
      </c>
      <c r="BW94" s="189">
        <f>(BW93-BR93)/ABS(BR93)</f>
        <v>2.318327090507065</v>
      </c>
      <c r="CB94" s="189">
        <f>(CB93-BW93)/ABS(BW93)</f>
        <v>2.5391112315375648</v>
      </c>
      <c r="CG94" s="189">
        <f>(CG93-CB93)/ABS(CB93)</f>
        <v>-1.404269341829737</v>
      </c>
      <c r="CL94" s="189">
        <f>(CL93-CG93)/ABS(CG93)</f>
        <v>-3.824690585746132</v>
      </c>
      <c r="CQ94" s="189">
        <f>(CQ93-CL93)/ABS(CL93)</f>
        <v>0.73192957964878924</v>
      </c>
      <c r="CV94" s="189">
        <f>(CV93-CQ93)/ABS(CQ93)</f>
        <v>1.6898763516908455</v>
      </c>
    </row>
    <row r="95" spans="1:100" ht="3.95" customHeight="1" x14ac:dyDescent="0.25"/>
    <row r="96" spans="1:100" ht="12" customHeight="1" x14ac:dyDescent="0.25">
      <c r="E96" s="6" t="s">
        <v>19</v>
      </c>
    </row>
    <row r="97" spans="79:90" ht="12" customHeight="1" x14ac:dyDescent="0.25">
      <c r="CA97" s="21"/>
    </row>
    <row r="98" spans="79:90" ht="12" customHeight="1" x14ac:dyDescent="0.25">
      <c r="CI98" s="718"/>
      <c r="CJ98" s="718"/>
      <c r="CK98" s="718"/>
      <c r="CL98" s="718"/>
    </row>
    <row r="99" spans="79:90" ht="12" customHeight="1" x14ac:dyDescent="0.25">
      <c r="CI99" s="718"/>
      <c r="CJ99" s="718"/>
      <c r="CK99" s="718"/>
      <c r="CL99" s="718"/>
    </row>
    <row r="100" spans="79:90" ht="12" customHeight="1" x14ac:dyDescent="0.25">
      <c r="CI100" s="718"/>
      <c r="CJ100" s="718"/>
      <c r="CK100" s="718"/>
      <c r="CL100" s="718"/>
    </row>
    <row r="101" spans="79:90" ht="12" customHeight="1" x14ac:dyDescent="0.25">
      <c r="CI101" s="718"/>
      <c r="CJ101" s="718"/>
      <c r="CK101" s="718"/>
      <c r="CL101" s="718"/>
    </row>
    <row r="102" spans="79:90" ht="12" customHeight="1" x14ac:dyDescent="0.25"/>
    <row r="103" spans="79:90" ht="12" customHeight="1" x14ac:dyDescent="0.25"/>
    <row r="104" spans="79:90" ht="12" customHeight="1" x14ac:dyDescent="0.25">
      <c r="CL104" s="718"/>
    </row>
    <row r="105" spans="79:90" ht="12" customHeight="1" x14ac:dyDescent="0.25">
      <c r="CL105" s="718"/>
    </row>
    <row r="106" spans="79:90" ht="12" customHeight="1" x14ac:dyDescent="0.25">
      <c r="CL106" s="718"/>
    </row>
    <row r="107" spans="79:90" ht="12" customHeight="1" x14ac:dyDescent="0.25"/>
    <row r="108" spans="79:90" ht="12" customHeight="1" x14ac:dyDescent="0.25"/>
    <row r="109" spans="79:90" ht="12" customHeight="1" x14ac:dyDescent="0.25"/>
    <row r="110" spans="79:90" ht="12" customHeight="1" x14ac:dyDescent="0.25"/>
    <row r="111" spans="79:90" ht="12" customHeight="1" x14ac:dyDescent="0.25"/>
    <row r="112" spans="79:90" ht="12" customHeight="1" x14ac:dyDescent="0.25"/>
    <row r="113" spans="5:5" ht="12" customHeight="1" x14ac:dyDescent="0.25"/>
    <row r="114" spans="5:5" ht="12" customHeight="1" x14ac:dyDescent="0.25"/>
    <row r="115" spans="5:5" ht="12" customHeight="1" x14ac:dyDescent="0.25">
      <c r="E115" s="20"/>
    </row>
    <row r="117" spans="5:5" x14ac:dyDescent="0.25">
      <c r="E117" s="184"/>
    </row>
    <row r="118" spans="5:5" x14ac:dyDescent="0.25">
      <c r="E118" s="184"/>
    </row>
    <row r="119" spans="5:5" x14ac:dyDescent="0.25">
      <c r="E119" s="184"/>
    </row>
    <row r="135" spans="5:5" x14ac:dyDescent="0.25">
      <c r="E135" s="20"/>
    </row>
  </sheetData>
  <phoneticPr fontId="0" type="noConversion"/>
  <printOptions horizontalCentered="1"/>
  <pageMargins left="0" right="0" top="0" bottom="0" header="0" footer="0"/>
  <pageSetup scale="74" pageOrder="overThenDown" orientation="portrait" horizontalDpi="1200" verticalDpi="1200" r:id="rId1"/>
  <headerFooter alignWithMargins="0">
    <oddFooter>&amp;RDaniel Salmon
BMO Capital Markets
(212) 885-4029</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IG99"/>
  <sheetViews>
    <sheetView showGridLines="0" zoomScaleNormal="100" workbookViewId="0">
      <pane xSplit="5" ySplit="6" topLeftCell="F7" activePane="bottomRight" state="frozen"/>
      <selection activeCell="E1" sqref="E1"/>
      <selection pane="topRight" activeCell="F1" sqref="F1"/>
      <selection pane="bottomLeft" activeCell="E7" sqref="E7"/>
      <selection pane="bottomRight" activeCell="CL21" sqref="CL21"/>
    </sheetView>
  </sheetViews>
  <sheetFormatPr defaultColWidth="9" defaultRowHeight="12.75" outlineLevelCol="1" x14ac:dyDescent="0.25"/>
  <cols>
    <col min="1" max="4" width="9.33203125" style="2" hidden="1" customWidth="1" outlineLevel="1"/>
    <col min="5" max="5" width="43.83203125" style="717" customWidth="1" collapsed="1"/>
    <col min="6" max="10" width="9.33203125" style="2" hidden="1" customWidth="1"/>
    <col min="11" max="11" width="10.33203125" style="2" hidden="1" customWidth="1"/>
    <col min="12" max="12" width="9.83203125" style="2" hidden="1" customWidth="1"/>
    <col min="13" max="13" width="9.6640625" style="2" hidden="1" customWidth="1"/>
    <col min="14" max="14" width="9.33203125" style="2" hidden="1" customWidth="1"/>
    <col min="15" max="15" width="9.33203125" style="717" hidden="1" customWidth="1"/>
    <col min="16" max="19" width="9.33203125" style="2" hidden="1" customWidth="1"/>
    <col min="20" max="20" width="9.33203125" style="717" hidden="1" customWidth="1"/>
    <col min="21" max="24" width="9.33203125" style="2" hidden="1" customWidth="1"/>
    <col min="25" max="29" width="9.33203125" style="717" hidden="1" customWidth="1"/>
    <col min="30" max="30" width="9.33203125" style="718" hidden="1" customWidth="1"/>
    <col min="31" max="31" width="7.1640625" style="717" hidden="1" customWidth="1"/>
    <col min="32" max="32" width="7.5" style="717" hidden="1" customWidth="1"/>
    <col min="33" max="33" width="7" style="717" hidden="1" customWidth="1"/>
    <col min="34" max="34" width="7.33203125" style="717" hidden="1" customWidth="1"/>
    <col min="35" max="35" width="9.33203125" style="718" hidden="1" customWidth="1"/>
    <col min="36" max="36" width="7.1640625" style="717" hidden="1" customWidth="1"/>
    <col min="37" max="37" width="7.5" style="717" hidden="1" customWidth="1"/>
    <col min="38" max="38" width="7" style="717" hidden="1" customWidth="1"/>
    <col min="39" max="39" width="7.33203125" style="717" hidden="1" customWidth="1"/>
    <col min="40" max="40" width="9.33203125" style="718" hidden="1" customWidth="1"/>
    <col min="41" max="41" width="7.1640625" style="717" hidden="1" customWidth="1"/>
    <col min="42" max="42" width="7.5" style="717" hidden="1" customWidth="1"/>
    <col min="43" max="43" width="7" style="717" hidden="1" customWidth="1"/>
    <col min="44" max="44" width="8.33203125" style="717" hidden="1" customWidth="1"/>
    <col min="45" max="45" width="9.33203125" style="718" hidden="1" customWidth="1"/>
    <col min="46" max="49" width="9.33203125" style="717" hidden="1" customWidth="1"/>
    <col min="50" max="50" width="9.33203125" style="718" hidden="1" customWidth="1"/>
    <col min="51" max="54" width="9.33203125" style="717" hidden="1" customWidth="1"/>
    <col min="55" max="55" width="9.33203125" style="718" hidden="1" customWidth="1"/>
    <col min="56" max="59" width="9.33203125" style="717" hidden="1" customWidth="1"/>
    <col min="60" max="60" width="9.33203125" style="718" hidden="1" customWidth="1"/>
    <col min="61" max="64" width="9.33203125" style="717" hidden="1" customWidth="1"/>
    <col min="65" max="74" width="9.33203125" style="718" hidden="1" customWidth="1"/>
    <col min="75" max="75" width="9.83203125" style="718" hidden="1" customWidth="1"/>
    <col min="76" max="76" width="9.6640625" style="718" hidden="1" customWidth="1"/>
    <col min="77" max="84" width="9.33203125" style="718" hidden="1" customWidth="1"/>
    <col min="85" max="90" width="9.33203125" style="718" customWidth="1"/>
    <col min="91" max="94" width="9" style="718" customWidth="1"/>
    <col min="95" max="95" width="9.33203125" style="718" customWidth="1"/>
    <col min="96" max="99" width="9" style="718" hidden="1" customWidth="1"/>
    <col min="100" max="100" width="9.33203125" style="718" customWidth="1"/>
    <col min="101" max="16384" width="9" style="718"/>
  </cols>
  <sheetData>
    <row r="1" spans="1:241" s="159" customFormat="1" ht="12.75"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E1" s="2"/>
      <c r="AF1" s="2"/>
      <c r="AG1" s="2"/>
      <c r="AH1" s="2"/>
      <c r="AJ1" s="717"/>
      <c r="AK1" s="2"/>
      <c r="AL1" s="2"/>
      <c r="AM1" s="2"/>
      <c r="AO1" s="2"/>
      <c r="AP1" s="2"/>
      <c r="AQ1" s="2"/>
      <c r="AR1" s="2"/>
      <c r="AT1" s="2"/>
      <c r="AU1" s="2"/>
      <c r="AV1" s="2"/>
      <c r="AW1" s="2"/>
      <c r="AY1" s="2"/>
      <c r="AZ1" s="2"/>
      <c r="BA1" s="2"/>
      <c r="BB1" s="2"/>
      <c r="BD1" s="2"/>
      <c r="BE1" s="2"/>
      <c r="BF1" s="2"/>
      <c r="BG1" s="2"/>
      <c r="BI1" s="2"/>
      <c r="BJ1" s="2"/>
      <c r="BK1" s="2"/>
      <c r="BL1" s="2"/>
      <c r="BZ1" s="678"/>
      <c r="CD1" s="758"/>
      <c r="CH1" s="787"/>
      <c r="CI1" s="787"/>
      <c r="CJ1" s="787"/>
      <c r="CK1" s="787"/>
    </row>
    <row r="2" spans="1:241" ht="12.75" customHeight="1" x14ac:dyDescent="0.25">
      <c r="E2" s="13" t="str">
        <f>Income!E2</f>
        <v>LiveRamp</v>
      </c>
      <c r="BS2" s="114"/>
      <c r="BT2" s="114"/>
      <c r="BU2" s="114"/>
      <c r="BV2" s="114"/>
      <c r="BW2" s="355"/>
      <c r="BX2" s="114"/>
      <c r="BY2" s="114"/>
      <c r="BZ2" s="114"/>
      <c r="CA2" s="114"/>
      <c r="CB2" s="731"/>
      <c r="CC2" s="114"/>
      <c r="CD2" s="114"/>
      <c r="CE2" s="114"/>
      <c r="CF2" s="114"/>
      <c r="CG2" s="709"/>
      <c r="CH2" s="114"/>
      <c r="CI2" s="114"/>
      <c r="CJ2" s="114"/>
      <c r="CK2" s="114"/>
      <c r="CL2" s="709"/>
      <c r="CM2" s="114"/>
      <c r="CN2" s="114"/>
      <c r="CO2" s="114"/>
      <c r="CP2" s="114"/>
      <c r="CQ2" s="709"/>
      <c r="CR2" s="759"/>
      <c r="CS2" s="759"/>
      <c r="CT2" s="759"/>
      <c r="CU2" s="759"/>
      <c r="CV2" s="709"/>
    </row>
    <row r="3" spans="1:241" x14ac:dyDescent="0.25">
      <c r="E3" s="93" t="s">
        <v>759</v>
      </c>
      <c r="BM3" s="721"/>
      <c r="BN3" s="719"/>
      <c r="BO3" s="511"/>
      <c r="BS3" s="530"/>
      <c r="BT3" s="530"/>
      <c r="BU3" s="530"/>
      <c r="BV3" s="530"/>
      <c r="CC3" s="759"/>
      <c r="CD3" s="759"/>
      <c r="CE3" s="759"/>
      <c r="CF3" s="759"/>
      <c r="CG3" s="719"/>
      <c r="CH3" s="759"/>
      <c r="CI3" s="759"/>
      <c r="CJ3" s="759"/>
      <c r="CK3" s="759"/>
      <c r="CL3" s="530"/>
      <c r="CM3" s="759"/>
      <c r="CN3" s="759"/>
      <c r="CO3" s="759"/>
      <c r="CP3" s="759"/>
      <c r="CQ3" s="530"/>
      <c r="CR3" s="530"/>
      <c r="CS3" s="530"/>
      <c r="CT3" s="530"/>
      <c r="CU3" s="530"/>
      <c r="CV3" s="530"/>
    </row>
    <row r="4" spans="1:241"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102" t="str">
        <f>Income!CR4</f>
        <v>F2021E</v>
      </c>
      <c r="CS4" s="102"/>
      <c r="CT4" s="102"/>
      <c r="CU4" s="102"/>
      <c r="CV4" s="106" t="str">
        <f>Income!CV4</f>
        <v>Fiscal Year</v>
      </c>
      <c r="CW4" s="718"/>
      <c r="CX4" s="718"/>
      <c r="CY4" s="718"/>
      <c r="CZ4" s="718"/>
      <c r="DA4" s="718"/>
      <c r="DB4" s="718"/>
      <c r="DC4" s="718"/>
      <c r="DD4" s="718"/>
      <c r="DE4" s="718"/>
      <c r="DF4" s="718"/>
      <c r="DG4" s="718"/>
      <c r="DH4" s="718"/>
      <c r="DI4" s="718"/>
      <c r="DJ4" s="718"/>
      <c r="DK4" s="718"/>
      <c r="DL4" s="718"/>
      <c r="DM4" s="718"/>
      <c r="DN4" s="718"/>
      <c r="DO4" s="718"/>
      <c r="DP4" s="718"/>
      <c r="DQ4" s="718"/>
      <c r="DR4" s="718"/>
      <c r="DS4" s="718"/>
      <c r="DT4" s="718"/>
      <c r="DU4" s="718"/>
      <c r="DV4" s="718"/>
      <c r="DW4" s="718"/>
      <c r="DX4" s="718"/>
      <c r="DY4" s="718"/>
      <c r="DZ4" s="718"/>
      <c r="EA4" s="718"/>
      <c r="EB4" s="718"/>
      <c r="EC4" s="718"/>
      <c r="ED4" s="718"/>
      <c r="EE4" s="718"/>
      <c r="EF4" s="718"/>
      <c r="EG4" s="718"/>
      <c r="EH4" s="718"/>
      <c r="EI4" s="718"/>
      <c r="EJ4" s="718"/>
      <c r="EK4" s="718"/>
      <c r="EL4" s="718"/>
      <c r="EM4" s="718"/>
      <c r="EN4" s="718"/>
      <c r="EO4" s="718"/>
      <c r="EP4" s="718"/>
      <c r="EQ4" s="718"/>
      <c r="ER4" s="718"/>
      <c r="ES4" s="718"/>
      <c r="ET4" s="718"/>
      <c r="EU4" s="718"/>
      <c r="EV4" s="718"/>
      <c r="EW4" s="718"/>
      <c r="EX4" s="718"/>
      <c r="EY4" s="718"/>
      <c r="EZ4" s="718"/>
      <c r="FA4" s="718"/>
      <c r="FB4" s="718"/>
      <c r="FC4" s="718"/>
      <c r="FD4" s="718"/>
      <c r="FE4" s="718"/>
      <c r="FF4" s="718"/>
      <c r="FG4" s="718"/>
      <c r="FH4" s="718"/>
      <c r="FI4" s="718"/>
      <c r="FJ4" s="718"/>
      <c r="FK4" s="718"/>
      <c r="FL4" s="718"/>
      <c r="FM4" s="718"/>
      <c r="FN4" s="718"/>
      <c r="FO4" s="718"/>
      <c r="FP4" s="718"/>
      <c r="FQ4" s="718"/>
      <c r="FR4" s="718"/>
      <c r="FS4" s="718"/>
      <c r="FT4" s="718"/>
      <c r="FU4" s="718"/>
      <c r="FV4" s="718"/>
      <c r="FW4" s="718"/>
      <c r="FX4" s="718"/>
      <c r="FY4" s="718"/>
      <c r="FZ4" s="718"/>
      <c r="GA4" s="718"/>
      <c r="GB4" s="718"/>
      <c r="GC4" s="718"/>
      <c r="GD4" s="718"/>
      <c r="GE4" s="718"/>
      <c r="GF4" s="718"/>
      <c r="GG4" s="718"/>
      <c r="GH4" s="718"/>
      <c r="GI4" s="718"/>
      <c r="GJ4" s="718"/>
      <c r="GK4" s="718"/>
      <c r="GL4" s="718"/>
      <c r="GM4" s="718"/>
      <c r="GN4" s="718"/>
      <c r="GO4" s="718"/>
      <c r="GP4" s="718"/>
      <c r="GQ4" s="718"/>
      <c r="GR4" s="718"/>
      <c r="GS4" s="718"/>
      <c r="GT4" s="718"/>
      <c r="GU4" s="718"/>
      <c r="GV4" s="718"/>
      <c r="GW4" s="718"/>
      <c r="GX4" s="718"/>
      <c r="GY4" s="718"/>
      <c r="GZ4" s="718"/>
      <c r="HA4" s="718"/>
      <c r="HB4" s="718"/>
      <c r="HC4" s="718"/>
      <c r="HD4" s="718"/>
      <c r="HE4" s="718"/>
      <c r="HF4" s="718"/>
      <c r="HG4" s="718"/>
      <c r="HH4" s="718"/>
      <c r="HI4" s="718"/>
      <c r="HJ4" s="718"/>
      <c r="HK4" s="718"/>
      <c r="HL4" s="718"/>
      <c r="HM4" s="718"/>
      <c r="HN4" s="718"/>
      <c r="HO4" s="718"/>
      <c r="HP4" s="718"/>
      <c r="HQ4" s="718"/>
      <c r="HR4" s="718"/>
      <c r="HS4" s="718"/>
      <c r="HT4" s="718"/>
      <c r="HU4" s="718"/>
      <c r="HV4" s="718"/>
      <c r="HW4" s="718"/>
      <c r="HX4" s="718"/>
      <c r="HY4" s="718"/>
      <c r="HZ4" s="718"/>
      <c r="IA4" s="718"/>
      <c r="IB4" s="718"/>
      <c r="IC4" s="718"/>
      <c r="ID4" s="718"/>
      <c r="IE4" s="718"/>
      <c r="IF4" s="718"/>
      <c r="IG4" s="718"/>
    </row>
    <row r="5" spans="1:241"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88" t="str">
        <f>Income!CR5</f>
        <v>F1QE</v>
      </c>
      <c r="CS5" s="88" t="str">
        <f>Income!CS5</f>
        <v>F2QE</v>
      </c>
      <c r="CT5" s="88" t="str">
        <f>Income!CT5</f>
        <v>F3QE</v>
      </c>
      <c r="CU5" s="88" t="str">
        <f>Income!CU5</f>
        <v>F4QE</v>
      </c>
      <c r="CV5" s="88" t="str">
        <f>Income!CV5</f>
        <v>F2021E</v>
      </c>
      <c r="CW5" s="718"/>
      <c r="CX5" s="718"/>
      <c r="CY5" s="718"/>
      <c r="CZ5" s="718"/>
      <c r="DA5" s="718"/>
      <c r="DB5" s="718"/>
      <c r="DC5" s="718"/>
      <c r="DD5" s="718"/>
      <c r="DE5" s="718"/>
      <c r="DF5" s="718"/>
      <c r="DG5" s="718"/>
      <c r="DH5" s="718"/>
      <c r="DI5" s="718"/>
      <c r="DJ5" s="718"/>
      <c r="DK5" s="718"/>
      <c r="DL5" s="718"/>
      <c r="DM5" s="718"/>
      <c r="DN5" s="718"/>
      <c r="DO5" s="718"/>
      <c r="DP5" s="718"/>
      <c r="DQ5" s="718"/>
      <c r="DR5" s="718"/>
      <c r="DS5" s="718"/>
      <c r="DT5" s="718"/>
      <c r="DU5" s="718"/>
      <c r="DV5" s="718"/>
      <c r="DW5" s="718"/>
      <c r="DX5" s="718"/>
      <c r="DY5" s="718"/>
      <c r="DZ5" s="718"/>
      <c r="EA5" s="718"/>
      <c r="EB5" s="718"/>
      <c r="EC5" s="718"/>
      <c r="ED5" s="718"/>
      <c r="EE5" s="718"/>
      <c r="EF5" s="718"/>
      <c r="EG5" s="718"/>
      <c r="EH5" s="718"/>
      <c r="EI5" s="718"/>
      <c r="EJ5" s="718"/>
      <c r="EK5" s="718"/>
      <c r="EL5" s="718"/>
      <c r="EM5" s="718"/>
      <c r="EN5" s="718"/>
      <c r="EO5" s="718"/>
      <c r="EP5" s="718"/>
      <c r="EQ5" s="718"/>
      <c r="ER5" s="718"/>
      <c r="ES5" s="718"/>
      <c r="ET5" s="718"/>
      <c r="EU5" s="718"/>
      <c r="EV5" s="718"/>
      <c r="EW5" s="718"/>
      <c r="EX5" s="718"/>
      <c r="EY5" s="718"/>
      <c r="EZ5" s="718"/>
      <c r="FA5" s="718"/>
      <c r="FB5" s="718"/>
      <c r="FC5" s="718"/>
      <c r="FD5" s="718"/>
      <c r="FE5" s="718"/>
      <c r="FF5" s="718"/>
      <c r="FG5" s="718"/>
      <c r="FH5" s="718"/>
      <c r="FI5" s="718"/>
      <c r="FJ5" s="718"/>
      <c r="FK5" s="718"/>
      <c r="FL5" s="718"/>
      <c r="FM5" s="718"/>
      <c r="FN5" s="718"/>
      <c r="FO5" s="718"/>
      <c r="FP5" s="718"/>
      <c r="FQ5" s="718"/>
      <c r="FR5" s="718"/>
      <c r="FS5" s="718"/>
      <c r="FT5" s="718"/>
      <c r="FU5" s="718"/>
      <c r="FV5" s="718"/>
      <c r="FW5" s="718"/>
      <c r="FX5" s="718"/>
      <c r="FY5" s="718"/>
      <c r="FZ5" s="718"/>
      <c r="GA5" s="718"/>
      <c r="GB5" s="718"/>
      <c r="GC5" s="718"/>
      <c r="GD5" s="718"/>
      <c r="GE5" s="718"/>
      <c r="GF5" s="718"/>
      <c r="GG5" s="718"/>
      <c r="GH5" s="718"/>
      <c r="GI5" s="718"/>
      <c r="GJ5" s="718"/>
      <c r="GK5" s="718"/>
      <c r="GL5" s="718"/>
      <c r="GM5" s="718"/>
      <c r="GN5" s="718"/>
      <c r="GO5" s="718"/>
      <c r="GP5" s="718"/>
      <c r="GQ5" s="718"/>
      <c r="GR5" s="718"/>
      <c r="GS5" s="718"/>
      <c r="GT5" s="718"/>
      <c r="GU5" s="718"/>
      <c r="GV5" s="718"/>
      <c r="GW5" s="718"/>
      <c r="GX5" s="718"/>
      <c r="GY5" s="718"/>
      <c r="GZ5" s="718"/>
      <c r="HA5" s="718"/>
      <c r="HB5" s="718"/>
      <c r="HC5" s="718"/>
      <c r="HD5" s="718"/>
      <c r="HE5" s="718"/>
      <c r="HF5" s="718"/>
      <c r="HG5" s="718"/>
      <c r="HH5" s="718"/>
      <c r="HI5" s="718"/>
      <c r="HJ5" s="718"/>
      <c r="HK5" s="718"/>
      <c r="HL5" s="718"/>
      <c r="HM5" s="718"/>
      <c r="HN5" s="718"/>
      <c r="HO5" s="718"/>
      <c r="HP5" s="718"/>
      <c r="HQ5" s="718"/>
      <c r="HR5" s="718"/>
      <c r="HS5" s="718"/>
      <c r="HT5" s="718"/>
      <c r="HU5" s="718"/>
      <c r="HV5" s="718"/>
      <c r="HW5" s="718"/>
      <c r="HX5" s="718"/>
      <c r="HY5" s="718"/>
      <c r="HZ5" s="718"/>
      <c r="IA5" s="718"/>
      <c r="IB5" s="718"/>
      <c r="IC5" s="718"/>
      <c r="ID5" s="718"/>
      <c r="IE5" s="718"/>
      <c r="IF5" s="718"/>
      <c r="IG5" s="718"/>
    </row>
    <row r="6" spans="1:241" s="113" customFormat="1" ht="12" customHeight="1" x14ac:dyDescent="0.25">
      <c r="A6" s="2"/>
      <c r="B6" s="2"/>
      <c r="C6" s="2"/>
      <c r="D6" s="2"/>
      <c r="E6" s="112" t="str">
        <f>Income!E6</f>
        <v>Calendar quarter</v>
      </c>
      <c r="F6" s="88"/>
      <c r="G6" s="88"/>
      <c r="H6" s="88"/>
      <c r="I6" s="88"/>
      <c r="J6" s="88"/>
      <c r="K6" s="88"/>
      <c r="L6" s="88"/>
      <c r="M6" s="88"/>
      <c r="N6" s="88"/>
      <c r="O6" s="88"/>
      <c r="P6" s="88"/>
      <c r="Q6" s="88"/>
      <c r="R6" s="88"/>
      <c r="S6" s="88"/>
      <c r="T6" s="88"/>
      <c r="U6" s="88"/>
      <c r="V6" s="88"/>
      <c r="W6" s="88"/>
      <c r="X6" s="88"/>
      <c r="Y6" s="88"/>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88" t="str">
        <f>Income!CR6</f>
        <v>June '20</v>
      </c>
      <c r="CS6" s="88" t="str">
        <f>Income!CS6</f>
        <v>Sept. '20</v>
      </c>
      <c r="CT6" s="88" t="str">
        <f>Income!CT6</f>
        <v>Dec. '20</v>
      </c>
      <c r="CU6" s="88" t="str">
        <f>Income!CU6</f>
        <v>Mar. '21</v>
      </c>
      <c r="CV6" s="88"/>
      <c r="CW6" s="718"/>
      <c r="CX6" s="718"/>
      <c r="CY6" s="718"/>
      <c r="CZ6" s="718"/>
      <c r="DA6" s="718"/>
      <c r="DB6" s="718"/>
      <c r="DC6" s="718"/>
      <c r="DD6" s="718"/>
      <c r="DE6" s="718"/>
      <c r="DF6" s="718"/>
      <c r="DG6" s="718"/>
      <c r="DH6" s="718"/>
      <c r="DI6" s="718"/>
      <c r="DJ6" s="718"/>
      <c r="DK6" s="718"/>
      <c r="DL6" s="718"/>
      <c r="DM6" s="718"/>
      <c r="DN6" s="718"/>
      <c r="DO6" s="718"/>
      <c r="DP6" s="718"/>
      <c r="DQ6" s="718"/>
      <c r="DR6" s="718"/>
      <c r="DS6" s="718"/>
      <c r="DT6" s="718"/>
      <c r="DU6" s="718"/>
      <c r="DV6" s="718"/>
      <c r="DW6" s="718"/>
      <c r="DX6" s="718"/>
      <c r="DY6" s="718"/>
      <c r="DZ6" s="718"/>
      <c r="EA6" s="718"/>
      <c r="EB6" s="718"/>
      <c r="EC6" s="718"/>
      <c r="ED6" s="718"/>
      <c r="EE6" s="718"/>
      <c r="EF6" s="718"/>
      <c r="EG6" s="718"/>
      <c r="EH6" s="718"/>
      <c r="EI6" s="718"/>
      <c r="EJ6" s="718"/>
      <c r="EK6" s="718"/>
      <c r="EL6" s="718"/>
      <c r="EM6" s="718"/>
      <c r="EN6" s="718"/>
      <c r="EO6" s="718"/>
      <c r="EP6" s="718"/>
      <c r="EQ6" s="718"/>
      <c r="ER6" s="718"/>
      <c r="ES6" s="718"/>
      <c r="ET6" s="718"/>
      <c r="EU6" s="718"/>
      <c r="EV6" s="718"/>
      <c r="EW6" s="718"/>
      <c r="EX6" s="718"/>
      <c r="EY6" s="718"/>
      <c r="EZ6" s="718"/>
      <c r="FA6" s="718"/>
      <c r="FB6" s="718"/>
      <c r="FC6" s="718"/>
      <c r="FD6" s="718"/>
      <c r="FE6" s="718"/>
      <c r="FF6" s="718"/>
      <c r="FG6" s="718"/>
      <c r="FH6" s="718"/>
      <c r="FI6" s="718"/>
      <c r="FJ6" s="718"/>
      <c r="FK6" s="718"/>
      <c r="FL6" s="718"/>
      <c r="FM6" s="718"/>
      <c r="FN6" s="718"/>
      <c r="FO6" s="718"/>
      <c r="FP6" s="718"/>
      <c r="FQ6" s="718"/>
      <c r="FR6" s="718"/>
      <c r="FS6" s="718"/>
      <c r="FT6" s="718"/>
      <c r="FU6" s="718"/>
      <c r="FV6" s="718"/>
      <c r="FW6" s="718"/>
      <c r="FX6" s="718"/>
      <c r="FY6" s="718"/>
      <c r="FZ6" s="718"/>
      <c r="GA6" s="718"/>
      <c r="GB6" s="718"/>
      <c r="GC6" s="718"/>
      <c r="GD6" s="718"/>
      <c r="GE6" s="718"/>
      <c r="GF6" s="718"/>
      <c r="GG6" s="718"/>
      <c r="GH6" s="718"/>
      <c r="GI6" s="718"/>
      <c r="GJ6" s="718"/>
      <c r="GK6" s="718"/>
      <c r="GL6" s="718"/>
      <c r="GM6" s="718"/>
      <c r="GN6" s="718"/>
      <c r="GO6" s="718"/>
      <c r="GP6" s="718"/>
      <c r="GQ6" s="718"/>
      <c r="GR6" s="718"/>
      <c r="GS6" s="718"/>
      <c r="GT6" s="718"/>
      <c r="GU6" s="718"/>
      <c r="GV6" s="718"/>
      <c r="GW6" s="718"/>
      <c r="GX6" s="718"/>
      <c r="GY6" s="718"/>
      <c r="GZ6" s="718"/>
      <c r="HA6" s="718"/>
      <c r="HB6" s="718"/>
      <c r="HC6" s="718"/>
      <c r="HD6" s="718"/>
      <c r="HE6" s="718"/>
      <c r="HF6" s="718"/>
      <c r="HG6" s="718"/>
      <c r="HH6" s="718"/>
      <c r="HI6" s="718"/>
      <c r="HJ6" s="718"/>
      <c r="HK6" s="718"/>
      <c r="HL6" s="718"/>
      <c r="HM6" s="718"/>
      <c r="HN6" s="718"/>
      <c r="HO6" s="718"/>
      <c r="HP6" s="718"/>
      <c r="HQ6" s="718"/>
      <c r="HR6" s="718"/>
      <c r="HS6" s="718"/>
      <c r="HT6" s="718"/>
      <c r="HU6" s="718"/>
      <c r="HV6" s="718"/>
      <c r="HW6" s="718"/>
      <c r="HX6" s="718"/>
      <c r="HY6" s="718"/>
      <c r="HZ6" s="718"/>
      <c r="IA6" s="718"/>
      <c r="IB6" s="718"/>
      <c r="IC6" s="718"/>
      <c r="ID6" s="718"/>
      <c r="IE6" s="718"/>
      <c r="IF6" s="718"/>
      <c r="IG6" s="718"/>
    </row>
    <row r="7" spans="1:241" s="113" customFormat="1" ht="3.75" customHeight="1" x14ac:dyDescent="0.25">
      <c r="A7" s="2"/>
      <c r="B7" s="2"/>
      <c r="C7" s="2"/>
      <c r="D7" s="2"/>
      <c r="E7" s="40"/>
      <c r="F7" s="106"/>
      <c r="G7" s="106"/>
      <c r="H7" s="106"/>
      <c r="I7" s="106"/>
      <c r="J7" s="106"/>
      <c r="K7" s="41"/>
      <c r="L7" s="41"/>
      <c r="M7" s="41"/>
      <c r="N7" s="41"/>
      <c r="O7" s="106"/>
      <c r="P7" s="41"/>
      <c r="Q7" s="41"/>
      <c r="R7" s="41"/>
      <c r="S7" s="41"/>
      <c r="T7" s="106"/>
      <c r="U7" s="41"/>
      <c r="V7" s="41"/>
      <c r="W7" s="41"/>
      <c r="X7" s="41"/>
      <c r="Y7" s="106"/>
      <c r="Z7" s="41"/>
      <c r="AA7" s="41"/>
      <c r="AB7" s="41"/>
      <c r="AC7" s="41"/>
      <c r="AD7" s="106"/>
      <c r="AE7" s="41"/>
      <c r="AF7" s="41"/>
      <c r="AG7" s="41"/>
      <c r="AH7" s="41"/>
      <c r="AI7" s="106"/>
      <c r="AJ7" s="41"/>
      <c r="AK7" s="41"/>
      <c r="AL7" s="41"/>
      <c r="AM7" s="41"/>
      <c r="AN7" s="106"/>
      <c r="AO7" s="41"/>
      <c r="AP7" s="41"/>
      <c r="AQ7" s="41"/>
      <c r="AR7" s="41"/>
      <c r="AS7" s="106"/>
      <c r="AT7" s="41"/>
      <c r="AU7" s="41"/>
      <c r="AV7" s="41"/>
      <c r="AW7" s="41"/>
      <c r="AX7" s="106"/>
      <c r="AY7" s="41"/>
      <c r="AZ7" s="41"/>
      <c r="BA7" s="41"/>
      <c r="BB7" s="41"/>
      <c r="BC7" s="106"/>
      <c r="BD7" s="41"/>
      <c r="BE7" s="41"/>
      <c r="BF7" s="41"/>
      <c r="BG7" s="41"/>
      <c r="BH7" s="106"/>
      <c r="BI7" s="41"/>
      <c r="BJ7" s="41"/>
      <c r="BK7" s="41"/>
      <c r="BL7" s="41"/>
      <c r="BM7" s="106"/>
      <c r="BN7" s="41"/>
      <c r="BO7" s="41"/>
      <c r="BP7" s="41"/>
      <c r="BQ7" s="41"/>
      <c r="BR7" s="106"/>
      <c r="BS7" s="41"/>
      <c r="BT7" s="41"/>
      <c r="BU7" s="41"/>
      <c r="BV7" s="41"/>
      <c r="BW7" s="106"/>
      <c r="BX7" s="41"/>
      <c r="BY7" s="41"/>
      <c r="BZ7" s="41"/>
      <c r="CA7" s="41"/>
      <c r="CB7" s="106"/>
      <c r="CC7" s="19"/>
      <c r="CD7" s="19"/>
      <c r="CE7" s="19"/>
      <c r="CF7" s="19"/>
      <c r="CG7" s="88"/>
      <c r="CH7" s="19"/>
      <c r="CI7" s="19"/>
      <c r="CJ7" s="19"/>
      <c r="CK7" s="19"/>
      <c r="CL7" s="88"/>
      <c r="CM7" s="19"/>
      <c r="CN7" s="19"/>
      <c r="CO7" s="19"/>
      <c r="CP7" s="19"/>
      <c r="CQ7" s="88"/>
      <c r="CR7" s="19"/>
      <c r="CS7" s="19"/>
      <c r="CT7" s="19"/>
      <c r="CU7" s="19"/>
      <c r="CV7" s="88"/>
      <c r="CW7" s="718"/>
      <c r="CX7" s="718"/>
      <c r="CY7" s="718"/>
      <c r="CZ7" s="718"/>
      <c r="DA7" s="718"/>
      <c r="DB7" s="718"/>
      <c r="DC7" s="718"/>
      <c r="DD7" s="718"/>
      <c r="DE7" s="718"/>
      <c r="DF7" s="718"/>
      <c r="DG7" s="718"/>
      <c r="DH7" s="718"/>
      <c r="DI7" s="718"/>
      <c r="DJ7" s="718"/>
      <c r="DK7" s="718"/>
      <c r="DL7" s="718"/>
      <c r="DM7" s="718"/>
      <c r="DN7" s="718"/>
      <c r="DO7" s="718"/>
      <c r="DP7" s="718"/>
      <c r="DQ7" s="718"/>
      <c r="DR7" s="718"/>
      <c r="DS7" s="718"/>
      <c r="DT7" s="718"/>
      <c r="DU7" s="718"/>
      <c r="DV7" s="718"/>
      <c r="DW7" s="718"/>
      <c r="DX7" s="718"/>
      <c r="DY7" s="718"/>
      <c r="DZ7" s="718"/>
      <c r="EA7" s="718"/>
      <c r="EB7" s="718"/>
      <c r="EC7" s="718"/>
      <c r="ED7" s="718"/>
      <c r="EE7" s="718"/>
      <c r="EF7" s="718"/>
      <c r="EG7" s="718"/>
      <c r="EH7" s="718"/>
      <c r="EI7" s="718"/>
      <c r="EJ7" s="718"/>
      <c r="EK7" s="718"/>
      <c r="EL7" s="718"/>
      <c r="EM7" s="718"/>
      <c r="EN7" s="718"/>
      <c r="EO7" s="718"/>
      <c r="EP7" s="718"/>
      <c r="EQ7" s="718"/>
      <c r="ER7" s="718"/>
      <c r="ES7" s="718"/>
      <c r="ET7" s="718"/>
      <c r="EU7" s="718"/>
      <c r="EV7" s="718"/>
      <c r="EW7" s="718"/>
      <c r="EX7" s="718"/>
      <c r="EY7" s="718"/>
      <c r="EZ7" s="718"/>
      <c r="FA7" s="718"/>
      <c r="FB7" s="718"/>
      <c r="FC7" s="718"/>
      <c r="FD7" s="718"/>
      <c r="FE7" s="718"/>
      <c r="FF7" s="718"/>
      <c r="FG7" s="718"/>
      <c r="FH7" s="718"/>
      <c r="FI7" s="718"/>
      <c r="FJ7" s="718"/>
      <c r="FK7" s="718"/>
      <c r="FL7" s="718"/>
      <c r="FM7" s="718"/>
      <c r="FN7" s="718"/>
      <c r="FO7" s="718"/>
      <c r="FP7" s="718"/>
      <c r="FQ7" s="718"/>
      <c r="FR7" s="718"/>
      <c r="FS7" s="718"/>
      <c r="FT7" s="718"/>
      <c r="FU7" s="718"/>
      <c r="FV7" s="718"/>
      <c r="FW7" s="718"/>
      <c r="FX7" s="718"/>
      <c r="FY7" s="718"/>
      <c r="FZ7" s="718"/>
      <c r="GA7" s="718"/>
      <c r="GB7" s="718"/>
      <c r="GC7" s="718"/>
      <c r="GD7" s="718"/>
      <c r="GE7" s="718"/>
      <c r="GF7" s="718"/>
      <c r="GG7" s="718"/>
      <c r="GH7" s="718"/>
      <c r="GI7" s="718"/>
      <c r="GJ7" s="718"/>
      <c r="GK7" s="718"/>
      <c r="GL7" s="718"/>
      <c r="GM7" s="718"/>
      <c r="GN7" s="718"/>
      <c r="GO7" s="718"/>
      <c r="GP7" s="718"/>
      <c r="GQ7" s="718"/>
      <c r="GR7" s="718"/>
      <c r="GS7" s="718"/>
      <c r="GT7" s="718"/>
      <c r="GU7" s="718"/>
      <c r="GV7" s="718"/>
      <c r="GW7" s="718"/>
      <c r="GX7" s="718"/>
      <c r="GY7" s="718"/>
      <c r="GZ7" s="718"/>
      <c r="HA7" s="718"/>
      <c r="HB7" s="718"/>
      <c r="HC7" s="718"/>
      <c r="HD7" s="718"/>
      <c r="HE7" s="718"/>
      <c r="HF7" s="718"/>
      <c r="HG7" s="718"/>
      <c r="HH7" s="718"/>
      <c r="HI7" s="718"/>
      <c r="HJ7" s="718"/>
      <c r="HK7" s="718"/>
      <c r="HL7" s="718"/>
      <c r="HM7" s="718"/>
      <c r="HN7" s="718"/>
      <c r="HO7" s="718"/>
      <c r="HP7" s="718"/>
      <c r="HQ7" s="718"/>
      <c r="HR7" s="718"/>
      <c r="HS7" s="718"/>
      <c r="HT7" s="718"/>
      <c r="HU7" s="718"/>
      <c r="HV7" s="718"/>
      <c r="HW7" s="718"/>
      <c r="HX7" s="718"/>
      <c r="HY7" s="718"/>
      <c r="HZ7" s="718"/>
      <c r="IA7" s="718"/>
      <c r="IB7" s="718"/>
      <c r="IC7" s="718"/>
      <c r="ID7" s="718"/>
      <c r="IE7" s="718"/>
      <c r="IF7" s="718"/>
      <c r="IG7" s="718"/>
    </row>
    <row r="8" spans="1:241" x14ac:dyDescent="0.25">
      <c r="E8" s="54" t="s">
        <v>742</v>
      </c>
      <c r="F8" s="557"/>
      <c r="G8" s="557"/>
      <c r="H8" s="557"/>
      <c r="I8" s="557"/>
      <c r="J8" s="557"/>
      <c r="K8" s="174"/>
      <c r="L8" s="174"/>
      <c r="M8" s="174"/>
      <c r="N8" s="174"/>
      <c r="O8" s="557"/>
      <c r="P8" s="174"/>
      <c r="Q8" s="174"/>
      <c r="R8" s="477"/>
      <c r="S8" s="174"/>
      <c r="T8" s="557"/>
      <c r="U8" s="174"/>
      <c r="V8" s="174"/>
      <c r="W8" s="174"/>
      <c r="X8" s="174"/>
      <c r="Y8" s="557"/>
      <c r="Z8" s="174"/>
      <c r="AA8" s="174"/>
      <c r="AB8" s="174"/>
      <c r="AC8" s="174"/>
      <c r="AD8" s="557"/>
      <c r="AE8" s="174"/>
      <c r="AF8" s="174"/>
      <c r="AG8" s="174"/>
      <c r="AH8" s="174"/>
      <c r="AI8" s="557"/>
      <c r="AJ8" s="174"/>
      <c r="AK8" s="174"/>
      <c r="AL8" s="174"/>
      <c r="AM8" s="174"/>
      <c r="AN8" s="557"/>
      <c r="AO8" s="174"/>
      <c r="AP8" s="174"/>
      <c r="AQ8" s="174"/>
      <c r="AR8" s="174"/>
      <c r="AS8" s="557"/>
      <c r="AT8" s="174"/>
      <c r="AU8" s="174"/>
      <c r="AV8" s="174"/>
      <c r="AW8" s="174"/>
      <c r="AX8" s="557"/>
      <c r="AY8" s="174"/>
      <c r="AZ8" s="174"/>
      <c r="BA8" s="174"/>
      <c r="BB8" s="174"/>
      <c r="BC8" s="557"/>
      <c r="BD8" s="174"/>
      <c r="BE8" s="174"/>
      <c r="BF8" s="174"/>
      <c r="BG8" s="174"/>
      <c r="BH8" s="557"/>
      <c r="BI8" s="174"/>
      <c r="BJ8" s="439"/>
      <c r="BK8" s="439"/>
      <c r="BL8" s="439"/>
      <c r="BM8" s="483"/>
      <c r="BN8" s="417"/>
      <c r="BO8" s="417"/>
      <c r="BP8" s="417"/>
      <c r="BQ8" s="417"/>
      <c r="BR8" s="188"/>
      <c r="BS8" s="417"/>
      <c r="BT8" s="417"/>
      <c r="BU8" s="417"/>
      <c r="BV8" s="417"/>
      <c r="BW8" s="188"/>
      <c r="BX8" s="721">
        <f>BX16-BX12</f>
        <v>30.117000000000001</v>
      </c>
      <c r="BY8" s="721">
        <f>BY16-BY12</f>
        <v>32.047000000000004</v>
      </c>
      <c r="BZ8" s="721">
        <f>BZ16-BZ12</f>
        <v>37.615000000000002</v>
      </c>
      <c r="CA8" s="721">
        <f>CA16-CA12</f>
        <v>42.093000000000004</v>
      </c>
      <c r="CB8" s="188">
        <f>SUM(BX8:CA8)</f>
        <v>141.87200000000001</v>
      </c>
      <c r="CC8" s="721">
        <f>CC16-CC12</f>
        <v>42.116999999999997</v>
      </c>
      <c r="CD8" s="721">
        <f>CD16-CD12</f>
        <v>49.152999999999999</v>
      </c>
      <c r="CE8" s="721">
        <f>CE16-CE12</f>
        <v>52.666000000000004</v>
      </c>
      <c r="CF8" s="721">
        <f>CF16-CF12</f>
        <v>53.677</v>
      </c>
      <c r="CG8" s="188">
        <f>SUM(CC8:CF8)</f>
        <v>197.613</v>
      </c>
      <c r="CH8" s="721">
        <f>CH16-CH12</f>
        <v>56.234999999999999</v>
      </c>
      <c r="CI8" s="721">
        <f>CI16-CI12</f>
        <v>59.711999999999996</v>
      </c>
      <c r="CJ8" s="555">
        <f>CE8*(1+CJ9)</f>
        <v>68.097138000000001</v>
      </c>
      <c r="CK8" s="555">
        <f>CF8*(1+CK9)</f>
        <v>71.927180000000007</v>
      </c>
      <c r="CL8" s="188">
        <f>SUM(CH8:CK8)</f>
        <v>255.971318</v>
      </c>
      <c r="CM8" s="555">
        <f>CH8*(1+CM9)</f>
        <v>73.105500000000006</v>
      </c>
      <c r="CN8" s="555">
        <f>CI8*(1+CN9)</f>
        <v>80.014079999999993</v>
      </c>
      <c r="CO8" s="555">
        <f>CJ8*(1+CO9)</f>
        <v>89.20725078000001</v>
      </c>
      <c r="CP8" s="555">
        <f>CK8*(1+CP9)</f>
        <v>90.628246800000014</v>
      </c>
      <c r="CQ8" s="188">
        <f>SUM(CM8:CP8)</f>
        <v>332.95507758000002</v>
      </c>
      <c r="CR8" s="555">
        <f>CM8*(1+CR9)</f>
        <v>94.306095000000013</v>
      </c>
      <c r="CS8" s="555">
        <f>CN8*(1+CS9)</f>
        <v>102.81809279999999</v>
      </c>
      <c r="CT8" s="555">
        <f>CO8*(1+CT9)</f>
        <v>114.63131725230001</v>
      </c>
      <c r="CU8" s="555">
        <f>CP8*(1+CU9)</f>
        <v>116.00415590400002</v>
      </c>
      <c r="CV8" s="188">
        <f>SUM(CR8:CU8)</f>
        <v>427.75966095630002</v>
      </c>
    </row>
    <row r="9" spans="1:241" ht="13.5" x14ac:dyDescent="0.25">
      <c r="E9" s="91" t="s">
        <v>2</v>
      </c>
      <c r="F9" s="557"/>
      <c r="G9" s="557"/>
      <c r="H9" s="557"/>
      <c r="I9" s="557"/>
      <c r="J9" s="557"/>
      <c r="K9" s="174"/>
      <c r="L9" s="174"/>
      <c r="M9" s="174"/>
      <c r="N9" s="174"/>
      <c r="O9" s="557"/>
      <c r="P9" s="174"/>
      <c r="Q9" s="174"/>
      <c r="R9" s="477"/>
      <c r="S9" s="174"/>
      <c r="T9" s="557"/>
      <c r="U9" s="174"/>
      <c r="V9" s="174"/>
      <c r="W9" s="174"/>
      <c r="X9" s="174"/>
      <c r="Y9" s="557"/>
      <c r="Z9" s="174"/>
      <c r="AA9" s="174"/>
      <c r="AB9" s="174"/>
      <c r="AC9" s="174"/>
      <c r="AD9" s="557"/>
      <c r="AE9" s="174"/>
      <c r="AF9" s="174"/>
      <c r="AG9" s="174"/>
      <c r="AH9" s="174"/>
      <c r="AI9" s="557"/>
      <c r="AJ9" s="174"/>
      <c r="AK9" s="174"/>
      <c r="AL9" s="174"/>
      <c r="AM9" s="174"/>
      <c r="AN9" s="557"/>
      <c r="AO9" s="174"/>
      <c r="AP9" s="174"/>
      <c r="AQ9" s="174"/>
      <c r="AR9" s="174"/>
      <c r="AS9" s="557"/>
      <c r="AT9" s="174"/>
      <c r="AU9" s="174"/>
      <c r="AV9" s="174"/>
      <c r="AW9" s="174"/>
      <c r="AX9" s="557"/>
      <c r="AY9" s="174"/>
      <c r="AZ9" s="174"/>
      <c r="BA9" s="174"/>
      <c r="BB9" s="174"/>
      <c r="BC9" s="557"/>
      <c r="BD9" s="174"/>
      <c r="BE9" s="174"/>
      <c r="BF9" s="174"/>
      <c r="BG9" s="174"/>
      <c r="BH9" s="557"/>
      <c r="BI9" s="174"/>
      <c r="BJ9" s="517"/>
      <c r="BK9" s="517"/>
      <c r="BL9" s="517"/>
      <c r="BM9" s="483"/>
      <c r="BN9" s="517"/>
      <c r="BO9" s="183"/>
      <c r="BP9" s="183"/>
      <c r="BQ9" s="183"/>
      <c r="BR9" s="483"/>
      <c r="BS9" s="183"/>
      <c r="BT9" s="183"/>
      <c r="BU9" s="183"/>
      <c r="BV9" s="183"/>
      <c r="BW9" s="641"/>
      <c r="BX9" s="475" t="s">
        <v>490</v>
      </c>
      <c r="BY9" s="475" t="s">
        <v>490</v>
      </c>
      <c r="BZ9" s="475" t="s">
        <v>490</v>
      </c>
      <c r="CA9" s="475" t="s">
        <v>490</v>
      </c>
      <c r="CB9" s="580" t="s">
        <v>490</v>
      </c>
      <c r="CC9" s="183">
        <f t="shared" ref="CC9:CQ9" si="0">CC8/BX8-1</f>
        <v>0.39844606036457808</v>
      </c>
      <c r="CD9" s="183">
        <f t="shared" si="0"/>
        <v>0.5337785128093111</v>
      </c>
      <c r="CE9" s="183">
        <f>CE8/BZ8-1</f>
        <v>0.40013292569453673</v>
      </c>
      <c r="CF9" s="183">
        <f>CF8/CA8-1</f>
        <v>0.27520015204428283</v>
      </c>
      <c r="CG9" s="641">
        <f t="shared" si="0"/>
        <v>0.39289641366865902</v>
      </c>
      <c r="CH9" s="183">
        <f>CH8/CC8-1</f>
        <v>0.33520906047439292</v>
      </c>
      <c r="CI9" s="183">
        <f>CI8/CD8-1</f>
        <v>0.21481903444347239</v>
      </c>
      <c r="CJ9" s="727">
        <v>0.29299999999999998</v>
      </c>
      <c r="CK9" s="727">
        <v>0.34</v>
      </c>
      <c r="CL9" s="641">
        <f t="shared" si="0"/>
        <v>0.29531618871228105</v>
      </c>
      <c r="CM9" s="727">
        <v>0.3</v>
      </c>
      <c r="CN9" s="727">
        <v>0.34</v>
      </c>
      <c r="CO9" s="727">
        <v>0.31</v>
      </c>
      <c r="CP9" s="727">
        <v>0.26</v>
      </c>
      <c r="CQ9" s="641">
        <f t="shared" si="0"/>
        <v>0.30075150677623985</v>
      </c>
      <c r="CR9" s="727">
        <v>0.28999999999999998</v>
      </c>
      <c r="CS9" s="727">
        <v>0.28499999999999998</v>
      </c>
      <c r="CT9" s="727">
        <v>0.28499999999999998</v>
      </c>
      <c r="CU9" s="727">
        <v>0.28000000000000003</v>
      </c>
      <c r="CV9" s="641">
        <f t="shared" ref="CV9" si="1">CV8/CQ8-1</f>
        <v>0.2847368601955651</v>
      </c>
    </row>
    <row r="10" spans="1:241" ht="13.5" x14ac:dyDescent="0.3">
      <c r="E10" s="91" t="s">
        <v>796</v>
      </c>
      <c r="F10" s="557"/>
      <c r="G10" s="557"/>
      <c r="H10" s="557"/>
      <c r="I10" s="557"/>
      <c r="J10" s="557"/>
      <c r="K10" s="174"/>
      <c r="L10" s="174"/>
      <c r="M10" s="174"/>
      <c r="N10" s="174"/>
      <c r="O10" s="557"/>
      <c r="P10" s="174"/>
      <c r="Q10" s="174"/>
      <c r="R10" s="477"/>
      <c r="S10" s="174"/>
      <c r="T10" s="557"/>
      <c r="U10" s="174"/>
      <c r="V10" s="174"/>
      <c r="W10" s="174"/>
      <c r="X10" s="174"/>
      <c r="Y10" s="557"/>
      <c r="Z10" s="174"/>
      <c r="AA10" s="174"/>
      <c r="AB10" s="174"/>
      <c r="AC10" s="174"/>
      <c r="AD10" s="557"/>
      <c r="AE10" s="174"/>
      <c r="AF10" s="174"/>
      <c r="AG10" s="174"/>
      <c r="AH10" s="174"/>
      <c r="AI10" s="557"/>
      <c r="AJ10" s="174"/>
      <c r="AK10" s="174"/>
      <c r="AL10" s="174"/>
      <c r="AM10" s="174"/>
      <c r="AN10" s="557"/>
      <c r="AO10" s="174"/>
      <c r="AP10" s="174"/>
      <c r="AQ10" s="174"/>
      <c r="AR10" s="174"/>
      <c r="AS10" s="557"/>
      <c r="AT10" s="174"/>
      <c r="AU10" s="174"/>
      <c r="AV10" s="174"/>
      <c r="AW10" s="174"/>
      <c r="AX10" s="557"/>
      <c r="AY10" s="174"/>
      <c r="AZ10" s="174"/>
      <c r="BA10" s="174"/>
      <c r="BB10" s="174"/>
      <c r="BC10" s="557"/>
      <c r="BD10" s="174"/>
      <c r="BE10" s="174"/>
      <c r="BF10" s="174"/>
      <c r="BG10" s="174"/>
      <c r="BH10" s="557"/>
      <c r="BI10" s="174"/>
      <c r="BJ10" s="516"/>
      <c r="BK10" s="516"/>
      <c r="BL10" s="516"/>
      <c r="BM10" s="483"/>
      <c r="BN10" s="183"/>
      <c r="BO10" s="183"/>
      <c r="BP10" s="183"/>
      <c r="BQ10" s="183"/>
      <c r="BR10" s="641"/>
      <c r="BS10" s="183"/>
      <c r="BT10" s="183"/>
      <c r="BU10" s="183"/>
      <c r="BV10" s="183"/>
      <c r="BW10" s="641"/>
      <c r="BX10" s="183">
        <f t="shared" ref="BX10:CC10" si="2">BX8/BX16</f>
        <v>0.9098791540785498</v>
      </c>
      <c r="BY10" s="183">
        <f t="shared" si="2"/>
        <v>0.92621387283237</v>
      </c>
      <c r="BZ10" s="183">
        <f t="shared" si="2"/>
        <v>0.91298543689320388</v>
      </c>
      <c r="CA10" s="183">
        <f t="shared" si="2"/>
        <v>0.92512087912087915</v>
      </c>
      <c r="CB10" s="641">
        <f t="shared" si="2"/>
        <v>0.91886010362694304</v>
      </c>
      <c r="CC10" s="183">
        <f t="shared" si="2"/>
        <v>0.90076352203948074</v>
      </c>
      <c r="CD10" s="183">
        <f t="shared" ref="CD10:CQ10" si="3">CD8/CD16</f>
        <v>0.91002166145187269</v>
      </c>
      <c r="CE10" s="183">
        <f t="shared" si="3"/>
        <v>0.89081713773447679</v>
      </c>
      <c r="CF10" s="183">
        <f t="shared" si="3"/>
        <v>0.8914964291645906</v>
      </c>
      <c r="CG10" s="641">
        <f t="shared" si="3"/>
        <v>0.89782872408576064</v>
      </c>
      <c r="CH10" s="183">
        <f>CH8/CH16</f>
        <v>0.90017768244465435</v>
      </c>
      <c r="CI10" s="183">
        <f>CI8/CI16</f>
        <v>0.92131086835771148</v>
      </c>
      <c r="CJ10" s="183">
        <f t="shared" si="3"/>
        <v>0.90402345578803633</v>
      </c>
      <c r="CK10" s="183">
        <f t="shared" si="3"/>
        <v>0.90542626251996317</v>
      </c>
      <c r="CL10" s="641">
        <f t="shared" si="3"/>
        <v>0.90753922281573274</v>
      </c>
      <c r="CM10" s="183">
        <f t="shared" si="3"/>
        <v>0.90017768244465446</v>
      </c>
      <c r="CN10" s="183">
        <f t="shared" si="3"/>
        <v>0.9027563974985412</v>
      </c>
      <c r="CO10" s="183">
        <f t="shared" si="3"/>
        <v>0.88840224467702822</v>
      </c>
      <c r="CP10" s="183">
        <f t="shared" si="3"/>
        <v>0.88613772800468793</v>
      </c>
      <c r="CQ10" s="641">
        <f t="shared" si="3"/>
        <v>0.89376276252286679</v>
      </c>
      <c r="CR10" s="183">
        <f t="shared" ref="CR10:CV10" si="4">CR8/CR16</f>
        <v>0.88175513432325314</v>
      </c>
      <c r="CS10" s="183">
        <f t="shared" si="4"/>
        <v>0.88435224230130693</v>
      </c>
      <c r="CT10" s="183">
        <f t="shared" si="4"/>
        <v>0.86767963579310592</v>
      </c>
      <c r="CU10" s="183">
        <f t="shared" si="4"/>
        <v>0.86310451525248622</v>
      </c>
      <c r="CV10" s="641">
        <f t="shared" si="4"/>
        <v>0.87345609873513508</v>
      </c>
    </row>
    <row r="11" spans="1:241" ht="3.75" customHeight="1" x14ac:dyDescent="0.25">
      <c r="E11" s="174"/>
      <c r="F11" s="557"/>
      <c r="G11" s="557"/>
      <c r="H11" s="557"/>
      <c r="I11" s="557"/>
      <c r="J11" s="557"/>
      <c r="K11" s="174"/>
      <c r="L11" s="174"/>
      <c r="M11" s="174"/>
      <c r="N11" s="174"/>
      <c r="O11" s="557"/>
      <c r="P11" s="174"/>
      <c r="Q11" s="174"/>
      <c r="R11" s="477"/>
      <c r="S11" s="174"/>
      <c r="T11" s="557"/>
      <c r="U11" s="174"/>
      <c r="V11" s="174"/>
      <c r="W11" s="174"/>
      <c r="X11" s="174"/>
      <c r="Y11" s="557"/>
      <c r="Z11" s="174"/>
      <c r="AA11" s="174"/>
      <c r="AB11" s="174"/>
      <c r="AC11" s="174"/>
      <c r="AD11" s="557"/>
      <c r="AE11" s="174"/>
      <c r="AF11" s="174"/>
      <c r="AG11" s="174"/>
      <c r="AH11" s="174"/>
      <c r="AI11" s="557"/>
      <c r="AJ11" s="174"/>
      <c r="AK11" s="174"/>
      <c r="AL11" s="174"/>
      <c r="AM11" s="174"/>
      <c r="AN11" s="557"/>
      <c r="AO11" s="174"/>
      <c r="AP11" s="174"/>
      <c r="AQ11" s="174"/>
      <c r="AR11" s="174"/>
      <c r="AS11" s="557"/>
      <c r="AT11" s="174"/>
      <c r="AU11" s="174"/>
      <c r="AV11" s="174"/>
      <c r="AW11" s="174"/>
      <c r="AX11" s="557"/>
      <c r="AY11" s="174"/>
      <c r="AZ11" s="174"/>
      <c r="BA11" s="174"/>
      <c r="BB11" s="174"/>
      <c r="BC11" s="557"/>
      <c r="BD11" s="174"/>
      <c r="BE11" s="174"/>
      <c r="BF11" s="174"/>
      <c r="BG11" s="174"/>
      <c r="BH11" s="557"/>
      <c r="BI11" s="174"/>
      <c r="BJ11" s="174"/>
      <c r="BK11" s="174"/>
      <c r="BL11" s="174"/>
      <c r="BM11" s="483"/>
      <c r="BN11" s="174"/>
      <c r="BO11" s="174"/>
      <c r="BP11" s="174"/>
      <c r="BQ11" s="174"/>
      <c r="BR11" s="483"/>
      <c r="BS11" s="174"/>
      <c r="BT11" s="174"/>
      <c r="BU11" s="174"/>
      <c r="BV11" s="174"/>
      <c r="BW11" s="483"/>
      <c r="BX11" s="174"/>
      <c r="BY11" s="174"/>
      <c r="BZ11" s="174"/>
      <c r="CA11" s="174"/>
      <c r="CB11" s="483"/>
      <c r="CC11" s="174"/>
      <c r="CD11" s="174"/>
      <c r="CE11" s="174"/>
      <c r="CF11" s="174"/>
      <c r="CG11" s="483"/>
      <c r="CH11" s="174"/>
      <c r="CI11" s="174"/>
      <c r="CJ11" s="174"/>
      <c r="CK11" s="174"/>
      <c r="CL11" s="483"/>
      <c r="CM11" s="174"/>
      <c r="CN11" s="174"/>
      <c r="CO11" s="174"/>
      <c r="CP11" s="174"/>
      <c r="CQ11" s="483"/>
      <c r="CR11" s="174"/>
      <c r="CS11" s="174"/>
      <c r="CT11" s="174"/>
      <c r="CU11" s="174"/>
      <c r="CV11" s="483"/>
    </row>
    <row r="12" spans="1:241" x14ac:dyDescent="0.25">
      <c r="E12" s="54" t="s">
        <v>743</v>
      </c>
      <c r="F12" s="557"/>
      <c r="G12" s="557"/>
      <c r="H12" s="557"/>
      <c r="I12" s="557"/>
      <c r="J12" s="557"/>
      <c r="K12" s="174"/>
      <c r="L12" s="174"/>
      <c r="M12" s="174"/>
      <c r="N12" s="174"/>
      <c r="O12" s="557"/>
      <c r="P12" s="174"/>
      <c r="Q12" s="174"/>
      <c r="R12" s="477"/>
      <c r="S12" s="174"/>
      <c r="T12" s="557"/>
      <c r="U12" s="174"/>
      <c r="V12" s="174"/>
      <c r="W12" s="174"/>
      <c r="X12" s="174"/>
      <c r="Y12" s="557"/>
      <c r="Z12" s="174"/>
      <c r="AA12" s="174"/>
      <c r="AB12" s="174"/>
      <c r="AC12" s="174"/>
      <c r="AD12" s="557"/>
      <c r="AE12" s="174"/>
      <c r="AF12" s="174"/>
      <c r="AG12" s="174"/>
      <c r="AH12" s="174"/>
      <c r="AI12" s="557"/>
      <c r="AJ12" s="174"/>
      <c r="AK12" s="174"/>
      <c r="AL12" s="174"/>
      <c r="AM12" s="174"/>
      <c r="AN12" s="557"/>
      <c r="AO12" s="174"/>
      <c r="AP12" s="174"/>
      <c r="AQ12" s="174"/>
      <c r="AR12" s="174"/>
      <c r="AS12" s="557"/>
      <c r="AT12" s="174"/>
      <c r="AU12" s="174"/>
      <c r="AV12" s="174"/>
      <c r="AW12" s="174"/>
      <c r="AX12" s="557"/>
      <c r="AY12" s="174"/>
      <c r="AZ12" s="174"/>
      <c r="BA12" s="174"/>
      <c r="BB12" s="174"/>
      <c r="BC12" s="557"/>
      <c r="BD12" s="174"/>
      <c r="BE12" s="174"/>
      <c r="BF12" s="174"/>
      <c r="BG12" s="174"/>
      <c r="BH12" s="557"/>
      <c r="BI12" s="174"/>
      <c r="BJ12" s="439"/>
      <c r="BK12" s="439"/>
      <c r="BL12" s="439"/>
      <c r="BM12" s="483"/>
      <c r="BN12" s="439"/>
      <c r="BO12" s="439"/>
      <c r="BP12" s="439"/>
      <c r="BQ12" s="439"/>
      <c r="BR12" s="188"/>
      <c r="BS12" s="439"/>
      <c r="BT12" s="439"/>
      <c r="BU12" s="439"/>
      <c r="BV12" s="439"/>
      <c r="BW12" s="188"/>
      <c r="BX12" s="417">
        <v>2.9830000000000001</v>
      </c>
      <c r="BY12" s="417">
        <v>2.5529999999999999</v>
      </c>
      <c r="BZ12" s="417">
        <v>3.585</v>
      </c>
      <c r="CA12" s="417">
        <v>3.407</v>
      </c>
      <c r="CB12" s="188">
        <f>SUM(BX12:CA12)</f>
        <v>12.527999999999999</v>
      </c>
      <c r="CC12" s="417">
        <v>4.6399999999999997</v>
      </c>
      <c r="CD12" s="417">
        <v>4.8600000000000003</v>
      </c>
      <c r="CE12" s="417">
        <v>6.4550000000000001</v>
      </c>
      <c r="CF12" s="417">
        <v>6.5330000000000004</v>
      </c>
      <c r="CG12" s="188">
        <f>SUM(CC12:CF12)</f>
        <v>22.488</v>
      </c>
      <c r="CH12" s="417">
        <v>6.2359999999999998</v>
      </c>
      <c r="CI12" s="417">
        <v>5.0999999999999996</v>
      </c>
      <c r="CJ12" s="555">
        <f>CE12*(1+CJ13)</f>
        <v>7.2296000000000005</v>
      </c>
      <c r="CK12" s="555">
        <f>CF12*(1+CK13)</f>
        <v>7.51295</v>
      </c>
      <c r="CL12" s="188">
        <f>SUM(CH12:CK12)</f>
        <v>26.07855</v>
      </c>
      <c r="CM12" s="555">
        <f>CH12*(1+CM13)</f>
        <v>8.1067999999999998</v>
      </c>
      <c r="CN12" s="555">
        <f>CI12*(1+CN13)</f>
        <v>8.6189999999999998</v>
      </c>
      <c r="CO12" s="555">
        <f>CJ12*(1+CO13)</f>
        <v>11.205880000000001</v>
      </c>
      <c r="CP12" s="555">
        <f>CK12*(1+CP13)</f>
        <v>11.645072499999999</v>
      </c>
      <c r="CQ12" s="188">
        <f>SUM(CM12:CP12)</f>
        <v>39.576752499999998</v>
      </c>
      <c r="CR12" s="555">
        <f>CM12*(1+CR13)</f>
        <v>12.646608000000001</v>
      </c>
      <c r="CS12" s="555">
        <f>CN12*(1+CS13)</f>
        <v>13.445640000000001</v>
      </c>
      <c r="CT12" s="555">
        <f>CO12*(1+CT13)</f>
        <v>17.481172800000003</v>
      </c>
      <c r="CU12" s="555">
        <f>CP12*(1+CU13)</f>
        <v>18.39921455</v>
      </c>
      <c r="CV12" s="188">
        <f>SUM(CR12:CU12)</f>
        <v>61.972635350000004</v>
      </c>
      <c r="CX12" s="718" t="s">
        <v>778</v>
      </c>
    </row>
    <row r="13" spans="1:241" ht="13.5" x14ac:dyDescent="0.25">
      <c r="E13" s="91" t="s">
        <v>2</v>
      </c>
      <c r="F13" s="557"/>
      <c r="G13" s="557"/>
      <c r="H13" s="557"/>
      <c r="I13" s="557"/>
      <c r="J13" s="557"/>
      <c r="K13" s="174"/>
      <c r="L13" s="174"/>
      <c r="M13" s="174"/>
      <c r="N13" s="174"/>
      <c r="O13" s="557"/>
      <c r="P13" s="174"/>
      <c r="Q13" s="174"/>
      <c r="R13" s="477"/>
      <c r="S13" s="174"/>
      <c r="T13" s="557"/>
      <c r="U13" s="174"/>
      <c r="V13" s="174"/>
      <c r="W13" s="174"/>
      <c r="X13" s="174"/>
      <c r="Y13" s="557"/>
      <c r="Z13" s="174"/>
      <c r="AA13" s="174"/>
      <c r="AB13" s="174"/>
      <c r="AC13" s="174"/>
      <c r="AD13" s="557"/>
      <c r="AE13" s="174"/>
      <c r="AF13" s="174"/>
      <c r="AG13" s="174"/>
      <c r="AH13" s="174"/>
      <c r="AI13" s="557"/>
      <c r="AJ13" s="174"/>
      <c r="AK13" s="174"/>
      <c r="AL13" s="174"/>
      <c r="AM13" s="174"/>
      <c r="AN13" s="557"/>
      <c r="AO13" s="174"/>
      <c r="AP13" s="174"/>
      <c r="AQ13" s="174"/>
      <c r="AR13" s="174"/>
      <c r="AS13" s="557"/>
      <c r="AT13" s="174"/>
      <c r="AU13" s="174"/>
      <c r="AV13" s="174"/>
      <c r="AW13" s="174"/>
      <c r="AX13" s="557"/>
      <c r="AY13" s="174"/>
      <c r="AZ13" s="174"/>
      <c r="BA13" s="174"/>
      <c r="BB13" s="174"/>
      <c r="BC13" s="557"/>
      <c r="BD13" s="174"/>
      <c r="BE13" s="174"/>
      <c r="BF13" s="174"/>
      <c r="BG13" s="174"/>
      <c r="BH13" s="557"/>
      <c r="BI13" s="174"/>
      <c r="BJ13" s="517"/>
      <c r="BK13" s="517"/>
      <c r="BL13" s="517"/>
      <c r="BM13" s="483"/>
      <c r="BN13" s="517"/>
      <c r="BO13" s="517"/>
      <c r="BP13" s="183"/>
      <c r="BQ13" s="183"/>
      <c r="BR13" s="483"/>
      <c r="BS13" s="183"/>
      <c r="BT13" s="363"/>
      <c r="BU13" s="183"/>
      <c r="BV13" s="183"/>
      <c r="BW13" s="641"/>
      <c r="BX13" s="475" t="s">
        <v>490</v>
      </c>
      <c r="BY13" s="475" t="s">
        <v>490</v>
      </c>
      <c r="BZ13" s="475" t="s">
        <v>490</v>
      </c>
      <c r="CA13" s="475" t="s">
        <v>490</v>
      </c>
      <c r="CB13" s="580" t="s">
        <v>490</v>
      </c>
      <c r="CC13" s="183">
        <f t="shared" ref="CC13:CQ13" si="5">CC12/BX12-1</f>
        <v>0.55548105933623848</v>
      </c>
      <c r="CD13" s="183">
        <f t="shared" si="5"/>
        <v>0.9036427732079908</v>
      </c>
      <c r="CE13" s="183">
        <f>CE12/BZ12-1</f>
        <v>0.80055788005578798</v>
      </c>
      <c r="CF13" s="183">
        <f>CF12/CA12-1</f>
        <v>0.91752274728500161</v>
      </c>
      <c r="CG13" s="641">
        <f t="shared" si="5"/>
        <v>0.79501915708812265</v>
      </c>
      <c r="CH13" s="183">
        <f>CH12/CC12-1</f>
        <v>0.34396551724137936</v>
      </c>
      <c r="CI13" s="183">
        <f>CI12/CD12-1</f>
        <v>4.9382716049382491E-2</v>
      </c>
      <c r="CJ13" s="727">
        <v>0.12</v>
      </c>
      <c r="CK13" s="727">
        <v>0.15</v>
      </c>
      <c r="CL13" s="641">
        <f>CL12/CG12-1</f>
        <v>0.15966515474919962</v>
      </c>
      <c r="CM13" s="727">
        <v>0.3</v>
      </c>
      <c r="CN13" s="727">
        <v>0.69</v>
      </c>
      <c r="CO13" s="727">
        <v>0.55000000000000004</v>
      </c>
      <c r="CP13" s="727">
        <v>0.55000000000000004</v>
      </c>
      <c r="CQ13" s="641">
        <f t="shared" si="5"/>
        <v>0.51759789175395099</v>
      </c>
      <c r="CR13" s="727">
        <v>0.56000000000000005</v>
      </c>
      <c r="CS13" s="727">
        <v>0.56000000000000005</v>
      </c>
      <c r="CT13" s="727">
        <v>0.56000000000000005</v>
      </c>
      <c r="CU13" s="727">
        <v>0.57999999999999996</v>
      </c>
      <c r="CV13" s="641">
        <f t="shared" ref="CV13" si="6">CV12/CQ12-1</f>
        <v>0.56588480446949263</v>
      </c>
      <c r="CX13" s="718" t="s">
        <v>779</v>
      </c>
    </row>
    <row r="14" spans="1:241" ht="13.5" x14ac:dyDescent="0.25">
      <c r="E14" s="91" t="s">
        <v>796</v>
      </c>
      <c r="F14" s="557"/>
      <c r="G14" s="557"/>
      <c r="H14" s="557"/>
      <c r="I14" s="557"/>
      <c r="J14" s="557"/>
      <c r="K14" s="174"/>
      <c r="L14" s="174"/>
      <c r="M14" s="174"/>
      <c r="N14" s="174"/>
      <c r="O14" s="557"/>
      <c r="P14" s="174"/>
      <c r="Q14" s="174"/>
      <c r="R14" s="477"/>
      <c r="S14" s="174"/>
      <c r="T14" s="557"/>
      <c r="U14" s="174"/>
      <c r="V14" s="174"/>
      <c r="W14" s="174"/>
      <c r="X14" s="174"/>
      <c r="Y14" s="557"/>
      <c r="Z14" s="174"/>
      <c r="AA14" s="174"/>
      <c r="AB14" s="174"/>
      <c r="AC14" s="174"/>
      <c r="AD14" s="557"/>
      <c r="AE14" s="174"/>
      <c r="AF14" s="174"/>
      <c r="AG14" s="174"/>
      <c r="AH14" s="174"/>
      <c r="AI14" s="557"/>
      <c r="AJ14" s="174"/>
      <c r="AK14" s="174"/>
      <c r="AL14" s="174"/>
      <c r="AM14" s="174"/>
      <c r="AN14" s="557"/>
      <c r="AO14" s="174"/>
      <c r="AP14" s="174"/>
      <c r="AQ14" s="174"/>
      <c r="AR14" s="174"/>
      <c r="AS14" s="557"/>
      <c r="AT14" s="174"/>
      <c r="AU14" s="174"/>
      <c r="AV14" s="174"/>
      <c r="AW14" s="174"/>
      <c r="AX14" s="557"/>
      <c r="AY14" s="174"/>
      <c r="AZ14" s="174"/>
      <c r="BA14" s="174"/>
      <c r="BB14" s="174"/>
      <c r="BC14" s="557"/>
      <c r="BD14" s="174"/>
      <c r="BE14" s="174"/>
      <c r="BF14" s="174"/>
      <c r="BG14" s="174"/>
      <c r="BH14" s="557"/>
      <c r="BI14" s="174"/>
      <c r="BJ14" s="183"/>
      <c r="BK14" s="183"/>
      <c r="BL14" s="183"/>
      <c r="BM14" s="483"/>
      <c r="BN14" s="183"/>
      <c r="BO14" s="183"/>
      <c r="BP14" s="183"/>
      <c r="BQ14" s="183"/>
      <c r="BR14" s="641"/>
      <c r="BS14" s="183"/>
      <c r="BT14" s="183"/>
      <c r="BU14" s="183"/>
      <c r="BV14" s="183"/>
      <c r="BW14" s="641"/>
      <c r="BX14" s="183">
        <f t="shared" ref="BX14:CQ14" si="7">BX12/BX16</f>
        <v>9.0120845921450143E-2</v>
      </c>
      <c r="BY14" s="183">
        <f t="shared" si="7"/>
        <v>7.3786127167630056E-2</v>
      </c>
      <c r="BZ14" s="183">
        <f t="shared" si="7"/>
        <v>8.7014563106796103E-2</v>
      </c>
      <c r="CA14" s="183">
        <f t="shared" si="7"/>
        <v>7.4879120879120881E-2</v>
      </c>
      <c r="CB14" s="641">
        <f t="shared" si="7"/>
        <v>8.1139896373056977E-2</v>
      </c>
      <c r="CC14" s="183">
        <f t="shared" si="7"/>
        <v>9.9236477960519279E-2</v>
      </c>
      <c r="CD14" s="183">
        <f t="shared" si="7"/>
        <v>8.9978338548127312E-2</v>
      </c>
      <c r="CE14" s="183">
        <f>CE12/CE16</f>
        <v>0.10918286226552325</v>
      </c>
      <c r="CF14" s="183">
        <f>CF12/CF16</f>
        <v>0.1085035708354094</v>
      </c>
      <c r="CG14" s="641">
        <f t="shared" si="7"/>
        <v>0.10217127591423937</v>
      </c>
      <c r="CH14" s="183">
        <f>CH12/CH16</f>
        <v>9.982231755534568E-2</v>
      </c>
      <c r="CI14" s="183">
        <f>CI12/CI16</f>
        <v>7.8689131642288468E-2</v>
      </c>
      <c r="CJ14" s="183">
        <f>CJ12/CJ16</f>
        <v>9.5976544211963624E-2</v>
      </c>
      <c r="CK14" s="183">
        <f>CK12/CK16</f>
        <v>9.4573737480036835E-2</v>
      </c>
      <c r="CL14" s="641">
        <f>CL12/CL16</f>
        <v>9.246077718426729E-2</v>
      </c>
      <c r="CM14" s="183">
        <f t="shared" si="7"/>
        <v>9.982231755534568E-2</v>
      </c>
      <c r="CN14" s="183">
        <f t="shared" si="7"/>
        <v>9.7243602501458831E-2</v>
      </c>
      <c r="CO14" s="183">
        <f t="shared" si="7"/>
        <v>0.1115977553229717</v>
      </c>
      <c r="CP14" s="183">
        <f t="shared" si="7"/>
        <v>0.11386227199531206</v>
      </c>
      <c r="CQ14" s="641">
        <f t="shared" si="7"/>
        <v>0.10623723747713321</v>
      </c>
      <c r="CR14" s="183">
        <f t="shared" ref="CR14:CV14" si="8">CR12/CR16</f>
        <v>0.11824486567674684</v>
      </c>
      <c r="CS14" s="183">
        <f t="shared" si="8"/>
        <v>0.11564775769869315</v>
      </c>
      <c r="CT14" s="183">
        <f t="shared" si="8"/>
        <v>0.13232036420689403</v>
      </c>
      <c r="CU14" s="183">
        <f t="shared" si="8"/>
        <v>0.13689548474751376</v>
      </c>
      <c r="CV14" s="641">
        <f t="shared" si="8"/>
        <v>0.12654390126486492</v>
      </c>
    </row>
    <row r="15" spans="1:241" ht="3.75" customHeight="1" x14ac:dyDescent="0.25">
      <c r="E15" s="174"/>
      <c r="F15" s="557"/>
      <c r="G15" s="557"/>
      <c r="H15" s="557"/>
      <c r="I15" s="557"/>
      <c r="J15" s="557"/>
      <c r="K15" s="174"/>
      <c r="L15" s="174"/>
      <c r="M15" s="174"/>
      <c r="N15" s="174"/>
      <c r="O15" s="557"/>
      <c r="P15" s="174"/>
      <c r="Q15" s="174"/>
      <c r="R15" s="477"/>
      <c r="S15" s="174"/>
      <c r="T15" s="557"/>
      <c r="U15" s="174"/>
      <c r="V15" s="174"/>
      <c r="W15" s="174"/>
      <c r="X15" s="174"/>
      <c r="Y15" s="557"/>
      <c r="Z15" s="174"/>
      <c r="AA15" s="174"/>
      <c r="AB15" s="174"/>
      <c r="AC15" s="174"/>
      <c r="AD15" s="557"/>
      <c r="AE15" s="174"/>
      <c r="AF15" s="174"/>
      <c r="AG15" s="174"/>
      <c r="AH15" s="174"/>
      <c r="AI15" s="557"/>
      <c r="AJ15" s="174"/>
      <c r="AK15" s="174"/>
      <c r="AL15" s="174"/>
      <c r="AM15" s="174"/>
      <c r="AN15" s="557"/>
      <c r="AO15" s="174"/>
      <c r="AP15" s="174"/>
      <c r="AQ15" s="174"/>
      <c r="AR15" s="174"/>
      <c r="AS15" s="557"/>
      <c r="AT15" s="174"/>
      <c r="AU15" s="174"/>
      <c r="AV15" s="174"/>
      <c r="AW15" s="174"/>
      <c r="AX15" s="557"/>
      <c r="AY15" s="174"/>
      <c r="AZ15" s="174"/>
      <c r="BA15" s="174"/>
      <c r="BB15" s="174"/>
      <c r="BC15" s="557"/>
      <c r="BD15" s="174"/>
      <c r="BE15" s="174"/>
      <c r="BF15" s="174"/>
      <c r="BG15" s="174"/>
      <c r="BH15" s="557"/>
      <c r="BI15" s="174"/>
      <c r="BJ15" s="174"/>
      <c r="BK15" s="174"/>
      <c r="BL15" s="174"/>
      <c r="BM15" s="483"/>
      <c r="BN15" s="174"/>
      <c r="BO15" s="174"/>
      <c r="BP15" s="174"/>
      <c r="BQ15" s="174"/>
      <c r="BR15" s="483"/>
      <c r="BS15" s="174"/>
      <c r="BT15" s="174"/>
      <c r="BU15" s="174"/>
      <c r="BV15" s="174"/>
      <c r="BW15" s="483"/>
      <c r="BX15" s="174"/>
      <c r="BY15" s="174"/>
      <c r="BZ15" s="174"/>
      <c r="CA15" s="174"/>
      <c r="CB15" s="483"/>
      <c r="CC15" s="174"/>
      <c r="CD15" s="174"/>
      <c r="CE15" s="174"/>
      <c r="CF15" s="174"/>
      <c r="CG15" s="483"/>
      <c r="CH15" s="174"/>
      <c r="CI15" s="174"/>
      <c r="CJ15" s="174"/>
      <c r="CK15" s="174"/>
      <c r="CL15" s="483"/>
      <c r="CM15" s="174"/>
      <c r="CN15" s="174"/>
      <c r="CO15" s="174"/>
      <c r="CP15" s="174"/>
      <c r="CQ15" s="483"/>
      <c r="CR15" s="174"/>
      <c r="CS15" s="174"/>
      <c r="CT15" s="174"/>
      <c r="CU15" s="174"/>
      <c r="CV15" s="483"/>
    </row>
    <row r="16" spans="1:241" ht="13.5" x14ac:dyDescent="0.3">
      <c r="E16" s="493" t="s">
        <v>744</v>
      </c>
      <c r="F16" s="558"/>
      <c r="G16" s="558"/>
      <c r="H16" s="558"/>
      <c r="I16" s="558"/>
      <c r="J16" s="558"/>
      <c r="K16" s="493"/>
      <c r="L16" s="493"/>
      <c r="M16" s="493"/>
      <c r="N16" s="493"/>
      <c r="O16" s="558"/>
      <c r="P16" s="493"/>
      <c r="Q16" s="493"/>
      <c r="R16" s="493"/>
      <c r="S16" s="493"/>
      <c r="T16" s="558"/>
      <c r="U16" s="493"/>
      <c r="V16" s="493"/>
      <c r="W16" s="493"/>
      <c r="X16" s="493"/>
      <c r="Y16" s="558"/>
      <c r="Z16" s="493"/>
      <c r="AA16" s="493"/>
      <c r="AB16" s="493"/>
      <c r="AC16" s="493"/>
      <c r="AD16" s="558"/>
      <c r="AE16" s="493"/>
      <c r="AF16" s="493"/>
      <c r="AG16" s="493"/>
      <c r="AH16" s="493"/>
      <c r="AI16" s="558"/>
      <c r="AJ16" s="493"/>
      <c r="AK16" s="493"/>
      <c r="AL16" s="493"/>
      <c r="AM16" s="493"/>
      <c r="AN16" s="558"/>
      <c r="AO16" s="493"/>
      <c r="AP16" s="493"/>
      <c r="AQ16" s="493"/>
      <c r="AR16" s="493"/>
      <c r="AS16" s="558"/>
      <c r="AT16" s="493"/>
      <c r="AU16" s="493"/>
      <c r="AV16" s="493"/>
      <c r="AW16" s="493"/>
      <c r="AX16" s="558"/>
      <c r="AY16" s="493"/>
      <c r="AZ16" s="493"/>
      <c r="BA16" s="493"/>
      <c r="BB16" s="493"/>
      <c r="BC16" s="558"/>
      <c r="BD16" s="493"/>
      <c r="BE16" s="493"/>
      <c r="BF16" s="493"/>
      <c r="BG16" s="493"/>
      <c r="BH16" s="558"/>
      <c r="BI16" s="493"/>
      <c r="BJ16" s="35"/>
      <c r="BK16" s="35"/>
      <c r="BL16" s="35"/>
      <c r="BM16" s="545"/>
      <c r="BN16" s="545"/>
      <c r="BO16" s="545"/>
      <c r="BP16" s="545"/>
      <c r="BQ16" s="545"/>
      <c r="BR16" s="35"/>
      <c r="BS16" s="545"/>
      <c r="BT16" s="545"/>
      <c r="BU16" s="545"/>
      <c r="BV16" s="545"/>
      <c r="BW16" s="35"/>
      <c r="BX16" s="545">
        <v>33.1</v>
      </c>
      <c r="BY16" s="545">
        <v>34.6</v>
      </c>
      <c r="BZ16" s="545">
        <v>41.2</v>
      </c>
      <c r="CA16" s="545">
        <v>45.5</v>
      </c>
      <c r="CB16" s="35">
        <f>SUM(BX16:CA16)</f>
        <v>154.4</v>
      </c>
      <c r="CC16" s="545">
        <v>46.756999999999998</v>
      </c>
      <c r="CD16" s="545">
        <v>54.012999999999998</v>
      </c>
      <c r="CE16" s="545">
        <v>59.121000000000002</v>
      </c>
      <c r="CF16" s="545">
        <v>60.21</v>
      </c>
      <c r="CG16" s="35">
        <f>SUM(CC16:CF16)</f>
        <v>220.101</v>
      </c>
      <c r="CH16" s="545">
        <v>62.470999999999997</v>
      </c>
      <c r="CI16" s="545">
        <v>64.811999999999998</v>
      </c>
      <c r="CJ16" s="35">
        <f>CJ8+CJ12</f>
        <v>75.326738000000006</v>
      </c>
      <c r="CK16" s="35">
        <f>CK8+CK12</f>
        <v>79.440130000000011</v>
      </c>
      <c r="CL16" s="35">
        <f>SUM(CH16:CK16)</f>
        <v>282.049868</v>
      </c>
      <c r="CM16" s="35">
        <f>CM8+CM12</f>
        <v>81.212299999999999</v>
      </c>
      <c r="CN16" s="35">
        <f>CN8+CN12</f>
        <v>88.633079999999993</v>
      </c>
      <c r="CO16" s="35">
        <f>CO8+CO12</f>
        <v>100.41313078000002</v>
      </c>
      <c r="CP16" s="35">
        <f>CP8+CP12</f>
        <v>102.27331930000001</v>
      </c>
      <c r="CQ16" s="35">
        <f>SUM(CM16:CP16)</f>
        <v>372.53183008000002</v>
      </c>
      <c r="CR16" s="35">
        <f>CR8+CR12</f>
        <v>106.95270300000001</v>
      </c>
      <c r="CS16" s="35">
        <f>CS8+CS12</f>
        <v>116.26373279999999</v>
      </c>
      <c r="CT16" s="35">
        <f>CT8+CT12</f>
        <v>132.11249005230002</v>
      </c>
      <c r="CU16" s="35">
        <f>CU8+CU12</f>
        <v>134.40337045400003</v>
      </c>
      <c r="CV16" s="35">
        <f>SUM(CR16:CU16)</f>
        <v>489.73229630630004</v>
      </c>
    </row>
    <row r="17" spans="5:103" ht="13.5" x14ac:dyDescent="0.25">
      <c r="E17" s="356" t="s">
        <v>2</v>
      </c>
      <c r="F17" s="448"/>
      <c r="G17" s="448"/>
      <c r="H17" s="448"/>
      <c r="I17" s="448"/>
      <c r="J17" s="448"/>
      <c r="K17" s="448"/>
      <c r="L17" s="448"/>
      <c r="M17" s="448"/>
      <c r="N17" s="448"/>
      <c r="O17" s="449"/>
      <c r="P17" s="448"/>
      <c r="Q17" s="448"/>
      <c r="R17" s="448"/>
      <c r="S17" s="448"/>
      <c r="T17" s="449"/>
      <c r="U17" s="448"/>
      <c r="V17" s="448"/>
      <c r="W17" s="448"/>
      <c r="X17" s="448"/>
      <c r="Y17" s="449"/>
      <c r="Z17" s="455"/>
      <c r="AA17" s="455"/>
      <c r="AB17" s="455"/>
      <c r="AC17" s="455"/>
      <c r="AD17" s="449"/>
      <c r="AE17" s="455"/>
      <c r="AF17" s="455"/>
      <c r="AG17" s="455"/>
      <c r="AH17" s="455"/>
      <c r="AI17" s="370"/>
      <c r="AJ17" s="127"/>
      <c r="AK17" s="127"/>
      <c r="AL17" s="127"/>
      <c r="AM17" s="127"/>
      <c r="AN17" s="370"/>
      <c r="AO17" s="127"/>
      <c r="AP17" s="127"/>
      <c r="AQ17" s="127"/>
      <c r="AR17" s="448"/>
      <c r="AS17" s="449"/>
      <c r="AT17" s="449"/>
      <c r="AU17" s="449"/>
      <c r="AV17" s="449"/>
      <c r="AW17" s="449"/>
      <c r="AX17" s="449"/>
      <c r="AY17" s="32"/>
      <c r="AZ17" s="32"/>
      <c r="BA17" s="32"/>
      <c r="BB17" s="32"/>
      <c r="BC17" s="32"/>
      <c r="BD17" s="32"/>
      <c r="BE17" s="32"/>
      <c r="BF17" s="32"/>
      <c r="BG17" s="32"/>
      <c r="BH17" s="32"/>
      <c r="BI17" s="32"/>
      <c r="BJ17" s="32"/>
      <c r="BK17" s="32"/>
      <c r="BL17" s="32"/>
      <c r="BM17" s="518"/>
      <c r="BN17" s="518"/>
      <c r="BO17" s="32"/>
      <c r="BP17" s="32"/>
      <c r="BQ17" s="32"/>
      <c r="BR17" s="32"/>
      <c r="BS17" s="32"/>
      <c r="BT17" s="32"/>
      <c r="BU17" s="32"/>
      <c r="BV17" s="32"/>
      <c r="BW17" s="32"/>
      <c r="BX17" s="580" t="s">
        <v>490</v>
      </c>
      <c r="BY17" s="580" t="s">
        <v>490</v>
      </c>
      <c r="BZ17" s="580" t="s">
        <v>490</v>
      </c>
      <c r="CA17" s="580" t="s">
        <v>490</v>
      </c>
      <c r="CB17" s="580" t="s">
        <v>490</v>
      </c>
      <c r="CC17" s="32">
        <f t="shared" ref="CC17:CV17" si="9">(CC16-BX16)/ABS(BX16)</f>
        <v>0.41259818731117814</v>
      </c>
      <c r="CD17" s="32">
        <f t="shared" si="9"/>
        <v>0.5610693641618496</v>
      </c>
      <c r="CE17" s="32">
        <f t="shared" si="9"/>
        <v>0.43497572815533975</v>
      </c>
      <c r="CF17" s="32">
        <f t="shared" si="9"/>
        <v>0.32329670329670329</v>
      </c>
      <c r="CG17" s="32">
        <f t="shared" si="9"/>
        <v>0.42552461139896369</v>
      </c>
      <c r="CH17" s="32">
        <f>(CH16-CC16)/ABS(CC16)</f>
        <v>0.33607802040336204</v>
      </c>
      <c r="CI17" s="32">
        <f t="shared" si="9"/>
        <v>0.19993334937885324</v>
      </c>
      <c r="CJ17" s="32">
        <f t="shared" si="9"/>
        <v>0.27411136482806453</v>
      </c>
      <c r="CK17" s="32">
        <f t="shared" si="9"/>
        <v>0.31938432154127239</v>
      </c>
      <c r="CL17" s="32">
        <f t="shared" si="9"/>
        <v>0.28145654949318721</v>
      </c>
      <c r="CM17" s="32">
        <f t="shared" si="9"/>
        <v>0.30000000000000004</v>
      </c>
      <c r="CN17" s="32">
        <f t="shared" si="9"/>
        <v>0.3675411960748009</v>
      </c>
      <c r="CO17" s="32">
        <f t="shared" si="9"/>
        <v>0.33303437061087138</v>
      </c>
      <c r="CP17" s="32">
        <f t="shared" si="9"/>
        <v>0.28742638386921066</v>
      </c>
      <c r="CQ17" s="32">
        <f t="shared" si="9"/>
        <v>0.32080129206087776</v>
      </c>
      <c r="CR17" s="32">
        <f t="shared" si="9"/>
        <v>0.31695202573994352</v>
      </c>
      <c r="CS17" s="32">
        <f t="shared" si="9"/>
        <v>0.31174199068790115</v>
      </c>
      <c r="CT17" s="32">
        <f t="shared" si="9"/>
        <v>0.31568938271381719</v>
      </c>
      <c r="CU17" s="32">
        <f t="shared" si="9"/>
        <v>0.31415868159859373</v>
      </c>
      <c r="CV17" s="32">
        <f t="shared" si="9"/>
        <v>0.31460524111760219</v>
      </c>
    </row>
    <row r="18" spans="5:103" ht="3.75" customHeight="1" x14ac:dyDescent="0.25">
      <c r="E18" s="365"/>
      <c r="F18" s="448"/>
      <c r="G18" s="448"/>
      <c r="H18" s="448"/>
      <c r="I18" s="448"/>
      <c r="J18" s="448"/>
      <c r="K18" s="451"/>
      <c r="L18" s="451"/>
      <c r="M18" s="451"/>
      <c r="N18" s="451"/>
      <c r="O18" s="449"/>
      <c r="P18" s="451"/>
      <c r="Q18" s="451"/>
      <c r="R18" s="451"/>
      <c r="S18" s="451"/>
      <c r="T18" s="449"/>
      <c r="U18" s="451"/>
      <c r="V18" s="451"/>
      <c r="W18" s="451"/>
      <c r="X18" s="451"/>
      <c r="Y18" s="449"/>
      <c r="Z18" s="451"/>
      <c r="AA18" s="451"/>
      <c r="AB18" s="451"/>
      <c r="AC18" s="451"/>
      <c r="AD18" s="449"/>
      <c r="AE18" s="451"/>
      <c r="AF18" s="451"/>
      <c r="AG18" s="451"/>
      <c r="AH18" s="451"/>
      <c r="AI18" s="370"/>
      <c r="AJ18" s="451"/>
      <c r="AK18" s="451"/>
      <c r="AL18" s="451"/>
      <c r="AM18" s="451"/>
      <c r="AN18" s="370"/>
      <c r="AO18" s="451"/>
      <c r="AP18" s="451"/>
      <c r="AQ18" s="451"/>
      <c r="AR18" s="451"/>
      <c r="AS18" s="449"/>
      <c r="AT18" s="451"/>
      <c r="AU18" s="451"/>
      <c r="AV18" s="451"/>
      <c r="AW18" s="451"/>
      <c r="AX18" s="449"/>
      <c r="AY18" s="451"/>
      <c r="AZ18" s="451"/>
      <c r="BA18" s="451"/>
      <c r="BB18" s="451"/>
      <c r="BC18" s="32"/>
      <c r="BD18" s="451"/>
      <c r="BE18" s="451"/>
      <c r="BF18" s="451"/>
      <c r="BG18" s="451"/>
      <c r="BH18" s="32"/>
      <c r="BI18" s="451"/>
      <c r="BJ18" s="451"/>
      <c r="BK18" s="451"/>
      <c r="BL18" s="451"/>
      <c r="BM18" s="518"/>
      <c r="BN18" s="451"/>
      <c r="BO18" s="451"/>
      <c r="BP18" s="451"/>
      <c r="BQ18" s="451"/>
      <c r="BR18" s="32"/>
      <c r="BS18" s="451"/>
      <c r="BT18" s="451"/>
      <c r="BU18" s="451"/>
      <c r="BV18" s="451"/>
      <c r="BW18" s="32"/>
      <c r="BX18" s="451"/>
      <c r="BY18" s="451"/>
      <c r="BZ18" s="451"/>
      <c r="CA18" s="451"/>
      <c r="CB18" s="32"/>
      <c r="CC18" s="451"/>
      <c r="CD18" s="451"/>
      <c r="CE18" s="451"/>
      <c r="CF18" s="451"/>
      <c r="CG18" s="32"/>
      <c r="CH18" s="451"/>
      <c r="CI18" s="451"/>
      <c r="CJ18" s="451"/>
      <c r="CK18" s="451"/>
      <c r="CL18" s="32"/>
      <c r="CM18" s="451"/>
      <c r="CN18" s="451"/>
      <c r="CO18" s="451"/>
      <c r="CP18" s="451"/>
      <c r="CQ18" s="32"/>
      <c r="CR18" s="451"/>
      <c r="CS18" s="451"/>
      <c r="CT18" s="451"/>
      <c r="CU18" s="451"/>
      <c r="CV18" s="32"/>
    </row>
    <row r="19" spans="5:103" ht="13.5" customHeight="1" x14ac:dyDescent="0.25">
      <c r="E19" s="54" t="s">
        <v>764</v>
      </c>
      <c r="F19" s="448"/>
      <c r="G19" s="448"/>
      <c r="H19" s="448"/>
      <c r="I19" s="448"/>
      <c r="J19" s="448"/>
      <c r="K19" s="451"/>
      <c r="L19" s="451"/>
      <c r="M19" s="451"/>
      <c r="N19" s="451"/>
      <c r="O19" s="449"/>
      <c r="P19" s="451"/>
      <c r="Q19" s="451"/>
      <c r="R19" s="451"/>
      <c r="S19" s="451"/>
      <c r="T19" s="449"/>
      <c r="U19" s="451"/>
      <c r="V19" s="451"/>
      <c r="W19" s="451"/>
      <c r="X19" s="451"/>
      <c r="Y19" s="449"/>
      <c r="Z19" s="451"/>
      <c r="AA19" s="451"/>
      <c r="AB19" s="451"/>
      <c r="AC19" s="451"/>
      <c r="AD19" s="449"/>
      <c r="AE19" s="451"/>
      <c r="AF19" s="451"/>
      <c r="AG19" s="451"/>
      <c r="AH19" s="451"/>
      <c r="AI19" s="370"/>
      <c r="AJ19" s="451"/>
      <c r="AK19" s="451"/>
      <c r="AL19" s="451"/>
      <c r="AM19" s="451"/>
      <c r="AN19" s="370"/>
      <c r="AO19" s="451"/>
      <c r="AP19" s="451"/>
      <c r="AQ19" s="451"/>
      <c r="AR19" s="451"/>
      <c r="AS19" s="449"/>
      <c r="AT19" s="451"/>
      <c r="AU19" s="451"/>
      <c r="AV19" s="451"/>
      <c r="AW19" s="451"/>
      <c r="AX19" s="449"/>
      <c r="AY19" s="451"/>
      <c r="AZ19" s="451"/>
      <c r="BA19" s="451"/>
      <c r="BB19" s="451"/>
      <c r="BC19" s="32"/>
      <c r="BD19" s="451"/>
      <c r="BE19" s="451"/>
      <c r="BF19" s="451"/>
      <c r="BG19" s="451"/>
      <c r="BH19" s="32"/>
      <c r="BI19" s="451"/>
      <c r="BJ19" s="451"/>
      <c r="BK19" s="451"/>
      <c r="BL19" s="451"/>
      <c r="BM19" s="518"/>
      <c r="BN19" s="451"/>
      <c r="BO19" s="451"/>
      <c r="BP19" s="451"/>
      <c r="BQ19" s="451"/>
      <c r="BR19" s="32"/>
      <c r="BS19" s="451"/>
      <c r="BT19" s="451"/>
      <c r="BU19" s="451"/>
      <c r="BV19" s="451"/>
      <c r="BW19" s="32"/>
      <c r="BX19" s="417">
        <v>5.82</v>
      </c>
      <c r="BY19" s="417">
        <v>3.9</v>
      </c>
      <c r="BZ19" s="417">
        <v>3.92</v>
      </c>
      <c r="CA19" s="417">
        <v>4.5999999999999996</v>
      </c>
      <c r="CB19" s="188">
        <f>SUM(BX19:CA19)</f>
        <v>18.240000000000002</v>
      </c>
      <c r="CC19" s="417">
        <v>5.14</v>
      </c>
      <c r="CD19" s="417">
        <v>5.24</v>
      </c>
      <c r="CE19" s="417">
        <v>4.8499999999999996</v>
      </c>
      <c r="CF19" s="417">
        <v>4.4400000000000004</v>
      </c>
      <c r="CG19" s="188">
        <f>SUM(CC19:CF19)</f>
        <v>19.669999999999998</v>
      </c>
      <c r="CH19" s="417">
        <v>2.71</v>
      </c>
      <c r="CI19" s="417">
        <v>1.6</v>
      </c>
      <c r="CJ19" s="738">
        <v>2.2999999999999998</v>
      </c>
      <c r="CK19" s="738">
        <v>0</v>
      </c>
      <c r="CL19" s="188">
        <f>SUM(CH19:CK19)</f>
        <v>6.61</v>
      </c>
      <c r="CM19" s="738">
        <v>0</v>
      </c>
      <c r="CN19" s="738">
        <v>0</v>
      </c>
      <c r="CO19" s="738">
        <v>0</v>
      </c>
      <c r="CP19" s="738">
        <v>0</v>
      </c>
      <c r="CQ19" s="188">
        <f>SUM(CM19:CP19)</f>
        <v>0</v>
      </c>
      <c r="CR19" s="738">
        <v>0</v>
      </c>
      <c r="CS19" s="738">
        <v>0</v>
      </c>
      <c r="CT19" s="738">
        <v>0</v>
      </c>
      <c r="CU19" s="738">
        <v>0</v>
      </c>
      <c r="CV19" s="188">
        <f>SUM(CR19:CU19)</f>
        <v>0</v>
      </c>
    </row>
    <row r="20" spans="5:103" ht="3.75" customHeight="1" x14ac:dyDescent="0.25">
      <c r="E20" s="365"/>
      <c r="F20" s="448"/>
      <c r="G20" s="448"/>
      <c r="H20" s="448"/>
      <c r="I20" s="448"/>
      <c r="J20" s="448"/>
      <c r="K20" s="451"/>
      <c r="L20" s="451"/>
      <c r="M20" s="451"/>
      <c r="N20" s="451"/>
      <c r="O20" s="449"/>
      <c r="P20" s="451"/>
      <c r="Q20" s="451"/>
      <c r="R20" s="451"/>
      <c r="S20" s="451"/>
      <c r="T20" s="449"/>
      <c r="U20" s="451"/>
      <c r="V20" s="451"/>
      <c r="W20" s="451"/>
      <c r="X20" s="451"/>
      <c r="Y20" s="449"/>
      <c r="Z20" s="451"/>
      <c r="AA20" s="451"/>
      <c r="AB20" s="451"/>
      <c r="AC20" s="451"/>
      <c r="AD20" s="449"/>
      <c r="AE20" s="451"/>
      <c r="AF20" s="451"/>
      <c r="AG20" s="451"/>
      <c r="AH20" s="451"/>
      <c r="AI20" s="370"/>
      <c r="AJ20" s="451"/>
      <c r="AK20" s="451"/>
      <c r="AL20" s="451"/>
      <c r="AM20" s="451"/>
      <c r="AN20" s="370"/>
      <c r="AO20" s="451"/>
      <c r="AP20" s="451"/>
      <c r="AQ20" s="451"/>
      <c r="AR20" s="451"/>
      <c r="AS20" s="449"/>
      <c r="AT20" s="451"/>
      <c r="AU20" s="451"/>
      <c r="AV20" s="451"/>
      <c r="AW20" s="451"/>
      <c r="AX20" s="449"/>
      <c r="AY20" s="451"/>
      <c r="AZ20" s="451"/>
      <c r="BA20" s="451"/>
      <c r="BB20" s="451"/>
      <c r="BC20" s="32"/>
      <c r="BD20" s="451"/>
      <c r="BE20" s="451"/>
      <c r="BF20" s="451"/>
      <c r="BG20" s="451"/>
      <c r="BH20" s="32"/>
      <c r="BI20" s="451"/>
      <c r="BJ20" s="451"/>
      <c r="BK20" s="451"/>
      <c r="BL20" s="451"/>
      <c r="BM20" s="518"/>
      <c r="BN20" s="451"/>
      <c r="BO20" s="451"/>
      <c r="BP20" s="451"/>
      <c r="BQ20" s="451"/>
      <c r="BR20" s="32"/>
      <c r="BS20" s="451"/>
      <c r="BT20" s="451"/>
      <c r="BU20" s="451"/>
      <c r="BV20" s="451"/>
      <c r="BW20" s="32"/>
      <c r="BX20" s="451"/>
      <c r="BY20" s="451"/>
      <c r="BZ20" s="451"/>
      <c r="CA20" s="451"/>
      <c r="CB20" s="32"/>
      <c r="CC20" s="451"/>
      <c r="CD20" s="451"/>
      <c r="CE20" s="451"/>
      <c r="CF20" s="451"/>
      <c r="CG20" s="32"/>
      <c r="CH20" s="451"/>
      <c r="CI20" s="451"/>
      <c r="CJ20" s="451"/>
      <c r="CK20" s="451"/>
      <c r="CL20" s="32"/>
      <c r="CM20" s="451"/>
      <c r="CN20" s="451"/>
      <c r="CO20" s="451"/>
      <c r="CP20" s="451"/>
      <c r="CQ20" s="32"/>
      <c r="CR20" s="451"/>
      <c r="CS20" s="451"/>
      <c r="CT20" s="451"/>
      <c r="CU20" s="451"/>
      <c r="CV20" s="32"/>
    </row>
    <row r="21" spans="5:103" ht="13.5" customHeight="1" x14ac:dyDescent="0.3">
      <c r="E21" s="564" t="s">
        <v>765</v>
      </c>
      <c r="F21" s="741"/>
      <c r="G21" s="741"/>
      <c r="H21" s="741"/>
      <c r="I21" s="741"/>
      <c r="J21" s="741"/>
      <c r="K21" s="741"/>
      <c r="L21" s="741"/>
      <c r="M21" s="741"/>
      <c r="N21" s="741"/>
      <c r="O21" s="736"/>
      <c r="P21" s="741"/>
      <c r="Q21" s="741"/>
      <c r="R21" s="741"/>
      <c r="S21" s="741"/>
      <c r="T21" s="736"/>
      <c r="U21" s="741"/>
      <c r="V21" s="741"/>
      <c r="W21" s="741"/>
      <c r="X21" s="741"/>
      <c r="Y21" s="736"/>
      <c r="Z21" s="741"/>
      <c r="AA21" s="741"/>
      <c r="AB21" s="741"/>
      <c r="AC21" s="741"/>
      <c r="AD21" s="736"/>
      <c r="AE21" s="741"/>
      <c r="AF21" s="741"/>
      <c r="AG21" s="741"/>
      <c r="AH21" s="741"/>
      <c r="AI21" s="740"/>
      <c r="AJ21" s="741"/>
      <c r="AK21" s="741"/>
      <c r="AL21" s="741"/>
      <c r="AM21" s="741"/>
      <c r="AN21" s="740"/>
      <c r="AO21" s="741"/>
      <c r="AP21" s="741"/>
      <c r="AQ21" s="741"/>
      <c r="AR21" s="741"/>
      <c r="AS21" s="736"/>
      <c r="AT21" s="741"/>
      <c r="AU21" s="741"/>
      <c r="AV21" s="741"/>
      <c r="AW21" s="741"/>
      <c r="AX21" s="736"/>
      <c r="AY21" s="741"/>
      <c r="AZ21" s="741"/>
      <c r="BA21" s="741"/>
      <c r="BB21" s="741"/>
      <c r="BC21" s="735"/>
      <c r="BD21" s="741"/>
      <c r="BE21" s="741"/>
      <c r="BF21" s="741"/>
      <c r="BG21" s="741"/>
      <c r="BH21" s="735"/>
      <c r="BI21" s="741"/>
      <c r="BJ21" s="741"/>
      <c r="BK21" s="741"/>
      <c r="BL21" s="741"/>
      <c r="BM21" s="734"/>
      <c r="BN21" s="741"/>
      <c r="BO21" s="741"/>
      <c r="BP21" s="741"/>
      <c r="BQ21" s="741"/>
      <c r="BR21" s="735"/>
      <c r="BS21" s="741"/>
      <c r="BT21" s="741"/>
      <c r="BU21" s="741"/>
      <c r="BV21" s="741"/>
      <c r="BW21" s="735"/>
      <c r="BX21" s="642">
        <f>BX16-BX19</f>
        <v>27.28</v>
      </c>
      <c r="BY21" s="642">
        <f>BY16-BY19</f>
        <v>30.700000000000003</v>
      </c>
      <c r="BZ21" s="642">
        <f>BZ16-BZ19</f>
        <v>37.28</v>
      </c>
      <c r="CA21" s="642">
        <f>CA16-CA19</f>
        <v>40.9</v>
      </c>
      <c r="CB21" s="733">
        <f>SUM(BX21:CA21)</f>
        <v>136.16</v>
      </c>
      <c r="CC21" s="642">
        <f>CC16-CC19</f>
        <v>41.616999999999997</v>
      </c>
      <c r="CD21" s="642">
        <f>CD16-CD19</f>
        <v>48.772999999999996</v>
      </c>
      <c r="CE21" s="642">
        <f>CE16-CE19</f>
        <v>54.271000000000001</v>
      </c>
      <c r="CF21" s="642">
        <f>CF16-CF19</f>
        <v>55.77</v>
      </c>
      <c r="CG21" s="733">
        <f>SUM(CC21:CF21)</f>
        <v>200.43100000000001</v>
      </c>
      <c r="CH21" s="642">
        <f>CH16-CH19</f>
        <v>59.760999999999996</v>
      </c>
      <c r="CI21" s="642">
        <f>CI16-CI19</f>
        <v>63.211999999999996</v>
      </c>
      <c r="CJ21" s="642">
        <f>CJ16-CJ19</f>
        <v>73.026738000000009</v>
      </c>
      <c r="CK21" s="642">
        <f>CK16-CK19</f>
        <v>79.440130000000011</v>
      </c>
      <c r="CL21" s="733">
        <f>SUM(CH21:CK21)</f>
        <v>275.43986799999999</v>
      </c>
      <c r="CM21" s="642">
        <f>CM16-CM19</f>
        <v>81.212299999999999</v>
      </c>
      <c r="CN21" s="642">
        <f>CN16-CN19</f>
        <v>88.633079999999993</v>
      </c>
      <c r="CO21" s="642">
        <f>CO16-CO19</f>
        <v>100.41313078000002</v>
      </c>
      <c r="CP21" s="642">
        <f>CP16-CP19</f>
        <v>102.27331930000001</v>
      </c>
      <c r="CQ21" s="733">
        <f>SUM(CM21:CP21)</f>
        <v>372.53183008000002</v>
      </c>
      <c r="CR21" s="642">
        <f>CR16-CR19</f>
        <v>106.95270300000001</v>
      </c>
      <c r="CS21" s="642">
        <f>CS16-CS19</f>
        <v>116.26373279999999</v>
      </c>
      <c r="CT21" s="642">
        <f>CT16-CT19</f>
        <v>132.11249005230002</v>
      </c>
      <c r="CU21" s="642">
        <f>CU16-CU19</f>
        <v>134.40337045400003</v>
      </c>
      <c r="CV21" s="733">
        <f>SUM(CR21:CU21)</f>
        <v>489.73229630630004</v>
      </c>
    </row>
    <row r="22" spans="5:103" ht="13.5" customHeight="1" x14ac:dyDescent="0.25">
      <c r="E22" s="541" t="s">
        <v>2</v>
      </c>
      <c r="F22" s="737"/>
      <c r="G22" s="737"/>
      <c r="H22" s="737"/>
      <c r="I22" s="737"/>
      <c r="J22" s="737"/>
      <c r="K22" s="737"/>
      <c r="L22" s="737"/>
      <c r="M22" s="737"/>
      <c r="N22" s="737"/>
      <c r="O22" s="569"/>
      <c r="P22" s="737"/>
      <c r="Q22" s="737"/>
      <c r="R22" s="737"/>
      <c r="S22" s="737"/>
      <c r="T22" s="569"/>
      <c r="U22" s="737"/>
      <c r="V22" s="737"/>
      <c r="W22" s="737"/>
      <c r="X22" s="737"/>
      <c r="Y22" s="569"/>
      <c r="Z22" s="737"/>
      <c r="AA22" s="737"/>
      <c r="AB22" s="737"/>
      <c r="AC22" s="737"/>
      <c r="AD22" s="569"/>
      <c r="AE22" s="737"/>
      <c r="AF22" s="737"/>
      <c r="AG22" s="737"/>
      <c r="AH22" s="737"/>
      <c r="AI22" s="570"/>
      <c r="AJ22" s="737"/>
      <c r="AK22" s="737"/>
      <c r="AL22" s="737"/>
      <c r="AM22" s="737"/>
      <c r="AN22" s="570"/>
      <c r="AO22" s="737"/>
      <c r="AP22" s="737"/>
      <c r="AQ22" s="737"/>
      <c r="AR22" s="737"/>
      <c r="AS22" s="569"/>
      <c r="AT22" s="737"/>
      <c r="AU22" s="737"/>
      <c r="AV22" s="737"/>
      <c r="AW22" s="737"/>
      <c r="AX22" s="569"/>
      <c r="AY22" s="737"/>
      <c r="AZ22" s="737"/>
      <c r="BA22" s="737"/>
      <c r="BB22" s="737"/>
      <c r="BC22" s="641"/>
      <c r="BD22" s="737"/>
      <c r="BE22" s="737"/>
      <c r="BF22" s="737"/>
      <c r="BG22" s="737"/>
      <c r="BH22" s="641"/>
      <c r="BI22" s="737"/>
      <c r="BJ22" s="737"/>
      <c r="BK22" s="737"/>
      <c r="BL22" s="737"/>
      <c r="BM22" s="518"/>
      <c r="BN22" s="737"/>
      <c r="BO22" s="737"/>
      <c r="BP22" s="737"/>
      <c r="BQ22" s="737"/>
      <c r="BR22" s="641"/>
      <c r="BS22" s="737"/>
      <c r="BT22" s="737"/>
      <c r="BU22" s="737"/>
      <c r="BV22" s="737"/>
      <c r="BW22" s="641"/>
      <c r="BX22" s="737"/>
      <c r="BY22" s="737"/>
      <c r="BZ22" s="737"/>
      <c r="CA22" s="737"/>
      <c r="CB22" s="641"/>
      <c r="CC22" s="641">
        <f>CC21/BX21-1</f>
        <v>0.52554985337243387</v>
      </c>
      <c r="CD22" s="641">
        <f t="shared" ref="CD22" si="10">CD21/BY21-1</f>
        <v>0.58869706840390856</v>
      </c>
      <c r="CE22" s="641">
        <f>CE21/BZ21-1</f>
        <v>0.45576716738197431</v>
      </c>
      <c r="CF22" s="641">
        <f>CF21/CA21-1</f>
        <v>0.36356968215158947</v>
      </c>
      <c r="CG22" s="641">
        <f t="shared" ref="CG22" si="11">CG21/CB21-1</f>
        <v>0.47202555816686265</v>
      </c>
      <c r="CH22" s="641">
        <f>CH21/CC21-1</f>
        <v>0.43597568301415279</v>
      </c>
      <c r="CI22" s="641">
        <f>CI21/CD21-1</f>
        <v>0.29604494289873506</v>
      </c>
      <c r="CJ22" s="641">
        <f>CJ21/CE21-1</f>
        <v>0.34559411103535975</v>
      </c>
      <c r="CK22" s="641">
        <f>CK21/CF21-1</f>
        <v>0.42442406311637093</v>
      </c>
      <c r="CL22" s="641">
        <f t="shared" ref="CL22" si="12">CL21/CG21-1</f>
        <v>0.37423785741726556</v>
      </c>
      <c r="CM22" s="641">
        <f t="shared" ref="CM22" si="13">CM21/CH21-1</f>
        <v>0.35895149010224059</v>
      </c>
      <c r="CN22" s="641">
        <f t="shared" ref="CN22" si="14">CN21/CI21-1</f>
        <v>0.40215591976207055</v>
      </c>
      <c r="CO22" s="641">
        <f>CO21/CJ21-1</f>
        <v>0.37501870588824615</v>
      </c>
      <c r="CP22" s="641">
        <f>CP21/CK21-1</f>
        <v>0.2874263838692106</v>
      </c>
      <c r="CQ22" s="641">
        <f t="shared" ref="CQ22" si="15">CQ21/CL21-1</f>
        <v>0.35249785292519831</v>
      </c>
      <c r="CR22" s="641">
        <f t="shared" ref="CR22" si="16">CR21/CM21-1</f>
        <v>0.31695202573994341</v>
      </c>
      <c r="CS22" s="641">
        <f t="shared" ref="CS22" si="17">CS21/CN21-1</f>
        <v>0.31174199068790109</v>
      </c>
      <c r="CT22" s="641">
        <f>CT21/CO21-1</f>
        <v>0.31568938271381719</v>
      </c>
      <c r="CU22" s="641">
        <f>CU21/CP21-1</f>
        <v>0.31415868159859373</v>
      </c>
      <c r="CV22" s="641">
        <f t="shared" ref="CV22" si="18">CV21/CQ21-1</f>
        <v>0.31460524111760213</v>
      </c>
    </row>
    <row r="23" spans="5:103" ht="3.75" customHeight="1" x14ac:dyDescent="0.25">
      <c r="E23" s="365"/>
      <c r="F23" s="448"/>
      <c r="G23" s="448"/>
      <c r="H23" s="448"/>
      <c r="I23" s="448"/>
      <c r="J23" s="448"/>
      <c r="K23" s="451"/>
      <c r="L23" s="451"/>
      <c r="M23" s="451"/>
      <c r="N23" s="451"/>
      <c r="O23" s="449"/>
      <c r="P23" s="451"/>
      <c r="Q23" s="451"/>
      <c r="R23" s="451"/>
      <c r="S23" s="451"/>
      <c r="T23" s="449"/>
      <c r="U23" s="451"/>
      <c r="V23" s="451"/>
      <c r="W23" s="451"/>
      <c r="X23" s="451"/>
      <c r="Y23" s="449"/>
      <c r="Z23" s="451"/>
      <c r="AA23" s="451"/>
      <c r="AB23" s="451"/>
      <c r="AC23" s="451"/>
      <c r="AD23" s="449"/>
      <c r="AE23" s="451"/>
      <c r="AF23" s="451"/>
      <c r="AG23" s="451"/>
      <c r="AH23" s="451"/>
      <c r="AI23" s="370"/>
      <c r="AJ23" s="451"/>
      <c r="AK23" s="451"/>
      <c r="AL23" s="451"/>
      <c r="AM23" s="451"/>
      <c r="AN23" s="370"/>
      <c r="AO23" s="451"/>
      <c r="AP23" s="451"/>
      <c r="AQ23" s="451"/>
      <c r="AR23" s="451"/>
      <c r="AS23" s="449"/>
      <c r="AT23" s="451"/>
      <c r="AU23" s="451"/>
      <c r="AV23" s="451"/>
      <c r="AW23" s="451"/>
      <c r="AX23" s="449"/>
      <c r="AY23" s="451"/>
      <c r="AZ23" s="451"/>
      <c r="BA23" s="451"/>
      <c r="BB23" s="451"/>
      <c r="BC23" s="32"/>
      <c r="BD23" s="451"/>
      <c r="BE23" s="451"/>
      <c r="BF23" s="451"/>
      <c r="BG23" s="451"/>
      <c r="BH23" s="32"/>
      <c r="BI23" s="451"/>
      <c r="BJ23" s="451"/>
      <c r="BK23" s="451"/>
      <c r="BL23" s="451"/>
      <c r="BM23" s="518"/>
      <c r="BN23" s="451"/>
      <c r="BO23" s="451"/>
      <c r="BP23" s="451"/>
      <c r="BQ23" s="451"/>
      <c r="BR23" s="32"/>
      <c r="BS23" s="451"/>
      <c r="BT23" s="451"/>
      <c r="BU23" s="451"/>
      <c r="BV23" s="451"/>
      <c r="BW23" s="32"/>
      <c r="BX23" s="451"/>
      <c r="BY23" s="451"/>
      <c r="BZ23" s="451"/>
      <c r="CA23" s="451"/>
      <c r="CB23" s="32"/>
      <c r="CC23" s="451"/>
      <c r="CD23" s="451"/>
      <c r="CE23" s="451"/>
      <c r="CF23" s="451"/>
      <c r="CG23" s="32"/>
      <c r="CH23" s="451"/>
      <c r="CI23" s="451"/>
      <c r="CJ23" s="451"/>
      <c r="CK23" s="451"/>
      <c r="CL23" s="32"/>
      <c r="CM23" s="451"/>
      <c r="CN23" s="451"/>
      <c r="CO23" s="451"/>
      <c r="CP23" s="451"/>
      <c r="CQ23" s="32"/>
      <c r="CR23" s="451"/>
      <c r="CS23" s="451"/>
      <c r="CT23" s="451"/>
      <c r="CU23" s="451"/>
      <c r="CV23" s="32"/>
    </row>
    <row r="24" spans="5:103" ht="13.5" customHeight="1" x14ac:dyDescent="0.25">
      <c r="E24" s="365" t="s">
        <v>795</v>
      </c>
      <c r="F24" s="448"/>
      <c r="G24" s="448"/>
      <c r="H24" s="448"/>
      <c r="I24" s="448"/>
      <c r="J24" s="448"/>
      <c r="K24" s="451"/>
      <c r="L24" s="451"/>
      <c r="M24" s="451"/>
      <c r="N24" s="451"/>
      <c r="O24" s="449"/>
      <c r="P24" s="451"/>
      <c r="Q24" s="451"/>
      <c r="R24" s="451"/>
      <c r="S24" s="451"/>
      <c r="T24" s="449"/>
      <c r="U24" s="451"/>
      <c r="V24" s="451"/>
      <c r="W24" s="451"/>
      <c r="X24" s="451"/>
      <c r="Y24" s="449"/>
      <c r="Z24" s="451"/>
      <c r="AA24" s="451"/>
      <c r="AB24" s="451"/>
      <c r="AC24" s="451"/>
      <c r="AD24" s="449"/>
      <c r="AE24" s="451"/>
      <c r="AF24" s="451"/>
      <c r="AG24" s="451"/>
      <c r="AH24" s="451"/>
      <c r="AI24" s="370"/>
      <c r="AJ24" s="451"/>
      <c r="AK24" s="451"/>
      <c r="AL24" s="451"/>
      <c r="AM24" s="451"/>
      <c r="AN24" s="370"/>
      <c r="AO24" s="451"/>
      <c r="AP24" s="451"/>
      <c r="AQ24" s="451"/>
      <c r="AR24" s="451"/>
      <c r="AS24" s="449"/>
      <c r="AT24" s="451"/>
      <c r="AU24" s="451"/>
      <c r="AV24" s="451"/>
      <c r="AW24" s="451"/>
      <c r="AX24" s="449"/>
      <c r="AY24" s="451"/>
      <c r="AZ24" s="451"/>
      <c r="BA24" s="451"/>
      <c r="BB24" s="451"/>
      <c r="BC24" s="32"/>
      <c r="BD24" s="451"/>
      <c r="BE24" s="451"/>
      <c r="BF24" s="451"/>
      <c r="BG24" s="451"/>
      <c r="BH24" s="32"/>
      <c r="BI24" s="451"/>
      <c r="BJ24" s="451"/>
      <c r="BK24" s="451"/>
      <c r="BL24" s="451"/>
      <c r="BM24" s="518"/>
      <c r="BN24" s="451"/>
      <c r="BO24" s="451"/>
      <c r="BP24" s="451"/>
      <c r="BQ24" s="451"/>
      <c r="BR24" s="32"/>
      <c r="BS24" s="451"/>
      <c r="BT24" s="451"/>
      <c r="BU24" s="451"/>
      <c r="BV24" s="451"/>
      <c r="BW24" s="32"/>
      <c r="BX24" s="451"/>
      <c r="BY24" s="451"/>
      <c r="BZ24" s="451"/>
      <c r="CA24" s="451"/>
      <c r="CB24" s="32"/>
      <c r="CC24" s="451"/>
      <c r="CD24" s="451"/>
      <c r="CE24" s="451"/>
      <c r="CF24" s="451"/>
      <c r="CG24" s="32"/>
      <c r="CH24" s="760"/>
      <c r="CI24" s="760"/>
      <c r="CJ24" s="760"/>
      <c r="CK24" s="760"/>
      <c r="CL24" s="32"/>
      <c r="CM24" s="451"/>
      <c r="CN24" s="451"/>
      <c r="CO24" s="451"/>
      <c r="CP24" s="451"/>
      <c r="CQ24" s="32"/>
      <c r="CR24" s="451"/>
      <c r="CS24" s="451"/>
      <c r="CT24" s="451"/>
      <c r="CU24" s="451"/>
      <c r="CV24" s="32"/>
    </row>
    <row r="25" spans="5:103" ht="3.75" customHeight="1" x14ac:dyDescent="0.25">
      <c r="E25" s="365"/>
      <c r="F25" s="448"/>
      <c r="G25" s="448"/>
      <c r="H25" s="448"/>
      <c r="I25" s="448"/>
      <c r="J25" s="448"/>
      <c r="K25" s="451"/>
      <c r="L25" s="451"/>
      <c r="M25" s="451"/>
      <c r="N25" s="451"/>
      <c r="O25" s="449"/>
      <c r="P25" s="451"/>
      <c r="Q25" s="451"/>
      <c r="R25" s="451"/>
      <c r="S25" s="451"/>
      <c r="T25" s="449"/>
      <c r="U25" s="451"/>
      <c r="V25" s="451"/>
      <c r="W25" s="451"/>
      <c r="X25" s="451"/>
      <c r="Y25" s="449"/>
      <c r="Z25" s="451"/>
      <c r="AA25" s="451"/>
      <c r="AB25" s="451"/>
      <c r="AC25" s="451"/>
      <c r="AD25" s="449"/>
      <c r="AE25" s="451"/>
      <c r="AF25" s="451"/>
      <c r="AG25" s="451"/>
      <c r="AH25" s="451"/>
      <c r="AI25" s="370"/>
      <c r="AJ25" s="451"/>
      <c r="AK25" s="451"/>
      <c r="AL25" s="451"/>
      <c r="AM25" s="451"/>
      <c r="AN25" s="370"/>
      <c r="AO25" s="451"/>
      <c r="AP25" s="451"/>
      <c r="AQ25" s="451"/>
      <c r="AR25" s="451"/>
      <c r="AS25" s="449"/>
      <c r="AT25" s="451"/>
      <c r="AU25" s="451"/>
      <c r="AV25" s="451"/>
      <c r="AW25" s="451"/>
      <c r="AX25" s="449"/>
      <c r="AY25" s="451"/>
      <c r="AZ25" s="451"/>
      <c r="BA25" s="451"/>
      <c r="BB25" s="451"/>
      <c r="BC25" s="32"/>
      <c r="BD25" s="451"/>
      <c r="BE25" s="451"/>
      <c r="BF25" s="451"/>
      <c r="BG25" s="451"/>
      <c r="BH25" s="32"/>
      <c r="BI25" s="451"/>
      <c r="BJ25" s="451"/>
      <c r="BK25" s="451"/>
      <c r="BL25" s="451"/>
      <c r="BM25" s="518"/>
      <c r="BN25" s="451"/>
      <c r="BO25" s="451"/>
      <c r="BP25" s="451"/>
      <c r="BQ25" s="451"/>
      <c r="BR25" s="32"/>
      <c r="BS25" s="451"/>
      <c r="BT25" s="451"/>
      <c r="BU25" s="451"/>
      <c r="BV25" s="451"/>
      <c r="BW25" s="32"/>
      <c r="BX25" s="451"/>
      <c r="BY25" s="451"/>
      <c r="BZ25" s="451"/>
      <c r="CA25" s="451"/>
      <c r="CB25" s="32"/>
      <c r="CC25" s="451"/>
      <c r="CD25" s="451"/>
      <c r="CE25" s="451"/>
      <c r="CF25" s="451"/>
      <c r="CG25" s="32"/>
      <c r="CH25" s="451"/>
      <c r="CI25" s="451"/>
      <c r="CJ25" s="451"/>
      <c r="CK25" s="451"/>
      <c r="CL25" s="32"/>
      <c r="CM25" s="451"/>
      <c r="CN25" s="451"/>
      <c r="CO25" s="451"/>
      <c r="CP25" s="451"/>
      <c r="CQ25" s="32"/>
      <c r="CR25" s="451"/>
      <c r="CS25" s="451"/>
      <c r="CT25" s="451"/>
      <c r="CU25" s="451"/>
      <c r="CV25" s="32"/>
    </row>
    <row r="26" spans="5:103" ht="13.5" customHeight="1" x14ac:dyDescent="0.25">
      <c r="E26" s="54" t="s">
        <v>797</v>
      </c>
      <c r="F26" s="448"/>
      <c r="G26" s="448"/>
      <c r="H26" s="448"/>
      <c r="I26" s="448"/>
      <c r="J26" s="448"/>
      <c r="K26" s="451"/>
      <c r="L26" s="451"/>
      <c r="M26" s="451"/>
      <c r="N26" s="451"/>
      <c r="O26" s="449"/>
      <c r="P26" s="451"/>
      <c r="Q26" s="451"/>
      <c r="R26" s="451"/>
      <c r="S26" s="451"/>
      <c r="T26" s="449"/>
      <c r="U26" s="451"/>
      <c r="V26" s="451"/>
      <c r="W26" s="451"/>
      <c r="X26" s="451"/>
      <c r="Y26" s="449"/>
      <c r="Z26" s="451"/>
      <c r="AA26" s="451"/>
      <c r="AB26" s="451"/>
      <c r="AC26" s="451"/>
      <c r="AD26" s="449"/>
      <c r="AE26" s="451"/>
      <c r="AF26" s="451"/>
      <c r="AG26" s="451"/>
      <c r="AH26" s="451"/>
      <c r="AI26" s="370"/>
      <c r="AJ26" s="451"/>
      <c r="AK26" s="451"/>
      <c r="AL26" s="451"/>
      <c r="AM26" s="451"/>
      <c r="AN26" s="370"/>
      <c r="AO26" s="451"/>
      <c r="AP26" s="451"/>
      <c r="AQ26" s="451"/>
      <c r="AR26" s="451"/>
      <c r="AS26" s="449"/>
      <c r="AT26" s="451"/>
      <c r="AU26" s="451"/>
      <c r="AV26" s="451"/>
      <c r="AW26" s="451"/>
      <c r="AX26" s="449"/>
      <c r="AY26" s="451"/>
      <c r="AZ26" s="451"/>
      <c r="BA26" s="451"/>
      <c r="BB26" s="451"/>
      <c r="BC26" s="32"/>
      <c r="BD26" s="451"/>
      <c r="BE26" s="451"/>
      <c r="BF26" s="451"/>
      <c r="BG26" s="451"/>
      <c r="BH26" s="32"/>
      <c r="BI26" s="451"/>
      <c r="BJ26" s="451"/>
      <c r="BK26" s="451"/>
      <c r="BL26" s="451"/>
      <c r="BM26" s="518"/>
      <c r="BN26" s="451"/>
      <c r="BO26" s="451"/>
      <c r="BP26" s="451"/>
      <c r="BQ26" s="451"/>
      <c r="BR26" s="32"/>
      <c r="BS26" s="451"/>
      <c r="BT26" s="451"/>
      <c r="BU26" s="451"/>
      <c r="BV26" s="451"/>
      <c r="BW26" s="32"/>
      <c r="BX26" s="417">
        <v>22.702000000000002</v>
      </c>
      <c r="BY26" s="417">
        <v>26.145</v>
      </c>
      <c r="BZ26" s="417">
        <v>30.323</v>
      </c>
      <c r="CA26" s="417">
        <v>35.581000000000003</v>
      </c>
      <c r="CB26" s="188">
        <f>SUM(BX26:CA26)</f>
        <v>114.751</v>
      </c>
      <c r="CC26" s="417">
        <v>37.052999999999997</v>
      </c>
      <c r="CD26" s="417">
        <v>42.320999999999998</v>
      </c>
      <c r="CE26" s="417">
        <v>45.762999999999998</v>
      </c>
      <c r="CF26" s="417">
        <v>46.917000000000002</v>
      </c>
      <c r="CG26" s="188">
        <f>SUM(CC26:CF26)</f>
        <v>172.054</v>
      </c>
      <c r="CH26" s="417">
        <v>51.329000000000001</v>
      </c>
      <c r="CI26" s="417">
        <v>54.87</v>
      </c>
      <c r="CJ26" s="721">
        <f>CJ16-CJ30</f>
        <v>63.304538000000001</v>
      </c>
      <c r="CK26" s="721">
        <f>CK16-CK30</f>
        <v>69.204520000000016</v>
      </c>
      <c r="CL26" s="188">
        <f>SUM(CH26:CK26)</f>
        <v>238.70805799999999</v>
      </c>
      <c r="CM26" s="721">
        <f>CM16-CM30</f>
        <v>66.950540000000004</v>
      </c>
      <c r="CN26" s="721">
        <f>CN16-CN30</f>
        <v>73.720079999999996</v>
      </c>
      <c r="CO26" s="721">
        <f>CO16-CO30</f>
        <v>82.980940780000012</v>
      </c>
      <c r="CP26" s="721">
        <f>CP16-CP30</f>
        <v>86.408123800000013</v>
      </c>
      <c r="CQ26" s="188">
        <f>SUM(CM26:CP26)</f>
        <v>310.05968458000001</v>
      </c>
      <c r="CR26" s="721">
        <f>CR16-CR30</f>
        <v>86.273151000000013</v>
      </c>
      <c r="CS26" s="721">
        <f>CS16-CS30</f>
        <v>94.639882799999981</v>
      </c>
      <c r="CT26" s="721">
        <f>CT16-CT30</f>
        <v>106.83581455230001</v>
      </c>
      <c r="CU26" s="721">
        <f>CU16-CU30</f>
        <v>111.39883697900002</v>
      </c>
      <c r="CV26" s="188">
        <f>SUM(CR26:CU26)</f>
        <v>399.14768533130001</v>
      </c>
      <c r="CY26" s="719"/>
    </row>
    <row r="27" spans="5:103" ht="13.5" customHeight="1" x14ac:dyDescent="0.25">
      <c r="E27" s="91" t="s">
        <v>2</v>
      </c>
      <c r="F27" s="448"/>
      <c r="G27" s="448"/>
      <c r="H27" s="448"/>
      <c r="I27" s="448"/>
      <c r="J27" s="448"/>
      <c r="K27" s="451"/>
      <c r="L27" s="451"/>
      <c r="M27" s="451"/>
      <c r="N27" s="451"/>
      <c r="O27" s="449"/>
      <c r="P27" s="451"/>
      <c r="Q27" s="451"/>
      <c r="R27" s="451"/>
      <c r="S27" s="451"/>
      <c r="T27" s="449"/>
      <c r="U27" s="451"/>
      <c r="V27" s="451"/>
      <c r="W27" s="451"/>
      <c r="X27" s="451"/>
      <c r="Y27" s="449"/>
      <c r="Z27" s="451"/>
      <c r="AA27" s="451"/>
      <c r="AB27" s="451"/>
      <c r="AC27" s="451"/>
      <c r="AD27" s="449"/>
      <c r="AE27" s="451"/>
      <c r="AF27" s="451"/>
      <c r="AG27" s="451"/>
      <c r="AH27" s="451"/>
      <c r="AI27" s="370"/>
      <c r="AJ27" s="451"/>
      <c r="AK27" s="451"/>
      <c r="AL27" s="451"/>
      <c r="AM27" s="451"/>
      <c r="AN27" s="370"/>
      <c r="AO27" s="451"/>
      <c r="AP27" s="451"/>
      <c r="AQ27" s="451"/>
      <c r="AR27" s="451"/>
      <c r="AS27" s="449"/>
      <c r="AT27" s="451"/>
      <c r="AU27" s="451"/>
      <c r="AV27" s="451"/>
      <c r="AW27" s="451"/>
      <c r="AX27" s="449"/>
      <c r="AY27" s="451"/>
      <c r="AZ27" s="451"/>
      <c r="BA27" s="451"/>
      <c r="BB27" s="451"/>
      <c r="BC27" s="32"/>
      <c r="BD27" s="451"/>
      <c r="BE27" s="451"/>
      <c r="BF27" s="451"/>
      <c r="BG27" s="451"/>
      <c r="BH27" s="32"/>
      <c r="BI27" s="451"/>
      <c r="BJ27" s="451"/>
      <c r="BK27" s="451"/>
      <c r="BL27" s="451"/>
      <c r="BM27" s="518"/>
      <c r="BN27" s="451"/>
      <c r="BO27" s="451"/>
      <c r="BP27" s="451"/>
      <c r="BQ27" s="451"/>
      <c r="BR27" s="32"/>
      <c r="BS27" s="451"/>
      <c r="BT27" s="451"/>
      <c r="BU27" s="451"/>
      <c r="BV27" s="451"/>
      <c r="BW27" s="32"/>
      <c r="BX27" s="451"/>
      <c r="BY27" s="451"/>
      <c r="BZ27" s="451"/>
      <c r="CA27" s="451"/>
      <c r="CB27" s="32"/>
      <c r="CC27" s="183">
        <f t="shared" ref="CC27" si="19">CC26/BX26-1</f>
        <v>0.63214694740551458</v>
      </c>
      <c r="CD27" s="183">
        <f t="shared" ref="CD27" si="20">CD26/BY26-1</f>
        <v>0.61870338496844512</v>
      </c>
      <c r="CE27" s="183">
        <f>CE26/BZ26-1</f>
        <v>0.50918444744913094</v>
      </c>
      <c r="CF27" s="183">
        <f>CF26/CA26-1</f>
        <v>0.31859700401899893</v>
      </c>
      <c r="CG27" s="641">
        <f t="shared" ref="CG27" si="21">CG26/CB26-1</f>
        <v>0.4993681972270394</v>
      </c>
      <c r="CH27" s="183">
        <f>CH26/CC26-1</f>
        <v>0.38528594175910191</v>
      </c>
      <c r="CI27" s="183">
        <f>CI26/CD26-1</f>
        <v>0.29651945842489535</v>
      </c>
      <c r="CJ27" s="183">
        <f>CJ26/CE26-1</f>
        <v>0.38331267617944631</v>
      </c>
      <c r="CK27" s="183">
        <f>CK26/CF26-1</f>
        <v>0.47504145618858873</v>
      </c>
      <c r="CL27" s="641">
        <f t="shared" ref="CL27" si="22">CL26/CG26-1</f>
        <v>0.38740196682436912</v>
      </c>
      <c r="CM27" s="183">
        <f>CM26/CH26-1</f>
        <v>0.30434140544331667</v>
      </c>
      <c r="CN27" s="183">
        <f>CN26/CI26-1</f>
        <v>0.34354073264078733</v>
      </c>
      <c r="CO27" s="183">
        <f>CO26/CJ26-1</f>
        <v>0.31082136291714213</v>
      </c>
      <c r="CP27" s="183">
        <f>CP26/CK26-1</f>
        <v>0.24859075389873375</v>
      </c>
      <c r="CQ27" s="641">
        <f t="shared" ref="CQ27" si="23">CQ26/CL26-1</f>
        <v>0.29890749050457277</v>
      </c>
      <c r="CR27" s="183">
        <f>CR26/CM26-1</f>
        <v>0.28861023376361139</v>
      </c>
      <c r="CS27" s="183">
        <f>CS26/CN26-1</f>
        <v>0.28377346850410334</v>
      </c>
      <c r="CT27" s="183">
        <f>CT26/CO26-1</f>
        <v>0.2874741301806194</v>
      </c>
      <c r="CU27" s="183">
        <f>CU26/CP26-1</f>
        <v>0.28921717171921757</v>
      </c>
      <c r="CV27" s="641">
        <f t="shared" ref="CV27" si="24">CV26/CQ26-1</f>
        <v>0.28732532857980764</v>
      </c>
    </row>
    <row r="28" spans="5:103" ht="13.5" customHeight="1" x14ac:dyDescent="0.25">
      <c r="E28" s="91" t="s">
        <v>796</v>
      </c>
      <c r="F28" s="448"/>
      <c r="G28" s="448"/>
      <c r="H28" s="448"/>
      <c r="I28" s="448"/>
      <c r="J28" s="448"/>
      <c r="K28" s="451"/>
      <c r="L28" s="451"/>
      <c r="M28" s="451"/>
      <c r="N28" s="451"/>
      <c r="O28" s="449"/>
      <c r="P28" s="451"/>
      <c r="Q28" s="451"/>
      <c r="R28" s="451"/>
      <c r="S28" s="451"/>
      <c r="T28" s="449"/>
      <c r="U28" s="451"/>
      <c r="V28" s="451"/>
      <c r="W28" s="451"/>
      <c r="X28" s="451"/>
      <c r="Y28" s="449"/>
      <c r="Z28" s="451"/>
      <c r="AA28" s="451"/>
      <c r="AB28" s="451"/>
      <c r="AC28" s="451"/>
      <c r="AD28" s="449"/>
      <c r="AE28" s="451"/>
      <c r="AF28" s="451"/>
      <c r="AG28" s="451"/>
      <c r="AH28" s="451"/>
      <c r="AI28" s="370"/>
      <c r="AJ28" s="451"/>
      <c r="AK28" s="451"/>
      <c r="AL28" s="451"/>
      <c r="AM28" s="451"/>
      <c r="AN28" s="370"/>
      <c r="AO28" s="451"/>
      <c r="AP28" s="451"/>
      <c r="AQ28" s="451"/>
      <c r="AR28" s="451"/>
      <c r="AS28" s="449"/>
      <c r="AT28" s="451"/>
      <c r="AU28" s="451"/>
      <c r="AV28" s="451"/>
      <c r="AW28" s="451"/>
      <c r="AX28" s="449"/>
      <c r="AY28" s="451"/>
      <c r="AZ28" s="451"/>
      <c r="BA28" s="451"/>
      <c r="BB28" s="451"/>
      <c r="BC28" s="32"/>
      <c r="BD28" s="451"/>
      <c r="BE28" s="451"/>
      <c r="BF28" s="451"/>
      <c r="BG28" s="451"/>
      <c r="BH28" s="32"/>
      <c r="BI28" s="451"/>
      <c r="BJ28" s="451"/>
      <c r="BK28" s="451"/>
      <c r="BL28" s="451"/>
      <c r="BM28" s="518"/>
      <c r="BN28" s="451"/>
      <c r="BO28" s="451"/>
      <c r="BP28" s="451"/>
      <c r="BQ28" s="451"/>
      <c r="BR28" s="32"/>
      <c r="BS28" s="451"/>
      <c r="BT28" s="451"/>
      <c r="BU28" s="451"/>
      <c r="BV28" s="451"/>
      <c r="BW28" s="32"/>
      <c r="BX28" s="183">
        <f t="shared" ref="BX28:CV28" si="25">BX26/BX34</f>
        <v>0.68586102719033237</v>
      </c>
      <c r="BY28" s="183">
        <f t="shared" si="25"/>
        <v>0.75563583815028901</v>
      </c>
      <c r="BZ28" s="183">
        <f t="shared" si="25"/>
        <v>0.73599514563106794</v>
      </c>
      <c r="CA28" s="183">
        <f t="shared" si="25"/>
        <v>0.78200000000000003</v>
      </c>
      <c r="CB28" s="641">
        <f t="shared" si="25"/>
        <v>0.74320595854922278</v>
      </c>
      <c r="CC28" s="183">
        <f t="shared" si="25"/>
        <v>0.79245888316187951</v>
      </c>
      <c r="CD28" s="183">
        <f t="shared" si="25"/>
        <v>0.78353359376446408</v>
      </c>
      <c r="CE28" s="183">
        <f t="shared" si="25"/>
        <v>0.77405659579506425</v>
      </c>
      <c r="CF28" s="183">
        <f t="shared" si="25"/>
        <v>0.77922272047832586</v>
      </c>
      <c r="CG28" s="641">
        <f t="shared" si="25"/>
        <v>0.78170476281343571</v>
      </c>
      <c r="CH28" s="183">
        <f t="shared" si="25"/>
        <v>0.82164524339293443</v>
      </c>
      <c r="CI28" s="183">
        <f t="shared" si="25"/>
        <v>0.84660248102203295</v>
      </c>
      <c r="CJ28" s="183">
        <f t="shared" si="25"/>
        <v>0.84039930150698938</v>
      </c>
      <c r="CK28" s="183">
        <f t="shared" si="25"/>
        <v>0.87115315647142078</v>
      </c>
      <c r="CL28" s="641">
        <f t="shared" si="25"/>
        <v>0.84633281232381219</v>
      </c>
      <c r="CM28" s="183">
        <f t="shared" si="25"/>
        <v>0.82438916272535079</v>
      </c>
      <c r="CN28" s="183">
        <f t="shared" si="25"/>
        <v>0.83174453601296494</v>
      </c>
      <c r="CO28" s="183">
        <f t="shared" si="25"/>
        <v>0.82639531439176983</v>
      </c>
      <c r="CP28" s="183">
        <f t="shared" si="25"/>
        <v>0.8448745419764625</v>
      </c>
      <c r="CQ28" s="641">
        <f t="shared" si="25"/>
        <v>0.83230387189576704</v>
      </c>
      <c r="CR28" s="183">
        <f t="shared" si="25"/>
        <v>0.80664769173715978</v>
      </c>
      <c r="CS28" s="183">
        <f t="shared" si="25"/>
        <v>0.81401035835312519</v>
      </c>
      <c r="CT28" s="183">
        <f t="shared" si="25"/>
        <v>0.80867308238612712</v>
      </c>
      <c r="CU28" s="183">
        <f t="shared" si="25"/>
        <v>0.82883960872935569</v>
      </c>
      <c r="CV28" s="641">
        <f t="shared" si="25"/>
        <v>0.81503239288440876</v>
      </c>
    </row>
    <row r="29" spans="5:103" ht="3.75" customHeight="1" x14ac:dyDescent="0.25">
      <c r="E29" s="174"/>
      <c r="F29" s="448"/>
      <c r="G29" s="448"/>
      <c r="H29" s="448"/>
      <c r="I29" s="448"/>
      <c r="J29" s="448"/>
      <c r="K29" s="451"/>
      <c r="L29" s="451"/>
      <c r="M29" s="451"/>
      <c r="N29" s="451"/>
      <c r="O29" s="449"/>
      <c r="P29" s="451"/>
      <c r="Q29" s="451"/>
      <c r="R29" s="451"/>
      <c r="S29" s="451"/>
      <c r="T29" s="449"/>
      <c r="U29" s="451"/>
      <c r="V29" s="451"/>
      <c r="W29" s="451"/>
      <c r="X29" s="451"/>
      <c r="Y29" s="449"/>
      <c r="Z29" s="451"/>
      <c r="AA29" s="451"/>
      <c r="AB29" s="451"/>
      <c r="AC29" s="451"/>
      <c r="AD29" s="449"/>
      <c r="AE29" s="451"/>
      <c r="AF29" s="451"/>
      <c r="AG29" s="451"/>
      <c r="AH29" s="451"/>
      <c r="AI29" s="370"/>
      <c r="AJ29" s="451"/>
      <c r="AK29" s="451"/>
      <c r="AL29" s="451"/>
      <c r="AM29" s="451"/>
      <c r="AN29" s="370"/>
      <c r="AO29" s="451"/>
      <c r="AP29" s="451"/>
      <c r="AQ29" s="451"/>
      <c r="AR29" s="451"/>
      <c r="AS29" s="449"/>
      <c r="AT29" s="451"/>
      <c r="AU29" s="451"/>
      <c r="AV29" s="451"/>
      <c r="AW29" s="451"/>
      <c r="AX29" s="449"/>
      <c r="AY29" s="451"/>
      <c r="AZ29" s="451"/>
      <c r="BA29" s="451"/>
      <c r="BB29" s="451"/>
      <c r="BC29" s="32"/>
      <c r="BD29" s="451"/>
      <c r="BE29" s="451"/>
      <c r="BF29" s="451"/>
      <c r="BG29" s="451"/>
      <c r="BH29" s="32"/>
      <c r="BI29" s="451"/>
      <c r="BJ29" s="451"/>
      <c r="BK29" s="451"/>
      <c r="BL29" s="451"/>
      <c r="BM29" s="518"/>
      <c r="BN29" s="451"/>
      <c r="BO29" s="451"/>
      <c r="BP29" s="451"/>
      <c r="BQ29" s="451"/>
      <c r="BR29" s="32"/>
      <c r="BS29" s="451"/>
      <c r="BT29" s="451"/>
      <c r="BU29" s="451"/>
      <c r="BV29" s="451"/>
      <c r="BW29" s="32"/>
      <c r="BX29" s="451"/>
      <c r="BY29" s="451"/>
      <c r="BZ29" s="451"/>
      <c r="CA29" s="451"/>
      <c r="CB29" s="32"/>
      <c r="CC29" s="451"/>
      <c r="CD29" s="451"/>
      <c r="CE29" s="451"/>
      <c r="CF29" s="451"/>
      <c r="CG29" s="32"/>
      <c r="CH29" s="451"/>
      <c r="CI29" s="451"/>
      <c r="CJ29" s="451"/>
      <c r="CK29" s="451"/>
      <c r="CL29" s="32"/>
      <c r="CM29" s="451"/>
      <c r="CN29" s="451"/>
      <c r="CO29" s="451"/>
      <c r="CP29" s="451"/>
      <c r="CQ29" s="32"/>
      <c r="CR29" s="451"/>
      <c r="CS29" s="451"/>
      <c r="CT29" s="451"/>
      <c r="CU29" s="451"/>
      <c r="CV29" s="32"/>
    </row>
    <row r="30" spans="5:103" ht="13.5" customHeight="1" x14ac:dyDescent="0.25">
      <c r="E30" s="54" t="s">
        <v>798</v>
      </c>
      <c r="F30" s="448"/>
      <c r="G30" s="448"/>
      <c r="H30" s="448"/>
      <c r="I30" s="448"/>
      <c r="J30" s="448"/>
      <c r="K30" s="451"/>
      <c r="L30" s="451"/>
      <c r="M30" s="451"/>
      <c r="N30" s="451"/>
      <c r="O30" s="449"/>
      <c r="P30" s="451"/>
      <c r="Q30" s="451"/>
      <c r="R30" s="451"/>
      <c r="S30" s="451"/>
      <c r="T30" s="449"/>
      <c r="U30" s="451"/>
      <c r="V30" s="451"/>
      <c r="W30" s="451"/>
      <c r="X30" s="451"/>
      <c r="Y30" s="449"/>
      <c r="Z30" s="451"/>
      <c r="AA30" s="451"/>
      <c r="AB30" s="451"/>
      <c r="AC30" s="451"/>
      <c r="AD30" s="449"/>
      <c r="AE30" s="451"/>
      <c r="AF30" s="451"/>
      <c r="AG30" s="451"/>
      <c r="AH30" s="451"/>
      <c r="AI30" s="370"/>
      <c r="AJ30" s="451"/>
      <c r="AK30" s="451"/>
      <c r="AL30" s="451"/>
      <c r="AM30" s="451"/>
      <c r="AN30" s="370"/>
      <c r="AO30" s="451"/>
      <c r="AP30" s="451"/>
      <c r="AQ30" s="451"/>
      <c r="AR30" s="451"/>
      <c r="AS30" s="449"/>
      <c r="AT30" s="451"/>
      <c r="AU30" s="451"/>
      <c r="AV30" s="451"/>
      <c r="AW30" s="451"/>
      <c r="AX30" s="449"/>
      <c r="AY30" s="451"/>
      <c r="AZ30" s="451"/>
      <c r="BA30" s="451"/>
      <c r="BB30" s="451"/>
      <c r="BC30" s="32"/>
      <c r="BD30" s="451"/>
      <c r="BE30" s="451"/>
      <c r="BF30" s="451"/>
      <c r="BG30" s="451"/>
      <c r="BH30" s="32"/>
      <c r="BI30" s="451"/>
      <c r="BJ30" s="451"/>
      <c r="BK30" s="451"/>
      <c r="BL30" s="451"/>
      <c r="BM30" s="518"/>
      <c r="BN30" s="451"/>
      <c r="BO30" s="451"/>
      <c r="BP30" s="451"/>
      <c r="BQ30" s="451"/>
      <c r="BR30" s="32"/>
      <c r="BS30" s="451"/>
      <c r="BT30" s="451"/>
      <c r="BU30" s="451"/>
      <c r="BV30" s="451"/>
      <c r="BW30" s="32"/>
      <c r="BX30" s="721">
        <f>BX16-BX26</f>
        <v>10.398</v>
      </c>
      <c r="BY30" s="721">
        <f>BY16-BY26</f>
        <v>8.4550000000000018</v>
      </c>
      <c r="BZ30" s="721">
        <f>BZ16-BZ26</f>
        <v>10.877000000000002</v>
      </c>
      <c r="CA30" s="721">
        <f>CA16-CA26</f>
        <v>9.9189999999999969</v>
      </c>
      <c r="CB30" s="188">
        <f>SUM(BX30:CA30)</f>
        <v>39.649000000000001</v>
      </c>
      <c r="CC30" s="721">
        <f>CC16-CC26</f>
        <v>9.7040000000000006</v>
      </c>
      <c r="CD30" s="721">
        <f>CD16-CD26</f>
        <v>11.692</v>
      </c>
      <c r="CE30" s="721">
        <f>CE16-CE26</f>
        <v>13.358000000000004</v>
      </c>
      <c r="CF30" s="721">
        <f>CF16-CF26</f>
        <v>13.292999999999999</v>
      </c>
      <c r="CG30" s="188">
        <f>SUM(CC30:CF30)</f>
        <v>48.047000000000004</v>
      </c>
      <c r="CH30" s="721">
        <f>CH16-CH26</f>
        <v>11.141999999999996</v>
      </c>
      <c r="CI30" s="721">
        <f>CI16-CI26</f>
        <v>9.9420000000000002</v>
      </c>
      <c r="CJ30" s="721">
        <f>CE30*(1+CJ31)</f>
        <v>12.022200000000003</v>
      </c>
      <c r="CK30" s="721">
        <f>CF30*(1+CK31)</f>
        <v>10.235609999999999</v>
      </c>
      <c r="CL30" s="188">
        <f>SUM(CH30:CK30)</f>
        <v>43.341810000000002</v>
      </c>
      <c r="CM30" s="721">
        <f>CH30*(1+CM31)</f>
        <v>14.261759999999995</v>
      </c>
      <c r="CN30" s="721">
        <f>CI30*(1+CN31)</f>
        <v>14.913</v>
      </c>
      <c r="CO30" s="721">
        <f>CJ30*(1+CO31)</f>
        <v>17.432190000000006</v>
      </c>
      <c r="CP30" s="721">
        <f>CK30*(1+CP31)</f>
        <v>15.8651955</v>
      </c>
      <c r="CQ30" s="188">
        <f>SUM(CM30:CP30)</f>
        <v>62.472145499999996</v>
      </c>
      <c r="CR30" s="721">
        <f>CM30*(1+CR31)</f>
        <v>20.679551999999994</v>
      </c>
      <c r="CS30" s="721">
        <f>CN30*(1+CS31)</f>
        <v>21.623850000000001</v>
      </c>
      <c r="CT30" s="721">
        <f>CO30*(1+CT31)</f>
        <v>25.276675500000007</v>
      </c>
      <c r="CU30" s="721">
        <f>CP30*(1+CU31)</f>
        <v>23.004533474999999</v>
      </c>
      <c r="CV30" s="188">
        <f>SUM(CR30:CU30)</f>
        <v>90.584610975000004</v>
      </c>
    </row>
    <row r="31" spans="5:103" ht="13.5" customHeight="1" x14ac:dyDescent="0.25">
      <c r="E31" s="91" t="s">
        <v>2</v>
      </c>
      <c r="F31" s="448"/>
      <c r="G31" s="448"/>
      <c r="H31" s="448"/>
      <c r="I31" s="448"/>
      <c r="J31" s="448"/>
      <c r="K31" s="451"/>
      <c r="L31" s="451"/>
      <c r="M31" s="451"/>
      <c r="N31" s="451"/>
      <c r="O31" s="449"/>
      <c r="P31" s="451"/>
      <c r="Q31" s="451"/>
      <c r="R31" s="451"/>
      <c r="S31" s="451"/>
      <c r="T31" s="449"/>
      <c r="U31" s="451"/>
      <c r="V31" s="451"/>
      <c r="W31" s="451"/>
      <c r="X31" s="451"/>
      <c r="Y31" s="449"/>
      <c r="Z31" s="451"/>
      <c r="AA31" s="451"/>
      <c r="AB31" s="451"/>
      <c r="AC31" s="451"/>
      <c r="AD31" s="449"/>
      <c r="AE31" s="451"/>
      <c r="AF31" s="451"/>
      <c r="AG31" s="451"/>
      <c r="AH31" s="451"/>
      <c r="AI31" s="370"/>
      <c r="AJ31" s="451"/>
      <c r="AK31" s="451"/>
      <c r="AL31" s="451"/>
      <c r="AM31" s="451"/>
      <c r="AN31" s="370"/>
      <c r="AO31" s="451"/>
      <c r="AP31" s="451"/>
      <c r="AQ31" s="451"/>
      <c r="AR31" s="451"/>
      <c r="AS31" s="449"/>
      <c r="AT31" s="451"/>
      <c r="AU31" s="451"/>
      <c r="AV31" s="451"/>
      <c r="AW31" s="451"/>
      <c r="AX31" s="449"/>
      <c r="AY31" s="451"/>
      <c r="AZ31" s="451"/>
      <c r="BA31" s="451"/>
      <c r="BB31" s="451"/>
      <c r="BC31" s="32"/>
      <c r="BD31" s="451"/>
      <c r="BE31" s="451"/>
      <c r="BF31" s="451"/>
      <c r="BG31" s="451"/>
      <c r="BH31" s="32"/>
      <c r="BI31" s="451"/>
      <c r="BJ31" s="451"/>
      <c r="BK31" s="451"/>
      <c r="BL31" s="451"/>
      <c r="BM31" s="518"/>
      <c r="BN31" s="451"/>
      <c r="BO31" s="451"/>
      <c r="BP31" s="451"/>
      <c r="BQ31" s="451"/>
      <c r="BR31" s="32"/>
      <c r="BS31" s="451"/>
      <c r="BT31" s="451"/>
      <c r="BU31" s="451"/>
      <c r="BV31" s="451"/>
      <c r="BW31" s="32"/>
      <c r="BX31" s="451"/>
      <c r="BY31" s="451"/>
      <c r="BZ31" s="451"/>
      <c r="CA31" s="451"/>
      <c r="CB31" s="32"/>
      <c r="CC31" s="183">
        <f t="shared" ref="CC31" si="26">CC30/BX30-1</f>
        <v>-6.6743604539334367E-2</v>
      </c>
      <c r="CD31" s="183">
        <f t="shared" ref="CD31" si="27">CD30/BY30-1</f>
        <v>0.38285038438793584</v>
      </c>
      <c r="CE31" s="183">
        <f>CE30/BZ30-1</f>
        <v>0.22809598234807393</v>
      </c>
      <c r="CF31" s="183">
        <f>CF30/CA30-1</f>
        <v>0.3401552575864506</v>
      </c>
      <c r="CG31" s="641">
        <f t="shared" ref="CG31" si="28">CG30/CB30-1</f>
        <v>0.21180862064617023</v>
      </c>
      <c r="CH31" s="183">
        <f>CH30/CC30-1</f>
        <v>0.14818631492168133</v>
      </c>
      <c r="CI31" s="183">
        <f>CI30/CD30-1</f>
        <v>-0.14967499144714336</v>
      </c>
      <c r="CJ31" s="727">
        <v>-0.1</v>
      </c>
      <c r="CK31" s="727">
        <v>-0.23</v>
      </c>
      <c r="CL31" s="641">
        <f t="shared" ref="CL31" si="29">CL30/CG30-1</f>
        <v>-9.7928902949195651E-2</v>
      </c>
      <c r="CM31" s="727">
        <v>0.28000000000000003</v>
      </c>
      <c r="CN31" s="727">
        <v>0.5</v>
      </c>
      <c r="CO31" s="727">
        <v>0.45</v>
      </c>
      <c r="CP31" s="727">
        <v>0.55000000000000004</v>
      </c>
      <c r="CQ31" s="641">
        <f t="shared" ref="CQ31" si="30">CQ30/CL30-1</f>
        <v>0.44138293947576246</v>
      </c>
      <c r="CR31" s="727">
        <v>0.45</v>
      </c>
      <c r="CS31" s="727">
        <v>0.45</v>
      </c>
      <c r="CT31" s="727">
        <v>0.45</v>
      </c>
      <c r="CU31" s="727">
        <v>0.45</v>
      </c>
      <c r="CV31" s="641">
        <f t="shared" ref="CV31" si="31">CV30/CQ30-1</f>
        <v>0.45000000000000018</v>
      </c>
    </row>
    <row r="32" spans="5:103" ht="13.5" customHeight="1" x14ac:dyDescent="0.25">
      <c r="E32" s="91" t="s">
        <v>796</v>
      </c>
      <c r="F32" s="448"/>
      <c r="G32" s="448"/>
      <c r="H32" s="448"/>
      <c r="I32" s="448"/>
      <c r="J32" s="448"/>
      <c r="K32" s="451"/>
      <c r="L32" s="451"/>
      <c r="M32" s="451"/>
      <c r="N32" s="451"/>
      <c r="O32" s="449"/>
      <c r="P32" s="451"/>
      <c r="Q32" s="451"/>
      <c r="R32" s="451"/>
      <c r="S32" s="451"/>
      <c r="T32" s="449"/>
      <c r="U32" s="451"/>
      <c r="V32" s="451"/>
      <c r="W32" s="451"/>
      <c r="X32" s="451"/>
      <c r="Y32" s="449"/>
      <c r="Z32" s="451"/>
      <c r="AA32" s="451"/>
      <c r="AB32" s="451"/>
      <c r="AC32" s="451"/>
      <c r="AD32" s="449"/>
      <c r="AE32" s="451"/>
      <c r="AF32" s="451"/>
      <c r="AG32" s="451"/>
      <c r="AH32" s="451"/>
      <c r="AI32" s="370"/>
      <c r="AJ32" s="451"/>
      <c r="AK32" s="451"/>
      <c r="AL32" s="451"/>
      <c r="AM32" s="451"/>
      <c r="AN32" s="370"/>
      <c r="AO32" s="451"/>
      <c r="AP32" s="451"/>
      <c r="AQ32" s="451"/>
      <c r="AR32" s="451"/>
      <c r="AS32" s="449"/>
      <c r="AT32" s="451"/>
      <c r="AU32" s="451"/>
      <c r="AV32" s="451"/>
      <c r="AW32" s="451"/>
      <c r="AX32" s="449"/>
      <c r="AY32" s="451"/>
      <c r="AZ32" s="451"/>
      <c r="BA32" s="451"/>
      <c r="BB32" s="451"/>
      <c r="BC32" s="32"/>
      <c r="BD32" s="451"/>
      <c r="BE32" s="451"/>
      <c r="BF32" s="451"/>
      <c r="BG32" s="451"/>
      <c r="BH32" s="32"/>
      <c r="BI32" s="451"/>
      <c r="BJ32" s="451"/>
      <c r="BK32" s="451"/>
      <c r="BL32" s="451"/>
      <c r="BM32" s="518"/>
      <c r="BN32" s="451"/>
      <c r="BO32" s="451"/>
      <c r="BP32" s="451"/>
      <c r="BQ32" s="451"/>
      <c r="BR32" s="32"/>
      <c r="BS32" s="451"/>
      <c r="BT32" s="451"/>
      <c r="BU32" s="451"/>
      <c r="BV32" s="451"/>
      <c r="BW32" s="32"/>
      <c r="BX32" s="183">
        <f t="shared" ref="BX32:CV32" si="32">BX30/BX34</f>
        <v>0.31413897280966763</v>
      </c>
      <c r="BY32" s="183">
        <f t="shared" si="32"/>
        <v>0.24436416184971102</v>
      </c>
      <c r="BZ32" s="183">
        <f t="shared" si="32"/>
        <v>0.26400485436893206</v>
      </c>
      <c r="CA32" s="183">
        <f t="shared" si="32"/>
        <v>0.21799999999999994</v>
      </c>
      <c r="CB32" s="641">
        <f t="shared" si="32"/>
        <v>0.25679404145077722</v>
      </c>
      <c r="CC32" s="183">
        <f t="shared" si="32"/>
        <v>0.20754111683812052</v>
      </c>
      <c r="CD32" s="183">
        <f t="shared" si="32"/>
        <v>0.2164664062355359</v>
      </c>
      <c r="CE32" s="183">
        <f t="shared" si="32"/>
        <v>0.22594340420493569</v>
      </c>
      <c r="CF32" s="183">
        <f t="shared" si="32"/>
        <v>0.22077727952167411</v>
      </c>
      <c r="CG32" s="641">
        <f t="shared" si="32"/>
        <v>0.21829523718656438</v>
      </c>
      <c r="CH32" s="183">
        <f t="shared" si="32"/>
        <v>0.17835475660706562</v>
      </c>
      <c r="CI32" s="183">
        <f>CI30/CI34</f>
        <v>0.15339751897796705</v>
      </c>
      <c r="CJ32" s="183">
        <f t="shared" si="32"/>
        <v>0.15960069849301056</v>
      </c>
      <c r="CK32" s="183">
        <f t="shared" si="32"/>
        <v>0.12884684352857931</v>
      </c>
      <c r="CL32" s="641">
        <f t="shared" si="32"/>
        <v>0.15366718767618781</v>
      </c>
      <c r="CM32" s="183">
        <f t="shared" si="32"/>
        <v>0.17561083727464924</v>
      </c>
      <c r="CN32" s="183">
        <f t="shared" si="32"/>
        <v>0.16825546398703511</v>
      </c>
      <c r="CO32" s="183">
        <f t="shared" si="32"/>
        <v>0.1736046856082302</v>
      </c>
      <c r="CP32" s="183">
        <f t="shared" si="32"/>
        <v>0.1551254580235375</v>
      </c>
      <c r="CQ32" s="641">
        <f t="shared" si="32"/>
        <v>0.16769612810423287</v>
      </c>
      <c r="CR32" s="183">
        <f t="shared" si="32"/>
        <v>0.19335230826284017</v>
      </c>
      <c r="CS32" s="183">
        <f t="shared" si="32"/>
        <v>0.18598964164687479</v>
      </c>
      <c r="CT32" s="183">
        <f t="shared" si="32"/>
        <v>0.19132691761387288</v>
      </c>
      <c r="CU32" s="183">
        <f t="shared" si="32"/>
        <v>0.17116039127064431</v>
      </c>
      <c r="CV32" s="641">
        <f t="shared" si="32"/>
        <v>0.18496760711559121</v>
      </c>
    </row>
    <row r="33" spans="5:102" ht="3.75" customHeight="1" x14ac:dyDescent="0.25">
      <c r="E33" s="91"/>
      <c r="F33" s="448"/>
      <c r="G33" s="448"/>
      <c r="H33" s="448"/>
      <c r="I33" s="448"/>
      <c r="J33" s="448"/>
      <c r="K33" s="451"/>
      <c r="L33" s="451"/>
      <c r="M33" s="451"/>
      <c r="N33" s="451"/>
      <c r="O33" s="449"/>
      <c r="P33" s="451"/>
      <c r="Q33" s="451"/>
      <c r="R33" s="451"/>
      <c r="S33" s="451"/>
      <c r="T33" s="449"/>
      <c r="U33" s="451"/>
      <c r="V33" s="451"/>
      <c r="W33" s="451"/>
      <c r="X33" s="451"/>
      <c r="Y33" s="449"/>
      <c r="Z33" s="451"/>
      <c r="AA33" s="451"/>
      <c r="AB33" s="451"/>
      <c r="AC33" s="451"/>
      <c r="AD33" s="449"/>
      <c r="AE33" s="451"/>
      <c r="AF33" s="451"/>
      <c r="AG33" s="451"/>
      <c r="AH33" s="451"/>
      <c r="AI33" s="370"/>
      <c r="AJ33" s="451"/>
      <c r="AK33" s="451"/>
      <c r="AL33" s="451"/>
      <c r="AM33" s="451"/>
      <c r="AN33" s="370"/>
      <c r="AO33" s="451"/>
      <c r="AP33" s="451"/>
      <c r="AQ33" s="451"/>
      <c r="AR33" s="451"/>
      <c r="AS33" s="449"/>
      <c r="AT33" s="451"/>
      <c r="AU33" s="451"/>
      <c r="AV33" s="451"/>
      <c r="AW33" s="451"/>
      <c r="AX33" s="449"/>
      <c r="AY33" s="451"/>
      <c r="AZ33" s="451"/>
      <c r="BA33" s="451"/>
      <c r="BB33" s="451"/>
      <c r="BC33" s="32"/>
      <c r="BD33" s="451"/>
      <c r="BE33" s="451"/>
      <c r="BF33" s="451"/>
      <c r="BG33" s="451"/>
      <c r="BH33" s="32"/>
      <c r="BI33" s="451"/>
      <c r="BJ33" s="451"/>
      <c r="BK33" s="451"/>
      <c r="BL33" s="451"/>
      <c r="BM33" s="518"/>
      <c r="BN33" s="451"/>
      <c r="BO33" s="451"/>
      <c r="BP33" s="451"/>
      <c r="BQ33" s="451"/>
      <c r="BR33" s="32"/>
      <c r="BS33" s="451"/>
      <c r="BT33" s="451"/>
      <c r="BU33" s="451"/>
      <c r="BV33" s="451"/>
      <c r="BW33" s="32"/>
      <c r="BX33" s="451"/>
      <c r="BY33" s="451"/>
      <c r="BZ33" s="451"/>
      <c r="CA33" s="451"/>
      <c r="CB33" s="32"/>
      <c r="CC33" s="451"/>
      <c r="CD33" s="451"/>
      <c r="CE33" s="451"/>
      <c r="CF33" s="451"/>
      <c r="CG33" s="32"/>
      <c r="CH33" s="451"/>
      <c r="CI33" s="451"/>
      <c r="CJ33" s="451"/>
      <c r="CK33" s="451"/>
      <c r="CL33" s="32"/>
      <c r="CM33" s="451"/>
      <c r="CN33" s="451"/>
      <c r="CO33" s="451"/>
      <c r="CP33" s="451"/>
      <c r="CQ33" s="32"/>
      <c r="CR33" s="451"/>
      <c r="CS33" s="451"/>
      <c r="CT33" s="451"/>
      <c r="CU33" s="451"/>
      <c r="CV33" s="32"/>
    </row>
    <row r="34" spans="5:102" ht="13.5" customHeight="1" x14ac:dyDescent="0.3">
      <c r="E34" s="558" t="s">
        <v>744</v>
      </c>
      <c r="F34" s="737"/>
      <c r="G34" s="737"/>
      <c r="H34" s="737"/>
      <c r="I34" s="737"/>
      <c r="J34" s="737"/>
      <c r="K34" s="737"/>
      <c r="L34" s="737"/>
      <c r="M34" s="737"/>
      <c r="N34" s="737"/>
      <c r="O34" s="569"/>
      <c r="P34" s="737"/>
      <c r="Q34" s="737"/>
      <c r="R34" s="737"/>
      <c r="S34" s="737"/>
      <c r="T34" s="569"/>
      <c r="U34" s="737"/>
      <c r="V34" s="737"/>
      <c r="W34" s="737"/>
      <c r="X34" s="737"/>
      <c r="Y34" s="569"/>
      <c r="Z34" s="737"/>
      <c r="AA34" s="737"/>
      <c r="AB34" s="737"/>
      <c r="AC34" s="737"/>
      <c r="AD34" s="569"/>
      <c r="AE34" s="737"/>
      <c r="AF34" s="737"/>
      <c r="AG34" s="737"/>
      <c r="AH34" s="737"/>
      <c r="AI34" s="570"/>
      <c r="AJ34" s="737"/>
      <c r="AK34" s="737"/>
      <c r="AL34" s="737"/>
      <c r="AM34" s="737"/>
      <c r="AN34" s="570"/>
      <c r="AO34" s="737"/>
      <c r="AP34" s="737"/>
      <c r="AQ34" s="737"/>
      <c r="AR34" s="737"/>
      <c r="AS34" s="569"/>
      <c r="AT34" s="737"/>
      <c r="AU34" s="737"/>
      <c r="AV34" s="737"/>
      <c r="AW34" s="737"/>
      <c r="AX34" s="569"/>
      <c r="AY34" s="737"/>
      <c r="AZ34" s="737"/>
      <c r="BA34" s="737"/>
      <c r="BB34" s="737"/>
      <c r="BC34" s="641"/>
      <c r="BD34" s="737"/>
      <c r="BE34" s="737"/>
      <c r="BF34" s="737"/>
      <c r="BG34" s="737"/>
      <c r="BH34" s="641"/>
      <c r="BI34" s="737"/>
      <c r="BJ34" s="737"/>
      <c r="BK34" s="737"/>
      <c r="BL34" s="737"/>
      <c r="BM34" s="518"/>
      <c r="BN34" s="737"/>
      <c r="BO34" s="737"/>
      <c r="BP34" s="737"/>
      <c r="BQ34" s="737"/>
      <c r="BR34" s="641"/>
      <c r="BS34" s="737"/>
      <c r="BT34" s="737"/>
      <c r="BU34" s="737"/>
      <c r="BV34" s="737"/>
      <c r="BW34" s="641"/>
      <c r="BX34" s="642">
        <f>BX26+BX30</f>
        <v>33.1</v>
      </c>
      <c r="BY34" s="642">
        <f>BY26+BY30</f>
        <v>34.6</v>
      </c>
      <c r="BZ34" s="642">
        <f>BZ26+BZ30</f>
        <v>41.2</v>
      </c>
      <c r="CA34" s="642">
        <f>CA26+CA30</f>
        <v>45.5</v>
      </c>
      <c r="CB34" s="35">
        <f>SUM(BX34:CA34)</f>
        <v>154.4</v>
      </c>
      <c r="CC34" s="642">
        <f>CC26+CC30</f>
        <v>46.756999999999998</v>
      </c>
      <c r="CD34" s="642">
        <f>CD26+CD30</f>
        <v>54.012999999999998</v>
      </c>
      <c r="CE34" s="642">
        <f>CE26+CE30</f>
        <v>59.121000000000002</v>
      </c>
      <c r="CF34" s="642">
        <f>CF26+CF30</f>
        <v>60.21</v>
      </c>
      <c r="CG34" s="35">
        <f>SUM(CC34:CF34)</f>
        <v>220.101</v>
      </c>
      <c r="CH34" s="642">
        <f>CH26+CH30</f>
        <v>62.470999999999997</v>
      </c>
      <c r="CI34" s="642">
        <f>CI26+CI30</f>
        <v>64.811999999999998</v>
      </c>
      <c r="CJ34" s="642">
        <f>CJ26+CJ30</f>
        <v>75.326738000000006</v>
      </c>
      <c r="CK34" s="642">
        <f>CK26+CK30</f>
        <v>79.440130000000011</v>
      </c>
      <c r="CL34" s="35">
        <f>SUM(CH34:CK34)</f>
        <v>282.049868</v>
      </c>
      <c r="CM34" s="642">
        <f>CM26+CM30</f>
        <v>81.212299999999999</v>
      </c>
      <c r="CN34" s="642">
        <f>CN26+CN30</f>
        <v>88.633079999999993</v>
      </c>
      <c r="CO34" s="642">
        <f>CO26+CO30</f>
        <v>100.41313078000002</v>
      </c>
      <c r="CP34" s="642">
        <f>CP26+CP30</f>
        <v>102.27331930000001</v>
      </c>
      <c r="CQ34" s="35">
        <f>SUM(CM34:CP34)</f>
        <v>372.53183008000002</v>
      </c>
      <c r="CR34" s="642">
        <f>CR26+CR30</f>
        <v>106.95270300000001</v>
      </c>
      <c r="CS34" s="642">
        <f>CS26+CS30</f>
        <v>116.26373279999999</v>
      </c>
      <c r="CT34" s="642">
        <f>CT26+CT30</f>
        <v>132.11249005230002</v>
      </c>
      <c r="CU34" s="642">
        <f>CU26+CU30</f>
        <v>134.40337045400003</v>
      </c>
      <c r="CV34" s="35">
        <f>SUM(CR34:CU34)</f>
        <v>489.73229630630004</v>
      </c>
    </row>
    <row r="35" spans="5:102" ht="13.5" customHeight="1" x14ac:dyDescent="0.25">
      <c r="E35" s="643" t="s">
        <v>2</v>
      </c>
      <c r="F35" s="737"/>
      <c r="G35" s="737"/>
      <c r="H35" s="737"/>
      <c r="I35" s="737"/>
      <c r="J35" s="737"/>
      <c r="K35" s="737"/>
      <c r="L35" s="737"/>
      <c r="M35" s="737"/>
      <c r="N35" s="737"/>
      <c r="O35" s="569"/>
      <c r="P35" s="737"/>
      <c r="Q35" s="737"/>
      <c r="R35" s="737"/>
      <c r="S35" s="737"/>
      <c r="T35" s="569"/>
      <c r="U35" s="737"/>
      <c r="V35" s="737"/>
      <c r="W35" s="737"/>
      <c r="X35" s="737"/>
      <c r="Y35" s="569"/>
      <c r="Z35" s="737"/>
      <c r="AA35" s="737"/>
      <c r="AB35" s="737"/>
      <c r="AC35" s="737"/>
      <c r="AD35" s="569"/>
      <c r="AE35" s="737"/>
      <c r="AF35" s="737"/>
      <c r="AG35" s="737"/>
      <c r="AH35" s="737"/>
      <c r="AI35" s="570"/>
      <c r="AJ35" s="737"/>
      <c r="AK35" s="737"/>
      <c r="AL35" s="737"/>
      <c r="AM35" s="737"/>
      <c r="AN35" s="570"/>
      <c r="AO35" s="737"/>
      <c r="AP35" s="737"/>
      <c r="AQ35" s="737"/>
      <c r="AR35" s="737"/>
      <c r="AS35" s="569"/>
      <c r="AT35" s="737"/>
      <c r="AU35" s="737"/>
      <c r="AV35" s="737"/>
      <c r="AW35" s="737"/>
      <c r="AX35" s="569"/>
      <c r="AY35" s="737"/>
      <c r="AZ35" s="737"/>
      <c r="BA35" s="737"/>
      <c r="BB35" s="737"/>
      <c r="BC35" s="641"/>
      <c r="BD35" s="737"/>
      <c r="BE35" s="737"/>
      <c r="BF35" s="737"/>
      <c r="BG35" s="737"/>
      <c r="BH35" s="641"/>
      <c r="BI35" s="737"/>
      <c r="BJ35" s="737"/>
      <c r="BK35" s="737"/>
      <c r="BL35" s="737"/>
      <c r="BM35" s="518"/>
      <c r="BN35" s="737"/>
      <c r="BO35" s="737"/>
      <c r="BP35" s="737"/>
      <c r="BQ35" s="737"/>
      <c r="BR35" s="641"/>
      <c r="BS35" s="737"/>
      <c r="BT35" s="737"/>
      <c r="BU35" s="737"/>
      <c r="BV35" s="737"/>
      <c r="BW35" s="641"/>
      <c r="BX35" s="737"/>
      <c r="BY35" s="737"/>
      <c r="BZ35" s="737"/>
      <c r="CA35" s="737"/>
      <c r="CB35" s="641"/>
      <c r="CC35" s="641">
        <f>CC34/BX34-1</f>
        <v>0.41259818731117814</v>
      </c>
      <c r="CD35" s="641">
        <f t="shared" ref="CD35" si="33">CD34/BY34-1</f>
        <v>0.5610693641618496</v>
      </c>
      <c r="CE35" s="641">
        <f t="shared" ref="CE35:CV35" si="34">CE34/BZ34-1</f>
        <v>0.43497572815533969</v>
      </c>
      <c r="CF35" s="641">
        <f t="shared" si="34"/>
        <v>0.32329670329670335</v>
      </c>
      <c r="CG35" s="641">
        <f>CG34/CB34-1</f>
        <v>0.42552461139896369</v>
      </c>
      <c r="CH35" s="641">
        <f t="shared" si="34"/>
        <v>0.33607802040336199</v>
      </c>
      <c r="CI35" s="641">
        <f t="shared" si="34"/>
        <v>0.19993334937885332</v>
      </c>
      <c r="CJ35" s="641">
        <f t="shared" si="34"/>
        <v>0.27411136482806464</v>
      </c>
      <c r="CK35" s="641">
        <f t="shared" si="34"/>
        <v>0.31938432154127239</v>
      </c>
      <c r="CL35" s="641">
        <f t="shared" si="34"/>
        <v>0.28145654949318732</v>
      </c>
      <c r="CM35" s="641">
        <f t="shared" si="34"/>
        <v>0.30000000000000004</v>
      </c>
      <c r="CN35" s="641">
        <f t="shared" si="34"/>
        <v>0.36754119607480096</v>
      </c>
      <c r="CO35" s="641">
        <f t="shared" si="34"/>
        <v>0.33303437061087138</v>
      </c>
      <c r="CP35" s="641">
        <f t="shared" si="34"/>
        <v>0.2874263838692106</v>
      </c>
      <c r="CQ35" s="641">
        <f t="shared" si="34"/>
        <v>0.32080129206087782</v>
      </c>
      <c r="CR35" s="641">
        <f t="shared" si="34"/>
        <v>0.31695202573994341</v>
      </c>
      <c r="CS35" s="641">
        <f t="shared" si="34"/>
        <v>0.31174199068790109</v>
      </c>
      <c r="CT35" s="641">
        <f t="shared" si="34"/>
        <v>0.31568938271381719</v>
      </c>
      <c r="CU35" s="641">
        <f t="shared" si="34"/>
        <v>0.31415868159859373</v>
      </c>
      <c r="CV35" s="641">
        <f t="shared" si="34"/>
        <v>0.31460524111760213</v>
      </c>
    </row>
    <row r="36" spans="5:102" ht="3.75" customHeight="1" x14ac:dyDescent="0.25">
      <c r="E36" s="91"/>
      <c r="F36" s="448"/>
      <c r="G36" s="448"/>
      <c r="H36" s="448"/>
      <c r="I36" s="448"/>
      <c r="J36" s="448"/>
      <c r="K36" s="451"/>
      <c r="L36" s="451"/>
      <c r="M36" s="451"/>
      <c r="N36" s="451"/>
      <c r="O36" s="449"/>
      <c r="P36" s="451"/>
      <c r="Q36" s="451"/>
      <c r="R36" s="451"/>
      <c r="S36" s="451"/>
      <c r="T36" s="449"/>
      <c r="U36" s="451"/>
      <c r="V36" s="451"/>
      <c r="W36" s="451"/>
      <c r="X36" s="451"/>
      <c r="Y36" s="449"/>
      <c r="Z36" s="451"/>
      <c r="AA36" s="451"/>
      <c r="AB36" s="451"/>
      <c r="AC36" s="451"/>
      <c r="AD36" s="449"/>
      <c r="AE36" s="451"/>
      <c r="AF36" s="451"/>
      <c r="AG36" s="451"/>
      <c r="AH36" s="451"/>
      <c r="AI36" s="370"/>
      <c r="AJ36" s="451"/>
      <c r="AK36" s="451"/>
      <c r="AL36" s="451"/>
      <c r="AM36" s="451"/>
      <c r="AN36" s="370"/>
      <c r="AO36" s="451"/>
      <c r="AP36" s="451"/>
      <c r="AQ36" s="451"/>
      <c r="AR36" s="451"/>
      <c r="AS36" s="449"/>
      <c r="AT36" s="451"/>
      <c r="AU36" s="451"/>
      <c r="AV36" s="451"/>
      <c r="AW36" s="451"/>
      <c r="AX36" s="449"/>
      <c r="AY36" s="451"/>
      <c r="AZ36" s="451"/>
      <c r="BA36" s="451"/>
      <c r="BB36" s="451"/>
      <c r="BC36" s="32"/>
      <c r="BD36" s="451"/>
      <c r="BE36" s="451"/>
      <c r="BF36" s="451"/>
      <c r="BG36" s="451"/>
      <c r="BH36" s="32"/>
      <c r="BI36" s="451"/>
      <c r="BJ36" s="451"/>
      <c r="BK36" s="451"/>
      <c r="BL36" s="451"/>
      <c r="BM36" s="518"/>
      <c r="BN36" s="451"/>
      <c r="BO36" s="451"/>
      <c r="BP36" s="451"/>
      <c r="BQ36" s="451"/>
      <c r="BR36" s="32"/>
      <c r="BS36" s="451"/>
      <c r="BT36" s="451"/>
      <c r="BU36" s="451"/>
      <c r="BV36" s="451"/>
      <c r="BW36" s="32"/>
      <c r="BX36" s="451"/>
      <c r="BY36" s="451"/>
      <c r="BZ36" s="451"/>
      <c r="CA36" s="451"/>
      <c r="CB36" s="32"/>
      <c r="CC36" s="451"/>
      <c r="CD36" s="451"/>
      <c r="CE36" s="451"/>
      <c r="CF36" s="451"/>
      <c r="CG36" s="32"/>
      <c r="CH36" s="765"/>
      <c r="CI36" s="765"/>
      <c r="CJ36" s="765"/>
      <c r="CK36" s="765"/>
      <c r="CL36" s="32"/>
      <c r="CM36" s="765"/>
      <c r="CN36" s="765"/>
      <c r="CO36" s="765"/>
      <c r="CP36" s="765"/>
      <c r="CQ36" s="32"/>
      <c r="CR36" s="765"/>
      <c r="CS36" s="765"/>
      <c r="CT36" s="765"/>
      <c r="CU36" s="765"/>
      <c r="CV36" s="32"/>
    </row>
    <row r="37" spans="5:102" ht="13.5" customHeight="1" x14ac:dyDescent="0.25">
      <c r="E37" s="365" t="s">
        <v>799</v>
      </c>
      <c r="F37" s="448"/>
      <c r="G37" s="448"/>
      <c r="H37" s="448"/>
      <c r="I37" s="448"/>
      <c r="J37" s="448"/>
      <c r="K37" s="451"/>
      <c r="L37" s="451"/>
      <c r="M37" s="451"/>
      <c r="N37" s="451"/>
      <c r="O37" s="449"/>
      <c r="P37" s="451"/>
      <c r="Q37" s="451"/>
      <c r="R37" s="451"/>
      <c r="S37" s="451"/>
      <c r="T37" s="449"/>
      <c r="U37" s="451"/>
      <c r="V37" s="451"/>
      <c r="W37" s="451"/>
      <c r="X37" s="451"/>
      <c r="Y37" s="449"/>
      <c r="Z37" s="451"/>
      <c r="AA37" s="451"/>
      <c r="AB37" s="451"/>
      <c r="AC37" s="451"/>
      <c r="AD37" s="449"/>
      <c r="AE37" s="451"/>
      <c r="AF37" s="451"/>
      <c r="AG37" s="451"/>
      <c r="AH37" s="451"/>
      <c r="AI37" s="370"/>
      <c r="AJ37" s="451"/>
      <c r="AK37" s="451"/>
      <c r="AL37" s="451"/>
      <c r="AM37" s="451"/>
      <c r="AN37" s="370"/>
      <c r="AO37" s="451"/>
      <c r="AP37" s="451"/>
      <c r="AQ37" s="451"/>
      <c r="AR37" s="451"/>
      <c r="AS37" s="449"/>
      <c r="AT37" s="451"/>
      <c r="AU37" s="451"/>
      <c r="AV37" s="451"/>
      <c r="AW37" s="451"/>
      <c r="AX37" s="449"/>
      <c r="AY37" s="451"/>
      <c r="AZ37" s="451"/>
      <c r="BA37" s="451"/>
      <c r="BB37" s="451"/>
      <c r="BC37" s="32"/>
      <c r="BD37" s="451"/>
      <c r="BE37" s="451"/>
      <c r="BF37" s="451"/>
      <c r="BG37" s="451"/>
      <c r="BH37" s="32"/>
      <c r="BI37" s="451"/>
      <c r="BJ37" s="451"/>
      <c r="BK37" s="451"/>
      <c r="BL37" s="451"/>
      <c r="BM37" s="518"/>
      <c r="BN37" s="451"/>
      <c r="BO37" s="451"/>
      <c r="BP37" s="451"/>
      <c r="BQ37" s="451"/>
      <c r="BR37" s="32"/>
      <c r="BS37" s="451"/>
      <c r="BT37" s="451"/>
      <c r="BU37" s="451"/>
      <c r="BV37" s="451"/>
      <c r="BW37" s="32"/>
      <c r="BX37" s="451"/>
      <c r="BY37" s="451"/>
      <c r="BZ37" s="451"/>
      <c r="CA37" s="451"/>
      <c r="CB37" s="32"/>
      <c r="CC37" s="451"/>
      <c r="CD37" s="451"/>
      <c r="CE37" s="451"/>
      <c r="CF37" s="451"/>
      <c r="CG37" s="32"/>
      <c r="CH37" s="765"/>
      <c r="CI37" s="765"/>
      <c r="CJ37" s="765"/>
      <c r="CK37" s="765"/>
      <c r="CL37" s="768"/>
      <c r="CM37" s="765"/>
      <c r="CN37" s="765"/>
      <c r="CO37" s="765"/>
      <c r="CP37" s="765"/>
      <c r="CQ37" s="32"/>
      <c r="CR37" s="765"/>
      <c r="CS37" s="765"/>
      <c r="CT37" s="765"/>
      <c r="CU37" s="765"/>
      <c r="CV37" s="32"/>
    </row>
    <row r="38" spans="5:102" ht="3.75" customHeight="1" x14ac:dyDescent="0.25">
      <c r="E38" s="91"/>
      <c r="F38" s="448"/>
      <c r="G38" s="448"/>
      <c r="H38" s="448"/>
      <c r="I38" s="448"/>
      <c r="J38" s="448"/>
      <c r="K38" s="451"/>
      <c r="L38" s="451"/>
      <c r="M38" s="451"/>
      <c r="N38" s="451"/>
      <c r="O38" s="449"/>
      <c r="P38" s="451"/>
      <c r="Q38" s="451"/>
      <c r="R38" s="451"/>
      <c r="S38" s="451"/>
      <c r="T38" s="449"/>
      <c r="U38" s="451"/>
      <c r="V38" s="451"/>
      <c r="W38" s="451"/>
      <c r="X38" s="451"/>
      <c r="Y38" s="449"/>
      <c r="Z38" s="451"/>
      <c r="AA38" s="451"/>
      <c r="AB38" s="451"/>
      <c r="AC38" s="451"/>
      <c r="AD38" s="449"/>
      <c r="AE38" s="451"/>
      <c r="AF38" s="451"/>
      <c r="AG38" s="451"/>
      <c r="AH38" s="451"/>
      <c r="AI38" s="370"/>
      <c r="AJ38" s="451"/>
      <c r="AK38" s="451"/>
      <c r="AL38" s="451"/>
      <c r="AM38" s="451"/>
      <c r="AN38" s="370"/>
      <c r="AO38" s="451"/>
      <c r="AP38" s="451"/>
      <c r="AQ38" s="451"/>
      <c r="AR38" s="451"/>
      <c r="AS38" s="449"/>
      <c r="AT38" s="451"/>
      <c r="AU38" s="451"/>
      <c r="AV38" s="451"/>
      <c r="AW38" s="451"/>
      <c r="AX38" s="449"/>
      <c r="AY38" s="451"/>
      <c r="AZ38" s="451"/>
      <c r="BA38" s="451"/>
      <c r="BB38" s="451"/>
      <c r="BC38" s="32"/>
      <c r="BD38" s="451"/>
      <c r="BE38" s="451"/>
      <c r="BF38" s="451"/>
      <c r="BG38" s="451"/>
      <c r="BH38" s="32"/>
      <c r="BI38" s="451"/>
      <c r="BJ38" s="451"/>
      <c r="BK38" s="451"/>
      <c r="BL38" s="451"/>
      <c r="BM38" s="518"/>
      <c r="BN38" s="451"/>
      <c r="BO38" s="451"/>
      <c r="BP38" s="451"/>
      <c r="BQ38" s="451"/>
      <c r="BR38" s="32"/>
      <c r="BS38" s="451"/>
      <c r="BT38" s="451"/>
      <c r="BU38" s="451"/>
      <c r="BV38" s="451"/>
      <c r="BW38" s="32"/>
      <c r="BX38" s="451"/>
      <c r="BY38" s="451"/>
      <c r="BZ38" s="451"/>
      <c r="CA38" s="451"/>
      <c r="CB38" s="32"/>
      <c r="CC38" s="451"/>
      <c r="CD38" s="451"/>
      <c r="CE38" s="451"/>
      <c r="CF38" s="451"/>
      <c r="CG38" s="32"/>
      <c r="CH38" s="765"/>
      <c r="CI38" s="765"/>
      <c r="CJ38" s="765"/>
      <c r="CK38" s="765"/>
      <c r="CL38" s="32"/>
      <c r="CM38" s="765"/>
      <c r="CN38" s="765"/>
      <c r="CO38" s="765"/>
      <c r="CP38" s="765"/>
      <c r="CQ38" s="32"/>
      <c r="CR38" s="765"/>
      <c r="CS38" s="765"/>
      <c r="CT38" s="765"/>
      <c r="CU38" s="765"/>
      <c r="CV38" s="32"/>
    </row>
    <row r="39" spans="5:102" ht="13.5" customHeight="1" x14ac:dyDescent="0.3">
      <c r="E39" s="721" t="s">
        <v>800</v>
      </c>
      <c r="F39" s="448"/>
      <c r="G39" s="448"/>
      <c r="H39" s="448"/>
      <c r="I39" s="448"/>
      <c r="J39" s="448"/>
      <c r="K39" s="451"/>
      <c r="L39" s="451"/>
      <c r="M39" s="451"/>
      <c r="N39" s="451"/>
      <c r="O39" s="449"/>
      <c r="P39" s="451"/>
      <c r="Q39" s="451"/>
      <c r="R39" s="451"/>
      <c r="S39" s="451"/>
      <c r="T39" s="449"/>
      <c r="U39" s="451"/>
      <c r="V39" s="451"/>
      <c r="W39" s="451"/>
      <c r="X39" s="451"/>
      <c r="Y39" s="449"/>
      <c r="Z39" s="451"/>
      <c r="AA39" s="451"/>
      <c r="AB39" s="451"/>
      <c r="AC39" s="451"/>
      <c r="AD39" s="449"/>
      <c r="AE39" s="451"/>
      <c r="AF39" s="451"/>
      <c r="AG39" s="451"/>
      <c r="AH39" s="451"/>
      <c r="AI39" s="370"/>
      <c r="AJ39" s="451"/>
      <c r="AK39" s="451"/>
      <c r="AL39" s="451"/>
      <c r="AM39" s="451"/>
      <c r="AN39" s="370"/>
      <c r="AO39" s="451"/>
      <c r="AP39" s="451"/>
      <c r="AQ39" s="451"/>
      <c r="AR39" s="451"/>
      <c r="AS39" s="449"/>
      <c r="AT39" s="451"/>
      <c r="AU39" s="451"/>
      <c r="AV39" s="451"/>
      <c r="AW39" s="451"/>
      <c r="AX39" s="449"/>
      <c r="AY39" s="451"/>
      <c r="AZ39" s="451"/>
      <c r="BA39" s="451"/>
      <c r="BB39" s="451"/>
      <c r="BC39" s="32"/>
      <c r="BD39" s="451"/>
      <c r="BE39" s="451"/>
      <c r="BF39" s="451"/>
      <c r="BG39" s="451"/>
      <c r="BH39" s="32"/>
      <c r="BI39" s="451"/>
      <c r="BJ39" s="451"/>
      <c r="BK39" s="451"/>
      <c r="BL39" s="451"/>
      <c r="BM39" s="518"/>
      <c r="BN39" s="451"/>
      <c r="BO39" s="451"/>
      <c r="BP39" s="451"/>
      <c r="BQ39" s="451"/>
      <c r="BR39" s="32"/>
      <c r="BS39" s="451"/>
      <c r="BT39" s="451"/>
      <c r="BU39" s="451"/>
      <c r="BV39" s="451"/>
      <c r="BW39" s="769">
        <v>275</v>
      </c>
      <c r="BX39" s="762">
        <v>300</v>
      </c>
      <c r="BY39" s="762">
        <v>340</v>
      </c>
      <c r="BZ39" s="762">
        <v>400</v>
      </c>
      <c r="CA39" s="762">
        <v>435</v>
      </c>
      <c r="CB39" s="180">
        <f>CA39</f>
        <v>435</v>
      </c>
      <c r="CC39" s="762">
        <v>470</v>
      </c>
      <c r="CD39" s="762">
        <v>490</v>
      </c>
      <c r="CE39" s="762">
        <v>560</v>
      </c>
      <c r="CF39" s="762">
        <v>590</v>
      </c>
      <c r="CG39" s="180">
        <f>CF39</f>
        <v>590</v>
      </c>
      <c r="CH39" s="766">
        <v>625</v>
      </c>
      <c r="CI39" s="766">
        <v>650</v>
      </c>
      <c r="CJ39" s="700">
        <f>CI39+CJ41</f>
        <v>725</v>
      </c>
      <c r="CK39" s="700">
        <f>CJ39+CK41</f>
        <v>760</v>
      </c>
      <c r="CL39" s="180">
        <f>CK39</f>
        <v>760</v>
      </c>
      <c r="CM39" s="700">
        <f>CL39+CM41</f>
        <v>795</v>
      </c>
      <c r="CN39" s="700">
        <f>CM39+CN41</f>
        <v>835</v>
      </c>
      <c r="CO39" s="700">
        <f>CN39+CO41</f>
        <v>905</v>
      </c>
      <c r="CP39" s="700">
        <f>CO39+CP41</f>
        <v>960</v>
      </c>
      <c r="CQ39" s="180">
        <f>CP39</f>
        <v>960</v>
      </c>
      <c r="CR39" s="700">
        <f>CQ39+CR41</f>
        <v>995</v>
      </c>
      <c r="CS39" s="700">
        <f>CR39+CS41</f>
        <v>1045</v>
      </c>
      <c r="CT39" s="700">
        <f>CS39+CT41</f>
        <v>1120</v>
      </c>
      <c r="CU39" s="700">
        <f>CT39+CU41</f>
        <v>1180</v>
      </c>
      <c r="CV39" s="180">
        <f>CU39</f>
        <v>1180</v>
      </c>
    </row>
    <row r="40" spans="5:102" ht="13.5" customHeight="1" x14ac:dyDescent="0.25">
      <c r="E40" s="91" t="s">
        <v>2</v>
      </c>
      <c r="F40" s="448"/>
      <c r="G40" s="448"/>
      <c r="H40" s="448"/>
      <c r="I40" s="448"/>
      <c r="J40" s="448"/>
      <c r="K40" s="451"/>
      <c r="L40" s="451"/>
      <c r="M40" s="451"/>
      <c r="N40" s="451"/>
      <c r="O40" s="449"/>
      <c r="P40" s="451"/>
      <c r="Q40" s="451"/>
      <c r="R40" s="451"/>
      <c r="S40" s="451"/>
      <c r="T40" s="449"/>
      <c r="U40" s="451"/>
      <c r="V40" s="451"/>
      <c r="W40" s="451"/>
      <c r="X40" s="451"/>
      <c r="Y40" s="449"/>
      <c r="Z40" s="451"/>
      <c r="AA40" s="451"/>
      <c r="AB40" s="451"/>
      <c r="AC40" s="451"/>
      <c r="AD40" s="449"/>
      <c r="AE40" s="451"/>
      <c r="AF40" s="451"/>
      <c r="AG40" s="451"/>
      <c r="AH40" s="451"/>
      <c r="AI40" s="370"/>
      <c r="AJ40" s="451"/>
      <c r="AK40" s="451"/>
      <c r="AL40" s="451"/>
      <c r="AM40" s="451"/>
      <c r="AN40" s="370"/>
      <c r="AO40" s="451"/>
      <c r="AP40" s="451"/>
      <c r="AQ40" s="451"/>
      <c r="AR40" s="451"/>
      <c r="AS40" s="449"/>
      <c r="AT40" s="451"/>
      <c r="AU40" s="451"/>
      <c r="AV40" s="451"/>
      <c r="AW40" s="451"/>
      <c r="AX40" s="449"/>
      <c r="AY40" s="451"/>
      <c r="AZ40" s="451"/>
      <c r="BA40" s="451"/>
      <c r="BB40" s="451"/>
      <c r="BC40" s="32"/>
      <c r="BD40" s="451"/>
      <c r="BE40" s="451"/>
      <c r="BF40" s="451"/>
      <c r="BG40" s="451"/>
      <c r="BH40" s="32"/>
      <c r="BI40" s="451"/>
      <c r="BJ40" s="451"/>
      <c r="BK40" s="451"/>
      <c r="BL40" s="451"/>
      <c r="BM40" s="518"/>
      <c r="BN40" s="451"/>
      <c r="BO40" s="451"/>
      <c r="BP40" s="451"/>
      <c r="BQ40" s="451"/>
      <c r="BR40" s="32"/>
      <c r="BS40" s="451"/>
      <c r="BT40" s="451"/>
      <c r="BU40" s="451"/>
      <c r="BV40" s="451"/>
      <c r="BW40" s="32"/>
      <c r="BX40" s="451"/>
      <c r="BY40" s="451"/>
      <c r="BZ40" s="451"/>
      <c r="CA40" s="451"/>
      <c r="CB40" s="32"/>
      <c r="CC40" s="183">
        <f t="shared" ref="CC40:CV40" si="35">CC39/BX39-1</f>
        <v>0.56666666666666665</v>
      </c>
      <c r="CD40" s="183">
        <f t="shared" si="35"/>
        <v>0.44117647058823528</v>
      </c>
      <c r="CE40" s="183">
        <f t="shared" si="35"/>
        <v>0.39999999999999991</v>
      </c>
      <c r="CF40" s="183">
        <f t="shared" si="35"/>
        <v>0.35632183908045967</v>
      </c>
      <c r="CG40" s="641">
        <f t="shared" si="35"/>
        <v>0.35632183908045967</v>
      </c>
      <c r="CH40" s="680">
        <f t="shared" si="35"/>
        <v>0.32978723404255317</v>
      </c>
      <c r="CI40" s="680">
        <f t="shared" si="35"/>
        <v>0.32653061224489788</v>
      </c>
      <c r="CJ40" s="680">
        <f t="shared" si="35"/>
        <v>0.29464285714285721</v>
      </c>
      <c r="CK40" s="680">
        <f t="shared" si="35"/>
        <v>0.28813559322033888</v>
      </c>
      <c r="CL40" s="641">
        <f t="shared" si="35"/>
        <v>0.28813559322033888</v>
      </c>
      <c r="CM40" s="680">
        <f t="shared" si="35"/>
        <v>0.27200000000000002</v>
      </c>
      <c r="CN40" s="680">
        <f t="shared" si="35"/>
        <v>0.28461538461538471</v>
      </c>
      <c r="CO40" s="680">
        <f t="shared" si="35"/>
        <v>0.24827586206896557</v>
      </c>
      <c r="CP40" s="680">
        <f t="shared" si="35"/>
        <v>0.26315789473684204</v>
      </c>
      <c r="CQ40" s="641">
        <f t="shared" si="35"/>
        <v>0.26315789473684204</v>
      </c>
      <c r="CR40" s="680">
        <f t="shared" si="35"/>
        <v>0.2515723270440251</v>
      </c>
      <c r="CS40" s="680">
        <f t="shared" si="35"/>
        <v>0.25149700598802394</v>
      </c>
      <c r="CT40" s="680">
        <f t="shared" si="35"/>
        <v>0.23756906077348061</v>
      </c>
      <c r="CU40" s="680">
        <f t="shared" si="35"/>
        <v>0.22916666666666674</v>
      </c>
      <c r="CV40" s="641">
        <f t="shared" si="35"/>
        <v>0.22916666666666674</v>
      </c>
    </row>
    <row r="41" spans="5:102" ht="13.5" customHeight="1" x14ac:dyDescent="0.25">
      <c r="E41" s="721" t="s">
        <v>801</v>
      </c>
      <c r="F41" s="448"/>
      <c r="G41" s="448"/>
      <c r="H41" s="448"/>
      <c r="I41" s="448"/>
      <c r="J41" s="448"/>
      <c r="K41" s="451"/>
      <c r="L41" s="451"/>
      <c r="M41" s="451"/>
      <c r="N41" s="451"/>
      <c r="O41" s="449"/>
      <c r="P41" s="451"/>
      <c r="Q41" s="451"/>
      <c r="R41" s="451"/>
      <c r="S41" s="451"/>
      <c r="T41" s="449"/>
      <c r="U41" s="451"/>
      <c r="V41" s="451"/>
      <c r="W41" s="451"/>
      <c r="X41" s="451"/>
      <c r="Y41" s="449"/>
      <c r="Z41" s="451"/>
      <c r="AA41" s="451"/>
      <c r="AB41" s="451"/>
      <c r="AC41" s="451"/>
      <c r="AD41" s="449"/>
      <c r="AE41" s="451"/>
      <c r="AF41" s="451"/>
      <c r="AG41" s="451"/>
      <c r="AH41" s="451"/>
      <c r="AI41" s="370"/>
      <c r="AJ41" s="451"/>
      <c r="AK41" s="451"/>
      <c r="AL41" s="451"/>
      <c r="AM41" s="451"/>
      <c r="AN41" s="370"/>
      <c r="AO41" s="451"/>
      <c r="AP41" s="451"/>
      <c r="AQ41" s="451"/>
      <c r="AR41" s="451"/>
      <c r="AS41" s="449"/>
      <c r="AT41" s="451"/>
      <c r="AU41" s="451"/>
      <c r="AV41" s="451"/>
      <c r="AW41" s="451"/>
      <c r="AX41" s="449"/>
      <c r="AY41" s="451"/>
      <c r="AZ41" s="451"/>
      <c r="BA41" s="451"/>
      <c r="BB41" s="451"/>
      <c r="BC41" s="32"/>
      <c r="BD41" s="451"/>
      <c r="BE41" s="451"/>
      <c r="BF41" s="451"/>
      <c r="BG41" s="451"/>
      <c r="BH41" s="32"/>
      <c r="BI41" s="451"/>
      <c r="BJ41" s="451"/>
      <c r="BK41" s="451"/>
      <c r="BL41" s="451"/>
      <c r="BM41" s="518"/>
      <c r="BN41" s="451"/>
      <c r="BO41" s="451"/>
      <c r="BP41" s="451"/>
      <c r="BQ41" s="451"/>
      <c r="BR41" s="32"/>
      <c r="BS41" s="451"/>
      <c r="BT41" s="451"/>
      <c r="BU41" s="451"/>
      <c r="BV41" s="451"/>
      <c r="BW41" s="32"/>
      <c r="BX41" s="763">
        <f>BX39-BW39</f>
        <v>25</v>
      </c>
      <c r="BY41" s="763">
        <f>BY39-BX39</f>
        <v>40</v>
      </c>
      <c r="BZ41" s="763">
        <f>BZ39-BY39</f>
        <v>60</v>
      </c>
      <c r="CA41" s="763">
        <f>CA39-BZ39</f>
        <v>35</v>
      </c>
      <c r="CB41" s="32"/>
      <c r="CC41" s="763">
        <f>CC39-CB39</f>
        <v>35</v>
      </c>
      <c r="CD41" s="763">
        <f>CD39-CC39</f>
        <v>20</v>
      </c>
      <c r="CE41" s="763">
        <f>CE39-CD39</f>
        <v>70</v>
      </c>
      <c r="CF41" s="763">
        <f>CF39-CE39</f>
        <v>30</v>
      </c>
      <c r="CG41" s="641"/>
      <c r="CH41" s="767">
        <f>CH39-CG39</f>
        <v>35</v>
      </c>
      <c r="CI41" s="767">
        <f>CI39-CH39</f>
        <v>25</v>
      </c>
      <c r="CJ41" s="764">
        <v>75</v>
      </c>
      <c r="CK41" s="764">
        <v>35</v>
      </c>
      <c r="CL41" s="32"/>
      <c r="CM41" s="764">
        <f>CH41</f>
        <v>35</v>
      </c>
      <c r="CN41" s="764">
        <f>CI41+15</f>
        <v>40</v>
      </c>
      <c r="CO41" s="764">
        <f>CJ41-5</f>
        <v>70</v>
      </c>
      <c r="CP41" s="764">
        <f>CK41+20</f>
        <v>55</v>
      </c>
      <c r="CQ41" s="32"/>
      <c r="CR41" s="764">
        <f>CM41</f>
        <v>35</v>
      </c>
      <c r="CS41" s="764">
        <f>CN41+10</f>
        <v>50</v>
      </c>
      <c r="CT41" s="764">
        <f>CO41+5</f>
        <v>75</v>
      </c>
      <c r="CU41" s="764">
        <f>CP41+5</f>
        <v>60</v>
      </c>
      <c r="CV41" s="32"/>
    </row>
    <row r="42" spans="5:102" ht="3.75" customHeight="1" x14ac:dyDescent="0.25">
      <c r="E42" s="91"/>
      <c r="F42" s="448"/>
      <c r="G42" s="448"/>
      <c r="H42" s="448"/>
      <c r="I42" s="448"/>
      <c r="J42" s="448"/>
      <c r="K42" s="451"/>
      <c r="L42" s="451"/>
      <c r="M42" s="451"/>
      <c r="N42" s="451"/>
      <c r="O42" s="449"/>
      <c r="P42" s="451"/>
      <c r="Q42" s="451"/>
      <c r="R42" s="451"/>
      <c r="S42" s="451"/>
      <c r="T42" s="449"/>
      <c r="U42" s="451"/>
      <c r="V42" s="451"/>
      <c r="W42" s="451"/>
      <c r="X42" s="451"/>
      <c r="Y42" s="449"/>
      <c r="Z42" s="451"/>
      <c r="AA42" s="451"/>
      <c r="AB42" s="451"/>
      <c r="AC42" s="451"/>
      <c r="AD42" s="449"/>
      <c r="AE42" s="451"/>
      <c r="AF42" s="451"/>
      <c r="AG42" s="451"/>
      <c r="AH42" s="451"/>
      <c r="AI42" s="370"/>
      <c r="AJ42" s="451"/>
      <c r="AK42" s="451"/>
      <c r="AL42" s="451"/>
      <c r="AM42" s="451"/>
      <c r="AN42" s="370"/>
      <c r="AO42" s="451"/>
      <c r="AP42" s="451"/>
      <c r="AQ42" s="451"/>
      <c r="AR42" s="451"/>
      <c r="AS42" s="449"/>
      <c r="AT42" s="451"/>
      <c r="AU42" s="451"/>
      <c r="AV42" s="451"/>
      <c r="AW42" s="451"/>
      <c r="AX42" s="449"/>
      <c r="AY42" s="451"/>
      <c r="AZ42" s="451"/>
      <c r="BA42" s="451"/>
      <c r="BB42" s="451"/>
      <c r="BC42" s="32"/>
      <c r="BD42" s="451"/>
      <c r="BE42" s="451"/>
      <c r="BF42" s="451"/>
      <c r="BG42" s="451"/>
      <c r="BH42" s="32"/>
      <c r="BI42" s="451"/>
      <c r="BJ42" s="451"/>
      <c r="BK42" s="451"/>
      <c r="BL42" s="451"/>
      <c r="BM42" s="518"/>
      <c r="BN42" s="451"/>
      <c r="BO42" s="451"/>
      <c r="BP42" s="451"/>
      <c r="BQ42" s="451"/>
      <c r="BR42" s="32"/>
      <c r="BS42" s="451"/>
      <c r="BT42" s="451"/>
      <c r="BU42" s="451"/>
      <c r="BV42" s="451"/>
      <c r="BW42" s="32"/>
      <c r="BX42" s="451"/>
      <c r="BY42" s="451"/>
      <c r="BZ42" s="451"/>
      <c r="CA42" s="451"/>
      <c r="CB42" s="32"/>
      <c r="CC42" s="451"/>
      <c r="CD42" s="451"/>
      <c r="CE42" s="451"/>
      <c r="CF42" s="451"/>
      <c r="CG42" s="32"/>
      <c r="CH42" s="765"/>
      <c r="CI42" s="765"/>
      <c r="CJ42" s="765"/>
      <c r="CK42" s="765"/>
      <c r="CL42" s="32"/>
      <c r="CM42" s="765"/>
      <c r="CN42" s="765"/>
      <c r="CO42" s="765"/>
      <c r="CP42" s="765"/>
      <c r="CQ42" s="32"/>
      <c r="CR42" s="765"/>
      <c r="CS42" s="765"/>
      <c r="CT42" s="765"/>
      <c r="CU42" s="765"/>
      <c r="CV42" s="32"/>
    </row>
    <row r="43" spans="5:102" ht="13.5" customHeight="1" x14ac:dyDescent="0.3">
      <c r="E43" s="558" t="s">
        <v>803</v>
      </c>
      <c r="F43" s="737"/>
      <c r="G43" s="737"/>
      <c r="H43" s="737"/>
      <c r="I43" s="737"/>
      <c r="J43" s="737"/>
      <c r="K43" s="737"/>
      <c r="L43" s="737"/>
      <c r="M43" s="737"/>
      <c r="N43" s="737"/>
      <c r="O43" s="569"/>
      <c r="P43" s="737"/>
      <c r="Q43" s="737"/>
      <c r="R43" s="737"/>
      <c r="S43" s="737"/>
      <c r="T43" s="569"/>
      <c r="U43" s="737"/>
      <c r="V43" s="737"/>
      <c r="W43" s="737"/>
      <c r="X43" s="737"/>
      <c r="Y43" s="569"/>
      <c r="Z43" s="737"/>
      <c r="AA43" s="737"/>
      <c r="AB43" s="737"/>
      <c r="AC43" s="737"/>
      <c r="AD43" s="569"/>
      <c r="AE43" s="737"/>
      <c r="AF43" s="737"/>
      <c r="AG43" s="737"/>
      <c r="AH43" s="737"/>
      <c r="AI43" s="570"/>
      <c r="AJ43" s="737"/>
      <c r="AK43" s="737"/>
      <c r="AL43" s="737"/>
      <c r="AM43" s="737"/>
      <c r="AN43" s="570"/>
      <c r="AO43" s="737"/>
      <c r="AP43" s="737"/>
      <c r="AQ43" s="737"/>
      <c r="AR43" s="737"/>
      <c r="AS43" s="569"/>
      <c r="AT43" s="737"/>
      <c r="AU43" s="737"/>
      <c r="AV43" s="737"/>
      <c r="AW43" s="737"/>
      <c r="AX43" s="569"/>
      <c r="AY43" s="737"/>
      <c r="AZ43" s="737"/>
      <c r="BA43" s="737"/>
      <c r="BB43" s="737"/>
      <c r="BC43" s="641"/>
      <c r="BD43" s="737"/>
      <c r="BE43" s="737"/>
      <c r="BF43" s="737"/>
      <c r="BG43" s="737"/>
      <c r="BH43" s="641"/>
      <c r="BI43" s="737"/>
      <c r="BJ43" s="737"/>
      <c r="BK43" s="737"/>
      <c r="BL43" s="737"/>
      <c r="BM43" s="518"/>
      <c r="BN43" s="737"/>
      <c r="BO43" s="737"/>
      <c r="BP43" s="737"/>
      <c r="BQ43" s="737"/>
      <c r="BR43" s="641"/>
      <c r="BS43" s="737"/>
      <c r="BT43" s="737"/>
      <c r="BU43" s="737"/>
      <c r="BV43" s="737"/>
      <c r="BW43" s="641"/>
      <c r="BX43" s="770">
        <f>BX26/AVERAGE(BX39,BW39)*1000000/3</f>
        <v>26321.159420289856</v>
      </c>
      <c r="BY43" s="770">
        <f>BY26/AVERAGE(BY39,BX39)*1000000/3</f>
        <v>27234.375</v>
      </c>
      <c r="BZ43" s="770">
        <f>BZ26/AVERAGE(BZ39,BY39)*1000000/3</f>
        <v>27318.018018018018</v>
      </c>
      <c r="CA43" s="770">
        <f>CA26/AVERAGE(CA39,BZ39)*1000000/3</f>
        <v>28407.984031936128</v>
      </c>
      <c r="CB43" s="770">
        <f>CB26/AVERAGE(BW39:CA39)*1000000/12</f>
        <v>27321.666666666672</v>
      </c>
      <c r="CC43" s="770">
        <f>CC26/AVERAGE(CC39,CB39)*1000000/3</f>
        <v>27295.027624309394</v>
      </c>
      <c r="CD43" s="770">
        <f>CD26/AVERAGE(CD39,CC39)*1000000/3</f>
        <v>29389.583333333328</v>
      </c>
      <c r="CE43" s="770">
        <f>CE26/AVERAGE(CE39,CD39)*1000000/3</f>
        <v>29055.873015873018</v>
      </c>
      <c r="CF43" s="770">
        <f>CF26/AVERAGE(CF39,CE39)*1000000/3</f>
        <v>27198.260869565216</v>
      </c>
      <c r="CG43" s="770">
        <f>CG26/AVERAGE(CB39:CF39)*1000000/12</f>
        <v>28168.631303208906</v>
      </c>
      <c r="CH43" s="770">
        <f>CH26/AVERAGE(CH39,CG39)*1000000/3</f>
        <v>28164.060356652946</v>
      </c>
      <c r="CI43" s="770">
        <f>CI26/AVERAGE(CI39,CH39)*1000000/3</f>
        <v>28690.196078431371</v>
      </c>
      <c r="CJ43" s="770">
        <f>CJ26/AVERAGE(CJ39,CI39)*1000000/3</f>
        <v>30693.109333333337</v>
      </c>
      <c r="CK43" s="770">
        <f>CK26/AVERAGE(CK39,CJ39)*1000000/3</f>
        <v>31068.246913580257</v>
      </c>
      <c r="CL43" s="770">
        <f>CL26/AVERAGE(CG39:CK39)*1000000/12</f>
        <v>29690.056965174128</v>
      </c>
      <c r="CM43" s="770">
        <f>CM26/AVERAGE(CM39,CL39)*1000000/3</f>
        <v>28703.339764201504</v>
      </c>
      <c r="CN43" s="770">
        <f>CN26/AVERAGE(CN39,CM39)*1000000/3</f>
        <v>30151.361963190182</v>
      </c>
      <c r="CO43" s="770">
        <f>CO26/AVERAGE(CO39,CN39)*1000000/3</f>
        <v>31793.463900383143</v>
      </c>
      <c r="CP43" s="770">
        <f>CP26/AVERAGE(CP39,CO39)*1000000/3</f>
        <v>30887.622448614839</v>
      </c>
      <c r="CQ43" s="770">
        <f>CQ26/AVERAGE(CL39:CP39)*1000000/12</f>
        <v>30362.287953388168</v>
      </c>
      <c r="CR43" s="770">
        <f>CR26/AVERAGE(CR39,CQ39)*1000000/3</f>
        <v>29419.659335038366</v>
      </c>
      <c r="CS43" s="770">
        <f>CS26/AVERAGE(CS39,CR39)*1000000/3</f>
        <v>30928.066274509798</v>
      </c>
      <c r="CT43" s="770">
        <f>CT26/AVERAGE(CT39,CS39)*1000000/3</f>
        <v>32897.864373302538</v>
      </c>
      <c r="CU43" s="770">
        <f>CU26/AVERAGE(CU39,CT39)*1000000/3</f>
        <v>32289.517964927541</v>
      </c>
      <c r="CV43" s="770">
        <f>CV26/AVERAGE(CQ39:CU39)*1000000/12</f>
        <v>31379.535010322328</v>
      </c>
      <c r="CX43" s="718" t="s">
        <v>802</v>
      </c>
    </row>
    <row r="44" spans="5:102" ht="13.5" customHeight="1" x14ac:dyDescent="0.25">
      <c r="E44" s="643" t="s">
        <v>2</v>
      </c>
      <c r="F44" s="737"/>
      <c r="G44" s="737"/>
      <c r="H44" s="737"/>
      <c r="I44" s="737"/>
      <c r="J44" s="737"/>
      <c r="K44" s="737"/>
      <c r="L44" s="737"/>
      <c r="M44" s="737"/>
      <c r="N44" s="737"/>
      <c r="O44" s="569"/>
      <c r="P44" s="737"/>
      <c r="Q44" s="737"/>
      <c r="R44" s="737"/>
      <c r="S44" s="737"/>
      <c r="T44" s="569"/>
      <c r="U44" s="737"/>
      <c r="V44" s="737"/>
      <c r="W44" s="737"/>
      <c r="X44" s="737"/>
      <c r="Y44" s="569"/>
      <c r="Z44" s="737"/>
      <c r="AA44" s="737"/>
      <c r="AB44" s="737"/>
      <c r="AC44" s="737"/>
      <c r="AD44" s="569"/>
      <c r="AE44" s="737"/>
      <c r="AF44" s="737"/>
      <c r="AG44" s="737"/>
      <c r="AH44" s="737"/>
      <c r="AI44" s="570"/>
      <c r="AJ44" s="737"/>
      <c r="AK44" s="737"/>
      <c r="AL44" s="737"/>
      <c r="AM44" s="737"/>
      <c r="AN44" s="570"/>
      <c r="AO44" s="737"/>
      <c r="AP44" s="737"/>
      <c r="AQ44" s="737"/>
      <c r="AR44" s="737"/>
      <c r="AS44" s="569"/>
      <c r="AT44" s="737"/>
      <c r="AU44" s="737"/>
      <c r="AV44" s="737"/>
      <c r="AW44" s="737"/>
      <c r="AX44" s="569"/>
      <c r="AY44" s="737"/>
      <c r="AZ44" s="737"/>
      <c r="BA44" s="737"/>
      <c r="BB44" s="737"/>
      <c r="BC44" s="641"/>
      <c r="BD44" s="737"/>
      <c r="BE44" s="737"/>
      <c r="BF44" s="737"/>
      <c r="BG44" s="737"/>
      <c r="BH44" s="641"/>
      <c r="BI44" s="737"/>
      <c r="BJ44" s="737"/>
      <c r="BK44" s="737"/>
      <c r="BL44" s="737"/>
      <c r="BM44" s="518"/>
      <c r="BN44" s="737"/>
      <c r="BO44" s="737"/>
      <c r="BP44" s="737"/>
      <c r="BQ44" s="737"/>
      <c r="BR44" s="641"/>
      <c r="BS44" s="737"/>
      <c r="BT44" s="737"/>
      <c r="BU44" s="737"/>
      <c r="BV44" s="737"/>
      <c r="BW44" s="641"/>
      <c r="BX44" s="737"/>
      <c r="BY44" s="737"/>
      <c r="BZ44" s="737"/>
      <c r="CA44" s="737"/>
      <c r="CB44" s="641"/>
      <c r="CC44" s="641">
        <f t="shared" ref="CC44:CV44" si="36">CC43/BX43-1</f>
        <v>3.6999441721736082E-2</v>
      </c>
      <c r="CD44" s="641">
        <f t="shared" si="36"/>
        <v>7.9135589978963194E-2</v>
      </c>
      <c r="CE44" s="641">
        <f t="shared" si="36"/>
        <v>6.3615705821292501E-2</v>
      </c>
      <c r="CF44" s="641">
        <f t="shared" si="36"/>
        <v>-4.2583914473161677E-2</v>
      </c>
      <c r="CG44" s="641">
        <f t="shared" si="36"/>
        <v>3.0999742690498433E-2</v>
      </c>
      <c r="CH44" s="641">
        <f t="shared" si="36"/>
        <v>3.1838499828795941E-2</v>
      </c>
      <c r="CI44" s="641">
        <f t="shared" si="36"/>
        <v>-2.379711365654924E-2</v>
      </c>
      <c r="CJ44" s="641">
        <f t="shared" si="36"/>
        <v>5.6347861809759037E-2</v>
      </c>
      <c r="CK44" s="641">
        <f t="shared" si="36"/>
        <v>0.14228799637500145</v>
      </c>
      <c r="CL44" s="641">
        <f t="shared" si="36"/>
        <v>5.4011344945677386E-2</v>
      </c>
      <c r="CM44" s="641">
        <f t="shared" si="36"/>
        <v>1.9147786246707543E-2</v>
      </c>
      <c r="CN44" s="641">
        <f t="shared" si="36"/>
        <v>5.0929100685278339E-2</v>
      </c>
      <c r="CO44" s="641">
        <f t="shared" si="36"/>
        <v>3.5850214948890846E-2</v>
      </c>
      <c r="CP44" s="641">
        <f t="shared" si="36"/>
        <v>-5.8137964935016662E-3</v>
      </c>
      <c r="CQ44" s="641">
        <f t="shared" si="36"/>
        <v>2.2641620021226494E-2</v>
      </c>
      <c r="CR44" s="641">
        <f t="shared" si="36"/>
        <v>2.4955965985890227E-2</v>
      </c>
      <c r="CS44" s="641">
        <f t="shared" si="36"/>
        <v>2.5760173363572836E-2</v>
      </c>
      <c r="CT44" s="641">
        <f t="shared" si="36"/>
        <v>3.4736714325301454E-2</v>
      </c>
      <c r="CU44" s="641">
        <f t="shared" si="36"/>
        <v>4.5386967502756725E-2</v>
      </c>
      <c r="CV44" s="641">
        <f t="shared" si="36"/>
        <v>3.3503636435298523E-2</v>
      </c>
    </row>
    <row r="45" spans="5:102" ht="3.75" customHeight="1" x14ac:dyDescent="0.25">
      <c r="E45" s="91"/>
      <c r="F45" s="448"/>
      <c r="G45" s="448"/>
      <c r="H45" s="448"/>
      <c r="I45" s="448"/>
      <c r="J45" s="448"/>
      <c r="K45" s="451"/>
      <c r="L45" s="451"/>
      <c r="M45" s="451"/>
      <c r="N45" s="451"/>
      <c r="O45" s="449"/>
      <c r="P45" s="451"/>
      <c r="Q45" s="451"/>
      <c r="R45" s="451"/>
      <c r="S45" s="451"/>
      <c r="T45" s="449"/>
      <c r="U45" s="451"/>
      <c r="V45" s="451"/>
      <c r="W45" s="451"/>
      <c r="X45" s="451"/>
      <c r="Y45" s="449"/>
      <c r="Z45" s="451"/>
      <c r="AA45" s="451"/>
      <c r="AB45" s="451"/>
      <c r="AC45" s="451"/>
      <c r="AD45" s="449"/>
      <c r="AE45" s="451"/>
      <c r="AF45" s="451"/>
      <c r="AG45" s="451"/>
      <c r="AH45" s="451"/>
      <c r="AI45" s="370"/>
      <c r="AJ45" s="451"/>
      <c r="AK45" s="451"/>
      <c r="AL45" s="451"/>
      <c r="AM45" s="451"/>
      <c r="AN45" s="370"/>
      <c r="AO45" s="451"/>
      <c r="AP45" s="451"/>
      <c r="AQ45" s="451"/>
      <c r="AR45" s="451"/>
      <c r="AS45" s="449"/>
      <c r="AT45" s="451"/>
      <c r="AU45" s="451"/>
      <c r="AV45" s="451"/>
      <c r="AW45" s="451"/>
      <c r="AX45" s="449"/>
      <c r="AY45" s="451"/>
      <c r="AZ45" s="451"/>
      <c r="BA45" s="451"/>
      <c r="BB45" s="451"/>
      <c r="BC45" s="32"/>
      <c r="BD45" s="451"/>
      <c r="BE45" s="451"/>
      <c r="BF45" s="451"/>
      <c r="BG45" s="451"/>
      <c r="BH45" s="32"/>
      <c r="BI45" s="451"/>
      <c r="BJ45" s="451"/>
      <c r="BK45" s="451"/>
      <c r="BL45" s="451"/>
      <c r="BM45" s="518"/>
      <c r="BN45" s="451"/>
      <c r="BO45" s="451"/>
      <c r="BP45" s="451"/>
      <c r="BQ45" s="451"/>
      <c r="BR45" s="32"/>
      <c r="BS45" s="451"/>
      <c r="BT45" s="451"/>
      <c r="BU45" s="451"/>
      <c r="BV45" s="451"/>
      <c r="BW45" s="32"/>
      <c r="BX45" s="451"/>
      <c r="BY45" s="451"/>
      <c r="BZ45" s="451"/>
      <c r="CA45" s="451"/>
      <c r="CB45" s="32"/>
      <c r="CC45" s="451"/>
      <c r="CD45" s="451"/>
      <c r="CE45" s="451"/>
      <c r="CF45" s="451"/>
      <c r="CG45" s="32"/>
      <c r="CH45" s="765"/>
      <c r="CI45" s="765"/>
      <c r="CJ45" s="765"/>
      <c r="CK45" s="765"/>
      <c r="CL45" s="32"/>
      <c r="CM45" s="765"/>
      <c r="CN45" s="765"/>
      <c r="CO45" s="765"/>
      <c r="CP45" s="765"/>
      <c r="CQ45" s="32"/>
      <c r="CR45" s="765"/>
      <c r="CS45" s="765"/>
      <c r="CT45" s="765"/>
      <c r="CU45" s="765"/>
      <c r="CV45" s="32"/>
    </row>
    <row r="46" spans="5:102" ht="13.5" hidden="1" customHeight="1" x14ac:dyDescent="0.25">
      <c r="E46" s="365" t="s">
        <v>643</v>
      </c>
      <c r="F46" s="524"/>
      <c r="G46" s="524"/>
      <c r="H46" s="524"/>
      <c r="I46" s="524"/>
      <c r="J46" s="524"/>
      <c r="O46" s="524"/>
      <c r="T46" s="524"/>
      <c r="Y46" s="524"/>
      <c r="AD46" s="524"/>
      <c r="AI46" s="524"/>
      <c r="AN46" s="524"/>
      <c r="AS46" s="524"/>
      <c r="AX46" s="524"/>
      <c r="BC46" s="524"/>
      <c r="BH46" s="524"/>
      <c r="BM46" s="524"/>
      <c r="BR46" s="524"/>
      <c r="BW46" s="524"/>
      <c r="CB46" s="524"/>
      <c r="CG46" s="524"/>
      <c r="CH46" s="700"/>
      <c r="CI46" s="700"/>
      <c r="CJ46" s="700"/>
      <c r="CK46" s="700"/>
      <c r="CL46" s="524"/>
      <c r="CM46" s="700"/>
      <c r="CN46" s="700"/>
      <c r="CO46" s="700"/>
      <c r="CP46" s="700"/>
      <c r="CQ46" s="524"/>
      <c r="CR46" s="700"/>
      <c r="CS46" s="700"/>
      <c r="CT46" s="700"/>
      <c r="CU46" s="700"/>
      <c r="CV46" s="524"/>
    </row>
    <row r="47" spans="5:102" ht="3.75" hidden="1" customHeight="1" x14ac:dyDescent="0.25">
      <c r="F47" s="524"/>
      <c r="G47" s="524"/>
      <c r="H47" s="524"/>
      <c r="I47" s="524"/>
      <c r="J47" s="524"/>
      <c r="O47" s="524"/>
      <c r="T47" s="524"/>
      <c r="Y47" s="524"/>
      <c r="AD47" s="524"/>
      <c r="AI47" s="524"/>
      <c r="AN47" s="524"/>
      <c r="AS47" s="524"/>
      <c r="AX47" s="524"/>
      <c r="BC47" s="524"/>
      <c r="BH47" s="524"/>
      <c r="BM47" s="524"/>
      <c r="BR47" s="524"/>
      <c r="BW47" s="524"/>
      <c r="CB47" s="524"/>
      <c r="CG47" s="524"/>
      <c r="CH47" s="700"/>
      <c r="CI47" s="700"/>
      <c r="CJ47" s="700"/>
      <c r="CK47" s="700"/>
      <c r="CL47" s="524"/>
      <c r="CM47" s="700"/>
      <c r="CN47" s="700"/>
      <c r="CO47" s="700"/>
      <c r="CP47" s="700"/>
      <c r="CQ47" s="524"/>
      <c r="CR47" s="700"/>
      <c r="CS47" s="700"/>
      <c r="CT47" s="700"/>
      <c r="CU47" s="700"/>
      <c r="CV47" s="524"/>
    </row>
    <row r="48" spans="5:102" ht="13.5" hidden="1" x14ac:dyDescent="0.25">
      <c r="E48" s="54" t="s">
        <v>745</v>
      </c>
      <c r="F48" s="185"/>
      <c r="G48" s="185"/>
      <c r="H48" s="185"/>
      <c r="I48" s="185"/>
      <c r="J48" s="185"/>
      <c r="K48" s="122"/>
      <c r="L48" s="122"/>
      <c r="M48" s="122"/>
      <c r="N48" s="122"/>
      <c r="O48" s="161"/>
      <c r="P48" s="122"/>
      <c r="Q48" s="122"/>
      <c r="R48" s="122"/>
      <c r="S48" s="122"/>
      <c r="T48" s="161"/>
      <c r="U48" s="122"/>
      <c r="V48" s="122"/>
      <c r="W48" s="122"/>
      <c r="X48" s="122"/>
      <c r="Y48" s="161"/>
      <c r="Z48" s="128"/>
      <c r="AA48" s="128"/>
      <c r="AB48" s="128"/>
      <c r="AC48" s="128"/>
      <c r="AD48" s="161"/>
      <c r="AE48" s="128"/>
      <c r="AF48" s="128"/>
      <c r="AG48" s="128"/>
      <c r="AH48" s="128"/>
      <c r="AI48" s="140"/>
      <c r="AJ48" s="721"/>
      <c r="AK48" s="721"/>
      <c r="AL48" s="721"/>
      <c r="AM48" s="721"/>
      <c r="AN48" s="140"/>
      <c r="AO48" s="721"/>
      <c r="AP48" s="721"/>
      <c r="AQ48" s="721"/>
      <c r="AR48" s="726"/>
      <c r="AS48" s="161"/>
      <c r="AT48" s="439"/>
      <c r="AU48" s="439"/>
      <c r="AV48" s="439"/>
      <c r="AW48" s="439"/>
      <c r="AX48" s="161"/>
      <c r="AY48" s="439"/>
      <c r="AZ48" s="439"/>
      <c r="BA48" s="439"/>
      <c r="BB48" s="439"/>
      <c r="BC48" s="161"/>
      <c r="BD48" s="439"/>
      <c r="BE48" s="439"/>
      <c r="BF48" s="439"/>
      <c r="BG48" s="439"/>
      <c r="BH48" s="161"/>
      <c r="BI48" s="439"/>
      <c r="BJ48" s="439"/>
      <c r="BK48" s="439"/>
      <c r="BL48" s="439"/>
      <c r="BM48" s="161"/>
      <c r="BN48" s="417"/>
      <c r="BO48" s="417"/>
      <c r="BP48" s="417"/>
      <c r="BQ48" s="417"/>
      <c r="BR48" s="540"/>
      <c r="BS48" s="417"/>
      <c r="BT48" s="417"/>
      <c r="BU48" s="417"/>
      <c r="BV48" s="417"/>
      <c r="BW48" s="540"/>
      <c r="BX48" s="721">
        <f>BX55-BX52</f>
        <v>18.23</v>
      </c>
      <c r="BY48" s="721">
        <f>BY55-BY52</f>
        <v>20.812000000000001</v>
      </c>
      <c r="BZ48" s="721">
        <f>BZ55-BZ52</f>
        <v>24.372</v>
      </c>
      <c r="CA48" s="721">
        <f>CA55-CA52</f>
        <v>27.951999999999998</v>
      </c>
      <c r="CB48" s="540">
        <f>SUM(BX48:CA48)</f>
        <v>91.366</v>
      </c>
      <c r="CC48" s="721">
        <f>CC55-CC52</f>
        <v>26.771999999999998</v>
      </c>
      <c r="CD48" s="721">
        <f>CD55-CD52</f>
        <v>34.596999999999994</v>
      </c>
      <c r="CE48" s="721">
        <f>CE55-CE52</f>
        <v>38.046999999999997</v>
      </c>
      <c r="CF48" s="721">
        <f>CF55-CF52</f>
        <v>39.760000000000005</v>
      </c>
      <c r="CG48" s="540">
        <f>SUM(CC48:CF48)</f>
        <v>139.17599999999999</v>
      </c>
      <c r="CH48" s="645">
        <f>CH55-CH52</f>
        <v>41.532000000000004</v>
      </c>
      <c r="CI48" s="757">
        <f>LiveRamp!CI8*CI50</f>
        <v>43.820454134640812</v>
      </c>
      <c r="CJ48" s="757">
        <f>LiveRamp!CJ8*CJ50</f>
        <v>50.284325207999991</v>
      </c>
      <c r="CK48" s="757">
        <f>LiveRamp!CK8*CK50</f>
        <v>53.278400000000012</v>
      </c>
      <c r="CL48" s="540">
        <f>SUM(CH48:CK48)</f>
        <v>188.91517934264081</v>
      </c>
      <c r="CM48" s="757">
        <f>LiveRamp!CM8*CM50</f>
        <v>53.114334000000007</v>
      </c>
      <c r="CN48" s="757">
        <f>LiveRamp!CN8*CN50</f>
        <v>59.151484572418681</v>
      </c>
      <c r="CO48" s="757">
        <f>LiveRamp!CO8*CO50</f>
        <v>68.816305298220001</v>
      </c>
      <c r="CP48" s="757">
        <f>LiveRamp!CP8*CP50</f>
        <v>69.251484975120007</v>
      </c>
      <c r="CQ48" s="540">
        <f>SUM(CM48:CP48)</f>
        <v>250.33360884575868</v>
      </c>
      <c r="CR48" s="757">
        <f>LiveRamp!CR8*CR50</f>
        <v>69.743470095000021</v>
      </c>
      <c r="CS48" s="757">
        <f>LiveRamp!CS8*CS50</f>
        <v>77.346292881958007</v>
      </c>
      <c r="CT48" s="757">
        <f>LiveRamp!CT8*CT50</f>
        <v>90.148422066997199</v>
      </c>
      <c r="CU48" s="757">
        <f>LiveRamp!CU8*CU50</f>
        <v>89.801942327193615</v>
      </c>
      <c r="CV48" s="540">
        <f>SUM(CR48:CU48)</f>
        <v>327.04012737114886</v>
      </c>
    </row>
    <row r="49" spans="5:100" ht="13.5" hidden="1" x14ac:dyDescent="0.25">
      <c r="E49" s="365" t="s">
        <v>2</v>
      </c>
      <c r="F49" s="185"/>
      <c r="G49" s="185"/>
      <c r="H49" s="185"/>
      <c r="I49" s="185"/>
      <c r="J49" s="185"/>
      <c r="K49" s="122"/>
      <c r="L49" s="122"/>
      <c r="M49" s="122"/>
      <c r="N49" s="122"/>
      <c r="O49" s="161"/>
      <c r="P49" s="122"/>
      <c r="Q49" s="122"/>
      <c r="R49" s="122"/>
      <c r="S49" s="122"/>
      <c r="T49" s="161"/>
      <c r="U49" s="122"/>
      <c r="V49" s="122"/>
      <c r="W49" s="122"/>
      <c r="X49" s="122"/>
      <c r="Y49" s="161"/>
      <c r="Z49" s="128"/>
      <c r="AA49" s="128"/>
      <c r="AB49" s="128"/>
      <c r="AC49" s="128"/>
      <c r="AD49" s="161"/>
      <c r="AE49" s="128"/>
      <c r="AF49" s="128"/>
      <c r="AG49" s="128"/>
      <c r="AH49" s="128"/>
      <c r="AI49" s="140"/>
      <c r="AJ49" s="721"/>
      <c r="AK49" s="721"/>
      <c r="AL49" s="721"/>
      <c r="AM49" s="721"/>
      <c r="AN49" s="140"/>
      <c r="AO49" s="721"/>
      <c r="AP49" s="721"/>
      <c r="AQ49" s="721"/>
      <c r="AR49" s="726"/>
      <c r="AS49" s="161"/>
      <c r="AT49" s="439"/>
      <c r="AU49" s="439"/>
      <c r="AV49" s="439"/>
      <c r="AW49" s="439"/>
      <c r="AX49" s="161"/>
      <c r="AY49" s="439"/>
      <c r="AZ49" s="439"/>
      <c r="BA49" s="439"/>
      <c r="BB49" s="439"/>
      <c r="BC49" s="161"/>
      <c r="BD49" s="439"/>
      <c r="BE49" s="439"/>
      <c r="BF49" s="439"/>
      <c r="BG49" s="439"/>
      <c r="BH49" s="161"/>
      <c r="BI49" s="439"/>
      <c r="BJ49" s="439"/>
      <c r="BK49" s="439"/>
      <c r="BL49" s="439"/>
      <c r="BM49" s="161"/>
      <c r="BN49" s="352"/>
      <c r="BO49" s="352"/>
      <c r="BP49" s="352"/>
      <c r="BQ49" s="352"/>
      <c r="BR49" s="643"/>
      <c r="BS49" s="363"/>
      <c r="BT49" s="363"/>
      <c r="BU49" s="363"/>
      <c r="BV49" s="363"/>
      <c r="BW49" s="641"/>
      <c r="BX49" s="475" t="s">
        <v>490</v>
      </c>
      <c r="BY49" s="475" t="s">
        <v>490</v>
      </c>
      <c r="BZ49" s="475" t="s">
        <v>490</v>
      </c>
      <c r="CA49" s="475" t="s">
        <v>490</v>
      </c>
      <c r="CB49" s="580" t="s">
        <v>490</v>
      </c>
      <c r="CC49" s="363">
        <f t="shared" ref="CC49:CQ49" si="37">(CC48-BX48)/ABS(BX48)</f>
        <v>0.46856829402084466</v>
      </c>
      <c r="CD49" s="363">
        <f t="shared" si="37"/>
        <v>0.66235825485296906</v>
      </c>
      <c r="CE49" s="363">
        <f>(CE48-BZ48)/ABS(BZ48)</f>
        <v>0.56109469883472829</v>
      </c>
      <c r="CF49" s="363">
        <f>(CF48-CA48)/ABS(CA48)</f>
        <v>0.42243846594161449</v>
      </c>
      <c r="CG49" s="641">
        <f t="shared" si="37"/>
        <v>0.52327999474640441</v>
      </c>
      <c r="CH49" s="680">
        <f>(CH48-CC48)/ABS(CC48)</f>
        <v>0.55132227700582725</v>
      </c>
      <c r="CI49" s="680">
        <f t="shared" si="37"/>
        <v>0.26659693426137582</v>
      </c>
      <c r="CJ49" s="680">
        <f t="shared" si="37"/>
        <v>0.32163705963676492</v>
      </c>
      <c r="CK49" s="680">
        <f t="shared" si="37"/>
        <v>0.34000000000000014</v>
      </c>
      <c r="CL49" s="641">
        <f t="shared" si="37"/>
        <v>0.35738330849169991</v>
      </c>
      <c r="CM49" s="680">
        <f t="shared" si="37"/>
        <v>0.27887734758740251</v>
      </c>
      <c r="CN49" s="680">
        <f t="shared" si="37"/>
        <v>0.34986014500608359</v>
      </c>
      <c r="CO49" s="680">
        <f t="shared" si="37"/>
        <v>0.36854387552309564</v>
      </c>
      <c r="CP49" s="680">
        <f t="shared" si="37"/>
        <v>0.29980414154929563</v>
      </c>
      <c r="CQ49" s="641">
        <f t="shared" si="37"/>
        <v>0.3251111409725394</v>
      </c>
      <c r="CR49" s="680">
        <f t="shared" ref="CR49" si="38">(CR48-CM48)/ABS(CM48)</f>
        <v>0.31308189038009987</v>
      </c>
      <c r="CS49" s="680">
        <f t="shared" ref="CS49" si="39">(CS48-CN48)/ABS(CN48)</f>
        <v>0.30759681588825671</v>
      </c>
      <c r="CT49" s="680">
        <f t="shared" ref="CT49" si="40">(CT48-CO48)/ABS(CO48)</f>
        <v>0.30998637134517848</v>
      </c>
      <c r="CU49" s="680">
        <f t="shared" ref="CU49" si="41">(CU48-CP48)/ABS(CP48)</f>
        <v>0.29675114345138986</v>
      </c>
      <c r="CV49" s="641">
        <f t="shared" ref="CV49" si="42">(CV48-CQ48)/ABS(CQ48)</f>
        <v>0.30641718017436631</v>
      </c>
    </row>
    <row r="50" spans="5:100" ht="13.5" hidden="1" x14ac:dyDescent="0.25">
      <c r="E50" s="365" t="s">
        <v>91</v>
      </c>
      <c r="F50" s="185"/>
      <c r="G50" s="185"/>
      <c r="H50" s="185"/>
      <c r="I50" s="185"/>
      <c r="J50" s="185"/>
      <c r="K50" s="122"/>
      <c r="L50" s="122"/>
      <c r="M50" s="122"/>
      <c r="N50" s="122"/>
      <c r="O50" s="161"/>
      <c r="P50" s="122"/>
      <c r="Q50" s="122"/>
      <c r="R50" s="122"/>
      <c r="S50" s="122"/>
      <c r="T50" s="161"/>
      <c r="U50" s="122"/>
      <c r="V50" s="122"/>
      <c r="W50" s="122"/>
      <c r="X50" s="122"/>
      <c r="Y50" s="161"/>
      <c r="Z50" s="128"/>
      <c r="AA50" s="128"/>
      <c r="AB50" s="128"/>
      <c r="AC50" s="128"/>
      <c r="AD50" s="161"/>
      <c r="AE50" s="128"/>
      <c r="AF50" s="128"/>
      <c r="AG50" s="128"/>
      <c r="AH50" s="128"/>
      <c r="AI50" s="140"/>
      <c r="AJ50" s="721"/>
      <c r="AK50" s="721"/>
      <c r="AL50" s="721"/>
      <c r="AM50" s="721"/>
      <c r="AN50" s="140"/>
      <c r="AO50" s="721"/>
      <c r="AP50" s="721"/>
      <c r="AQ50" s="721"/>
      <c r="AR50" s="726"/>
      <c r="AS50" s="161"/>
      <c r="AT50" s="439"/>
      <c r="AU50" s="439"/>
      <c r="AV50" s="439"/>
      <c r="AW50" s="439"/>
      <c r="AX50" s="161"/>
      <c r="AY50" s="439"/>
      <c r="AZ50" s="439"/>
      <c r="BA50" s="439"/>
      <c r="BB50" s="439"/>
      <c r="BC50" s="161"/>
      <c r="BD50" s="439"/>
      <c r="BE50" s="439"/>
      <c r="BF50" s="439"/>
      <c r="BG50" s="439"/>
      <c r="BH50" s="161"/>
      <c r="BI50" s="439"/>
      <c r="BJ50" s="439"/>
      <c r="BK50" s="439"/>
      <c r="BL50" s="439"/>
      <c r="BM50" s="161"/>
      <c r="BN50" s="352"/>
      <c r="BO50" s="352"/>
      <c r="BP50" s="352"/>
      <c r="BQ50" s="352"/>
      <c r="BR50" s="643"/>
      <c r="BS50" s="352"/>
      <c r="BT50" s="352"/>
      <c r="BU50" s="352"/>
      <c r="BV50" s="352"/>
      <c r="BW50" s="643"/>
      <c r="BX50" s="352">
        <f>BX48/LiveRamp!BX8</f>
        <v>0.60530597337052161</v>
      </c>
      <c r="BY50" s="352">
        <f>BY48/LiveRamp!BY8</f>
        <v>0.6494211626673323</v>
      </c>
      <c r="BZ50" s="352">
        <f>BZ48/LiveRamp!BZ8</f>
        <v>0.64793300544995347</v>
      </c>
      <c r="CA50" s="352">
        <f>CA48/LiveRamp!CA8</f>
        <v>0.66405340555436765</v>
      </c>
      <c r="CB50" s="643">
        <f>CB48/LiveRamp!CB8</f>
        <v>0.64400304499830829</v>
      </c>
      <c r="CC50" s="352">
        <f>CC48/LiveRamp!CC8</f>
        <v>0.63565781038535507</v>
      </c>
      <c r="CD50" s="352">
        <f>CD48/LiveRamp!CD8</f>
        <v>0.7038634467885988</v>
      </c>
      <c r="CE50" s="352">
        <f>CE48/LiveRamp!CE8</f>
        <v>0.72242053696882225</v>
      </c>
      <c r="CF50" s="352">
        <f>CF48/LiveRamp!CF8</f>
        <v>0.74072694077537871</v>
      </c>
      <c r="CG50" s="643">
        <f>CG48/LiveRamp!CG8</f>
        <v>0.70428564922348225</v>
      </c>
      <c r="CH50" s="702">
        <f>CH48/LiveRamp!CH8</f>
        <v>0.738543611629768</v>
      </c>
      <c r="CI50" s="705">
        <f>CD50+0.03</f>
        <v>0.73386344678859883</v>
      </c>
      <c r="CJ50" s="705">
        <f>CE50+0.016</f>
        <v>0.73842053696882226</v>
      </c>
      <c r="CK50" s="705">
        <f>CF50-0</f>
        <v>0.74072694077537871</v>
      </c>
      <c r="CL50" s="643">
        <f>CL48/LiveRamp!CL8</f>
        <v>0.73803260778866175</v>
      </c>
      <c r="CM50" s="705">
        <f>CH50-0.012</f>
        <v>0.72654361162976799</v>
      </c>
      <c r="CN50" s="705">
        <f>CI50+0.0054</f>
        <v>0.73926344678859879</v>
      </c>
      <c r="CO50" s="705">
        <f>CJ50+0.033</f>
        <v>0.77142053696882229</v>
      </c>
      <c r="CP50" s="705">
        <f>CK50+0.0234</f>
        <v>0.76412694077537868</v>
      </c>
      <c r="CQ50" s="643">
        <f>CQ48/LiveRamp!CQ8</f>
        <v>0.75185400584741147</v>
      </c>
      <c r="CR50" s="705">
        <f>CM50+0.013</f>
        <v>0.73954361162976801</v>
      </c>
      <c r="CS50" s="705">
        <f>CN50+0.013</f>
        <v>0.7522634467885988</v>
      </c>
      <c r="CT50" s="705">
        <f>CO50+0.015</f>
        <v>0.7864205369688223</v>
      </c>
      <c r="CU50" s="705">
        <f>CP50+0.01</f>
        <v>0.77412694077537869</v>
      </c>
      <c r="CV50" s="643">
        <f>CV48/LiveRamp!CV8</f>
        <v>0.76454176777683414</v>
      </c>
    </row>
    <row r="51" spans="5:100" ht="3.75" hidden="1" customHeight="1" x14ac:dyDescent="0.25">
      <c r="E51" s="365"/>
      <c r="F51" s="185"/>
      <c r="G51" s="185"/>
      <c r="H51" s="185"/>
      <c r="I51" s="185"/>
      <c r="J51" s="185"/>
      <c r="K51" s="122"/>
      <c r="L51" s="122"/>
      <c r="M51" s="122"/>
      <c r="N51" s="122"/>
      <c r="O51" s="161"/>
      <c r="P51" s="122"/>
      <c r="Q51" s="122"/>
      <c r="R51" s="122"/>
      <c r="S51" s="122"/>
      <c r="T51" s="161"/>
      <c r="U51" s="122"/>
      <c r="V51" s="122"/>
      <c r="W51" s="122"/>
      <c r="X51" s="122"/>
      <c r="Y51" s="161"/>
      <c r="Z51" s="128"/>
      <c r="AA51" s="128"/>
      <c r="AB51" s="128"/>
      <c r="AC51" s="128"/>
      <c r="AD51" s="161"/>
      <c r="AE51" s="128"/>
      <c r="AF51" s="128"/>
      <c r="AG51" s="128"/>
      <c r="AH51" s="128"/>
      <c r="AI51" s="140"/>
      <c r="AJ51" s="721"/>
      <c r="AK51" s="721"/>
      <c r="AL51" s="721"/>
      <c r="AM51" s="721"/>
      <c r="AN51" s="140"/>
      <c r="AO51" s="721"/>
      <c r="AP51" s="721"/>
      <c r="AQ51" s="721"/>
      <c r="AR51" s="726"/>
      <c r="AS51" s="161"/>
      <c r="AT51" s="439"/>
      <c r="AU51" s="439"/>
      <c r="AV51" s="439"/>
      <c r="AW51" s="439"/>
      <c r="AX51" s="161"/>
      <c r="AY51" s="439"/>
      <c r="AZ51" s="439"/>
      <c r="BA51" s="439"/>
      <c r="BB51" s="439"/>
      <c r="BC51" s="161"/>
      <c r="BD51" s="439"/>
      <c r="BE51" s="439"/>
      <c r="BF51" s="439"/>
      <c r="BG51" s="439"/>
      <c r="BH51" s="161"/>
      <c r="BI51" s="439"/>
      <c r="BJ51" s="439"/>
      <c r="BK51" s="439"/>
      <c r="BL51" s="439"/>
      <c r="BM51" s="161"/>
      <c r="BN51" s="352"/>
      <c r="BO51" s="352"/>
      <c r="BP51" s="352"/>
      <c r="BQ51" s="352"/>
      <c r="BR51" s="643"/>
      <c r="BS51" s="352"/>
      <c r="BT51" s="352"/>
      <c r="BU51" s="352"/>
      <c r="BV51" s="352"/>
      <c r="BW51" s="643"/>
      <c r="BX51" s="352"/>
      <c r="BY51" s="352"/>
      <c r="BZ51" s="352"/>
      <c r="CA51" s="352"/>
      <c r="CB51" s="643"/>
      <c r="CC51" s="352"/>
      <c r="CD51" s="352"/>
      <c r="CE51" s="727"/>
      <c r="CF51" s="727"/>
      <c r="CG51" s="643"/>
      <c r="CH51" s="705"/>
      <c r="CI51" s="705"/>
      <c r="CJ51" s="705"/>
      <c r="CK51" s="705"/>
      <c r="CL51" s="643"/>
      <c r="CM51" s="705"/>
      <c r="CN51" s="705"/>
      <c r="CO51" s="705"/>
      <c r="CP51" s="705"/>
      <c r="CQ51" s="643"/>
      <c r="CR51" s="705"/>
      <c r="CS51" s="705"/>
      <c r="CT51" s="705"/>
      <c r="CU51" s="705"/>
      <c r="CV51" s="643"/>
    </row>
    <row r="52" spans="5:100" ht="13.5" hidden="1" x14ac:dyDescent="0.25">
      <c r="E52" s="54" t="s">
        <v>746</v>
      </c>
      <c r="F52" s="185"/>
      <c r="G52" s="185"/>
      <c r="H52" s="185"/>
      <c r="I52" s="185"/>
      <c r="J52" s="185"/>
      <c r="K52" s="122"/>
      <c r="L52" s="122"/>
      <c r="M52" s="122"/>
      <c r="N52" s="122"/>
      <c r="O52" s="161"/>
      <c r="P52" s="122"/>
      <c r="Q52" s="122"/>
      <c r="R52" s="122"/>
      <c r="S52" s="122"/>
      <c r="T52" s="161"/>
      <c r="U52" s="122"/>
      <c r="V52" s="122"/>
      <c r="W52" s="122"/>
      <c r="X52" s="122"/>
      <c r="Y52" s="161"/>
      <c r="Z52" s="128"/>
      <c r="AA52" s="128"/>
      <c r="AB52" s="128"/>
      <c r="AC52" s="128"/>
      <c r="AD52" s="161"/>
      <c r="AE52" s="128"/>
      <c r="AF52" s="128"/>
      <c r="AG52" s="128"/>
      <c r="AH52" s="128"/>
      <c r="AI52" s="140"/>
      <c r="AJ52" s="721"/>
      <c r="AK52" s="721"/>
      <c r="AL52" s="721"/>
      <c r="AM52" s="721"/>
      <c r="AN52" s="140"/>
      <c r="AO52" s="721"/>
      <c r="AP52" s="721"/>
      <c r="AQ52" s="721"/>
      <c r="AR52" s="726"/>
      <c r="AS52" s="161"/>
      <c r="AT52" s="439"/>
      <c r="AU52" s="439"/>
      <c r="AV52" s="439"/>
      <c r="AW52" s="439"/>
      <c r="AX52" s="161"/>
      <c r="AY52" s="439"/>
      <c r="AZ52" s="439"/>
      <c r="BA52" s="439"/>
      <c r="BB52" s="439"/>
      <c r="BC52" s="161"/>
      <c r="BD52" s="439"/>
      <c r="BE52" s="439"/>
      <c r="BF52" s="439"/>
      <c r="BG52" s="439"/>
      <c r="BH52" s="161"/>
      <c r="BI52" s="439"/>
      <c r="BJ52" s="439"/>
      <c r="BK52" s="439"/>
      <c r="BL52" s="439"/>
      <c r="BM52" s="161"/>
      <c r="BN52" s="417"/>
      <c r="BO52" s="417"/>
      <c r="BP52" s="417"/>
      <c r="BQ52" s="417"/>
      <c r="BR52" s="540"/>
      <c r="BS52" s="417"/>
      <c r="BT52" s="417"/>
      <c r="BU52" s="417"/>
      <c r="BV52" s="417"/>
      <c r="BW52" s="540"/>
      <c r="BX52" s="417">
        <v>0.32200000000000001</v>
      </c>
      <c r="BY52" s="417">
        <v>-0.35499999999999998</v>
      </c>
      <c r="BZ52" s="417">
        <v>1.03</v>
      </c>
      <c r="CA52" s="417">
        <v>0.92200000000000004</v>
      </c>
      <c r="CB52" s="540">
        <f>SUM(BX52:CA52)</f>
        <v>1.919</v>
      </c>
      <c r="CC52" s="417">
        <v>1.4570000000000001</v>
      </c>
      <c r="CD52" s="417">
        <v>1.508</v>
      </c>
      <c r="CE52" s="417">
        <v>2.5059999999999998</v>
      </c>
      <c r="CF52" s="417">
        <v>2.919</v>
      </c>
      <c r="CG52" s="540">
        <f>SUM(CC52:CF52)</f>
        <v>8.39</v>
      </c>
      <c r="CH52" s="636">
        <v>2.6680000000000001</v>
      </c>
      <c r="CI52" s="757">
        <f>LiveRamp!CI12*CI54</f>
        <v>2.041469135802469</v>
      </c>
      <c r="CJ52" s="757">
        <f>LiveRamp!CJ12*CJ54</f>
        <v>3.1320519999999998</v>
      </c>
      <c r="CK52" s="757">
        <f>LiveRamp!CK12*CK54</f>
        <v>3.3568499999999997</v>
      </c>
      <c r="CL52" s="540">
        <f>SUM(CH52:CK52)</f>
        <v>11.198371135802468</v>
      </c>
      <c r="CM52" s="757">
        <f>LiveRamp!CM12*CM54</f>
        <v>3.6548564000000003</v>
      </c>
      <c r="CN52" s="757">
        <f>LiveRamp!CN12*CN54</f>
        <v>4.0534128395061728</v>
      </c>
      <c r="CO52" s="757">
        <f>LiveRamp!CO12*CO54</f>
        <v>6.1993861999999993</v>
      </c>
      <c r="CP52" s="757">
        <f>LiveRamp!CP12*CP54</f>
        <v>6.0532077924999985</v>
      </c>
      <c r="CQ52" s="540">
        <f>SUM(CM52:CP52)</f>
        <v>19.960863232006169</v>
      </c>
      <c r="CR52" s="757">
        <f>LiveRamp!CR12*CR54</f>
        <v>6.5868385440000017</v>
      </c>
      <c r="CS52" s="757">
        <f>LiveRamp!CS12*CS54</f>
        <v>7.2645188296296306</v>
      </c>
      <c r="CT52" s="757">
        <f>LiveRamp!CT12*CT54</f>
        <v>10.719912840000001</v>
      </c>
      <c r="CU52" s="757">
        <f>LiveRamp!CU12*CU54</f>
        <v>10.48402903965</v>
      </c>
      <c r="CV52" s="540">
        <f>SUM(CR52:CU52)</f>
        <v>35.055299253279628</v>
      </c>
    </row>
    <row r="53" spans="5:100" ht="13.5" hidden="1" x14ac:dyDescent="0.25">
      <c r="E53" s="365" t="s">
        <v>2</v>
      </c>
      <c r="F53" s="185"/>
      <c r="G53" s="185"/>
      <c r="H53" s="185"/>
      <c r="I53" s="185"/>
      <c r="J53" s="185"/>
      <c r="K53" s="122"/>
      <c r="L53" s="122"/>
      <c r="M53" s="122"/>
      <c r="N53" s="122"/>
      <c r="O53" s="161"/>
      <c r="P53" s="122"/>
      <c r="Q53" s="122"/>
      <c r="R53" s="122"/>
      <c r="S53" s="122"/>
      <c r="T53" s="161"/>
      <c r="U53" s="122"/>
      <c r="V53" s="122"/>
      <c r="W53" s="122"/>
      <c r="X53" s="122"/>
      <c r="Y53" s="161"/>
      <c r="Z53" s="128"/>
      <c r="AA53" s="128"/>
      <c r="AB53" s="128"/>
      <c r="AC53" s="128"/>
      <c r="AD53" s="161"/>
      <c r="AE53" s="128"/>
      <c r="AF53" s="128"/>
      <c r="AG53" s="128"/>
      <c r="AH53" s="128"/>
      <c r="AI53" s="140"/>
      <c r="AJ53" s="721"/>
      <c r="AK53" s="721"/>
      <c r="AL53" s="721"/>
      <c r="AM53" s="721"/>
      <c r="AN53" s="140"/>
      <c r="AO53" s="721"/>
      <c r="AP53" s="721"/>
      <c r="AQ53" s="721"/>
      <c r="AR53" s="726"/>
      <c r="AS53" s="161"/>
      <c r="AT53" s="439"/>
      <c r="AU53" s="439"/>
      <c r="AV53" s="439"/>
      <c r="AW53" s="439"/>
      <c r="AX53" s="161"/>
      <c r="AY53" s="439"/>
      <c r="AZ53" s="439"/>
      <c r="BA53" s="439"/>
      <c r="BB53" s="439"/>
      <c r="BC53" s="161"/>
      <c r="BD53" s="439"/>
      <c r="BE53" s="439"/>
      <c r="BF53" s="439"/>
      <c r="BG53" s="439"/>
      <c r="BH53" s="161"/>
      <c r="BI53" s="439"/>
      <c r="BJ53" s="439"/>
      <c r="BK53" s="439"/>
      <c r="BL53" s="439"/>
      <c r="BM53" s="161"/>
      <c r="BN53" s="352"/>
      <c r="BO53" s="352"/>
      <c r="BP53" s="352"/>
      <c r="BQ53" s="352"/>
      <c r="BR53" s="643"/>
      <c r="BS53" s="363"/>
      <c r="BT53" s="363"/>
      <c r="BU53" s="363"/>
      <c r="BV53" s="363"/>
      <c r="BW53" s="641"/>
      <c r="BX53" s="475" t="s">
        <v>490</v>
      </c>
      <c r="BY53" s="475" t="s">
        <v>490</v>
      </c>
      <c r="BZ53" s="475" t="s">
        <v>490</v>
      </c>
      <c r="CA53" s="475" t="s">
        <v>490</v>
      </c>
      <c r="CB53" s="580" t="s">
        <v>490</v>
      </c>
      <c r="CC53" s="363">
        <f t="shared" ref="CC53:CQ53" si="43">(CC52-BX52)/ABS(BX52)</f>
        <v>3.5248447204968945</v>
      </c>
      <c r="CD53" s="363">
        <f t="shared" si="43"/>
        <v>5.2478873239436625</v>
      </c>
      <c r="CE53" s="363">
        <f>(CE52-BZ52)/ABS(BZ52)</f>
        <v>1.4330097087378637</v>
      </c>
      <c r="CF53" s="363">
        <f>(CF52-CA52)/ABS(CA52)</f>
        <v>2.1659436008676787</v>
      </c>
      <c r="CG53" s="641">
        <f t="shared" si="43"/>
        <v>3.372068785825951</v>
      </c>
      <c r="CH53" s="680">
        <f>(CH52-CC52)/ABS(CC52)</f>
        <v>0.83115991763898422</v>
      </c>
      <c r="CI53" s="680">
        <f t="shared" si="43"/>
        <v>0.35375937387431633</v>
      </c>
      <c r="CJ53" s="680">
        <f>(CJ52-CE52)/ABS(CE52)</f>
        <v>0.24982122905027937</v>
      </c>
      <c r="CK53" s="680">
        <f t="shared" si="43"/>
        <v>0.14999999999999988</v>
      </c>
      <c r="CL53" s="641">
        <f t="shared" si="43"/>
        <v>0.33472838328992455</v>
      </c>
      <c r="CM53" s="680">
        <f t="shared" si="43"/>
        <v>0.36988620689655177</v>
      </c>
      <c r="CN53" s="680">
        <f t="shared" si="43"/>
        <v>0.98553716459339991</v>
      </c>
      <c r="CO53" s="680">
        <f t="shared" si="43"/>
        <v>0.97933693310328174</v>
      </c>
      <c r="CP53" s="680">
        <f t="shared" si="43"/>
        <v>0.80324047619047589</v>
      </c>
      <c r="CQ53" s="641">
        <f t="shared" si="43"/>
        <v>0.78247916504472836</v>
      </c>
      <c r="CR53" s="680">
        <f t="shared" ref="CR53" si="44">(CR52-CM52)/ABS(CM52)</f>
        <v>0.80221541508443428</v>
      </c>
      <c r="CS53" s="680">
        <f t="shared" ref="CS53" si="45">(CS52-CN52)/ABS(CN52)</f>
        <v>0.79219810990549555</v>
      </c>
      <c r="CT53" s="680">
        <f t="shared" ref="CT53" si="46">(CT52-CO52)/ABS(CO52)</f>
        <v>0.72918938974958558</v>
      </c>
      <c r="CU53" s="680">
        <f t="shared" ref="CU53" si="47">(CU52-CP52)/ABS(CP52)</f>
        <v>0.73197904301911554</v>
      </c>
      <c r="CV53" s="641">
        <f t="shared" ref="CV53" si="48">(CV52-CQ52)/ABS(CQ52)</f>
        <v>0.75620156532460703</v>
      </c>
    </row>
    <row r="54" spans="5:100" ht="13.5" hidden="1" x14ac:dyDescent="0.25">
      <c r="E54" s="365" t="s">
        <v>91</v>
      </c>
      <c r="F54" s="185"/>
      <c r="G54" s="185"/>
      <c r="H54" s="185"/>
      <c r="I54" s="185"/>
      <c r="J54" s="185"/>
      <c r="K54" s="122"/>
      <c r="L54" s="122"/>
      <c r="M54" s="122"/>
      <c r="N54" s="122"/>
      <c r="O54" s="161"/>
      <c r="P54" s="122"/>
      <c r="Q54" s="122"/>
      <c r="R54" s="122"/>
      <c r="S54" s="122"/>
      <c r="T54" s="161"/>
      <c r="U54" s="122"/>
      <c r="V54" s="122"/>
      <c r="W54" s="122"/>
      <c r="X54" s="122"/>
      <c r="Y54" s="161"/>
      <c r="Z54" s="128"/>
      <c r="AA54" s="128"/>
      <c r="AB54" s="128"/>
      <c r="AC54" s="128"/>
      <c r="AD54" s="161"/>
      <c r="AE54" s="128"/>
      <c r="AF54" s="128"/>
      <c r="AG54" s="128"/>
      <c r="AH54" s="128"/>
      <c r="AI54" s="140"/>
      <c r="AJ54" s="721"/>
      <c r="AK54" s="721"/>
      <c r="AL54" s="721"/>
      <c r="AM54" s="721"/>
      <c r="AN54" s="140"/>
      <c r="AO54" s="721"/>
      <c r="AP54" s="721"/>
      <c r="AQ54" s="721"/>
      <c r="AR54" s="726"/>
      <c r="AS54" s="161"/>
      <c r="AT54" s="439"/>
      <c r="AU54" s="439"/>
      <c r="AV54" s="439"/>
      <c r="AW54" s="439"/>
      <c r="AX54" s="161"/>
      <c r="AY54" s="439"/>
      <c r="AZ54" s="439"/>
      <c r="BA54" s="439"/>
      <c r="BB54" s="439"/>
      <c r="BC54" s="161"/>
      <c r="BD54" s="439"/>
      <c r="BE54" s="439"/>
      <c r="BF54" s="439"/>
      <c r="BG54" s="439"/>
      <c r="BH54" s="161"/>
      <c r="BI54" s="439"/>
      <c r="BJ54" s="439"/>
      <c r="BK54" s="439"/>
      <c r="BL54" s="439"/>
      <c r="BM54" s="161"/>
      <c r="BN54" s="352"/>
      <c r="BO54" s="352"/>
      <c r="BP54" s="352"/>
      <c r="BQ54" s="352"/>
      <c r="BR54" s="643"/>
      <c r="BS54" s="352"/>
      <c r="BT54" s="352"/>
      <c r="BU54" s="352"/>
      <c r="BV54" s="352"/>
      <c r="BW54" s="643"/>
      <c r="BX54" s="352">
        <f>BX52/LiveRamp!BX12</f>
        <v>0.10794502179014415</v>
      </c>
      <c r="BY54" s="352">
        <f>BY52/LiveRamp!BY12</f>
        <v>-0.13905209557383469</v>
      </c>
      <c r="BZ54" s="352">
        <f>BZ52/LiveRamp!BZ12</f>
        <v>0.2873082287308229</v>
      </c>
      <c r="CA54" s="352">
        <f>CA52/LiveRamp!CA12</f>
        <v>0.27061931317874965</v>
      </c>
      <c r="CB54" s="643">
        <f>CB52/LiveRamp!CB12</f>
        <v>0.15317688378033206</v>
      </c>
      <c r="CC54" s="352">
        <f>CC52/LiveRamp!CC12</f>
        <v>0.31400862068965518</v>
      </c>
      <c r="CD54" s="352">
        <f>CD52/LiveRamp!CD12</f>
        <v>0.3102880658436214</v>
      </c>
      <c r="CE54" s="352">
        <f>CE52/LiveRamp!CE12</f>
        <v>0.38822618125484115</v>
      </c>
      <c r="CF54" s="352">
        <f>CF52/LiveRamp!CF12</f>
        <v>0.44680851063829785</v>
      </c>
      <c r="CG54" s="643">
        <f>CG52/LiveRamp!CG12</f>
        <v>0.37308786908573466</v>
      </c>
      <c r="CH54" s="702">
        <f>CH52/LiveRamp!CH12</f>
        <v>0.42783835792174474</v>
      </c>
      <c r="CI54" s="705">
        <f>CD54+0.09</f>
        <v>0.40028806584362142</v>
      </c>
      <c r="CJ54" s="705">
        <f>CE54+0.045</f>
        <v>0.43322618125484114</v>
      </c>
      <c r="CK54" s="705">
        <f>CF54+0</f>
        <v>0.44680851063829785</v>
      </c>
      <c r="CL54" s="643">
        <f>CL52/LiveRamp!CL12</f>
        <v>0.42940927067657014</v>
      </c>
      <c r="CM54" s="705">
        <f>CH54+0.023</f>
        <v>0.45083835792174476</v>
      </c>
      <c r="CN54" s="705">
        <f>CI54+0.07</f>
        <v>0.47028806584362143</v>
      </c>
      <c r="CO54" s="705">
        <f>CJ54+0.12</f>
        <v>0.55322618125484113</v>
      </c>
      <c r="CP54" s="705">
        <f>CK54+0.073</f>
        <v>0.5198085106382978</v>
      </c>
      <c r="CQ54" s="643">
        <f>CQ52/LiveRamp!CQ12</f>
        <v>0.50435829043846303</v>
      </c>
      <c r="CR54" s="705">
        <f>CM54+0.07</f>
        <v>0.52083835792174482</v>
      </c>
      <c r="CS54" s="705">
        <f>CN54+0.07</f>
        <v>0.54028806584362143</v>
      </c>
      <c r="CT54" s="705">
        <f>CO54+0.06</f>
        <v>0.61322618125484119</v>
      </c>
      <c r="CU54" s="705">
        <f>CP54+0.05</f>
        <v>0.56980851063829785</v>
      </c>
      <c r="CV54" s="643">
        <f>CV52/LiveRamp!CV12</f>
        <v>0.56565771417173771</v>
      </c>
    </row>
    <row r="55" spans="5:100" ht="13.5" hidden="1" x14ac:dyDescent="0.25">
      <c r="E55" s="564" t="s">
        <v>747</v>
      </c>
      <c r="F55" s="565"/>
      <c r="G55" s="565"/>
      <c r="H55" s="565"/>
      <c r="I55" s="565"/>
      <c r="J55" s="565"/>
      <c r="K55" s="565"/>
      <c r="L55" s="565"/>
      <c r="M55" s="565"/>
      <c r="N55" s="565"/>
      <c r="O55" s="566"/>
      <c r="P55" s="565"/>
      <c r="Q55" s="565"/>
      <c r="R55" s="565"/>
      <c r="S55" s="565"/>
      <c r="T55" s="566"/>
      <c r="U55" s="565"/>
      <c r="V55" s="565"/>
      <c r="W55" s="565"/>
      <c r="X55" s="565"/>
      <c r="Y55" s="566"/>
      <c r="Z55" s="567"/>
      <c r="AA55" s="567"/>
      <c r="AB55" s="567"/>
      <c r="AC55" s="567"/>
      <c r="AD55" s="566"/>
      <c r="AE55" s="567"/>
      <c r="AF55" s="567"/>
      <c r="AG55" s="567"/>
      <c r="AH55" s="567"/>
      <c r="AI55" s="513"/>
      <c r="AJ55" s="568"/>
      <c r="AK55" s="568"/>
      <c r="AL55" s="568"/>
      <c r="AM55" s="568"/>
      <c r="AN55" s="513"/>
      <c r="AO55" s="568"/>
      <c r="AP55" s="568"/>
      <c r="AQ55" s="568"/>
      <c r="AR55" s="565"/>
      <c r="AS55" s="566"/>
      <c r="AT55" s="566"/>
      <c r="AU55" s="566"/>
      <c r="AV55" s="566"/>
      <c r="AW55" s="566"/>
      <c r="AX55" s="566"/>
      <c r="AY55" s="566"/>
      <c r="AZ55" s="566"/>
      <c r="BA55" s="566"/>
      <c r="BB55" s="566"/>
      <c r="BC55" s="566"/>
      <c r="BD55" s="566"/>
      <c r="BE55" s="566"/>
      <c r="BF55" s="566"/>
      <c r="BG55" s="566"/>
      <c r="BH55" s="566"/>
      <c r="BI55" s="566"/>
      <c r="BJ55" s="566"/>
      <c r="BK55" s="566"/>
      <c r="BL55" s="566"/>
      <c r="BM55" s="566"/>
      <c r="BN55" s="545"/>
      <c r="BO55" s="545"/>
      <c r="BP55" s="545"/>
      <c r="BQ55" s="545"/>
      <c r="BR55" s="540"/>
      <c r="BS55" s="545"/>
      <c r="BT55" s="545"/>
      <c r="BU55" s="545"/>
      <c r="BV55" s="545"/>
      <c r="BW55" s="540"/>
      <c r="BX55" s="545">
        <v>18.552</v>
      </c>
      <c r="BY55" s="545">
        <v>20.457000000000001</v>
      </c>
      <c r="BZ55" s="545">
        <v>25.402000000000001</v>
      </c>
      <c r="CA55" s="545">
        <v>28.873999999999999</v>
      </c>
      <c r="CB55" s="540">
        <f>SUM(BX55:CA55)</f>
        <v>93.284999999999997</v>
      </c>
      <c r="CC55" s="545">
        <v>28.228999999999999</v>
      </c>
      <c r="CD55" s="545">
        <v>36.104999999999997</v>
      </c>
      <c r="CE55" s="545">
        <v>40.552999999999997</v>
      </c>
      <c r="CF55" s="545">
        <v>42.679000000000002</v>
      </c>
      <c r="CG55" s="540">
        <f>SUM(CC55:CF55)</f>
        <v>147.566</v>
      </c>
      <c r="CH55" s="545">
        <v>44.2</v>
      </c>
      <c r="CI55" s="642">
        <f>CI48+CI52</f>
        <v>45.861923270443285</v>
      </c>
      <c r="CJ55" s="642">
        <f>CJ48+CJ52</f>
        <v>53.416377207999993</v>
      </c>
      <c r="CK55" s="642">
        <f>CK48+CK52</f>
        <v>56.635250000000013</v>
      </c>
      <c r="CL55" s="540">
        <f>SUM(CH55:CK55)</f>
        <v>200.1135504784433</v>
      </c>
      <c r="CM55" s="642">
        <f>CM48+CM52</f>
        <v>56.769190400000006</v>
      </c>
      <c r="CN55" s="642">
        <f>CN48+CN52</f>
        <v>63.204897411924854</v>
      </c>
      <c r="CO55" s="642">
        <f>CO48+CO52</f>
        <v>75.015691498220008</v>
      </c>
      <c r="CP55" s="642">
        <f>CP48+CP52</f>
        <v>75.304692767620011</v>
      </c>
      <c r="CQ55" s="540">
        <f>SUM(CM55:CP55)</f>
        <v>270.29447207776485</v>
      </c>
      <c r="CR55" s="642">
        <f>CR48+CR52</f>
        <v>76.330308639000023</v>
      </c>
      <c r="CS55" s="642">
        <f>CS48+CS52</f>
        <v>84.610811711587644</v>
      </c>
      <c r="CT55" s="642">
        <f>CT48+CT52</f>
        <v>100.86833490699721</v>
      </c>
      <c r="CU55" s="642">
        <f>CU48+CU52</f>
        <v>100.28597136684361</v>
      </c>
      <c r="CV55" s="540">
        <f>SUM(CR55:CU55)</f>
        <v>362.09542662442851</v>
      </c>
    </row>
    <row r="56" spans="5:100" ht="13.5" hidden="1" x14ac:dyDescent="0.25">
      <c r="E56" s="643" t="s">
        <v>2</v>
      </c>
      <c r="F56" s="565"/>
      <c r="G56" s="565"/>
      <c r="H56" s="565"/>
      <c r="I56" s="565"/>
      <c r="J56" s="565"/>
      <c r="K56" s="565"/>
      <c r="L56" s="565"/>
      <c r="M56" s="565"/>
      <c r="N56" s="565"/>
      <c r="O56" s="566"/>
      <c r="P56" s="565"/>
      <c r="Q56" s="565"/>
      <c r="R56" s="565"/>
      <c r="S56" s="565"/>
      <c r="T56" s="566"/>
      <c r="U56" s="565"/>
      <c r="V56" s="565"/>
      <c r="W56" s="565"/>
      <c r="X56" s="565"/>
      <c r="Y56" s="566"/>
      <c r="Z56" s="567"/>
      <c r="AA56" s="567"/>
      <c r="AB56" s="567"/>
      <c r="AC56" s="567"/>
      <c r="AD56" s="566"/>
      <c r="AE56" s="567"/>
      <c r="AF56" s="567"/>
      <c r="AG56" s="567"/>
      <c r="AH56" s="567"/>
      <c r="AI56" s="513"/>
      <c r="AJ56" s="568"/>
      <c r="AK56" s="568"/>
      <c r="AL56" s="568"/>
      <c r="AM56" s="568"/>
      <c r="AN56" s="513"/>
      <c r="AO56" s="568"/>
      <c r="AP56" s="568"/>
      <c r="AQ56" s="568"/>
      <c r="AR56" s="565"/>
      <c r="AS56" s="566"/>
      <c r="AT56" s="566"/>
      <c r="AU56" s="566"/>
      <c r="AV56" s="566"/>
      <c r="AW56" s="566"/>
      <c r="AX56" s="566"/>
      <c r="AY56" s="566"/>
      <c r="AZ56" s="566"/>
      <c r="BA56" s="566"/>
      <c r="BB56" s="566"/>
      <c r="BC56" s="566"/>
      <c r="BD56" s="566"/>
      <c r="BE56" s="566"/>
      <c r="BF56" s="566"/>
      <c r="BG56" s="566"/>
      <c r="BH56" s="566"/>
      <c r="BI56" s="566"/>
      <c r="BJ56" s="566"/>
      <c r="BK56" s="566"/>
      <c r="BL56" s="566"/>
      <c r="BM56" s="566"/>
      <c r="BN56" s="513"/>
      <c r="BO56" s="513"/>
      <c r="BP56" s="513"/>
      <c r="BQ56" s="513"/>
      <c r="BR56" s="566"/>
      <c r="BS56" s="641"/>
      <c r="BT56" s="643"/>
      <c r="BU56" s="643"/>
      <c r="BV56" s="643"/>
      <c r="BW56" s="643"/>
      <c r="BX56" s="580" t="s">
        <v>490</v>
      </c>
      <c r="BY56" s="580" t="s">
        <v>490</v>
      </c>
      <c r="BZ56" s="580" t="s">
        <v>490</v>
      </c>
      <c r="CA56" s="580" t="s">
        <v>490</v>
      </c>
      <c r="CB56" s="580" t="s">
        <v>490</v>
      </c>
      <c r="CC56" s="643">
        <f t="shared" ref="CC56:CQ56" si="49">CC55/BX55-1</f>
        <v>0.52161492022423461</v>
      </c>
      <c r="CD56" s="643">
        <f t="shared" si="49"/>
        <v>0.76492154274820323</v>
      </c>
      <c r="CE56" s="643">
        <f t="shared" si="49"/>
        <v>0.59644909849618122</v>
      </c>
      <c r="CF56" s="643">
        <f>CF55/CA55-1</f>
        <v>0.47811179607951804</v>
      </c>
      <c r="CG56" s="641">
        <f t="shared" si="49"/>
        <v>0.58188347537117435</v>
      </c>
      <c r="CH56" s="643">
        <f>CH55/CC55-1</f>
        <v>0.5657657019377238</v>
      </c>
      <c r="CI56" s="643">
        <f t="shared" si="49"/>
        <v>0.27023745382753872</v>
      </c>
      <c r="CJ56" s="643">
        <f t="shared" si="49"/>
        <v>0.31719915192464176</v>
      </c>
      <c r="CK56" s="643">
        <f t="shared" si="49"/>
        <v>0.32700508446777121</v>
      </c>
      <c r="CL56" s="641">
        <f t="shared" si="49"/>
        <v>0.35609524198286402</v>
      </c>
      <c r="CM56" s="643">
        <f t="shared" si="49"/>
        <v>0.28437082352941179</v>
      </c>
      <c r="CN56" s="643">
        <f t="shared" si="49"/>
        <v>0.3781562765959845</v>
      </c>
      <c r="CO56" s="643">
        <f t="shared" si="49"/>
        <v>0.40435752889256515</v>
      </c>
      <c r="CP56" s="643">
        <f t="shared" si="49"/>
        <v>0.32964351296445216</v>
      </c>
      <c r="CQ56" s="641">
        <f t="shared" si="49"/>
        <v>0.35070549411336138</v>
      </c>
      <c r="CR56" s="643">
        <f t="shared" ref="CR56" si="50">CR55/CM55-1</f>
        <v>0.34457278853495876</v>
      </c>
      <c r="CS56" s="643">
        <f t="shared" ref="CS56" si="51">CS55/CN55-1</f>
        <v>0.33867493147175232</v>
      </c>
      <c r="CT56" s="643">
        <f t="shared" ref="CT56" si="52">CT55/CO55-1</f>
        <v>0.34462980867663706</v>
      </c>
      <c r="CU56" s="643">
        <f t="shared" ref="CU56" si="53">CU55/CP55-1</f>
        <v>0.3317360138007921</v>
      </c>
      <c r="CV56" s="641">
        <f t="shared" ref="CV56" si="54">CV55/CQ55-1</f>
        <v>0.33963311880182334</v>
      </c>
    </row>
    <row r="57" spans="5:100" ht="13.5" hidden="1" x14ac:dyDescent="0.25">
      <c r="E57" s="643" t="s">
        <v>91</v>
      </c>
      <c r="F57" s="565"/>
      <c r="G57" s="565"/>
      <c r="H57" s="565"/>
      <c r="I57" s="565"/>
      <c r="J57" s="565"/>
      <c r="K57" s="565"/>
      <c r="L57" s="565"/>
      <c r="M57" s="565"/>
      <c r="N57" s="565"/>
      <c r="O57" s="566"/>
      <c r="P57" s="565"/>
      <c r="Q57" s="565"/>
      <c r="R57" s="565"/>
      <c r="S57" s="565"/>
      <c r="T57" s="566"/>
      <c r="U57" s="565"/>
      <c r="V57" s="565"/>
      <c r="W57" s="565"/>
      <c r="X57" s="565"/>
      <c r="Y57" s="566"/>
      <c r="Z57" s="567"/>
      <c r="AA57" s="567"/>
      <c r="AB57" s="567"/>
      <c r="AC57" s="567"/>
      <c r="AD57" s="566"/>
      <c r="AE57" s="567"/>
      <c r="AF57" s="567"/>
      <c r="AG57" s="567"/>
      <c r="AH57" s="567"/>
      <c r="AI57" s="513"/>
      <c r="AJ57" s="568"/>
      <c r="AK57" s="568"/>
      <c r="AL57" s="568"/>
      <c r="AM57" s="568"/>
      <c r="AN57" s="513"/>
      <c r="AO57" s="568"/>
      <c r="AP57" s="568"/>
      <c r="AQ57" s="568"/>
      <c r="AR57" s="565"/>
      <c r="AS57" s="566"/>
      <c r="AT57" s="566"/>
      <c r="AU57" s="566"/>
      <c r="AV57" s="566"/>
      <c r="AW57" s="566"/>
      <c r="AX57" s="566"/>
      <c r="AY57" s="566"/>
      <c r="AZ57" s="566"/>
      <c r="BA57" s="566"/>
      <c r="BB57" s="566"/>
      <c r="BC57" s="566"/>
      <c r="BD57" s="566"/>
      <c r="BE57" s="566"/>
      <c r="BF57" s="566"/>
      <c r="BG57" s="566"/>
      <c r="BH57" s="566"/>
      <c r="BI57" s="566"/>
      <c r="BJ57" s="566"/>
      <c r="BK57" s="566"/>
      <c r="BL57" s="566"/>
      <c r="BM57" s="566"/>
      <c r="BN57" s="643"/>
      <c r="BO57" s="643"/>
      <c r="BP57" s="643"/>
      <c r="BQ57" s="643"/>
      <c r="BR57" s="643"/>
      <c r="BS57" s="643"/>
      <c r="BT57" s="643"/>
      <c r="BU57" s="643"/>
      <c r="BV57" s="643"/>
      <c r="BW57" s="643"/>
      <c r="BX57" s="643">
        <f>BX55/LiveRamp!BX16</f>
        <v>0.56048338368580053</v>
      </c>
      <c r="BY57" s="643">
        <f>BY55/LiveRamp!BY16</f>
        <v>0.59124277456647401</v>
      </c>
      <c r="BZ57" s="643">
        <f>BZ55/LiveRamp!BZ16</f>
        <v>0.61655339805825238</v>
      </c>
      <c r="CA57" s="643">
        <f>CA55/LiveRamp!CA16</f>
        <v>0.63459340659340657</v>
      </c>
      <c r="CB57" s="643">
        <f>CB55/LiveRamp!CB16</f>
        <v>0.60417746113989634</v>
      </c>
      <c r="CC57" s="643">
        <f>CC55/LiveRamp!CC16</f>
        <v>0.60373847766109889</v>
      </c>
      <c r="CD57" s="643">
        <f>CD55/LiveRamp!CD16</f>
        <v>0.66845018791772348</v>
      </c>
      <c r="CE57" s="643">
        <f>CE55/LiveRamp!CE16</f>
        <v>0.68593224065898739</v>
      </c>
      <c r="CF57" s="643">
        <f>CF55/LiveRamp!CF16</f>
        <v>0.70883574157116758</v>
      </c>
      <c r="CG57" s="643">
        <f>CG55/LiveRamp!CG16</f>
        <v>0.6704467494468449</v>
      </c>
      <c r="CH57" s="643">
        <f>CH55/LiveRamp!CH16</f>
        <v>0.70752829312801147</v>
      </c>
      <c r="CI57" s="643">
        <f>CI55/LiveRamp!CI16</f>
        <v>0.70761468972479302</v>
      </c>
      <c r="CJ57" s="643">
        <f>CJ55/LiveRamp!CJ16</f>
        <v>0.70912903739439759</v>
      </c>
      <c r="CK57" s="643">
        <f>CK55/LiveRamp!CK16</f>
        <v>0.71292997632304989</v>
      </c>
      <c r="CL57" s="643">
        <f>CL55/LiveRamp!CL16</f>
        <v>0.70949705418207565</v>
      </c>
      <c r="CM57" s="643">
        <f>CM55/LiveRamp!CM16</f>
        <v>0.69902207424244855</v>
      </c>
      <c r="CN57" s="643">
        <f>CN55/LiveRamp!CN16</f>
        <v>0.71310731176130693</v>
      </c>
      <c r="CO57" s="643">
        <f>CO55/LiveRamp!CO16</f>
        <v>0.74707053664699996</v>
      </c>
      <c r="CP57" s="643">
        <f>CP55/LiveRamp!CP16</f>
        <v>0.73630828922964275</v>
      </c>
      <c r="CQ57" s="643">
        <f>CQ55/LiveRamp!CQ16</f>
        <v>0.72556074475493804</v>
      </c>
      <c r="CR57" s="643">
        <f>CR55/LiveRamp!CR16</f>
        <v>0.71368283828226398</v>
      </c>
      <c r="CS57" s="643">
        <f>CS55/LiveRamp!CS16</f>
        <v>0.727748969294986</v>
      </c>
      <c r="CT57" s="643">
        <f>CT55/LiveRamp!CT16</f>
        <v>0.76350339674216994</v>
      </c>
      <c r="CU57" s="643">
        <f>CU55/LiveRamp!CU16</f>
        <v>0.74615667023891186</v>
      </c>
      <c r="CV57" s="643">
        <f>CV55/LiveRamp!CV16</f>
        <v>0.73937420373427476</v>
      </c>
    </row>
    <row r="58" spans="5:100" ht="3.75" hidden="1" customHeight="1" x14ac:dyDescent="0.25">
      <c r="F58" s="565"/>
      <c r="G58" s="565"/>
      <c r="H58" s="565"/>
      <c r="I58" s="565"/>
      <c r="J58" s="565"/>
      <c r="O58" s="565"/>
      <c r="T58" s="565"/>
      <c r="Y58" s="565"/>
      <c r="AD58" s="565"/>
      <c r="AI58" s="565"/>
      <c r="AN58" s="565"/>
      <c r="AS58" s="565"/>
      <c r="AX58" s="565"/>
      <c r="BC58" s="565"/>
      <c r="BH58" s="565"/>
      <c r="BM58" s="565"/>
      <c r="BR58" s="565"/>
      <c r="BW58" s="565"/>
      <c r="CB58" s="565"/>
      <c r="CG58" s="565"/>
      <c r="CH58" s="700"/>
      <c r="CI58" s="700"/>
      <c r="CJ58" s="700"/>
      <c r="CK58" s="700"/>
      <c r="CL58" s="565"/>
      <c r="CQ58" s="565"/>
      <c r="CV58" s="565"/>
    </row>
    <row r="59" spans="5:100" ht="13.5" hidden="1" customHeight="1" x14ac:dyDescent="0.25">
      <c r="E59" s="365" t="s">
        <v>299</v>
      </c>
      <c r="F59" s="565"/>
      <c r="G59" s="565"/>
      <c r="H59" s="565"/>
      <c r="I59" s="565"/>
      <c r="J59" s="565"/>
      <c r="O59" s="565"/>
      <c r="T59" s="565"/>
      <c r="Y59" s="565"/>
      <c r="AD59" s="565"/>
      <c r="AI59" s="565"/>
      <c r="AN59" s="565"/>
      <c r="AS59" s="565"/>
      <c r="AX59" s="565"/>
      <c r="BC59" s="565"/>
      <c r="BH59" s="565"/>
      <c r="BM59" s="565"/>
      <c r="BR59" s="565"/>
      <c r="BW59" s="565"/>
      <c r="CB59" s="565"/>
      <c r="CG59" s="565"/>
      <c r="CH59" s="700"/>
      <c r="CI59" s="700"/>
      <c r="CJ59" s="700"/>
      <c r="CK59" s="700"/>
      <c r="CL59" s="565"/>
      <c r="CQ59" s="565"/>
      <c r="CV59" s="565"/>
    </row>
    <row r="60" spans="5:100" ht="3.75" hidden="1" customHeight="1" x14ac:dyDescent="0.25">
      <c r="F60" s="565"/>
      <c r="G60" s="565"/>
      <c r="H60" s="565"/>
      <c r="I60" s="565"/>
      <c r="J60" s="565"/>
      <c r="O60" s="565"/>
      <c r="T60" s="565"/>
      <c r="Y60" s="565"/>
      <c r="AD60" s="565"/>
      <c r="AI60" s="565"/>
      <c r="AN60" s="565"/>
      <c r="AS60" s="565"/>
      <c r="AX60" s="565"/>
      <c r="BC60" s="565"/>
      <c r="BH60" s="565"/>
      <c r="BM60" s="565"/>
      <c r="BR60" s="565"/>
      <c r="BW60" s="565"/>
      <c r="CB60" s="565"/>
      <c r="CG60" s="565"/>
      <c r="CH60" s="700"/>
      <c r="CI60" s="700"/>
      <c r="CJ60" s="700"/>
      <c r="CK60" s="700"/>
      <c r="CL60" s="565"/>
      <c r="CQ60" s="565"/>
      <c r="CV60" s="565"/>
    </row>
    <row r="61" spans="5:100" ht="13.5" hidden="1" x14ac:dyDescent="0.25">
      <c r="E61" s="54" t="s">
        <v>745</v>
      </c>
      <c r="F61" s="185"/>
      <c r="G61" s="185"/>
      <c r="H61" s="185"/>
      <c r="I61" s="185"/>
      <c r="J61" s="185"/>
      <c r="K61" s="122"/>
      <c r="L61" s="122"/>
      <c r="M61" s="122"/>
      <c r="N61" s="122"/>
      <c r="O61" s="161"/>
      <c r="P61" s="122"/>
      <c r="Q61" s="122"/>
      <c r="R61" s="122"/>
      <c r="S61" s="122"/>
      <c r="T61" s="161"/>
      <c r="U61" s="122"/>
      <c r="V61" s="122"/>
      <c r="W61" s="122"/>
      <c r="X61" s="122"/>
      <c r="Y61" s="161"/>
      <c r="Z61" s="128"/>
      <c r="AA61" s="128"/>
      <c r="AB61" s="128"/>
      <c r="AC61" s="128"/>
      <c r="AD61" s="161"/>
      <c r="AE61" s="128"/>
      <c r="AF61" s="128"/>
      <c r="AG61" s="128"/>
      <c r="AH61" s="128"/>
      <c r="AI61" s="140"/>
      <c r="AJ61" s="721"/>
      <c r="AK61" s="721"/>
      <c r="AL61" s="721"/>
      <c r="AM61" s="721"/>
      <c r="AN61" s="140"/>
      <c r="AO61" s="721"/>
      <c r="AP61" s="721"/>
      <c r="AQ61" s="721"/>
      <c r="AR61" s="726"/>
      <c r="AS61" s="161"/>
      <c r="AT61" s="439"/>
      <c r="AU61" s="439"/>
      <c r="AV61" s="439"/>
      <c r="AW61" s="439"/>
      <c r="AX61" s="161"/>
      <c r="AY61" s="439"/>
      <c r="AZ61" s="439"/>
      <c r="BA61" s="439"/>
      <c r="BB61" s="439"/>
      <c r="BC61" s="161"/>
      <c r="BD61" s="439"/>
      <c r="BE61" s="439"/>
      <c r="BF61" s="439"/>
      <c r="BG61" s="439"/>
      <c r="BH61" s="161"/>
      <c r="BI61" s="439"/>
      <c r="BJ61" s="439"/>
      <c r="BK61" s="439"/>
      <c r="BL61" s="439"/>
      <c r="BM61" s="161"/>
      <c r="BN61" s="417"/>
      <c r="BO61" s="417"/>
      <c r="BP61" s="417"/>
      <c r="BQ61" s="417"/>
      <c r="BR61" s="540"/>
      <c r="BS61" s="417"/>
      <c r="BT61" s="417"/>
      <c r="BU61" s="417"/>
      <c r="BV61" s="417"/>
      <c r="BW61" s="540"/>
      <c r="BX61" s="721">
        <f>BX67-BX64</f>
        <v>2.5419999999999998</v>
      </c>
      <c r="BY61" s="721">
        <f>BY67-BY64</f>
        <v>4.2910000000000004</v>
      </c>
      <c r="BZ61" s="721">
        <f>BZ67-BZ64</f>
        <v>5.16</v>
      </c>
      <c r="CA61" s="721">
        <f>CA67-CA64</f>
        <v>3.9590000000000001</v>
      </c>
      <c r="CB61" s="642">
        <f>SUM(BX61:CA61)</f>
        <v>15.952</v>
      </c>
      <c r="CC61" s="721">
        <f>CC67-CC64</f>
        <v>2.1859999999999999</v>
      </c>
      <c r="CD61" s="721">
        <f>CD67-CD64</f>
        <v>8.3509999999999991</v>
      </c>
      <c r="CE61" s="721">
        <f>CE67-CE64</f>
        <v>10.367000000000001</v>
      </c>
      <c r="CF61" s="721">
        <f>CF67-CF64</f>
        <v>10.167</v>
      </c>
      <c r="CG61" s="642">
        <f>SUM(CC61:CF61)</f>
        <v>31.070999999999998</v>
      </c>
      <c r="CH61" s="645">
        <f>CH67-CH64</f>
        <v>10.609</v>
      </c>
      <c r="CI61" s="757">
        <f>LiveRamp!CI8*CI63</f>
        <v>9.1298497566374373</v>
      </c>
      <c r="CJ61" s="757">
        <f>LiveRamp!CJ8*CJ63</f>
        <v>14.834570897999999</v>
      </c>
      <c r="CK61" s="757">
        <f>LiveRamp!CK8*CK63</f>
        <v>15.565813860000002</v>
      </c>
      <c r="CL61" s="540">
        <f>SUM(CH61:CK61)</f>
        <v>50.139234514637437</v>
      </c>
      <c r="CM61" s="631">
        <f>LiveRamp!CM8*CM63</f>
        <v>13.791700000000002</v>
      </c>
      <c r="CN61" s="631">
        <f>LiveRamp!CN8*CN63</f>
        <v>14.554406993894165</v>
      </c>
      <c r="CO61" s="631">
        <f>LiveRamp!CO8*CO63</f>
        <v>21.574261895100001</v>
      </c>
      <c r="CP61" s="631">
        <f>LiveRamp!CP8*CP63</f>
        <v>20.972349165600001</v>
      </c>
      <c r="CQ61" s="540">
        <f>SUM(CM61:CP61)</f>
        <v>70.89271805459417</v>
      </c>
      <c r="CR61" s="631">
        <f>LiveRamp!CR8*CR63</f>
        <v>18.451435665000005</v>
      </c>
      <c r="CS61" s="631">
        <f>LiveRamp!CS8*CS63</f>
        <v>20.758774843154001</v>
      </c>
      <c r="CT61" s="631">
        <f>LiveRamp!CT8*CT63</f>
        <v>29.900921562997201</v>
      </c>
      <c r="CU61" s="631">
        <f>LiveRamp!CU8*CU63</f>
        <v>26.844606931968002</v>
      </c>
      <c r="CV61" s="540">
        <f>SUM(CR61:CU61)</f>
        <v>95.955739003119206</v>
      </c>
    </row>
    <row r="62" spans="5:100" ht="13.5" hidden="1" x14ac:dyDescent="0.25">
      <c r="E62" s="365" t="s">
        <v>2</v>
      </c>
      <c r="F62" s="185"/>
      <c r="G62" s="185"/>
      <c r="H62" s="185"/>
      <c r="I62" s="185"/>
      <c r="J62" s="185"/>
      <c r="K62" s="122"/>
      <c r="L62" s="122"/>
      <c r="M62" s="122"/>
      <c r="N62" s="122"/>
      <c r="O62" s="161"/>
      <c r="P62" s="122"/>
      <c r="Q62" s="122"/>
      <c r="R62" s="122"/>
      <c r="S62" s="122"/>
      <c r="T62" s="161"/>
      <c r="U62" s="122"/>
      <c r="V62" s="122"/>
      <c r="W62" s="122"/>
      <c r="X62" s="122"/>
      <c r="Y62" s="161"/>
      <c r="Z62" s="128"/>
      <c r="AA62" s="128"/>
      <c r="AB62" s="128"/>
      <c r="AC62" s="128"/>
      <c r="AD62" s="161"/>
      <c r="AE62" s="128"/>
      <c r="AF62" s="128"/>
      <c r="AG62" s="128"/>
      <c r="AH62" s="128"/>
      <c r="AI62" s="140"/>
      <c r="AJ62" s="721"/>
      <c r="AK62" s="721"/>
      <c r="AL62" s="721"/>
      <c r="AM62" s="721"/>
      <c r="AN62" s="140"/>
      <c r="AO62" s="721"/>
      <c r="AP62" s="721"/>
      <c r="AQ62" s="721"/>
      <c r="AR62" s="726"/>
      <c r="AS62" s="161"/>
      <c r="AT62" s="439"/>
      <c r="AU62" s="439"/>
      <c r="AV62" s="439"/>
      <c r="AW62" s="439"/>
      <c r="AX62" s="161"/>
      <c r="AY62" s="439"/>
      <c r="AZ62" s="439"/>
      <c r="BA62" s="439"/>
      <c r="BB62" s="439"/>
      <c r="BC62" s="161"/>
      <c r="BD62" s="439"/>
      <c r="BE62" s="439"/>
      <c r="BF62" s="439"/>
      <c r="BG62" s="439"/>
      <c r="BH62" s="161"/>
      <c r="BI62" s="439"/>
      <c r="BJ62" s="439"/>
      <c r="BK62" s="439"/>
      <c r="BL62" s="439"/>
      <c r="BM62" s="161"/>
      <c r="BN62" s="363"/>
      <c r="BO62" s="352"/>
      <c r="BP62" s="352"/>
      <c r="BQ62" s="352"/>
      <c r="BR62" s="32"/>
      <c r="BS62" s="363"/>
      <c r="BT62" s="363"/>
      <c r="BU62" s="363"/>
      <c r="BV62" s="363"/>
      <c r="BW62" s="32"/>
      <c r="BX62" s="475" t="s">
        <v>490</v>
      </c>
      <c r="BY62" s="475" t="s">
        <v>490</v>
      </c>
      <c r="BZ62" s="475" t="s">
        <v>490</v>
      </c>
      <c r="CA62" s="475" t="s">
        <v>490</v>
      </c>
      <c r="CB62" s="580" t="s">
        <v>490</v>
      </c>
      <c r="CC62" s="363">
        <f t="shared" ref="CC62" si="55">(CC61-BX61)/ABS(BX61)</f>
        <v>-0.14004720692368211</v>
      </c>
      <c r="CD62" s="352">
        <f>CD61/BY61-1</f>
        <v>0.94616639477977116</v>
      </c>
      <c r="CE62" s="352">
        <f>CE61/BZ61-1</f>
        <v>1.009108527131783</v>
      </c>
      <c r="CF62" s="352">
        <f>CF61/CA61-1</f>
        <v>1.5680727456428389</v>
      </c>
      <c r="CG62" s="32">
        <f>CG61/CB61-1</f>
        <v>0.94778084252758266</v>
      </c>
      <c r="CH62" s="702">
        <f>CH61/CC61-1</f>
        <v>3.8531564501372371</v>
      </c>
      <c r="CI62" s="680">
        <f>(CI61-CD61)/ABS(CD61)</f>
        <v>9.3264250585251854E-2</v>
      </c>
      <c r="CJ62" s="680">
        <f>(CJ61-CE61)/ABS(CE61)</f>
        <v>0.4309415354490207</v>
      </c>
      <c r="CK62" s="680">
        <f>(CK61-CF61)/ABS(CF61)</f>
        <v>0.53101346119799375</v>
      </c>
      <c r="CL62" s="32">
        <f>CL61/CG61-1</f>
        <v>0.61369877102885129</v>
      </c>
      <c r="CM62" s="363">
        <f>(CM61-CH61)/ABS(CH61)</f>
        <v>0.30000000000000021</v>
      </c>
      <c r="CN62" s="363">
        <f>(CN61-CI61)/ABS(CI61)</f>
        <v>0.59415624373369924</v>
      </c>
      <c r="CO62" s="363">
        <f>(CO61-CJ61)/ABS(CJ61)</f>
        <v>0.45432328602161653</v>
      </c>
      <c r="CP62" s="363">
        <f>(CP61-CK61)/ABS(CK61)</f>
        <v>0.34733393025425768</v>
      </c>
      <c r="CQ62" s="32">
        <f>CQ61/CL61-1</f>
        <v>0.41391704003574392</v>
      </c>
      <c r="CR62" s="363">
        <f>(CR61-CM61)/ABS(CM61)</f>
        <v>0.3378652134979736</v>
      </c>
      <c r="CS62" s="363">
        <f>(CS61-CN61)/ABS(CN61)</f>
        <v>0.42628791759517781</v>
      </c>
      <c r="CT62" s="363">
        <f>(CT61-CO61)/ABS(CO61)</f>
        <v>0.3859533970795252</v>
      </c>
      <c r="CU62" s="363">
        <f>(CU61-CP61)/ABS(CP61)</f>
        <v>0.28000000000000003</v>
      </c>
      <c r="CV62" s="32">
        <f>CV61/CQ61-1</f>
        <v>0.35353449037211582</v>
      </c>
    </row>
    <row r="63" spans="5:100" ht="13.5" hidden="1" x14ac:dyDescent="0.25">
      <c r="E63" s="365" t="s">
        <v>91</v>
      </c>
      <c r="F63" s="185"/>
      <c r="G63" s="185"/>
      <c r="H63" s="185"/>
      <c r="I63" s="185"/>
      <c r="J63" s="185"/>
      <c r="K63" s="122"/>
      <c r="L63" s="122"/>
      <c r="M63" s="122"/>
      <c r="N63" s="122"/>
      <c r="O63" s="161"/>
      <c r="P63" s="122"/>
      <c r="Q63" s="122"/>
      <c r="R63" s="122"/>
      <c r="S63" s="122"/>
      <c r="T63" s="161"/>
      <c r="U63" s="122"/>
      <c r="V63" s="122"/>
      <c r="W63" s="122"/>
      <c r="X63" s="122"/>
      <c r="Y63" s="161"/>
      <c r="Z63" s="128"/>
      <c r="AA63" s="128"/>
      <c r="AB63" s="128"/>
      <c r="AC63" s="128"/>
      <c r="AD63" s="161"/>
      <c r="AE63" s="128"/>
      <c r="AF63" s="128"/>
      <c r="AG63" s="128"/>
      <c r="AH63" s="128"/>
      <c r="AI63" s="140"/>
      <c r="AJ63" s="721"/>
      <c r="AK63" s="721"/>
      <c r="AL63" s="721"/>
      <c r="AM63" s="721"/>
      <c r="AN63" s="140"/>
      <c r="AO63" s="721"/>
      <c r="AP63" s="721"/>
      <c r="AQ63" s="721"/>
      <c r="AR63" s="726"/>
      <c r="AS63" s="161"/>
      <c r="AT63" s="439"/>
      <c r="AU63" s="439"/>
      <c r="AV63" s="439"/>
      <c r="AW63" s="439"/>
      <c r="AX63" s="161"/>
      <c r="AY63" s="439"/>
      <c r="AZ63" s="439"/>
      <c r="BA63" s="439"/>
      <c r="BB63" s="439"/>
      <c r="BC63" s="161"/>
      <c r="BD63" s="439"/>
      <c r="BE63" s="439"/>
      <c r="BF63" s="439"/>
      <c r="BG63" s="439"/>
      <c r="BH63" s="161"/>
      <c r="BI63" s="439"/>
      <c r="BJ63" s="439"/>
      <c r="BK63" s="439"/>
      <c r="BL63" s="439"/>
      <c r="BM63" s="161"/>
      <c r="BN63" s="352"/>
      <c r="BO63" s="352"/>
      <c r="BP63" s="352"/>
      <c r="BQ63" s="352"/>
      <c r="BR63" s="643"/>
      <c r="BS63" s="352"/>
      <c r="BT63" s="352"/>
      <c r="BU63" s="352"/>
      <c r="BV63" s="352"/>
      <c r="BW63" s="643"/>
      <c r="BX63" s="352">
        <f>BX61/LiveRamp!BX8</f>
        <v>8.4404157120563122E-2</v>
      </c>
      <c r="BY63" s="352">
        <f>BY61/LiveRamp!BY8</f>
        <v>0.13389708865104377</v>
      </c>
      <c r="BZ63" s="352">
        <f>BZ61/LiveRamp!BZ8</f>
        <v>0.13717931676193007</v>
      </c>
      <c r="CA63" s="352">
        <f>CA61/LiveRamp!CA8</f>
        <v>9.4053643123559724E-2</v>
      </c>
      <c r="CB63" s="643">
        <f>CB61/LiveRamp!CB8</f>
        <v>0.11243938197812112</v>
      </c>
      <c r="CC63" s="352">
        <f>CC61/LiveRamp!CC8</f>
        <v>5.1903032029821689E-2</v>
      </c>
      <c r="CD63" s="352">
        <f>CD61/LiveRamp!CD8</f>
        <v>0.16989807336276522</v>
      </c>
      <c r="CE63" s="352">
        <f>CE61/LiveRamp!CE8</f>
        <v>0.19684426385144116</v>
      </c>
      <c r="CF63" s="352">
        <f>CF61/LiveRamp!CF8</f>
        <v>0.18941073457905622</v>
      </c>
      <c r="CG63" s="643">
        <f>CG61/LiveRamp!CG8</f>
        <v>0.15723155865251778</v>
      </c>
      <c r="CH63" s="702">
        <f>CH61/LiveRamp!CH8</f>
        <v>0.18865475237841203</v>
      </c>
      <c r="CI63" s="705">
        <f>CD63-0.017</f>
        <v>0.15289807336276523</v>
      </c>
      <c r="CJ63" s="705">
        <f>CE63+0.021</f>
        <v>0.21784426385144115</v>
      </c>
      <c r="CK63" s="705">
        <f>CF63+0.027</f>
        <v>0.21641073457905621</v>
      </c>
      <c r="CL63" s="643">
        <f>CL61/LiveRamp!CL8</f>
        <v>0.1958783308473547</v>
      </c>
      <c r="CM63" s="727">
        <f>CH63-0</f>
        <v>0.18865475237841203</v>
      </c>
      <c r="CN63" s="727">
        <f>CI63+0.029</f>
        <v>0.18189807336276523</v>
      </c>
      <c r="CO63" s="727">
        <f>CJ63+0.024</f>
        <v>0.24184426385144114</v>
      </c>
      <c r="CP63" s="727">
        <f>CK63+0.015</f>
        <v>0.2314107345790562</v>
      </c>
      <c r="CQ63" s="643">
        <f>CQ61/LiveRamp!CQ8</f>
        <v>0.21291976854613542</v>
      </c>
      <c r="CR63" s="727">
        <f>CM63+0.007</f>
        <v>0.19565475237841204</v>
      </c>
      <c r="CS63" s="727">
        <f>CN63+0.02</f>
        <v>0.20189807336276522</v>
      </c>
      <c r="CT63" s="727">
        <f>CO63+0.019</f>
        <v>0.26084426385144116</v>
      </c>
      <c r="CU63" s="727">
        <f>CP63+0</f>
        <v>0.2314107345790562</v>
      </c>
      <c r="CV63" s="643">
        <f>CV61/LiveRamp!CV8</f>
        <v>0.22432161739749007</v>
      </c>
    </row>
    <row r="64" spans="5:100" ht="13.5" hidden="1" x14ac:dyDescent="0.25">
      <c r="E64" s="54" t="s">
        <v>746</v>
      </c>
      <c r="F64" s="185"/>
      <c r="G64" s="185"/>
      <c r="H64" s="185"/>
      <c r="I64" s="185"/>
      <c r="J64" s="185"/>
      <c r="K64" s="122"/>
      <c r="L64" s="122"/>
      <c r="M64" s="122"/>
      <c r="N64" s="122"/>
      <c r="O64" s="161"/>
      <c r="P64" s="122"/>
      <c r="Q64" s="122"/>
      <c r="R64" s="122"/>
      <c r="S64" s="122"/>
      <c r="T64" s="161"/>
      <c r="U64" s="122"/>
      <c r="V64" s="122"/>
      <c r="W64" s="122"/>
      <c r="X64" s="122"/>
      <c r="Y64" s="161"/>
      <c r="Z64" s="128"/>
      <c r="AA64" s="128"/>
      <c r="AB64" s="128"/>
      <c r="AC64" s="128"/>
      <c r="AD64" s="161"/>
      <c r="AE64" s="128"/>
      <c r="AF64" s="128"/>
      <c r="AG64" s="128"/>
      <c r="AH64" s="128"/>
      <c r="AI64" s="140"/>
      <c r="AJ64" s="721"/>
      <c r="AK64" s="721"/>
      <c r="AL64" s="721"/>
      <c r="AM64" s="721"/>
      <c r="AN64" s="140"/>
      <c r="AO64" s="721"/>
      <c r="AP64" s="721"/>
      <c r="AQ64" s="721"/>
      <c r="AR64" s="726"/>
      <c r="AS64" s="161"/>
      <c r="AT64" s="439"/>
      <c r="AU64" s="439"/>
      <c r="AV64" s="439"/>
      <c r="AW64" s="439"/>
      <c r="AX64" s="161"/>
      <c r="AY64" s="439"/>
      <c r="AZ64" s="439"/>
      <c r="BA64" s="439"/>
      <c r="BB64" s="439"/>
      <c r="BC64" s="161"/>
      <c r="BD64" s="439"/>
      <c r="BE64" s="439"/>
      <c r="BF64" s="439"/>
      <c r="BG64" s="439"/>
      <c r="BH64" s="161"/>
      <c r="BI64" s="439"/>
      <c r="BJ64" s="439"/>
      <c r="BK64" s="439"/>
      <c r="BL64" s="439"/>
      <c r="BM64" s="161"/>
      <c r="BN64" s="417"/>
      <c r="BO64" s="417"/>
      <c r="BP64" s="417"/>
      <c r="BQ64" s="417"/>
      <c r="BR64" s="540"/>
      <c r="BS64" s="417"/>
      <c r="BT64" s="417"/>
      <c r="BU64" s="417"/>
      <c r="BV64" s="417"/>
      <c r="BW64" s="540"/>
      <c r="BX64" s="417">
        <v>-2.0059999999999998</v>
      </c>
      <c r="BY64" s="417">
        <v>-2.8029999999999999</v>
      </c>
      <c r="BZ64" s="417">
        <v>-1.474</v>
      </c>
      <c r="CA64" s="417">
        <v>-1.9810000000000001</v>
      </c>
      <c r="CB64" s="540">
        <f>SUM(BX64:CA64)</f>
        <v>-8.2639999999999993</v>
      </c>
      <c r="CC64" s="417">
        <v>-2.2829999999999999</v>
      </c>
      <c r="CD64" s="417">
        <v>-2.468</v>
      </c>
      <c r="CE64" s="417">
        <v>-1.345</v>
      </c>
      <c r="CF64" s="417">
        <v>-2.0390000000000001</v>
      </c>
      <c r="CG64" s="540">
        <f>SUM(CC64:CF64)</f>
        <v>-8.1349999999999998</v>
      </c>
      <c r="CH64" s="636">
        <v>-1.4059999999999999</v>
      </c>
      <c r="CI64" s="757">
        <f>LiveRamp!CI12*CI66</f>
        <v>-1.4789999999999999</v>
      </c>
      <c r="CJ64" s="757">
        <f>LiveRamp!CJ12*CJ66</f>
        <v>-1.0121440000000002</v>
      </c>
      <c r="CK64" s="757">
        <f>LiveRamp!CK12*CK66</f>
        <v>-1.1269425</v>
      </c>
      <c r="CL64" s="540">
        <f>SUM(CH64:CK64)</f>
        <v>-5.0240865000000001</v>
      </c>
      <c r="CM64" s="631">
        <f>LiveRamp!CM12*CM66</f>
        <v>-1.2160199999999999</v>
      </c>
      <c r="CN64" s="631">
        <f>LiveRamp!CN12*CN66</f>
        <v>-0.8619</v>
      </c>
      <c r="CO64" s="631">
        <f>LiveRamp!CO12*CO66</f>
        <v>1.1205880000000001</v>
      </c>
      <c r="CP64" s="631">
        <f>LiveRamp!CP12*CP66</f>
        <v>-1.16450725</v>
      </c>
      <c r="CQ64" s="540">
        <f>SUM(CM64:CP64)</f>
        <v>-2.1218392499999998</v>
      </c>
      <c r="CR64" s="631">
        <f>LiveRamp!CR12*CR66</f>
        <v>-0.25293216000000002</v>
      </c>
      <c r="CS64" s="631">
        <f>LiveRamp!CS12*CS66</f>
        <v>0.67228200000000005</v>
      </c>
      <c r="CT64" s="631">
        <f>LiveRamp!CT12*CT66</f>
        <v>1.7481172800000004</v>
      </c>
      <c r="CU64" s="631">
        <f>LiveRamp!CU12*CU66</f>
        <v>0.18399214550000001</v>
      </c>
      <c r="CV64" s="540">
        <f>SUM(CR64:CU64)</f>
        <v>2.3514592655000004</v>
      </c>
    </row>
    <row r="65" spans="5:100" ht="13.5" hidden="1" x14ac:dyDescent="0.25">
      <c r="E65" s="365" t="s">
        <v>2</v>
      </c>
      <c r="F65" s="185"/>
      <c r="G65" s="185"/>
      <c r="H65" s="185"/>
      <c r="I65" s="185"/>
      <c r="J65" s="185"/>
      <c r="K65" s="122"/>
      <c r="L65" s="122"/>
      <c r="M65" s="122"/>
      <c r="N65" s="122"/>
      <c r="O65" s="161"/>
      <c r="P65" s="122"/>
      <c r="Q65" s="122"/>
      <c r="R65" s="122"/>
      <c r="S65" s="122"/>
      <c r="T65" s="161"/>
      <c r="U65" s="122"/>
      <c r="V65" s="122"/>
      <c r="W65" s="122"/>
      <c r="X65" s="122"/>
      <c r="Y65" s="161"/>
      <c r="Z65" s="128"/>
      <c r="AA65" s="128"/>
      <c r="AB65" s="128"/>
      <c r="AC65" s="128"/>
      <c r="AD65" s="161"/>
      <c r="AE65" s="128"/>
      <c r="AF65" s="128"/>
      <c r="AG65" s="128"/>
      <c r="AH65" s="128"/>
      <c r="AI65" s="140"/>
      <c r="AJ65" s="721"/>
      <c r="AK65" s="721"/>
      <c r="AL65" s="721"/>
      <c r="AM65" s="721"/>
      <c r="AN65" s="140"/>
      <c r="AO65" s="721"/>
      <c r="AP65" s="721"/>
      <c r="AQ65" s="721"/>
      <c r="AR65" s="726"/>
      <c r="AS65" s="161"/>
      <c r="AT65" s="439"/>
      <c r="AU65" s="439"/>
      <c r="AV65" s="439"/>
      <c r="AW65" s="439"/>
      <c r="AX65" s="161"/>
      <c r="AY65" s="439"/>
      <c r="AZ65" s="439"/>
      <c r="BA65" s="439"/>
      <c r="BB65" s="439"/>
      <c r="BC65" s="161"/>
      <c r="BD65" s="439"/>
      <c r="BE65" s="439"/>
      <c r="BF65" s="439"/>
      <c r="BG65" s="439"/>
      <c r="BH65" s="161"/>
      <c r="BI65" s="439"/>
      <c r="BJ65" s="439"/>
      <c r="BK65" s="439"/>
      <c r="BL65" s="439"/>
      <c r="BM65" s="161"/>
      <c r="BN65" s="363"/>
      <c r="BO65" s="352"/>
      <c r="BP65" s="352"/>
      <c r="BQ65" s="352"/>
      <c r="BR65" s="32"/>
      <c r="BS65" s="363"/>
      <c r="BT65" s="363"/>
      <c r="BU65" s="363"/>
      <c r="BV65" s="363"/>
      <c r="BW65" s="32"/>
      <c r="BX65" s="475" t="s">
        <v>490</v>
      </c>
      <c r="BY65" s="475" t="s">
        <v>490</v>
      </c>
      <c r="BZ65" s="475" t="s">
        <v>490</v>
      </c>
      <c r="CA65" s="475" t="s">
        <v>490</v>
      </c>
      <c r="CB65" s="580" t="s">
        <v>490</v>
      </c>
      <c r="CC65" s="363">
        <f t="shared" ref="CC65:CQ65" si="56">(CC64-BX64)/ABS(BX64)</f>
        <v>-0.13808574277168503</v>
      </c>
      <c r="CD65" s="680">
        <f t="shared" si="56"/>
        <v>0.11951480556546556</v>
      </c>
      <c r="CE65" s="680">
        <f>(CE64-BZ64)/ABS(BZ64)</f>
        <v>8.7516960651289014E-2</v>
      </c>
      <c r="CF65" s="680">
        <f>(CF64-CA64)/ABS(CA64)</f>
        <v>-2.9278142352347325E-2</v>
      </c>
      <c r="CG65" s="32">
        <f t="shared" si="56"/>
        <v>1.5609874152952513E-2</v>
      </c>
      <c r="CH65" s="680">
        <f>(CH64-CC64)/ABS(CC64)</f>
        <v>0.38414367060884802</v>
      </c>
      <c r="CI65" s="680">
        <f>(CI64-CD64)/ABS(CD64)</f>
        <v>0.40072933549432743</v>
      </c>
      <c r="CJ65" s="680">
        <f t="shared" si="56"/>
        <v>0.24747657992565042</v>
      </c>
      <c r="CK65" s="680">
        <f t="shared" si="56"/>
        <v>0.44730627758705255</v>
      </c>
      <c r="CL65" s="32">
        <f t="shared" si="56"/>
        <v>0.38241100184388443</v>
      </c>
      <c r="CM65" s="352">
        <f t="shared" si="56"/>
        <v>0.13512091038406832</v>
      </c>
      <c r="CN65" s="680">
        <f t="shared" si="56"/>
        <v>0.41724137931034477</v>
      </c>
      <c r="CO65" s="680">
        <f t="shared" si="56"/>
        <v>2.1071428571428572</v>
      </c>
      <c r="CP65" s="680">
        <f t="shared" si="56"/>
        <v>-3.3333333333333368E-2</v>
      </c>
      <c r="CQ65" s="32">
        <f t="shared" si="56"/>
        <v>0.57766665641604698</v>
      </c>
      <c r="CR65" s="352">
        <f t="shared" ref="CR65" si="57">(CR64-CM64)/ABS(CM64)</f>
        <v>0.79199999999999993</v>
      </c>
      <c r="CS65" s="680">
        <f t="shared" ref="CS65" si="58">(CS64-CN64)/ABS(CN64)</f>
        <v>1.78</v>
      </c>
      <c r="CT65" s="680">
        <f t="shared" ref="CT65" si="59">(CT64-CO64)/ABS(CO64)</f>
        <v>0.56000000000000016</v>
      </c>
      <c r="CU65" s="680">
        <f t="shared" ref="CU65" si="60">(CU64-CP64)/ABS(CP64)</f>
        <v>1.1579999999999999</v>
      </c>
      <c r="CV65" s="32">
        <f t="shared" ref="CV65" si="61">(CV64-CQ64)/ABS(CQ64)</f>
        <v>2.1082174417784008</v>
      </c>
    </row>
    <row r="66" spans="5:100" ht="13.5" hidden="1" x14ac:dyDescent="0.25">
      <c r="E66" s="365" t="s">
        <v>91</v>
      </c>
      <c r="F66" s="185"/>
      <c r="G66" s="185"/>
      <c r="H66" s="185"/>
      <c r="I66" s="185"/>
      <c r="J66" s="185"/>
      <c r="K66" s="122"/>
      <c r="L66" s="122"/>
      <c r="M66" s="122"/>
      <c r="N66" s="122"/>
      <c r="O66" s="161"/>
      <c r="P66" s="122"/>
      <c r="Q66" s="122"/>
      <c r="R66" s="122"/>
      <c r="S66" s="122"/>
      <c r="T66" s="161"/>
      <c r="U66" s="122"/>
      <c r="V66" s="122"/>
      <c r="W66" s="122"/>
      <c r="X66" s="122"/>
      <c r="Y66" s="161"/>
      <c r="Z66" s="128"/>
      <c r="AA66" s="128"/>
      <c r="AB66" s="128"/>
      <c r="AC66" s="128"/>
      <c r="AD66" s="161"/>
      <c r="AE66" s="128"/>
      <c r="AF66" s="128"/>
      <c r="AG66" s="128"/>
      <c r="AH66" s="128"/>
      <c r="AI66" s="140"/>
      <c r="AJ66" s="721"/>
      <c r="AK66" s="721"/>
      <c r="AL66" s="721"/>
      <c r="AM66" s="721"/>
      <c r="AN66" s="140"/>
      <c r="AO66" s="721"/>
      <c r="AP66" s="721"/>
      <c r="AQ66" s="721"/>
      <c r="AR66" s="726"/>
      <c r="AS66" s="161"/>
      <c r="AT66" s="439"/>
      <c r="AU66" s="439"/>
      <c r="AV66" s="439"/>
      <c r="AW66" s="439"/>
      <c r="AX66" s="161"/>
      <c r="AY66" s="439"/>
      <c r="AZ66" s="439"/>
      <c r="BA66" s="439"/>
      <c r="BB66" s="439"/>
      <c r="BC66" s="161"/>
      <c r="BD66" s="439"/>
      <c r="BE66" s="439"/>
      <c r="BF66" s="439"/>
      <c r="BG66" s="439"/>
      <c r="BH66" s="161"/>
      <c r="BI66" s="439"/>
      <c r="BJ66" s="439"/>
      <c r="BK66" s="439"/>
      <c r="BL66" s="439"/>
      <c r="BM66" s="161"/>
      <c r="BN66" s="352"/>
      <c r="BO66" s="352"/>
      <c r="BP66" s="352"/>
      <c r="BQ66" s="352"/>
      <c r="BR66" s="643"/>
      <c r="BS66" s="352"/>
      <c r="BT66" s="352"/>
      <c r="BU66" s="352"/>
      <c r="BV66" s="352"/>
      <c r="BW66" s="643"/>
      <c r="BX66" s="352">
        <f>BX64/LiveRamp!BX12</f>
        <v>-0.6724773717733824</v>
      </c>
      <c r="BY66" s="352">
        <f>BY64/LiveRamp!BY12</f>
        <v>-1.0979240109674893</v>
      </c>
      <c r="BZ66" s="352">
        <f>BZ64/LiveRamp!BZ12</f>
        <v>-0.41115760111576011</v>
      </c>
      <c r="CA66" s="352">
        <f>CA64/LiveRamp!CA12</f>
        <v>-0.58144995597299676</v>
      </c>
      <c r="CB66" s="643">
        <f>CB64/LiveRamp!CB12</f>
        <v>-0.65964240102171134</v>
      </c>
      <c r="CC66" s="352">
        <f>CC64/LiveRamp!CC12</f>
        <v>-0.49202586206896554</v>
      </c>
      <c r="CD66" s="352">
        <f>CD64/LiveRamp!CD12</f>
        <v>-0.50781893004115219</v>
      </c>
      <c r="CE66" s="352">
        <f>CE64/LiveRamp!CE12</f>
        <v>-0.2083656080557707</v>
      </c>
      <c r="CF66" s="352">
        <f>CF64/LiveRamp!CF12</f>
        <v>-0.31210776060003059</v>
      </c>
      <c r="CG66" s="643">
        <f>CG64/LiveRamp!CG12</f>
        <v>-0.3617484880825329</v>
      </c>
      <c r="CH66" s="702">
        <f>CH64/LiveRamp!CH12</f>
        <v>-0.22546504169339321</v>
      </c>
      <c r="CI66" s="705">
        <v>-0.28999999999999998</v>
      </c>
      <c r="CJ66" s="705">
        <v>-0.14000000000000001</v>
      </c>
      <c r="CK66" s="705">
        <v>-0.15</v>
      </c>
      <c r="CL66" s="643">
        <f>CL64/LiveRamp!CL12</f>
        <v>-0.19265206462782633</v>
      </c>
      <c r="CM66" s="727">
        <v>-0.15</v>
      </c>
      <c r="CN66" s="727">
        <v>-0.1</v>
      </c>
      <c r="CO66" s="727">
        <v>0.1</v>
      </c>
      <c r="CP66" s="727">
        <v>-0.1</v>
      </c>
      <c r="CQ66" s="643">
        <f>CQ64/LiveRamp!CQ12</f>
        <v>-5.3613273347781626E-2</v>
      </c>
      <c r="CR66" s="727">
        <v>-0.02</v>
      </c>
      <c r="CS66" s="727">
        <v>0.05</v>
      </c>
      <c r="CT66" s="727">
        <v>0.1</v>
      </c>
      <c r="CU66" s="727">
        <v>0.01</v>
      </c>
      <c r="CV66" s="643">
        <f>CV64/LiveRamp!CV12</f>
        <v>3.7943509295994465E-2</v>
      </c>
    </row>
    <row r="67" spans="5:100" ht="13.5" hidden="1" x14ac:dyDescent="0.25">
      <c r="E67" s="564" t="s">
        <v>748</v>
      </c>
      <c r="F67" s="565"/>
      <c r="G67" s="565"/>
      <c r="H67" s="565"/>
      <c r="I67" s="565"/>
      <c r="J67" s="565"/>
      <c r="K67" s="565"/>
      <c r="L67" s="565"/>
      <c r="M67" s="565"/>
      <c r="N67" s="565"/>
      <c r="O67" s="566"/>
      <c r="P67" s="565"/>
      <c r="Q67" s="565"/>
      <c r="R67" s="565"/>
      <c r="S67" s="565"/>
      <c r="T67" s="566"/>
      <c r="U67" s="565"/>
      <c r="V67" s="565"/>
      <c r="W67" s="565"/>
      <c r="X67" s="565"/>
      <c r="Y67" s="566"/>
      <c r="Z67" s="567"/>
      <c r="AA67" s="567"/>
      <c r="AB67" s="567"/>
      <c r="AC67" s="567"/>
      <c r="AD67" s="566"/>
      <c r="AE67" s="567"/>
      <c r="AF67" s="567"/>
      <c r="AG67" s="567"/>
      <c r="AH67" s="567"/>
      <c r="AI67" s="513"/>
      <c r="AJ67" s="568"/>
      <c r="AK67" s="568"/>
      <c r="AL67" s="568"/>
      <c r="AM67" s="568"/>
      <c r="AN67" s="513"/>
      <c r="AO67" s="568"/>
      <c r="AP67" s="568"/>
      <c r="AQ67" s="568"/>
      <c r="AR67" s="565"/>
      <c r="AS67" s="566"/>
      <c r="AT67" s="566"/>
      <c r="AU67" s="566"/>
      <c r="AV67" s="566"/>
      <c r="AW67" s="566"/>
      <c r="AX67" s="566"/>
      <c r="AY67" s="566"/>
      <c r="AZ67" s="566"/>
      <c r="BA67" s="566"/>
      <c r="BB67" s="566"/>
      <c r="BC67" s="566"/>
      <c r="BD67" s="566"/>
      <c r="BE67" s="566"/>
      <c r="BF67" s="566"/>
      <c r="BG67" s="566"/>
      <c r="BH67" s="566"/>
      <c r="BI67" s="566"/>
      <c r="BJ67" s="566"/>
      <c r="BK67" s="566"/>
      <c r="BL67" s="566"/>
      <c r="BM67" s="566"/>
      <c r="BN67" s="545"/>
      <c r="BO67" s="545"/>
      <c r="BP67" s="545"/>
      <c r="BQ67" s="545"/>
      <c r="BR67" s="540"/>
      <c r="BS67" s="545"/>
      <c r="BT67" s="545"/>
      <c r="BU67" s="545"/>
      <c r="BV67" s="545"/>
      <c r="BW67" s="540"/>
      <c r="BX67" s="545">
        <v>0.53600000000000003</v>
      </c>
      <c r="BY67" s="545">
        <v>1.488</v>
      </c>
      <c r="BZ67" s="545">
        <v>3.6859999999999999</v>
      </c>
      <c r="CA67" s="545">
        <v>1.978</v>
      </c>
      <c r="CB67" s="540">
        <f>SUM(BX67:CA67)</f>
        <v>7.6879999999999997</v>
      </c>
      <c r="CC67" s="545">
        <v>-9.7000000000000003E-2</v>
      </c>
      <c r="CD67" s="545">
        <v>5.883</v>
      </c>
      <c r="CE67" s="545">
        <v>9.0220000000000002</v>
      </c>
      <c r="CF67" s="545">
        <v>8.1280000000000001</v>
      </c>
      <c r="CG67" s="540">
        <f>SUM(CC67:CF67)</f>
        <v>22.936</v>
      </c>
      <c r="CH67" s="545">
        <v>9.2029999999999994</v>
      </c>
      <c r="CI67" s="642">
        <f>CI61+CI64</f>
        <v>7.6508497566374372</v>
      </c>
      <c r="CJ67" s="642">
        <f>CJ61+CJ64</f>
        <v>13.822426898</v>
      </c>
      <c r="CK67" s="642">
        <f>CK61+CK64</f>
        <v>14.438871360000002</v>
      </c>
      <c r="CL67" s="540">
        <f>SUM(CH67:CK67)</f>
        <v>45.115148014637441</v>
      </c>
      <c r="CM67" s="642">
        <f>CM61+CM64</f>
        <v>12.575680000000002</v>
      </c>
      <c r="CN67" s="642">
        <f>CN61+CN64</f>
        <v>13.692506993894165</v>
      </c>
      <c r="CO67" s="642">
        <f>CO61+CO64</f>
        <v>22.694849895100003</v>
      </c>
      <c r="CP67" s="642">
        <f>CP61+CP64</f>
        <v>19.807841915600001</v>
      </c>
      <c r="CQ67" s="540">
        <f>SUM(CM67:CP67)</f>
        <v>68.770878804594162</v>
      </c>
      <c r="CR67" s="642">
        <f>CR61+CR64</f>
        <v>18.198503505000005</v>
      </c>
      <c r="CS67" s="642">
        <f>CS61+CS64</f>
        <v>21.431056843154</v>
      </c>
      <c r="CT67" s="642">
        <f>CT61+CT64</f>
        <v>31.6490388429972</v>
      </c>
      <c r="CU67" s="642">
        <f>CU61+CU64</f>
        <v>27.028599077468002</v>
      </c>
      <c r="CV67" s="540">
        <f>SUM(CR67:CU67)</f>
        <v>98.307198268619203</v>
      </c>
    </row>
    <row r="68" spans="5:100" ht="13.5" hidden="1" x14ac:dyDescent="0.25">
      <c r="E68" s="643" t="s">
        <v>2</v>
      </c>
      <c r="F68" s="565"/>
      <c r="G68" s="565"/>
      <c r="H68" s="565"/>
      <c r="I68" s="565"/>
      <c r="J68" s="565"/>
      <c r="K68" s="565"/>
      <c r="L68" s="565"/>
      <c r="M68" s="565"/>
      <c r="N68" s="565"/>
      <c r="O68" s="566"/>
      <c r="P68" s="565"/>
      <c r="Q68" s="565"/>
      <c r="R68" s="565"/>
      <c r="S68" s="565"/>
      <c r="T68" s="566"/>
      <c r="U68" s="565"/>
      <c r="V68" s="565"/>
      <c r="W68" s="565"/>
      <c r="X68" s="565"/>
      <c r="Y68" s="566"/>
      <c r="Z68" s="567"/>
      <c r="AA68" s="567"/>
      <c r="AB68" s="567"/>
      <c r="AC68" s="567"/>
      <c r="AD68" s="566"/>
      <c r="AE68" s="567"/>
      <c r="AF68" s="567"/>
      <c r="AG68" s="567"/>
      <c r="AH68" s="567"/>
      <c r="AI68" s="513"/>
      <c r="AJ68" s="568"/>
      <c r="AK68" s="568"/>
      <c r="AL68" s="568"/>
      <c r="AM68" s="568"/>
      <c r="AN68" s="513"/>
      <c r="AO68" s="568"/>
      <c r="AP68" s="568"/>
      <c r="AQ68" s="568"/>
      <c r="AR68" s="565"/>
      <c r="AS68" s="566"/>
      <c r="AT68" s="566"/>
      <c r="AU68" s="566"/>
      <c r="AV68" s="566"/>
      <c r="AW68" s="566"/>
      <c r="AX68" s="566"/>
      <c r="AY68" s="566"/>
      <c r="AZ68" s="566"/>
      <c r="BA68" s="566"/>
      <c r="BB68" s="566"/>
      <c r="BC68" s="566"/>
      <c r="BD68" s="566"/>
      <c r="BE68" s="566"/>
      <c r="BF68" s="566"/>
      <c r="BG68" s="566"/>
      <c r="BH68" s="566"/>
      <c r="BI68" s="566"/>
      <c r="BJ68" s="566"/>
      <c r="BK68" s="566"/>
      <c r="BL68" s="566"/>
      <c r="BM68" s="566"/>
      <c r="BN68" s="644"/>
      <c r="BO68" s="644"/>
      <c r="BP68" s="513"/>
      <c r="BQ68" s="644"/>
      <c r="BR68" s="644"/>
      <c r="BS68" s="641"/>
      <c r="BT68" s="641"/>
      <c r="BU68" s="641"/>
      <c r="BV68" s="641"/>
      <c r="BW68" s="641"/>
      <c r="BX68" s="580" t="s">
        <v>490</v>
      </c>
      <c r="BY68" s="580" t="s">
        <v>490</v>
      </c>
      <c r="BZ68" s="580" t="s">
        <v>490</v>
      </c>
      <c r="CA68" s="580" t="s">
        <v>490</v>
      </c>
      <c r="CB68" s="580" t="s">
        <v>490</v>
      </c>
      <c r="CC68" s="641">
        <f t="shared" ref="CC68:CQ68" si="62">(CC67-BX67)/ABS(BX67)</f>
        <v>-1.1809701492537312</v>
      </c>
      <c r="CD68" s="641">
        <f t="shared" si="62"/>
        <v>2.9536290322580641</v>
      </c>
      <c r="CE68" s="641">
        <f t="shared" si="62"/>
        <v>1.4476397178513294</v>
      </c>
      <c r="CF68" s="641">
        <f t="shared" si="62"/>
        <v>3.109201213346815</v>
      </c>
      <c r="CG68" s="641">
        <f t="shared" si="62"/>
        <v>1.9833506763787723</v>
      </c>
      <c r="CH68" s="580" t="s">
        <v>490</v>
      </c>
      <c r="CI68" s="641">
        <f>(CI67-CD67)/ABS(CD67)</f>
        <v>0.30050140347398219</v>
      </c>
      <c r="CJ68" s="641">
        <f t="shared" si="62"/>
        <v>0.53208012613611166</v>
      </c>
      <c r="CK68" s="641">
        <f t="shared" si="62"/>
        <v>0.77643594488188994</v>
      </c>
      <c r="CL68" s="641">
        <f t="shared" si="62"/>
        <v>0.96700157022311828</v>
      </c>
      <c r="CM68" s="641">
        <f t="shared" si="62"/>
        <v>0.36647614908182147</v>
      </c>
      <c r="CN68" s="641">
        <f t="shared" si="62"/>
        <v>0.78967139983572854</v>
      </c>
      <c r="CO68" s="641">
        <f t="shared" si="62"/>
        <v>0.64188604957525763</v>
      </c>
      <c r="CP68" s="641">
        <f t="shared" si="62"/>
        <v>0.37184142871953657</v>
      </c>
      <c r="CQ68" s="641">
        <f t="shared" si="62"/>
        <v>0.52434119870961537</v>
      </c>
      <c r="CR68" s="641">
        <f t="shared" ref="CR68" si="63">(CR67-CM67)/ABS(CM67)</f>
        <v>0.44711884407045999</v>
      </c>
      <c r="CS68" s="641">
        <f t="shared" ref="CS68" si="64">(CS67-CN67)/ABS(CN67)</f>
        <v>0.56516676257391363</v>
      </c>
      <c r="CT68" s="641">
        <f t="shared" ref="CT68" si="65">(CT67-CO67)/ABS(CO67)</f>
        <v>0.39454717653058713</v>
      </c>
      <c r="CU68" s="641">
        <f t="shared" ref="CU68" si="66">(CU67-CP67)/ABS(CP67)</f>
        <v>0.36454032663604669</v>
      </c>
      <c r="CV68" s="641">
        <f t="shared" ref="CV68" si="67">(CV67-CQ67)/ABS(CQ67)</f>
        <v>0.42948876003096675</v>
      </c>
    </row>
    <row r="69" spans="5:100" ht="13.5" hidden="1" x14ac:dyDescent="0.25">
      <c r="E69" s="643" t="s">
        <v>91</v>
      </c>
      <c r="F69" s="565"/>
      <c r="G69" s="565"/>
      <c r="H69" s="565"/>
      <c r="I69" s="565"/>
      <c r="J69" s="565"/>
      <c r="K69" s="565"/>
      <c r="L69" s="565"/>
      <c r="M69" s="565"/>
      <c r="N69" s="565"/>
      <c r="O69" s="566"/>
      <c r="P69" s="565"/>
      <c r="Q69" s="565"/>
      <c r="R69" s="565"/>
      <c r="S69" s="565"/>
      <c r="T69" s="566"/>
      <c r="U69" s="565"/>
      <c r="V69" s="565"/>
      <c r="W69" s="565"/>
      <c r="X69" s="565"/>
      <c r="Y69" s="566"/>
      <c r="Z69" s="567"/>
      <c r="AA69" s="567"/>
      <c r="AB69" s="567"/>
      <c r="AC69" s="567"/>
      <c r="AD69" s="566"/>
      <c r="AE69" s="567"/>
      <c r="AF69" s="567"/>
      <c r="AG69" s="567"/>
      <c r="AH69" s="567"/>
      <c r="AI69" s="513"/>
      <c r="AJ69" s="568"/>
      <c r="AK69" s="568"/>
      <c r="AL69" s="568"/>
      <c r="AM69" s="568"/>
      <c r="AN69" s="513"/>
      <c r="AO69" s="568"/>
      <c r="AP69" s="568"/>
      <c r="AQ69" s="568"/>
      <c r="AR69" s="565"/>
      <c r="AS69" s="566"/>
      <c r="AT69" s="566"/>
      <c r="AU69" s="566"/>
      <c r="AV69" s="566"/>
      <c r="AW69" s="566"/>
      <c r="AX69" s="566"/>
      <c r="AY69" s="566"/>
      <c r="AZ69" s="566"/>
      <c r="BA69" s="566"/>
      <c r="BB69" s="566"/>
      <c r="BC69" s="566"/>
      <c r="BD69" s="566"/>
      <c r="BE69" s="566"/>
      <c r="BF69" s="566"/>
      <c r="BG69" s="566"/>
      <c r="BH69" s="566"/>
      <c r="BI69" s="566"/>
      <c r="BJ69" s="566"/>
      <c r="BK69" s="566"/>
      <c r="BL69" s="566"/>
      <c r="BM69" s="566"/>
      <c r="BN69" s="643"/>
      <c r="BO69" s="643"/>
      <c r="BP69" s="643"/>
      <c r="BQ69" s="643"/>
      <c r="BR69" s="643"/>
      <c r="BS69" s="643"/>
      <c r="BT69" s="643"/>
      <c r="BU69" s="643"/>
      <c r="BV69" s="643"/>
      <c r="BW69" s="643"/>
      <c r="BX69" s="643">
        <f>BX67/LiveRamp!BX16</f>
        <v>1.6193353474320243E-2</v>
      </c>
      <c r="BY69" s="643">
        <f>BY67/LiveRamp!BY16</f>
        <v>4.3005780346820809E-2</v>
      </c>
      <c r="BZ69" s="643">
        <f>BZ67/LiveRamp!BZ16</f>
        <v>8.9466019417475715E-2</v>
      </c>
      <c r="CA69" s="643">
        <f>CA67/LiveRamp!CA16</f>
        <v>4.3472527472527472E-2</v>
      </c>
      <c r="CB69" s="643">
        <f>CB67/LiveRamp!CB16</f>
        <v>4.9792746113989636E-2</v>
      </c>
      <c r="CC69" s="643">
        <f>CC67/LiveRamp!CC16</f>
        <v>-2.0745556815022349E-3</v>
      </c>
      <c r="CD69" s="643">
        <f>CD67/LiveRamp!CD16</f>
        <v>0.10891822339066522</v>
      </c>
      <c r="CE69" s="643">
        <f>CE67/LiveRamp!CE16</f>
        <v>0.15260229021836572</v>
      </c>
      <c r="CF69" s="643">
        <f>CF67/LiveRamp!CF16</f>
        <v>0.13499418701212423</v>
      </c>
      <c r="CG69" s="643">
        <f>CG67/LiveRamp!CG16</f>
        <v>0.1042067051035661</v>
      </c>
      <c r="CH69" s="643">
        <f>CH67/LiveRamp!CH16</f>
        <v>0.14731635478862193</v>
      </c>
      <c r="CI69" s="643">
        <f>CI67/LiveRamp!CI16</f>
        <v>0.11804680856380666</v>
      </c>
      <c r="CJ69" s="643">
        <f>CJ67/LiveRamp!CJ16</f>
        <v>0.18349960804090573</v>
      </c>
      <c r="CK69" s="643">
        <f>CK67/LiveRamp!CK16</f>
        <v>0.18175790195710909</v>
      </c>
      <c r="CL69" s="643">
        <f>CL67/LiveRamp!CL16</f>
        <v>0.15995450852200874</v>
      </c>
      <c r="CM69" s="643">
        <f>CM67/LiveRamp!CM16</f>
        <v>0.15484945014486726</v>
      </c>
      <c r="CN69" s="643">
        <f>CN67/LiveRamp!CN16</f>
        <v>0.15448528917074941</v>
      </c>
      <c r="CO69" s="643">
        <f>CO67/LiveRamp!CO16</f>
        <v>0.22601476240018098</v>
      </c>
      <c r="CP69" s="643">
        <f>CP67/LiveRamp!CP16</f>
        <v>0.19367555537624953</v>
      </c>
      <c r="CQ69" s="643">
        <f>CQ67/LiveRamp!CQ16</f>
        <v>0.18460403447894866</v>
      </c>
      <c r="CR69" s="643">
        <f>CR67/LiveRamp!CR16</f>
        <v>0.17015468515087462</v>
      </c>
      <c r="CS69" s="643">
        <f>CS67/LiveRamp!CS16</f>
        <v>0.18433140177960983</v>
      </c>
      <c r="CT69" s="643">
        <f>CT67/LiveRamp!CT16</f>
        <v>0.23956129227802866</v>
      </c>
      <c r="CU69" s="643">
        <f>CU67/LiveRamp!CU16</f>
        <v>0.20110060474055316</v>
      </c>
      <c r="CV69" s="643">
        <f>CV67/LiveRamp!CV16</f>
        <v>0.20073660448796207</v>
      </c>
    </row>
    <row r="70" spans="5:100" ht="3.75" hidden="1" customHeight="1" x14ac:dyDescent="0.25">
      <c r="BR70" s="574"/>
      <c r="BW70" s="574"/>
      <c r="CB70" s="574"/>
      <c r="CG70" s="574"/>
      <c r="CL70" s="574"/>
      <c r="CQ70" s="574"/>
      <c r="CV70" s="574"/>
    </row>
    <row r="71" spans="5:100" hidden="1" x14ac:dyDescent="0.25">
      <c r="E71" s="54" t="s">
        <v>666</v>
      </c>
      <c r="F71" s="542"/>
      <c r="G71" s="542"/>
      <c r="H71" s="542"/>
      <c r="I71" s="542"/>
      <c r="J71" s="542"/>
      <c r="O71" s="542"/>
      <c r="T71" s="542"/>
      <c r="Y71" s="542"/>
      <c r="Z71" s="59"/>
      <c r="AA71" s="59"/>
      <c r="AB71" s="59"/>
      <c r="AC71" s="59"/>
      <c r="AD71" s="542"/>
      <c r="AE71" s="59"/>
      <c r="AF71" s="59"/>
      <c r="AG71" s="59"/>
      <c r="AH71" s="59"/>
      <c r="AI71" s="542"/>
      <c r="AJ71" s="59"/>
      <c r="AK71" s="59"/>
      <c r="AL71" s="59"/>
      <c r="AM71" s="59"/>
      <c r="AN71" s="542"/>
      <c r="AO71" s="59"/>
      <c r="AP71" s="59"/>
      <c r="AQ71" s="59"/>
      <c r="AR71" s="59"/>
      <c r="AS71" s="542"/>
      <c r="AT71" s="59"/>
      <c r="AU71" s="59"/>
      <c r="AV71" s="59"/>
      <c r="AW71" s="59"/>
      <c r="AX71" s="542"/>
      <c r="BC71" s="542"/>
      <c r="BD71" s="59"/>
      <c r="BE71" s="59"/>
      <c r="BF71" s="59"/>
      <c r="BG71" s="59"/>
      <c r="BH71" s="542"/>
      <c r="BM71" s="542"/>
      <c r="BN71" s="571"/>
      <c r="BO71" s="571"/>
      <c r="BP71" s="571"/>
      <c r="BQ71" s="571"/>
      <c r="BR71" s="575"/>
      <c r="BS71" s="571"/>
      <c r="BT71" s="571"/>
      <c r="BU71" s="571"/>
      <c r="BV71" s="571"/>
      <c r="BW71" s="575"/>
      <c r="BX71" s="571">
        <f>LiveRamp!BX67</f>
        <v>0.53600000000000003</v>
      </c>
      <c r="BY71" s="571">
        <f>LiveRamp!BY67</f>
        <v>1.488</v>
      </c>
      <c r="BZ71" s="571">
        <f>LiveRamp!BZ67</f>
        <v>3.6859999999999999</v>
      </c>
      <c r="CA71" s="571">
        <f>LiveRamp!CA67</f>
        <v>1.978</v>
      </c>
      <c r="CB71" s="575">
        <f>SUM(BX71:CA71)</f>
        <v>7.6879999999999997</v>
      </c>
      <c r="CC71" s="571">
        <f>LiveRamp!CC67</f>
        <v>-9.7000000000000003E-2</v>
      </c>
      <c r="CD71" s="571">
        <f>LiveRamp!CD67</f>
        <v>5.883</v>
      </c>
      <c r="CE71" s="571">
        <f>LiveRamp!CE67</f>
        <v>9.0220000000000002</v>
      </c>
      <c r="CF71" s="571">
        <f>LiveRamp!CF67</f>
        <v>8.1280000000000001</v>
      </c>
      <c r="CG71" s="575">
        <f>SUM(CC71:CF71)</f>
        <v>22.936</v>
      </c>
      <c r="CH71" s="571">
        <f>LiveRamp!CH67</f>
        <v>9.2029999999999994</v>
      </c>
      <c r="CI71" s="571">
        <f>LiveRamp!CI67</f>
        <v>7.6508497566374372</v>
      </c>
      <c r="CJ71" s="571">
        <f>LiveRamp!CJ67</f>
        <v>13.822426898</v>
      </c>
      <c r="CK71" s="571">
        <f>LiveRamp!CK67</f>
        <v>14.438871360000002</v>
      </c>
      <c r="CL71" s="575">
        <f>SUM(CH71:CK71)</f>
        <v>45.115148014637441</v>
      </c>
      <c r="CM71" s="571">
        <f>LiveRamp!CM67</f>
        <v>12.575680000000002</v>
      </c>
      <c r="CN71" s="571">
        <f>LiveRamp!CN67</f>
        <v>13.692506993894165</v>
      </c>
      <c r="CO71" s="571">
        <f>LiveRamp!CO67</f>
        <v>22.694849895100003</v>
      </c>
      <c r="CP71" s="571">
        <f>LiveRamp!CP67</f>
        <v>19.807841915600001</v>
      </c>
      <c r="CQ71" s="575">
        <f>SUM(CM71:CP71)</f>
        <v>68.770878804594162</v>
      </c>
      <c r="CR71" s="571">
        <f>LiveRamp!CR67</f>
        <v>18.198503505000005</v>
      </c>
      <c r="CS71" s="571">
        <f>LiveRamp!CS67</f>
        <v>21.431056843154</v>
      </c>
      <c r="CT71" s="571">
        <f>LiveRamp!CT67</f>
        <v>31.6490388429972</v>
      </c>
      <c r="CU71" s="571">
        <f>LiveRamp!CU67</f>
        <v>27.028599077468002</v>
      </c>
      <c r="CV71" s="575">
        <f>SUM(CR71:CU71)</f>
        <v>98.307198268619203</v>
      </c>
    </row>
    <row r="72" spans="5:100" ht="13.5" hidden="1" x14ac:dyDescent="0.25">
      <c r="E72" s="365" t="s">
        <v>2</v>
      </c>
      <c r="F72" s="542"/>
      <c r="G72" s="542"/>
      <c r="H72" s="542"/>
      <c r="I72" s="542"/>
      <c r="J72" s="542"/>
      <c r="O72" s="542"/>
      <c r="T72" s="542"/>
      <c r="Y72" s="542"/>
      <c r="Z72" s="59"/>
      <c r="AA72" s="59"/>
      <c r="AB72" s="59"/>
      <c r="AC72" s="59"/>
      <c r="AD72" s="542"/>
      <c r="AE72" s="59"/>
      <c r="AF72" s="59"/>
      <c r="AG72" s="59"/>
      <c r="AH72" s="59"/>
      <c r="AI72" s="542"/>
      <c r="AJ72" s="59"/>
      <c r="AK72" s="59"/>
      <c r="AL72" s="59"/>
      <c r="AM72" s="59"/>
      <c r="AN72" s="542"/>
      <c r="AO72" s="59"/>
      <c r="AP72" s="59"/>
      <c r="AQ72" s="59"/>
      <c r="AR72" s="59"/>
      <c r="AS72" s="542"/>
      <c r="AT72" s="59"/>
      <c r="AU72" s="59"/>
      <c r="AV72" s="59"/>
      <c r="AW72" s="59"/>
      <c r="AX72" s="542"/>
      <c r="BC72" s="542"/>
      <c r="BD72" s="59"/>
      <c r="BE72" s="59"/>
      <c r="BF72" s="59"/>
      <c r="BG72" s="59"/>
      <c r="BH72" s="542"/>
      <c r="BM72" s="542"/>
      <c r="BN72" s="571"/>
      <c r="BO72" s="571"/>
      <c r="BP72" s="571"/>
      <c r="BQ72" s="571"/>
      <c r="BR72" s="575"/>
      <c r="BS72" s="363"/>
      <c r="BT72" s="363"/>
      <c r="BU72" s="363"/>
      <c r="BV72" s="363"/>
      <c r="BW72" s="641"/>
      <c r="BX72" s="363" t="e">
        <f t="shared" ref="BX72:CQ72" si="68">(BX71-BS71)/ABS(BS71)</f>
        <v>#DIV/0!</v>
      </c>
      <c r="BY72" s="363" t="e">
        <f t="shared" si="68"/>
        <v>#DIV/0!</v>
      </c>
      <c r="BZ72" s="363" t="e">
        <f t="shared" si="68"/>
        <v>#DIV/0!</v>
      </c>
      <c r="CA72" s="363" t="e">
        <f t="shared" si="68"/>
        <v>#DIV/0!</v>
      </c>
      <c r="CB72" s="641" t="e">
        <f t="shared" si="68"/>
        <v>#DIV/0!</v>
      </c>
      <c r="CC72" s="363">
        <f t="shared" si="68"/>
        <v>-1.1809701492537312</v>
      </c>
      <c r="CD72" s="363">
        <f t="shared" si="68"/>
        <v>2.9536290322580641</v>
      </c>
      <c r="CE72" s="363">
        <f t="shared" si="68"/>
        <v>1.4476397178513294</v>
      </c>
      <c r="CF72" s="363">
        <f t="shared" si="68"/>
        <v>3.109201213346815</v>
      </c>
      <c r="CG72" s="641">
        <f t="shared" si="68"/>
        <v>1.9833506763787723</v>
      </c>
      <c r="CH72" s="363">
        <f t="shared" si="68"/>
        <v>95.876288659793801</v>
      </c>
      <c r="CI72" s="363">
        <f t="shared" si="68"/>
        <v>0.30050140347398219</v>
      </c>
      <c r="CJ72" s="363">
        <f t="shared" si="68"/>
        <v>0.53208012613611166</v>
      </c>
      <c r="CK72" s="363">
        <f t="shared" si="68"/>
        <v>0.77643594488188994</v>
      </c>
      <c r="CL72" s="641">
        <f t="shared" si="68"/>
        <v>0.96700157022311828</v>
      </c>
      <c r="CM72" s="363">
        <f t="shared" si="68"/>
        <v>0.36647614908182147</v>
      </c>
      <c r="CN72" s="363">
        <f t="shared" si="68"/>
        <v>0.78967139983572854</v>
      </c>
      <c r="CO72" s="363">
        <f t="shared" si="68"/>
        <v>0.64188604957525763</v>
      </c>
      <c r="CP72" s="363">
        <f t="shared" si="68"/>
        <v>0.37184142871953657</v>
      </c>
      <c r="CQ72" s="641">
        <f t="shared" si="68"/>
        <v>0.52434119870961537</v>
      </c>
      <c r="CR72" s="363">
        <f t="shared" ref="CR72" si="69">(CR71-CM71)/ABS(CM71)</f>
        <v>0.44711884407045999</v>
      </c>
      <c r="CS72" s="363">
        <f t="shared" ref="CS72" si="70">(CS71-CN71)/ABS(CN71)</f>
        <v>0.56516676257391363</v>
      </c>
      <c r="CT72" s="363">
        <f t="shared" ref="CT72" si="71">(CT71-CO71)/ABS(CO71)</f>
        <v>0.39454717653058713</v>
      </c>
      <c r="CU72" s="363">
        <f t="shared" ref="CU72" si="72">(CU71-CP71)/ABS(CP71)</f>
        <v>0.36454032663604669</v>
      </c>
      <c r="CV72" s="641">
        <f t="shared" ref="CV72" si="73">(CV71-CQ71)/ABS(CQ71)</f>
        <v>0.42948876003096675</v>
      </c>
    </row>
    <row r="73" spans="5:100" ht="13.5" hidden="1" x14ac:dyDescent="0.25">
      <c r="E73" s="365" t="s">
        <v>91</v>
      </c>
      <c r="F73" s="542"/>
      <c r="G73" s="542"/>
      <c r="H73" s="542"/>
      <c r="I73" s="542"/>
      <c r="J73" s="542"/>
      <c r="O73" s="542"/>
      <c r="T73" s="542"/>
      <c r="Y73" s="542"/>
      <c r="Z73" s="59"/>
      <c r="AA73" s="59"/>
      <c r="AB73" s="59"/>
      <c r="AC73" s="59"/>
      <c r="AD73" s="542"/>
      <c r="AE73" s="59"/>
      <c r="AF73" s="59"/>
      <c r="AG73" s="59"/>
      <c r="AH73" s="59"/>
      <c r="AI73" s="542"/>
      <c r="AJ73" s="59"/>
      <c r="AK73" s="59"/>
      <c r="AL73" s="59"/>
      <c r="AM73" s="59"/>
      <c r="AN73" s="542"/>
      <c r="AO73" s="59"/>
      <c r="AP73" s="59"/>
      <c r="AQ73" s="59"/>
      <c r="AR73" s="59"/>
      <c r="AS73" s="542"/>
      <c r="AT73" s="59"/>
      <c r="AU73" s="59"/>
      <c r="AV73" s="59"/>
      <c r="AW73" s="59"/>
      <c r="AX73" s="542"/>
      <c r="BC73" s="542"/>
      <c r="BD73" s="59"/>
      <c r="BE73" s="59"/>
      <c r="BF73" s="59"/>
      <c r="BG73" s="59"/>
      <c r="BH73" s="542"/>
      <c r="BM73" s="542"/>
      <c r="BN73" s="183"/>
      <c r="BO73" s="183"/>
      <c r="BP73" s="183"/>
      <c r="BQ73" s="183"/>
      <c r="BR73" s="641"/>
      <c r="BS73" s="183"/>
      <c r="BT73" s="183"/>
      <c r="BU73" s="183"/>
      <c r="BV73" s="183"/>
      <c r="BW73" s="641"/>
      <c r="BX73" s="183">
        <f>BX71/LiveRamp!BX16</f>
        <v>1.6193353474320243E-2</v>
      </c>
      <c r="BY73" s="183">
        <f>BY71/LiveRamp!BY16</f>
        <v>4.3005780346820809E-2</v>
      </c>
      <c r="BZ73" s="183">
        <f>BZ71/LiveRamp!BZ16</f>
        <v>8.9466019417475715E-2</v>
      </c>
      <c r="CA73" s="183">
        <f>CA71/LiveRamp!CA16</f>
        <v>4.3472527472527472E-2</v>
      </c>
      <c r="CB73" s="641">
        <f>CB71/LiveRamp!CB16</f>
        <v>4.9792746113989636E-2</v>
      </c>
      <c r="CC73" s="183">
        <f>CC71/LiveRamp!CC16</f>
        <v>-2.0745556815022349E-3</v>
      </c>
      <c r="CD73" s="183">
        <f>CD71/LiveRamp!CD16</f>
        <v>0.10891822339066522</v>
      </c>
      <c r="CE73" s="183">
        <f>CE71/LiveRamp!CE16</f>
        <v>0.15260229021836572</v>
      </c>
      <c r="CF73" s="183">
        <f>CF71/LiveRamp!CF16</f>
        <v>0.13499418701212423</v>
      </c>
      <c r="CG73" s="641">
        <f>CG71/LiveRamp!CG16</f>
        <v>0.1042067051035661</v>
      </c>
      <c r="CH73" s="183">
        <f>CH71/LiveRamp!CH16</f>
        <v>0.14731635478862193</v>
      </c>
      <c r="CI73" s="183">
        <f>CI71/LiveRamp!CI16</f>
        <v>0.11804680856380666</v>
      </c>
      <c r="CJ73" s="183">
        <f>CJ71/LiveRamp!CJ16</f>
        <v>0.18349960804090573</v>
      </c>
      <c r="CK73" s="183">
        <f>CK71/LiveRamp!CK16</f>
        <v>0.18175790195710909</v>
      </c>
      <c r="CL73" s="641">
        <f>CL71/LiveRamp!CL16</f>
        <v>0.15995450852200874</v>
      </c>
      <c r="CM73" s="183">
        <f>CM71/LiveRamp!CM16</f>
        <v>0.15484945014486726</v>
      </c>
      <c r="CN73" s="183">
        <f>CN71/LiveRamp!CN16</f>
        <v>0.15448528917074941</v>
      </c>
      <c r="CO73" s="183">
        <f>CO71/LiveRamp!CO16</f>
        <v>0.22601476240018098</v>
      </c>
      <c r="CP73" s="183">
        <f>CP71/LiveRamp!CP16</f>
        <v>0.19367555537624953</v>
      </c>
      <c r="CQ73" s="641">
        <f>CQ71/LiveRamp!CQ16</f>
        <v>0.18460403447894866</v>
      </c>
      <c r="CR73" s="183">
        <f>CR71/LiveRamp!CR16</f>
        <v>0.17015468515087462</v>
      </c>
      <c r="CS73" s="183">
        <f>CS71/LiveRamp!CS16</f>
        <v>0.18433140177960983</v>
      </c>
      <c r="CT73" s="183">
        <f>CT71/LiveRamp!CT16</f>
        <v>0.23956129227802866</v>
      </c>
      <c r="CU73" s="183">
        <f>CU71/LiveRamp!CU16</f>
        <v>0.20110060474055316</v>
      </c>
      <c r="CV73" s="641">
        <f>CV71/LiveRamp!CV16</f>
        <v>0.20073660448796207</v>
      </c>
    </row>
    <row r="74" spans="5:100" hidden="1" x14ac:dyDescent="0.25">
      <c r="E74" s="27" t="s">
        <v>426</v>
      </c>
      <c r="F74" s="542"/>
      <c r="G74" s="542"/>
      <c r="H74" s="542"/>
      <c r="I74" s="542"/>
      <c r="J74" s="542"/>
      <c r="O74" s="542"/>
      <c r="T74" s="542"/>
      <c r="Y74" s="542"/>
      <c r="Z74" s="59"/>
      <c r="AA74" s="59"/>
      <c r="AB74" s="59"/>
      <c r="AC74" s="59"/>
      <c r="AD74" s="542"/>
      <c r="AE74" s="59"/>
      <c r="AF74" s="59"/>
      <c r="AG74" s="59"/>
      <c r="AH74" s="59"/>
      <c r="AI74" s="542"/>
      <c r="AJ74" s="59"/>
      <c r="AK74" s="59"/>
      <c r="AL74" s="59"/>
      <c r="AM74" s="59"/>
      <c r="AN74" s="542"/>
      <c r="AO74" s="59"/>
      <c r="AP74" s="59"/>
      <c r="AQ74" s="59"/>
      <c r="AR74" s="59"/>
      <c r="AS74" s="542"/>
      <c r="AT74" s="59"/>
      <c r="AU74" s="59"/>
      <c r="AV74" s="59"/>
      <c r="AW74" s="59"/>
      <c r="AX74" s="542"/>
      <c r="BC74" s="542"/>
      <c r="BD74" s="59"/>
      <c r="BE74" s="59"/>
      <c r="BF74" s="59"/>
      <c r="BG74" s="59"/>
      <c r="BH74" s="542"/>
      <c r="BM74" s="542"/>
      <c r="BN74" s="571"/>
      <c r="BO74" s="571"/>
      <c r="BP74" s="571"/>
      <c r="BQ74" s="571"/>
      <c r="BR74" s="575"/>
      <c r="BS74" s="571"/>
      <c r="BT74" s="571"/>
      <c r="BU74" s="571"/>
      <c r="BV74" s="571"/>
      <c r="BW74" s="575"/>
      <c r="BX74" s="571">
        <f>BX75*(Income!BX130-Income!BX117-Income!BX121)</f>
        <v>1.9052820000000001</v>
      </c>
      <c r="BY74" s="571">
        <f>BY75*(Income!BY130-Income!BY117-Income!BY121)</f>
        <v>2.1081599999999998</v>
      </c>
      <c r="BZ74" s="571">
        <f>BZ75*(Income!BZ130-Income!BZ117-Income!BZ121)</f>
        <v>2.3908559999999999</v>
      </c>
      <c r="CA74" s="571">
        <f>CA75*(Income!CA130-Income!CA117-Income!CA121)</f>
        <v>2.5636049999999995</v>
      </c>
      <c r="CB74" s="575">
        <f>SUM(BX74:CA74)</f>
        <v>8.967902999999998</v>
      </c>
      <c r="CC74" s="571">
        <f>CC75*(Income!CC130-Income!CC117-Income!CC121)</f>
        <v>0.63666000000000045</v>
      </c>
      <c r="CD74" s="571">
        <f>CD75*(Income!CD130-Income!CD117-Income!CD121)</f>
        <v>0.7917209999999999</v>
      </c>
      <c r="CE74" s="571">
        <f>CE75*(Income!CE130-Income!CE117-Income!CE121)</f>
        <v>0.71540199999999998</v>
      </c>
      <c r="CF74" s="571">
        <f>CF75*(Income!CF130-Income!CF117-Income!CF121)</f>
        <v>0.91156519999999996</v>
      </c>
      <c r="CG74" s="575">
        <f>SUM(CC74:CF74)</f>
        <v>3.0553482000000005</v>
      </c>
      <c r="CH74" s="571">
        <f>CH75*(Income!CH130-Income!CH117-Income!CH121)</f>
        <v>0.87647199999999992</v>
      </c>
      <c r="CI74" s="571">
        <f>CI75*(Income!CI130-Income!CI117-Income!CI121)</f>
        <v>0.86549999999999994</v>
      </c>
      <c r="CJ74" s="571">
        <f>CJ75*(Income!CJ130-Income!CJ117-Income!CJ121)</f>
        <v>1.2653999999999996</v>
      </c>
      <c r="CK74" s="571">
        <f>CK75*(Income!CK130-Income!CK117-Income!CK121)</f>
        <v>3.2199999999999993</v>
      </c>
      <c r="CL74" s="575">
        <f>SUM(CH74:CK74)</f>
        <v>6.227371999999999</v>
      </c>
      <c r="CM74" s="571">
        <f>CM75*(Income!CM130-Income!CM117-Income!CM121)</f>
        <v>3.2999999999999989</v>
      </c>
      <c r="CN74" s="571">
        <f>CN75*(Income!CN130-Income!CN117-Income!CN121)</f>
        <v>3.25</v>
      </c>
      <c r="CO74" s="571">
        <f>CO75*(Income!CO130-Income!CO117-Income!CO121)</f>
        <v>3.25</v>
      </c>
      <c r="CP74" s="571">
        <f>CP75*(Income!CP130-Income!CP117-Income!CP121)</f>
        <v>3.25</v>
      </c>
      <c r="CQ74" s="575">
        <f>SUM(CM74:CP74)</f>
        <v>13.049999999999999</v>
      </c>
      <c r="CR74" s="571">
        <f>CR75*(Income!CR130-Income!CR117-Income!CR121)</f>
        <v>3.1999999999999993</v>
      </c>
      <c r="CS74" s="571">
        <f>CS75*(Income!CS130-Income!CS117-Income!CS121)</f>
        <v>3.1999999999999993</v>
      </c>
      <c r="CT74" s="571">
        <f>CT75*(Income!CT130-Income!CT117-Income!CT121)</f>
        <v>3.1999999999999993</v>
      </c>
      <c r="CU74" s="571">
        <f>CU75*(Income!CU130-Income!CU117-Income!CU121)</f>
        <v>3.1999999999999993</v>
      </c>
      <c r="CV74" s="575">
        <f>SUM(CR74:CU74)</f>
        <v>12.799999999999997</v>
      </c>
    </row>
    <row r="75" spans="5:100" ht="13.5" hidden="1" x14ac:dyDescent="0.3">
      <c r="E75" s="365" t="s">
        <v>672</v>
      </c>
      <c r="F75" s="542"/>
      <c r="G75" s="542"/>
      <c r="H75" s="542"/>
      <c r="I75" s="542"/>
      <c r="J75" s="542"/>
      <c r="O75" s="542"/>
      <c r="T75" s="542"/>
      <c r="Y75" s="542"/>
      <c r="Z75" s="59"/>
      <c r="AA75" s="59"/>
      <c r="AB75" s="59"/>
      <c r="AC75" s="59"/>
      <c r="AD75" s="542"/>
      <c r="AE75" s="59"/>
      <c r="AF75" s="59"/>
      <c r="AG75" s="59"/>
      <c r="AH75" s="59"/>
      <c r="AI75" s="542"/>
      <c r="AJ75" s="59"/>
      <c r="AK75" s="59"/>
      <c r="AL75" s="59"/>
      <c r="AM75" s="59"/>
      <c r="AN75" s="542"/>
      <c r="AO75" s="59"/>
      <c r="AP75" s="59"/>
      <c r="AQ75" s="59"/>
      <c r="AR75" s="59"/>
      <c r="AS75" s="542"/>
      <c r="AT75" s="59"/>
      <c r="AU75" s="59"/>
      <c r="AV75" s="59"/>
      <c r="AW75" s="59"/>
      <c r="AX75" s="542"/>
      <c r="BC75" s="542"/>
      <c r="BD75" s="59"/>
      <c r="BE75" s="59"/>
      <c r="BF75" s="59"/>
      <c r="BG75" s="59"/>
      <c r="BH75" s="542"/>
      <c r="BM75" s="542"/>
      <c r="BN75" s="456"/>
      <c r="BO75" s="456"/>
      <c r="BP75" s="456"/>
      <c r="BQ75" s="456"/>
      <c r="BR75" s="641"/>
      <c r="BS75" s="456"/>
      <c r="BT75" s="456"/>
      <c r="BU75" s="456"/>
      <c r="BV75" s="456"/>
      <c r="BW75" s="641"/>
      <c r="BX75" s="481">
        <v>0.114</v>
      </c>
      <c r="BY75" s="481">
        <v>0.128</v>
      </c>
      <c r="BZ75" s="481">
        <v>0.156</v>
      </c>
      <c r="CA75" s="481">
        <v>0.16500000000000001</v>
      </c>
      <c r="CB75" s="641">
        <f>CB74/(Income!CB130-Income!CB117-Income!CB121)</f>
        <v>0.1400228429566249</v>
      </c>
      <c r="CC75" s="481">
        <v>0.19650000000000001</v>
      </c>
      <c r="CD75" s="481">
        <v>0.21299999999999999</v>
      </c>
      <c r="CE75" s="481">
        <v>0.214</v>
      </c>
      <c r="CF75" s="481">
        <v>0.2054</v>
      </c>
      <c r="CG75" s="641">
        <f>CG74/(Income!CG130-Income!CG117-Income!CG121)</f>
        <v>0.20731091057131223</v>
      </c>
      <c r="CH75" s="481">
        <v>0.2462</v>
      </c>
      <c r="CI75" s="727">
        <v>0.25</v>
      </c>
      <c r="CJ75" s="727">
        <v>0.37</v>
      </c>
      <c r="CK75" s="727">
        <f>1-Income!CK178</f>
        <v>0.94152046783625731</v>
      </c>
      <c r="CL75" s="641">
        <f>CL74/(Income!CL130-Income!CL117-Income!CL121)</f>
        <v>0.44924051363439615</v>
      </c>
      <c r="CM75" s="727">
        <f>1-Income!CM178</f>
        <v>0.94285714285714284</v>
      </c>
      <c r="CN75" s="727">
        <f>1-Income!CN178</f>
        <v>0.94202898550724634</v>
      </c>
      <c r="CO75" s="727">
        <f>1-Income!CO178</f>
        <v>0.94202898550724634</v>
      </c>
      <c r="CP75" s="727">
        <f>1-Income!CP178</f>
        <v>0.94202898550724634</v>
      </c>
      <c r="CQ75" s="641">
        <f>CQ74/(Income!CQ130-Income!CQ117-Income!CQ121)</f>
        <v>0.94223826714801451</v>
      </c>
      <c r="CR75" s="727">
        <f>1-Income!CR178</f>
        <v>0.94117647058823528</v>
      </c>
      <c r="CS75" s="727">
        <f>1-Income!CS178</f>
        <v>0.94117647058823528</v>
      </c>
      <c r="CT75" s="727">
        <f>1-Income!CT178</f>
        <v>0.94117647058823528</v>
      </c>
      <c r="CU75" s="727">
        <f>1-Income!CU178</f>
        <v>0.94117647058823528</v>
      </c>
      <c r="CV75" s="641">
        <f>CV74/(Income!CV130-Income!CV117-Income!CV121)</f>
        <v>0.94117647058823528</v>
      </c>
    </row>
    <row r="76" spans="5:100" ht="13.5" hidden="1" x14ac:dyDescent="0.25">
      <c r="E76" s="642" t="s">
        <v>749</v>
      </c>
      <c r="F76" s="542"/>
      <c r="G76" s="542"/>
      <c r="H76" s="542"/>
      <c r="I76" s="542"/>
      <c r="J76" s="542"/>
      <c r="K76" s="524"/>
      <c r="L76" s="524"/>
      <c r="M76" s="524"/>
      <c r="N76" s="524"/>
      <c r="O76" s="542"/>
      <c r="P76" s="524"/>
      <c r="Q76" s="524"/>
      <c r="R76" s="524"/>
      <c r="S76" s="524"/>
      <c r="T76" s="542"/>
      <c r="U76" s="524"/>
      <c r="V76" s="524"/>
      <c r="W76" s="524"/>
      <c r="X76" s="524"/>
      <c r="Y76" s="542"/>
      <c r="Z76" s="542"/>
      <c r="AA76" s="542"/>
      <c r="AB76" s="542"/>
      <c r="AC76" s="542"/>
      <c r="AD76" s="542"/>
      <c r="AE76" s="542"/>
      <c r="AF76" s="542"/>
      <c r="AG76" s="542"/>
      <c r="AH76" s="542"/>
      <c r="AI76" s="542"/>
      <c r="AJ76" s="542"/>
      <c r="AK76" s="542"/>
      <c r="AL76" s="542"/>
      <c r="AM76" s="542"/>
      <c r="AN76" s="542"/>
      <c r="AO76" s="542"/>
      <c r="AP76" s="542"/>
      <c r="AQ76" s="542"/>
      <c r="AR76" s="542"/>
      <c r="AS76" s="542"/>
      <c r="AT76" s="542"/>
      <c r="AU76" s="542"/>
      <c r="AV76" s="542"/>
      <c r="AW76" s="542"/>
      <c r="AX76" s="542"/>
      <c r="AY76" s="574"/>
      <c r="AZ76" s="574"/>
      <c r="BA76" s="574"/>
      <c r="BB76" s="574"/>
      <c r="BC76" s="542"/>
      <c r="BD76" s="542"/>
      <c r="BE76" s="542"/>
      <c r="BF76" s="542"/>
      <c r="BG76" s="542"/>
      <c r="BH76" s="542"/>
      <c r="BI76" s="574"/>
      <c r="BJ76" s="574"/>
      <c r="BK76" s="574"/>
      <c r="BL76" s="574"/>
      <c r="BM76" s="542"/>
      <c r="BN76" s="540"/>
      <c r="BO76" s="540"/>
      <c r="BP76" s="540"/>
      <c r="BQ76" s="540"/>
      <c r="BR76" s="540"/>
      <c r="BS76" s="540"/>
      <c r="BT76" s="540"/>
      <c r="BU76" s="540"/>
      <c r="BV76" s="540"/>
      <c r="BW76" s="540"/>
      <c r="BX76" s="540">
        <f t="shared" ref="BX76:CQ76" si="74">BX71+BX74</f>
        <v>2.4412820000000002</v>
      </c>
      <c r="BY76" s="540">
        <f>BY71+BY74</f>
        <v>3.5961599999999998</v>
      </c>
      <c r="BZ76" s="540">
        <f t="shared" si="74"/>
        <v>6.0768559999999994</v>
      </c>
      <c r="CA76" s="540">
        <f t="shared" si="74"/>
        <v>4.5416049999999997</v>
      </c>
      <c r="CB76" s="540">
        <f>CB71+CB74</f>
        <v>16.655902999999999</v>
      </c>
      <c r="CC76" s="540">
        <f t="shared" si="74"/>
        <v>0.53966000000000047</v>
      </c>
      <c r="CD76" s="540">
        <f t="shared" si="74"/>
        <v>6.6747209999999999</v>
      </c>
      <c r="CE76" s="540">
        <f t="shared" si="74"/>
        <v>9.7374019999999994</v>
      </c>
      <c r="CF76" s="540">
        <f>CF71+CF74</f>
        <v>9.0395652000000002</v>
      </c>
      <c r="CG76" s="540">
        <f t="shared" si="74"/>
        <v>25.991348200000001</v>
      </c>
      <c r="CH76" s="540">
        <f>CH71+CH74</f>
        <v>10.079471999999999</v>
      </c>
      <c r="CI76" s="540">
        <f t="shared" si="74"/>
        <v>8.5163497566374371</v>
      </c>
      <c r="CJ76" s="540">
        <f t="shared" si="74"/>
        <v>15.087826897999999</v>
      </c>
      <c r="CK76" s="540">
        <f t="shared" si="74"/>
        <v>17.658871360000003</v>
      </c>
      <c r="CL76" s="540">
        <f t="shared" si="74"/>
        <v>51.342520014637444</v>
      </c>
      <c r="CM76" s="540">
        <f>CM71+CM74</f>
        <v>15.875680000000001</v>
      </c>
      <c r="CN76" s="540">
        <f>CN71+CN74</f>
        <v>16.942506993894163</v>
      </c>
      <c r="CO76" s="540">
        <f>CO71+CO74</f>
        <v>25.944849895100003</v>
      </c>
      <c r="CP76" s="540">
        <f t="shared" si="74"/>
        <v>23.057841915600001</v>
      </c>
      <c r="CQ76" s="540">
        <f t="shared" si="74"/>
        <v>81.820878804594159</v>
      </c>
      <c r="CR76" s="540">
        <f>CR71+CR74</f>
        <v>21.398503505000004</v>
      </c>
      <c r="CS76" s="540">
        <f t="shared" ref="CS76:CV76" si="75">CS71+CS74</f>
        <v>24.631056843153999</v>
      </c>
      <c r="CT76" s="540">
        <f t="shared" si="75"/>
        <v>34.849038842997203</v>
      </c>
      <c r="CU76" s="540">
        <f t="shared" si="75"/>
        <v>30.228599077468001</v>
      </c>
      <c r="CV76" s="540">
        <f t="shared" si="75"/>
        <v>111.1071982686192</v>
      </c>
    </row>
    <row r="77" spans="5:100" ht="13.5" hidden="1" x14ac:dyDescent="0.25">
      <c r="E77" s="643" t="s">
        <v>2</v>
      </c>
      <c r="F77" s="542"/>
      <c r="G77" s="542"/>
      <c r="H77" s="542"/>
      <c r="I77" s="542"/>
      <c r="J77" s="542"/>
      <c r="K77" s="524"/>
      <c r="L77" s="524"/>
      <c r="M77" s="524"/>
      <c r="N77" s="524"/>
      <c r="O77" s="542"/>
      <c r="P77" s="524"/>
      <c r="Q77" s="524"/>
      <c r="R77" s="524"/>
      <c r="S77" s="524"/>
      <c r="T77" s="542"/>
      <c r="U77" s="524"/>
      <c r="V77" s="524"/>
      <c r="W77" s="524"/>
      <c r="X77" s="524"/>
      <c r="Y77" s="542"/>
      <c r="Z77" s="542"/>
      <c r="AA77" s="542"/>
      <c r="AB77" s="542"/>
      <c r="AC77" s="542"/>
      <c r="AD77" s="542"/>
      <c r="AE77" s="542"/>
      <c r="AF77" s="542"/>
      <c r="AG77" s="542"/>
      <c r="AH77" s="542"/>
      <c r="AI77" s="542"/>
      <c r="AJ77" s="542"/>
      <c r="AK77" s="542"/>
      <c r="AL77" s="542"/>
      <c r="AM77" s="542"/>
      <c r="AN77" s="542"/>
      <c r="AO77" s="542"/>
      <c r="AP77" s="542"/>
      <c r="AQ77" s="542"/>
      <c r="AR77" s="542"/>
      <c r="AS77" s="542"/>
      <c r="AT77" s="542"/>
      <c r="AU77" s="542"/>
      <c r="AV77" s="542"/>
      <c r="AW77" s="542"/>
      <c r="AX77" s="542"/>
      <c r="AY77" s="574"/>
      <c r="AZ77" s="574"/>
      <c r="BA77" s="574"/>
      <c r="BB77" s="574"/>
      <c r="BC77" s="542"/>
      <c r="BD77" s="542"/>
      <c r="BE77" s="542"/>
      <c r="BF77" s="542"/>
      <c r="BG77" s="542"/>
      <c r="BH77" s="542"/>
      <c r="BI77" s="574"/>
      <c r="BJ77" s="574"/>
      <c r="BK77" s="574"/>
      <c r="BL77" s="574"/>
      <c r="BM77" s="542"/>
      <c r="BN77" s="540"/>
      <c r="BO77" s="540"/>
      <c r="BP77" s="540"/>
      <c r="BQ77" s="540"/>
      <c r="BR77" s="540"/>
      <c r="BS77" s="641"/>
      <c r="BT77" s="641"/>
      <c r="BU77" s="641"/>
      <c r="BV77" s="641"/>
      <c r="BW77" s="641"/>
      <c r="BX77" s="580" t="s">
        <v>490</v>
      </c>
      <c r="BY77" s="580" t="s">
        <v>490</v>
      </c>
      <c r="BZ77" s="580" t="s">
        <v>490</v>
      </c>
      <c r="CA77" s="580" t="s">
        <v>490</v>
      </c>
      <c r="CB77" s="580" t="s">
        <v>490</v>
      </c>
      <c r="CC77" s="641">
        <f t="shared" ref="CC77:CQ77" si="76">(CC76-BX76)/ABS(BX76)</f>
        <v>-0.77894401384190748</v>
      </c>
      <c r="CD77" s="641">
        <f t="shared" si="76"/>
        <v>0.85606897357181</v>
      </c>
      <c r="CE77" s="641">
        <f t="shared" si="76"/>
        <v>0.60237497811368257</v>
      </c>
      <c r="CF77" s="641">
        <f t="shared" si="76"/>
        <v>0.99039000529548493</v>
      </c>
      <c r="CG77" s="641">
        <f t="shared" si="76"/>
        <v>0.56048868680371178</v>
      </c>
      <c r="CH77" s="641">
        <f>(CH76-CC76)/ABS(CC76)</f>
        <v>17.677448764036598</v>
      </c>
      <c r="CI77" s="641">
        <f t="shared" si="76"/>
        <v>0.27591097165521034</v>
      </c>
      <c r="CJ77" s="641">
        <f t="shared" si="76"/>
        <v>0.54947150153603608</v>
      </c>
      <c r="CK77" s="641">
        <f t="shared" si="76"/>
        <v>0.95350893204465215</v>
      </c>
      <c r="CL77" s="641">
        <f t="shared" si="76"/>
        <v>0.97536963529415688</v>
      </c>
      <c r="CM77" s="641">
        <f t="shared" si="76"/>
        <v>0.57505075662693461</v>
      </c>
      <c r="CN77" s="641">
        <f t="shared" si="76"/>
        <v>0.98940948622848457</v>
      </c>
      <c r="CO77" s="641">
        <f t="shared" si="76"/>
        <v>0.71958825286756045</v>
      </c>
      <c r="CP77" s="641">
        <f t="shared" si="76"/>
        <v>0.30573701147342169</v>
      </c>
      <c r="CQ77" s="641">
        <f t="shared" si="76"/>
        <v>0.59362802568451101</v>
      </c>
      <c r="CR77" s="641">
        <f t="shared" ref="CR77" si="77">(CR76-CM76)/ABS(CM76)</f>
        <v>0.34787949272094193</v>
      </c>
      <c r="CS77" s="641">
        <f t="shared" ref="CS77" si="78">(CS76-CN76)/ABS(CN76)</f>
        <v>0.45380237128015821</v>
      </c>
      <c r="CT77" s="641">
        <f t="shared" ref="CT77" si="79">(CT76-CO76)/ABS(CO76)</f>
        <v>0.34319678024342176</v>
      </c>
      <c r="CU77" s="641">
        <f t="shared" ref="CU77" si="80">(CU76-CP76)/ABS(CP76)</f>
        <v>0.31098995249059092</v>
      </c>
      <c r="CV77" s="641">
        <f t="shared" ref="CV77" si="81">(CV76-CQ76)/ABS(CQ76)</f>
        <v>0.3579321059844281</v>
      </c>
    </row>
    <row r="78" spans="5:100" ht="13.5" hidden="1" x14ac:dyDescent="0.25">
      <c r="E78" s="643" t="s">
        <v>91</v>
      </c>
      <c r="F78" s="542"/>
      <c r="G78" s="542"/>
      <c r="H78" s="542"/>
      <c r="I78" s="542"/>
      <c r="J78" s="542"/>
      <c r="K78" s="524"/>
      <c r="L78" s="524"/>
      <c r="M78" s="524"/>
      <c r="N78" s="524"/>
      <c r="O78" s="542"/>
      <c r="P78" s="524"/>
      <c r="Q78" s="524"/>
      <c r="R78" s="524"/>
      <c r="S78" s="524"/>
      <c r="T78" s="542"/>
      <c r="U78" s="524"/>
      <c r="V78" s="524"/>
      <c r="W78" s="524"/>
      <c r="X78" s="524"/>
      <c r="Y78" s="542"/>
      <c r="Z78" s="542"/>
      <c r="AA78" s="542"/>
      <c r="AB78" s="542"/>
      <c r="AC78" s="542"/>
      <c r="AD78" s="542"/>
      <c r="AE78" s="542"/>
      <c r="AF78" s="542"/>
      <c r="AG78" s="542"/>
      <c r="AH78" s="542"/>
      <c r="AI78" s="542"/>
      <c r="AJ78" s="542"/>
      <c r="AK78" s="542"/>
      <c r="AL78" s="542"/>
      <c r="AM78" s="542"/>
      <c r="AN78" s="542"/>
      <c r="AO78" s="542"/>
      <c r="AP78" s="542"/>
      <c r="AQ78" s="542"/>
      <c r="AR78" s="542"/>
      <c r="AS78" s="542"/>
      <c r="AT78" s="542"/>
      <c r="AU78" s="542"/>
      <c r="AV78" s="542"/>
      <c r="AW78" s="542"/>
      <c r="AX78" s="542"/>
      <c r="AY78" s="574"/>
      <c r="AZ78" s="574"/>
      <c r="BA78" s="574"/>
      <c r="BB78" s="574"/>
      <c r="BC78" s="542"/>
      <c r="BD78" s="542"/>
      <c r="BE78" s="542"/>
      <c r="BF78" s="542"/>
      <c r="BG78" s="542"/>
      <c r="BH78" s="542"/>
      <c r="BI78" s="574"/>
      <c r="BJ78" s="574"/>
      <c r="BK78" s="574"/>
      <c r="BL78" s="574"/>
      <c r="BM78" s="542"/>
      <c r="BN78" s="540"/>
      <c r="BO78" s="540"/>
      <c r="BP78" s="540"/>
      <c r="BQ78" s="540"/>
      <c r="BR78" s="540"/>
      <c r="BS78" s="641"/>
      <c r="BT78" s="641"/>
      <c r="BU78" s="641"/>
      <c r="BV78" s="641"/>
      <c r="BW78" s="641"/>
      <c r="BX78" s="641">
        <f>BX76/LiveRamp!BX16</f>
        <v>7.3754743202416914E-2</v>
      </c>
      <c r="BY78" s="641">
        <f>BY76/LiveRamp!BY16</f>
        <v>0.10393526011560693</v>
      </c>
      <c r="BZ78" s="641">
        <f>BZ76/LiveRamp!BZ16</f>
        <v>0.14749650485436891</v>
      </c>
      <c r="CA78" s="641">
        <f>CA76/LiveRamp!CA16</f>
        <v>9.9815494505494498E-2</v>
      </c>
      <c r="CB78" s="641">
        <f>CB76/LiveRamp!CB16</f>
        <v>0.1078750194300518</v>
      </c>
      <c r="CC78" s="641">
        <f>CC76/LiveRamp!CC16</f>
        <v>1.1541801227623681E-2</v>
      </c>
      <c r="CD78" s="641">
        <f>CD76/LiveRamp!CD16</f>
        <v>0.12357619461981376</v>
      </c>
      <c r="CE78" s="641">
        <f>CE76/LiveRamp!CE16</f>
        <v>0.16470293127653454</v>
      </c>
      <c r="CF78" s="641">
        <f>CF76/LiveRamp!CF16</f>
        <v>0.15013395117090184</v>
      </c>
      <c r="CG78" s="641">
        <f>CG76/LiveRamp!CG16</f>
        <v>0.11808827856302334</v>
      </c>
      <c r="CH78" s="641">
        <f>CH76/LiveRamp!CH16</f>
        <v>0.16134641673736613</v>
      </c>
      <c r="CI78" s="641">
        <f>CI76/LiveRamp!CI16</f>
        <v>0.13140081708074797</v>
      </c>
      <c r="CJ78" s="641">
        <f>CJ76/LiveRamp!CJ16</f>
        <v>0.20029842388767716</v>
      </c>
      <c r="CK78" s="641">
        <f>CK76/LiveRamp!CK16</f>
        <v>0.22229157177864639</v>
      </c>
      <c r="CL78" s="641">
        <f>CL76/LiveRamp!CL16</f>
        <v>0.18203348357758298</v>
      </c>
      <c r="CM78" s="641">
        <f>CM76/LiveRamp!CM16</f>
        <v>0.19548368904710248</v>
      </c>
      <c r="CN78" s="641">
        <f>CN76/LiveRamp!CN16</f>
        <v>0.19115331424671425</v>
      </c>
      <c r="CO78" s="641">
        <f>CO76/LiveRamp!CO16</f>
        <v>0.25838104731485595</v>
      </c>
      <c r="CP78" s="641">
        <f>CP76/LiveRamp!CP16</f>
        <v>0.22545314920271683</v>
      </c>
      <c r="CQ78" s="641">
        <f>CQ76/LiveRamp!CQ16</f>
        <v>0.21963459816849312</v>
      </c>
      <c r="CR78" s="641">
        <f>CR76/LiveRamp!CR16</f>
        <v>0.20007445258302636</v>
      </c>
      <c r="CS78" s="641">
        <f>CS76/LiveRamp!CS16</f>
        <v>0.21185503208919851</v>
      </c>
      <c r="CT78" s="641">
        <f>CT76/LiveRamp!CT16</f>
        <v>0.26378307478120611</v>
      </c>
      <c r="CU78" s="641">
        <f>CU76/LiveRamp!CU16</f>
        <v>0.2249095314749851</v>
      </c>
      <c r="CV78" s="641">
        <f>CV76/LiveRamp!CV16</f>
        <v>0.22687333285270589</v>
      </c>
    </row>
    <row r="79" spans="5:100" hidden="1" x14ac:dyDescent="0.25">
      <c r="BR79" s="574"/>
      <c r="BW79" s="574"/>
      <c r="CB79" s="574"/>
      <c r="CC79" s="355"/>
      <c r="CD79" s="355"/>
      <c r="CE79" s="355"/>
      <c r="CF79" s="355"/>
      <c r="CG79" s="574"/>
      <c r="CH79" s="511"/>
      <c r="CI79" s="355"/>
      <c r="CJ79" s="355"/>
      <c r="CK79" s="355"/>
      <c r="CL79" s="574"/>
      <c r="CQ79" s="574"/>
      <c r="CV79" s="574"/>
    </row>
    <row r="80" spans="5:100" hidden="1" x14ac:dyDescent="0.25">
      <c r="E80" s="717" t="s">
        <v>768</v>
      </c>
      <c r="BR80" s="574"/>
      <c r="BW80" s="574"/>
      <c r="BX80" s="718">
        <f t="shared" ref="BX80:CV80" si="82">BX55-BX16</f>
        <v>-14.548000000000002</v>
      </c>
      <c r="BY80" s="718">
        <f t="shared" si="82"/>
        <v>-14.143000000000001</v>
      </c>
      <c r="BZ80" s="718">
        <f t="shared" si="82"/>
        <v>-15.798000000000002</v>
      </c>
      <c r="CA80" s="718">
        <f t="shared" si="82"/>
        <v>-16.626000000000001</v>
      </c>
      <c r="CB80" s="574">
        <f t="shared" si="82"/>
        <v>-61.115000000000009</v>
      </c>
      <c r="CC80" s="718">
        <f t="shared" si="82"/>
        <v>-18.527999999999999</v>
      </c>
      <c r="CD80" s="718">
        <f t="shared" si="82"/>
        <v>-17.908000000000001</v>
      </c>
      <c r="CE80" s="718">
        <f t="shared" si="82"/>
        <v>-18.568000000000005</v>
      </c>
      <c r="CF80" s="718">
        <f t="shared" si="82"/>
        <v>-17.530999999999999</v>
      </c>
      <c r="CG80" s="574">
        <f t="shared" si="82"/>
        <v>-72.534999999999997</v>
      </c>
      <c r="CH80" s="718">
        <f t="shared" si="82"/>
        <v>-18.270999999999994</v>
      </c>
      <c r="CI80" s="718">
        <f t="shared" si="82"/>
        <v>-18.950076729556713</v>
      </c>
      <c r="CJ80" s="718">
        <f t="shared" si="82"/>
        <v>-21.910360792000013</v>
      </c>
      <c r="CK80" s="718">
        <f t="shared" si="82"/>
        <v>-22.804879999999997</v>
      </c>
      <c r="CL80" s="574">
        <f t="shared" si="82"/>
        <v>-81.936317521556703</v>
      </c>
      <c r="CM80" s="718">
        <f t="shared" si="82"/>
        <v>-24.443109599999993</v>
      </c>
      <c r="CN80" s="718">
        <f t="shared" si="82"/>
        <v>-25.428182588075138</v>
      </c>
      <c r="CO80" s="718">
        <f t="shared" si="82"/>
        <v>-25.397439281780009</v>
      </c>
      <c r="CP80" s="718">
        <f t="shared" si="82"/>
        <v>-26.96862653238</v>
      </c>
      <c r="CQ80" s="574">
        <f t="shared" si="82"/>
        <v>-102.23735800223517</v>
      </c>
      <c r="CR80" s="718">
        <f t="shared" si="82"/>
        <v>-30.622394360999991</v>
      </c>
      <c r="CS80" s="718">
        <f t="shared" si="82"/>
        <v>-31.652921088412342</v>
      </c>
      <c r="CT80" s="718">
        <f t="shared" si="82"/>
        <v>-31.244155145302813</v>
      </c>
      <c r="CU80" s="718">
        <f t="shared" si="82"/>
        <v>-34.117399087156414</v>
      </c>
      <c r="CV80" s="574">
        <f t="shared" si="82"/>
        <v>-127.63686968187153</v>
      </c>
    </row>
    <row r="81" spans="5:100" hidden="1" x14ac:dyDescent="0.25">
      <c r="E81" s="717" t="s">
        <v>786</v>
      </c>
      <c r="BR81" s="574"/>
      <c r="BW81" s="574"/>
      <c r="CB81" s="574"/>
      <c r="CC81" s="718">
        <f t="shared" ref="CC81:CV81" si="83">CC80-BX80</f>
        <v>-3.9799999999999969</v>
      </c>
      <c r="CD81" s="718">
        <f t="shared" si="83"/>
        <v>-3.7650000000000006</v>
      </c>
      <c r="CE81" s="718">
        <f t="shared" si="83"/>
        <v>-2.7700000000000031</v>
      </c>
      <c r="CF81" s="718">
        <f t="shared" si="83"/>
        <v>-0.90499999999999758</v>
      </c>
      <c r="CG81" s="574">
        <f t="shared" si="83"/>
        <v>-11.419999999999987</v>
      </c>
      <c r="CH81" s="713">
        <f>CH80-CC80</f>
        <v>0.257000000000005</v>
      </c>
      <c r="CI81" s="718">
        <f t="shared" si="83"/>
        <v>-1.0420767295567117</v>
      </c>
      <c r="CJ81" s="718">
        <f t="shared" si="83"/>
        <v>-3.342360792000008</v>
      </c>
      <c r="CK81" s="718">
        <f t="shared" si="83"/>
        <v>-5.2738799999999983</v>
      </c>
      <c r="CL81" s="574">
        <f t="shared" si="83"/>
        <v>-9.401317521556706</v>
      </c>
      <c r="CM81" s="718">
        <f t="shared" si="83"/>
        <v>-6.1721095999999989</v>
      </c>
      <c r="CN81" s="718">
        <f t="shared" si="83"/>
        <v>-6.4781058585184255</v>
      </c>
      <c r="CO81" s="718">
        <f t="shared" si="83"/>
        <v>-3.4870784897799965</v>
      </c>
      <c r="CP81" s="718">
        <f t="shared" si="83"/>
        <v>-4.1637465323800029</v>
      </c>
      <c r="CQ81" s="574">
        <f t="shared" si="83"/>
        <v>-20.301040480678466</v>
      </c>
      <c r="CR81" s="718">
        <f t="shared" si="83"/>
        <v>-6.1792847609999981</v>
      </c>
      <c r="CS81" s="718">
        <f t="shared" si="83"/>
        <v>-6.2247385003372031</v>
      </c>
      <c r="CT81" s="718">
        <f t="shared" si="83"/>
        <v>-5.8467158635228031</v>
      </c>
      <c r="CU81" s="718">
        <f t="shared" si="83"/>
        <v>-7.1487725547764143</v>
      </c>
      <c r="CV81" s="574">
        <f t="shared" si="83"/>
        <v>-25.399511679636362</v>
      </c>
    </row>
    <row r="82" spans="5:100" ht="13.5" hidden="1" x14ac:dyDescent="0.25">
      <c r="E82" s="365" t="s">
        <v>2</v>
      </c>
      <c r="BR82" s="574"/>
      <c r="BW82" s="574"/>
      <c r="CB82" s="574"/>
      <c r="CC82" s="749">
        <f t="shared" ref="CC82:CV82" si="84">CC80/BX80-1</f>
        <v>0.27357712400329914</v>
      </c>
      <c r="CD82" s="749">
        <f t="shared" si="84"/>
        <v>0.26620943222795734</v>
      </c>
      <c r="CE82" s="749">
        <f t="shared" si="84"/>
        <v>0.17533865046208397</v>
      </c>
      <c r="CF82" s="749">
        <f t="shared" si="84"/>
        <v>5.443281607121353E-2</v>
      </c>
      <c r="CG82" s="750">
        <f t="shared" si="84"/>
        <v>0.18686083612860971</v>
      </c>
      <c r="CH82" s="749">
        <f t="shared" si="84"/>
        <v>-1.3870898100172946E-2</v>
      </c>
      <c r="CI82" s="749">
        <f t="shared" si="84"/>
        <v>5.8190570111498197E-2</v>
      </c>
      <c r="CJ82" s="749">
        <f t="shared" si="84"/>
        <v>0.18000650538561014</v>
      </c>
      <c r="CK82" s="749">
        <f t="shared" si="84"/>
        <v>0.3008316696138269</v>
      </c>
      <c r="CL82" s="750">
        <f t="shared" si="84"/>
        <v>0.12961077440624114</v>
      </c>
      <c r="CM82" s="749">
        <f t="shared" si="84"/>
        <v>0.33780907448962849</v>
      </c>
      <c r="CN82" s="749">
        <f t="shared" si="84"/>
        <v>0.34185116772716961</v>
      </c>
      <c r="CO82" s="749">
        <f t="shared" si="84"/>
        <v>0.15915203418527057</v>
      </c>
      <c r="CP82" s="749">
        <f t="shared" si="84"/>
        <v>0.18258138312413852</v>
      </c>
      <c r="CQ82" s="750">
        <f t="shared" si="84"/>
        <v>0.2477660834017521</v>
      </c>
      <c r="CR82" s="749">
        <f t="shared" si="84"/>
        <v>0.25280272690836347</v>
      </c>
      <c r="CS82" s="749">
        <f t="shared" si="84"/>
        <v>0.24479683039779543</v>
      </c>
      <c r="CT82" s="749">
        <f t="shared" si="84"/>
        <v>0.23020887258178058</v>
      </c>
      <c r="CU82" s="749">
        <f t="shared" si="84"/>
        <v>0.26507736855613362</v>
      </c>
      <c r="CV82" s="750">
        <f t="shared" si="84"/>
        <v>0.24843669844325467</v>
      </c>
    </row>
    <row r="83" spans="5:100" hidden="1" x14ac:dyDescent="0.25">
      <c r="BR83" s="574"/>
      <c r="BW83" s="574"/>
      <c r="CB83" s="574"/>
      <c r="CG83" s="574"/>
      <c r="CL83" s="574"/>
      <c r="CQ83" s="574"/>
      <c r="CV83" s="574"/>
    </row>
    <row r="84" spans="5:100" hidden="1" x14ac:dyDescent="0.25">
      <c r="E84" s="717" t="s">
        <v>767</v>
      </c>
      <c r="BR84" s="574"/>
      <c r="BW84" s="574"/>
      <c r="BX84" s="718">
        <f t="shared" ref="BX84:CV84" si="85">BX67-BX55</f>
        <v>-18.015999999999998</v>
      </c>
      <c r="BY84" s="718">
        <f t="shared" si="85"/>
        <v>-18.969000000000001</v>
      </c>
      <c r="BZ84" s="718">
        <f t="shared" si="85"/>
        <v>-21.716000000000001</v>
      </c>
      <c r="CA84" s="718">
        <f t="shared" si="85"/>
        <v>-26.895999999999997</v>
      </c>
      <c r="CB84" s="574">
        <f t="shared" si="85"/>
        <v>-85.596999999999994</v>
      </c>
      <c r="CC84" s="718">
        <f t="shared" si="85"/>
        <v>-28.326000000000001</v>
      </c>
      <c r="CD84" s="718">
        <f t="shared" si="85"/>
        <v>-30.221999999999998</v>
      </c>
      <c r="CE84" s="718">
        <f t="shared" si="85"/>
        <v>-31.530999999999999</v>
      </c>
      <c r="CF84" s="718">
        <f t="shared" si="85"/>
        <v>-34.551000000000002</v>
      </c>
      <c r="CG84" s="574">
        <f t="shared" si="85"/>
        <v>-124.63</v>
      </c>
      <c r="CH84" s="718">
        <f>CH67-CH55</f>
        <v>-34.997</v>
      </c>
      <c r="CI84" s="718">
        <f t="shared" si="85"/>
        <v>-38.21107351380585</v>
      </c>
      <c r="CJ84" s="718">
        <f>CJ67-CJ55</f>
        <v>-39.593950309999997</v>
      </c>
      <c r="CK84" s="718">
        <f>CK67-CK55</f>
        <v>-42.196378640000013</v>
      </c>
      <c r="CL84" s="574">
        <f t="shared" si="85"/>
        <v>-154.99840246380586</v>
      </c>
      <c r="CM84" s="718">
        <f>CM67-CM55</f>
        <v>-44.193510400000008</v>
      </c>
      <c r="CN84" s="718">
        <f t="shared" si="85"/>
        <v>-49.512390418030691</v>
      </c>
      <c r="CO84" s="718">
        <f t="shared" si="85"/>
        <v>-52.320841603120002</v>
      </c>
      <c r="CP84" s="718">
        <f t="shared" si="85"/>
        <v>-55.49685085202001</v>
      </c>
      <c r="CQ84" s="574">
        <f t="shared" si="85"/>
        <v>-201.52359327317069</v>
      </c>
      <c r="CR84" s="718">
        <f t="shared" si="85"/>
        <v>-58.131805134000018</v>
      </c>
      <c r="CS84" s="718">
        <f t="shared" si="85"/>
        <v>-63.179754868433648</v>
      </c>
      <c r="CT84" s="718">
        <f t="shared" si="85"/>
        <v>-69.219296064000005</v>
      </c>
      <c r="CU84" s="718">
        <f t="shared" si="85"/>
        <v>-73.25737228937561</v>
      </c>
      <c r="CV84" s="574">
        <f t="shared" si="85"/>
        <v>-263.78822835580934</v>
      </c>
    </row>
    <row r="85" spans="5:100" hidden="1" x14ac:dyDescent="0.25">
      <c r="E85" s="717" t="s">
        <v>786</v>
      </c>
      <c r="BR85" s="574"/>
      <c r="BW85" s="574"/>
      <c r="CB85" s="574"/>
      <c r="CC85" s="718">
        <f t="shared" ref="CC85:CV85" si="86">CC84-BX84</f>
        <v>-10.310000000000002</v>
      </c>
      <c r="CD85" s="718">
        <f t="shared" si="86"/>
        <v>-11.252999999999997</v>
      </c>
      <c r="CE85" s="718">
        <f t="shared" si="86"/>
        <v>-9.8149999999999977</v>
      </c>
      <c r="CF85" s="718">
        <f t="shared" si="86"/>
        <v>-7.6550000000000047</v>
      </c>
      <c r="CG85" s="574">
        <f t="shared" si="86"/>
        <v>-39.033000000000001</v>
      </c>
      <c r="CH85" s="718">
        <f t="shared" si="86"/>
        <v>-6.6709999999999994</v>
      </c>
      <c r="CI85" s="718">
        <f t="shared" si="86"/>
        <v>-7.9890735138058524</v>
      </c>
      <c r="CJ85" s="718">
        <f t="shared" si="86"/>
        <v>-8.062950309999998</v>
      </c>
      <c r="CK85" s="718">
        <f t="shared" si="86"/>
        <v>-7.6453786400000112</v>
      </c>
      <c r="CL85" s="574">
        <f t="shared" si="86"/>
        <v>-30.368402463805864</v>
      </c>
      <c r="CM85" s="718">
        <f>CM84-CH84</f>
        <v>-9.1965104000000082</v>
      </c>
      <c r="CN85" s="718">
        <f t="shared" si="86"/>
        <v>-11.301316904224841</v>
      </c>
      <c r="CO85" s="718">
        <f t="shared" si="86"/>
        <v>-12.726891293120005</v>
      </c>
      <c r="CP85" s="718">
        <f t="shared" si="86"/>
        <v>-13.300472212019997</v>
      </c>
      <c r="CQ85" s="574">
        <f t="shared" si="86"/>
        <v>-46.52519080936483</v>
      </c>
      <c r="CR85" s="718">
        <f t="shared" si="86"/>
        <v>-13.93829473400001</v>
      </c>
      <c r="CS85" s="718">
        <f t="shared" si="86"/>
        <v>-13.667364450402957</v>
      </c>
      <c r="CT85" s="718">
        <f t="shared" si="86"/>
        <v>-16.898454460880004</v>
      </c>
      <c r="CU85" s="718">
        <f t="shared" si="86"/>
        <v>-17.7605214373556</v>
      </c>
      <c r="CV85" s="574">
        <f t="shared" si="86"/>
        <v>-62.264635082638648</v>
      </c>
    </row>
    <row r="86" spans="5:100" ht="13.5" hidden="1" x14ac:dyDescent="0.25">
      <c r="E86" s="365" t="s">
        <v>2</v>
      </c>
      <c r="BR86" s="574"/>
      <c r="BW86" s="574"/>
      <c r="CB86" s="574"/>
      <c r="CC86" s="749">
        <f t="shared" ref="CC86:CV86" si="87">CC84/BX84-1</f>
        <v>0.57226909413854377</v>
      </c>
      <c r="CD86" s="749">
        <f t="shared" si="87"/>
        <v>0.59323106120512392</v>
      </c>
      <c r="CE86" s="749">
        <f t="shared" si="87"/>
        <v>0.45197089703444449</v>
      </c>
      <c r="CF86" s="749">
        <f t="shared" si="87"/>
        <v>0.28461481261154087</v>
      </c>
      <c r="CG86" s="750">
        <f t="shared" si="87"/>
        <v>0.45600897227706594</v>
      </c>
      <c r="CH86" s="749">
        <f t="shared" si="87"/>
        <v>0.23550801383887587</v>
      </c>
      <c r="CI86" s="749">
        <f t="shared" si="87"/>
        <v>0.26434628792951664</v>
      </c>
      <c r="CJ86" s="749">
        <f t="shared" si="87"/>
        <v>0.25571502045605898</v>
      </c>
      <c r="CK86" s="749">
        <f t="shared" si="87"/>
        <v>0.22127807125698284</v>
      </c>
      <c r="CL86" s="750">
        <f t="shared" si="87"/>
        <v>0.24366847840653016</v>
      </c>
      <c r="CM86" s="749">
        <f t="shared" si="87"/>
        <v>0.26277996399691417</v>
      </c>
      <c r="CN86" s="749">
        <f t="shared" si="87"/>
        <v>0.29576025651678228</v>
      </c>
      <c r="CO86" s="749">
        <f t="shared" si="87"/>
        <v>0.32143524941247525</v>
      </c>
      <c r="CP86" s="749">
        <f t="shared" si="87"/>
        <v>0.31520411563024098</v>
      </c>
      <c r="CQ86" s="750">
        <f t="shared" si="87"/>
        <v>0.30016561506322015</v>
      </c>
      <c r="CR86" s="749">
        <f t="shared" si="87"/>
        <v>0.31539234172264363</v>
      </c>
      <c r="CS86" s="749">
        <f t="shared" si="87"/>
        <v>0.2760392769367439</v>
      </c>
      <c r="CT86" s="749">
        <f t="shared" si="87"/>
        <v>0.32297749698032985</v>
      </c>
      <c r="CU86" s="749">
        <f t="shared" si="87"/>
        <v>0.32002755408074002</v>
      </c>
      <c r="CV86" s="750">
        <f t="shared" si="87"/>
        <v>0.30896945648560981</v>
      </c>
    </row>
    <row r="87" spans="5:100" hidden="1" x14ac:dyDescent="0.25">
      <c r="BR87" s="574"/>
      <c r="BW87" s="574"/>
      <c r="CB87" s="574"/>
      <c r="CG87" s="574"/>
      <c r="CL87" s="574"/>
      <c r="CQ87" s="574"/>
      <c r="CR87" s="530"/>
      <c r="CV87" s="574"/>
    </row>
    <row r="88" spans="5:100" hidden="1" x14ac:dyDescent="0.25">
      <c r="E88" s="717" t="s">
        <v>787</v>
      </c>
      <c r="BR88" s="574"/>
      <c r="BW88" s="574"/>
      <c r="BX88" s="718">
        <f t="shared" ref="BX88:CV88" si="88">BX80+BX84</f>
        <v>-32.564</v>
      </c>
      <c r="BY88" s="718">
        <f t="shared" si="88"/>
        <v>-33.112000000000002</v>
      </c>
      <c r="BZ88" s="718">
        <f t="shared" si="88"/>
        <v>-37.514000000000003</v>
      </c>
      <c r="CA88" s="718">
        <f t="shared" si="88"/>
        <v>-43.521999999999998</v>
      </c>
      <c r="CB88" s="574">
        <f t="shared" si="88"/>
        <v>-146.71199999999999</v>
      </c>
      <c r="CC88" s="718">
        <f t="shared" si="88"/>
        <v>-46.853999999999999</v>
      </c>
      <c r="CD88" s="718">
        <f t="shared" si="88"/>
        <v>-48.129999999999995</v>
      </c>
      <c r="CE88" s="718">
        <f t="shared" si="88"/>
        <v>-50.099000000000004</v>
      </c>
      <c r="CF88" s="718">
        <f>CF80+CF84</f>
        <v>-52.082000000000001</v>
      </c>
      <c r="CG88" s="574">
        <f t="shared" si="88"/>
        <v>-197.16499999999999</v>
      </c>
      <c r="CH88" s="718">
        <f>CH80+CH84</f>
        <v>-53.267999999999994</v>
      </c>
      <c r="CI88" s="718">
        <f t="shared" si="88"/>
        <v>-57.161150243362563</v>
      </c>
      <c r="CJ88" s="718">
        <f t="shared" si="88"/>
        <v>-61.50431110200001</v>
      </c>
      <c r="CK88" s="718">
        <f t="shared" si="88"/>
        <v>-65.001258640000003</v>
      </c>
      <c r="CL88" s="574">
        <f t="shared" si="88"/>
        <v>-236.93471998536256</v>
      </c>
      <c r="CM88" s="718">
        <f t="shared" si="88"/>
        <v>-68.636619999999994</v>
      </c>
      <c r="CN88" s="718">
        <f t="shared" si="88"/>
        <v>-74.940573006105836</v>
      </c>
      <c r="CO88" s="718">
        <f t="shared" si="88"/>
        <v>-77.718280884900011</v>
      </c>
      <c r="CP88" s="718">
        <f t="shared" si="88"/>
        <v>-82.465477384400003</v>
      </c>
      <c r="CQ88" s="574">
        <f t="shared" si="88"/>
        <v>-303.76095127540589</v>
      </c>
      <c r="CR88" s="718">
        <f t="shared" si="88"/>
        <v>-88.754199495000009</v>
      </c>
      <c r="CS88" s="718">
        <f t="shared" si="88"/>
        <v>-94.832675956845989</v>
      </c>
      <c r="CT88" s="718">
        <f t="shared" si="88"/>
        <v>-100.46345120930282</v>
      </c>
      <c r="CU88" s="718">
        <f t="shared" si="88"/>
        <v>-107.37477137653202</v>
      </c>
      <c r="CV88" s="574">
        <f t="shared" si="88"/>
        <v>-391.42509803768087</v>
      </c>
    </row>
    <row r="89" spans="5:100" hidden="1" x14ac:dyDescent="0.25">
      <c r="E89" s="717" t="s">
        <v>786</v>
      </c>
      <c r="BR89" s="574"/>
      <c r="BW89" s="574"/>
      <c r="CB89" s="574"/>
      <c r="CC89" s="718">
        <f t="shared" ref="CC89:CV89" si="89">CC88-BX88</f>
        <v>-14.29</v>
      </c>
      <c r="CD89" s="718">
        <f t="shared" si="89"/>
        <v>-15.017999999999994</v>
      </c>
      <c r="CE89" s="718">
        <f t="shared" si="89"/>
        <v>-12.585000000000001</v>
      </c>
      <c r="CF89" s="718">
        <f t="shared" si="89"/>
        <v>-8.5600000000000023</v>
      </c>
      <c r="CG89" s="574">
        <f t="shared" si="89"/>
        <v>-50.453000000000003</v>
      </c>
      <c r="CH89" s="718">
        <f t="shared" si="89"/>
        <v>-6.4139999999999944</v>
      </c>
      <c r="CI89" s="718">
        <f t="shared" si="89"/>
        <v>-9.0311502433625677</v>
      </c>
      <c r="CJ89" s="718">
        <f t="shared" si="89"/>
        <v>-11.405311102000006</v>
      </c>
      <c r="CK89" s="718">
        <f t="shared" si="89"/>
        <v>-12.919258640000002</v>
      </c>
      <c r="CL89" s="574">
        <f t="shared" si="89"/>
        <v>-39.76971998536257</v>
      </c>
      <c r="CM89" s="718">
        <f t="shared" si="89"/>
        <v>-15.36862</v>
      </c>
      <c r="CN89" s="718">
        <f t="shared" si="89"/>
        <v>-17.779422762743273</v>
      </c>
      <c r="CO89" s="718">
        <f t="shared" si="89"/>
        <v>-16.213969782900001</v>
      </c>
      <c r="CP89" s="718">
        <f t="shared" si="89"/>
        <v>-17.4642187444</v>
      </c>
      <c r="CQ89" s="574">
        <f t="shared" si="89"/>
        <v>-66.826231290043324</v>
      </c>
      <c r="CR89" s="718">
        <f t="shared" si="89"/>
        <v>-20.117579495000015</v>
      </c>
      <c r="CS89" s="718">
        <f t="shared" si="89"/>
        <v>-19.892102950740153</v>
      </c>
      <c r="CT89" s="718">
        <f t="shared" si="89"/>
        <v>-22.745170324402807</v>
      </c>
      <c r="CU89" s="718">
        <f t="shared" si="89"/>
        <v>-24.909293992132021</v>
      </c>
      <c r="CV89" s="574">
        <f t="shared" si="89"/>
        <v>-87.664146762274981</v>
      </c>
    </row>
    <row r="90" spans="5:100" ht="13.5" hidden="1" x14ac:dyDescent="0.25">
      <c r="E90" s="365" t="s">
        <v>2</v>
      </c>
      <c r="BR90" s="574"/>
      <c r="BW90" s="574"/>
      <c r="CB90" s="574"/>
      <c r="CC90" s="749">
        <f t="shared" ref="CC90:CV90" si="90">CC88/BX88-1</f>
        <v>0.43882815378946072</v>
      </c>
      <c r="CD90" s="749">
        <f t="shared" si="90"/>
        <v>0.45355158250785199</v>
      </c>
      <c r="CE90" s="749">
        <f t="shared" si="90"/>
        <v>0.33547475609105937</v>
      </c>
      <c r="CF90" s="749">
        <f t="shared" si="90"/>
        <v>0.19668213776940413</v>
      </c>
      <c r="CG90" s="750">
        <f t="shared" si="90"/>
        <v>0.34389143355690055</v>
      </c>
      <c r="CH90" s="749">
        <f t="shared" si="90"/>
        <v>0.1368933282110385</v>
      </c>
      <c r="CI90" s="749">
        <f t="shared" si="90"/>
        <v>0.1876407696522453</v>
      </c>
      <c r="CJ90" s="749">
        <f t="shared" si="90"/>
        <v>0.22765546422084282</v>
      </c>
      <c r="CK90" s="749">
        <f t="shared" si="90"/>
        <v>0.2480561161245729</v>
      </c>
      <c r="CL90" s="750">
        <f t="shared" si="90"/>
        <v>0.20170780810672562</v>
      </c>
      <c r="CM90" s="749">
        <f t="shared" si="90"/>
        <v>0.28851505594353077</v>
      </c>
      <c r="CN90" s="749">
        <f t="shared" si="90"/>
        <v>0.31104032523921754</v>
      </c>
      <c r="CO90" s="749">
        <f t="shared" si="90"/>
        <v>0.26362330529985822</v>
      </c>
      <c r="CP90" s="749">
        <f t="shared" si="90"/>
        <v>0.26867508583369171</v>
      </c>
      <c r="CQ90" s="750">
        <f t="shared" si="90"/>
        <v>0.28204490795680659</v>
      </c>
      <c r="CR90" s="749">
        <f t="shared" si="90"/>
        <v>0.29310271244417363</v>
      </c>
      <c r="CS90" s="749">
        <f t="shared" si="90"/>
        <v>0.26543836206215587</v>
      </c>
      <c r="CT90" s="749">
        <f t="shared" si="90"/>
        <v>0.29266177874016774</v>
      </c>
      <c r="CU90" s="749">
        <f t="shared" si="90"/>
        <v>0.30205723391403194</v>
      </c>
      <c r="CV90" s="750">
        <f t="shared" si="90"/>
        <v>0.28859583957120938</v>
      </c>
    </row>
    <row r="91" spans="5:100" ht="13.5" hidden="1" x14ac:dyDescent="0.25">
      <c r="E91" s="365"/>
      <c r="BR91" s="574"/>
      <c r="BW91" s="574"/>
      <c r="CB91" s="574"/>
      <c r="CG91" s="574"/>
      <c r="CL91" s="574"/>
      <c r="CQ91" s="574"/>
      <c r="CR91" s="530"/>
      <c r="CV91" s="574"/>
    </row>
    <row r="92" spans="5:100" ht="13.5" hidden="1" x14ac:dyDescent="0.25">
      <c r="E92" s="717" t="s">
        <v>788</v>
      </c>
      <c r="BR92" s="574"/>
      <c r="BW92" s="574"/>
      <c r="CB92" s="751">
        <f t="shared" ref="CB92:CV92" si="91">(CB76-BW76)/(CB16-BW16)</f>
        <v>0.1078750194300518</v>
      </c>
      <c r="CC92" s="752">
        <f t="shared" si="91"/>
        <v>-0.13924156110419567</v>
      </c>
      <c r="CD92" s="752">
        <f t="shared" si="91"/>
        <v>0.15858244475351571</v>
      </c>
      <c r="CE92" s="752">
        <f t="shared" si="91"/>
        <v>0.20426014173316223</v>
      </c>
      <c r="CF92" s="752">
        <f t="shared" si="91"/>
        <v>0.30577567641060505</v>
      </c>
      <c r="CG92" s="751">
        <f t="shared" si="91"/>
        <v>0.14208984946956671</v>
      </c>
      <c r="CH92" s="752">
        <f t="shared" si="91"/>
        <v>0.60708998345424459</v>
      </c>
      <c r="CI92" s="752">
        <f t="shared" si="91"/>
        <v>0.17053697163046924</v>
      </c>
      <c r="CJ92" s="752">
        <f t="shared" si="91"/>
        <v>0.33015620134053747</v>
      </c>
      <c r="CK92" s="752">
        <f t="shared" si="91"/>
        <v>0.44821881911354722</v>
      </c>
      <c r="CL92" s="751">
        <f t="shared" si="91"/>
        <v>0.40922736174351793</v>
      </c>
      <c r="CM92" s="752">
        <f t="shared" si="91"/>
        <v>0.30927459674622365</v>
      </c>
      <c r="CN92" s="752">
        <f t="shared" si="91"/>
        <v>0.35372691906734405</v>
      </c>
      <c r="CO92" s="752">
        <f t="shared" si="91"/>
        <v>0.43278533874171438</v>
      </c>
      <c r="CP92" s="752">
        <f t="shared" si="91"/>
        <v>0.23645275675965241</v>
      </c>
      <c r="CQ92" s="751">
        <f t="shared" si="91"/>
        <v>0.33684458304528303</v>
      </c>
      <c r="CR92" s="752">
        <f t="shared" si="91"/>
        <v>0.21455854848115627</v>
      </c>
      <c r="CS92" s="752">
        <f t="shared" si="91"/>
        <v>0.27826160695196595</v>
      </c>
      <c r="CT92" s="752">
        <f t="shared" si="91"/>
        <v>0.28089491877137052</v>
      </c>
      <c r="CU92" s="752">
        <f t="shared" si="91"/>
        <v>0.22317913928920963</v>
      </c>
      <c r="CV92" s="751">
        <f t="shared" si="91"/>
        <v>0.24988227783562461</v>
      </c>
    </row>
    <row r="93" spans="5:100" hidden="1" x14ac:dyDescent="0.25">
      <c r="CC93" s="355"/>
      <c r="CD93" s="355"/>
      <c r="CE93" s="355"/>
      <c r="CF93" s="355"/>
      <c r="CH93" s="355"/>
      <c r="CI93" s="355"/>
      <c r="CJ93" s="355"/>
      <c r="CK93" s="355"/>
    </row>
    <row r="94" spans="5:100" x14ac:dyDescent="0.25">
      <c r="CC94" s="355"/>
      <c r="CD94" s="355"/>
      <c r="CE94" s="355"/>
      <c r="CF94" s="355"/>
      <c r="CH94" s="355"/>
      <c r="CI94" s="355"/>
      <c r="CJ94" s="355"/>
      <c r="CK94" s="355"/>
    </row>
    <row r="95" spans="5:100" x14ac:dyDescent="0.25">
      <c r="E95" s="717" t="s">
        <v>19</v>
      </c>
      <c r="CB95" s="114"/>
      <c r="CF95" s="355"/>
      <c r="CG95" s="114"/>
      <c r="CH95" s="114"/>
      <c r="CI95" s="114"/>
      <c r="CJ95" s="114"/>
      <c r="CK95" s="114"/>
      <c r="CL95" s="114"/>
      <c r="CM95" s="731"/>
      <c r="CN95" s="731"/>
      <c r="CO95" s="114"/>
      <c r="CP95" s="114"/>
      <c r="CQ95" s="114"/>
      <c r="CR95" s="114"/>
      <c r="CS95" s="114"/>
      <c r="CT95" s="114"/>
      <c r="CU95" s="114"/>
      <c r="CV95" s="114"/>
    </row>
    <row r="96" spans="5:100" x14ac:dyDescent="0.25">
      <c r="CG96" s="114"/>
      <c r="CL96" s="114"/>
      <c r="CM96" s="114"/>
      <c r="CN96" s="114"/>
      <c r="CQ96" s="114"/>
      <c r="CV96" s="114"/>
    </row>
    <row r="99" spans="90:90" x14ac:dyDescent="0.25">
      <c r="CL99" s="355"/>
    </row>
  </sheetData>
  <dataConsolidate/>
  <pageMargins left="0.15" right="0.15" top="0.3" bottom="0.3" header="0.25" footer="0.25"/>
  <pageSetup scale="80" fitToWidth="0" fitToHeight="0" pageOrder="overThenDown" orientation="portrait" horizontalDpi="1200" verticalDpi="1200" r:id="rId1"/>
  <headerFooter alignWithMargins="0">
    <oddFooter>&amp;R&amp;"Book Antiqua,Regular"&amp;8Daniel Salmon
BMO Capital Markets
 (212) 885-4029</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dimension ref="A1:IG290"/>
  <sheetViews>
    <sheetView showGridLines="0" zoomScaleNormal="100" workbookViewId="0">
      <pane xSplit="5" ySplit="6" topLeftCell="BP7" activePane="bottomRight" state="frozen"/>
      <selection activeCell="E1" sqref="E1"/>
      <selection pane="topRight" activeCell="F1" sqref="F1"/>
      <selection pane="bottomLeft" activeCell="E7" sqref="E7"/>
      <selection pane="bottomRight" activeCell="CI46" sqref="CI46"/>
    </sheetView>
  </sheetViews>
  <sheetFormatPr defaultColWidth="9" defaultRowHeight="12.75" outlineLevelCol="1" x14ac:dyDescent="0.25"/>
  <cols>
    <col min="1" max="4" width="9.33203125" style="2" hidden="1" customWidth="1" outlineLevel="1"/>
    <col min="5" max="5" width="42.33203125" style="717" customWidth="1" collapsed="1"/>
    <col min="6" max="10" width="9.33203125" style="2" customWidth="1"/>
    <col min="11" max="11" width="10.33203125" style="2" customWidth="1"/>
    <col min="12" max="12" width="9.83203125" style="2" customWidth="1"/>
    <col min="13" max="13" width="9.6640625" style="2" customWidth="1"/>
    <col min="14" max="14" width="9.33203125" style="2" customWidth="1"/>
    <col min="15" max="15" width="9.33203125" style="717" customWidth="1"/>
    <col min="16" max="19" width="9.33203125" style="2" customWidth="1"/>
    <col min="20" max="20" width="9.33203125" style="717" customWidth="1"/>
    <col min="21" max="24" width="9.33203125" style="2" customWidth="1"/>
    <col min="25" max="29" width="9.33203125" style="717" customWidth="1"/>
    <col min="30" max="30" width="9.33203125" style="718" customWidth="1"/>
    <col min="31" max="31" width="7.1640625" style="717" customWidth="1"/>
    <col min="32" max="32" width="7.5" style="717" customWidth="1"/>
    <col min="33" max="33" width="7" style="717" customWidth="1"/>
    <col min="34" max="34" width="7.33203125" style="717" customWidth="1"/>
    <col min="35" max="35" width="9.33203125" style="718" customWidth="1"/>
    <col min="36" max="36" width="7.1640625" style="717" customWidth="1"/>
    <col min="37" max="37" width="7.5" style="717" customWidth="1"/>
    <col min="38" max="38" width="7" style="717" customWidth="1"/>
    <col min="39" max="39" width="7.33203125" style="717" customWidth="1"/>
    <col min="40" max="40" width="9.33203125" style="718" customWidth="1"/>
    <col min="41" max="41" width="7.1640625" style="717" customWidth="1"/>
    <col min="42" max="42" width="7.5" style="717" customWidth="1"/>
    <col min="43" max="43" width="7" style="717" customWidth="1"/>
    <col min="44" max="44" width="8.33203125" style="717" customWidth="1"/>
    <col min="45" max="45" width="9.33203125" style="718" customWidth="1"/>
    <col min="46" max="49" width="9.33203125" style="717" customWidth="1"/>
    <col min="50" max="50" width="9.33203125" style="718" customWidth="1"/>
    <col min="51" max="54" width="9.33203125" style="717" customWidth="1"/>
    <col min="55" max="55" width="9.33203125" style="718" customWidth="1"/>
    <col min="56" max="59" width="9.33203125" style="717" customWidth="1"/>
    <col min="60" max="60" width="9.33203125" style="718" customWidth="1"/>
    <col min="61" max="64" width="9.33203125" style="717" customWidth="1"/>
    <col min="65" max="74" width="9.33203125" style="718" customWidth="1"/>
    <col min="75" max="75" width="9.83203125" style="718" customWidth="1"/>
    <col min="76" max="76" width="9.6640625" style="718" customWidth="1"/>
    <col min="77" max="90" width="9.33203125" style="718" customWidth="1"/>
    <col min="91" max="94" width="9" style="718" customWidth="1"/>
    <col min="95" max="95" width="9" style="718"/>
    <col min="96" max="99" width="0" style="718" hidden="1" customWidth="1"/>
    <col min="100" max="16384" width="9" style="718"/>
  </cols>
  <sheetData>
    <row r="1" spans="1:241" s="159" customFormat="1" ht="12.75"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E1" s="2"/>
      <c r="AF1" s="2"/>
      <c r="AG1" s="2"/>
      <c r="AH1" s="2"/>
      <c r="AJ1" s="717"/>
      <c r="AK1" s="2"/>
      <c r="AL1" s="2"/>
      <c r="AM1" s="2"/>
      <c r="AO1" s="2"/>
      <c r="AP1" s="2"/>
      <c r="AQ1" s="2"/>
      <c r="AR1" s="2"/>
      <c r="AT1" s="2"/>
      <c r="AU1" s="2"/>
      <c r="AV1" s="2"/>
      <c r="AW1" s="2"/>
      <c r="AY1" s="2"/>
      <c r="AZ1" s="2"/>
      <c r="BA1" s="2"/>
      <c r="BB1" s="2"/>
      <c r="BD1" s="2"/>
      <c r="BE1" s="2"/>
      <c r="BF1" s="2"/>
      <c r="BG1" s="2"/>
      <c r="BI1" s="2"/>
      <c r="BJ1" s="2"/>
      <c r="BK1" s="2"/>
      <c r="BL1" s="2"/>
      <c r="CG1" s="726"/>
      <c r="CL1" s="726"/>
      <c r="CQ1" s="726"/>
      <c r="CR1" s="726"/>
    </row>
    <row r="2" spans="1:241" ht="12.75" customHeight="1" x14ac:dyDescent="0.25">
      <c r="E2" s="13" t="str">
        <f>Income!E2</f>
        <v>LiveRamp</v>
      </c>
      <c r="BS2" s="114"/>
      <c r="BT2" s="114"/>
      <c r="BU2" s="114"/>
      <c r="BV2" s="114"/>
      <c r="BW2" s="355"/>
      <c r="BX2" s="114"/>
      <c r="BY2" s="114"/>
      <c r="BZ2" s="713"/>
      <c r="CA2" s="713"/>
      <c r="CB2" s="719"/>
      <c r="CC2" s="355"/>
      <c r="CD2" s="355"/>
      <c r="CE2" s="355"/>
      <c r="CF2" s="355"/>
      <c r="CH2" s="355"/>
      <c r="CI2" s="355"/>
      <c r="CJ2" s="355"/>
      <c r="CK2" s="355"/>
      <c r="CL2" s="726"/>
      <c r="CM2" s="355"/>
      <c r="CN2" s="355"/>
      <c r="CO2" s="355"/>
      <c r="CP2" s="355"/>
      <c r="CQ2" s="726"/>
    </row>
    <row r="3" spans="1:241" x14ac:dyDescent="0.25">
      <c r="E3" s="93" t="s">
        <v>758</v>
      </c>
      <c r="BM3" s="721"/>
      <c r="BN3" s="719"/>
      <c r="BO3" s="511"/>
      <c r="BS3" s="530"/>
      <c r="BT3" s="530"/>
      <c r="BU3" s="530"/>
      <c r="BV3" s="530"/>
      <c r="CD3" s="719"/>
      <c r="CL3" s="721"/>
      <c r="CQ3" s="721"/>
    </row>
    <row r="4" spans="1:241"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102" t="str">
        <f>Income!CR4</f>
        <v>F2021E</v>
      </c>
      <c r="CS4" s="102"/>
      <c r="CT4" s="102"/>
      <c r="CU4" s="102"/>
      <c r="CV4" s="106" t="str">
        <f>Income!CV4</f>
        <v>Fiscal Year</v>
      </c>
      <c r="CW4" s="718"/>
      <c r="CX4" s="718"/>
      <c r="CY4" s="718"/>
      <c r="CZ4" s="718"/>
      <c r="DA4" s="718"/>
      <c r="DB4" s="718"/>
      <c r="DC4" s="718"/>
      <c r="DD4" s="718"/>
      <c r="DE4" s="718"/>
      <c r="DF4" s="718"/>
      <c r="DG4" s="718"/>
      <c r="DH4" s="718"/>
      <c r="DI4" s="718"/>
      <c r="DJ4" s="718"/>
      <c r="DK4" s="718"/>
      <c r="DL4" s="718"/>
      <c r="DM4" s="718"/>
      <c r="DN4" s="718"/>
      <c r="DO4" s="718"/>
      <c r="DP4" s="718"/>
      <c r="DQ4" s="718"/>
      <c r="DR4" s="718"/>
      <c r="DS4" s="718"/>
      <c r="DT4" s="718"/>
      <c r="DU4" s="718"/>
      <c r="DV4" s="718"/>
      <c r="DW4" s="718"/>
      <c r="DX4" s="718"/>
      <c r="DY4" s="718"/>
      <c r="DZ4" s="718"/>
      <c r="EA4" s="718"/>
      <c r="EB4" s="718"/>
      <c r="EC4" s="718"/>
      <c r="ED4" s="718"/>
      <c r="EE4" s="718"/>
      <c r="EF4" s="718"/>
      <c r="EG4" s="718"/>
      <c r="EH4" s="718"/>
      <c r="EI4" s="718"/>
      <c r="EJ4" s="718"/>
      <c r="EK4" s="718"/>
      <c r="EL4" s="718"/>
      <c r="EM4" s="718"/>
      <c r="EN4" s="718"/>
      <c r="EO4" s="718"/>
      <c r="EP4" s="718"/>
      <c r="EQ4" s="718"/>
      <c r="ER4" s="718"/>
      <c r="ES4" s="718"/>
      <c r="ET4" s="718"/>
      <c r="EU4" s="718"/>
      <c r="EV4" s="718"/>
      <c r="EW4" s="718"/>
      <c r="EX4" s="718"/>
      <c r="EY4" s="718"/>
      <c r="EZ4" s="718"/>
      <c r="FA4" s="718"/>
      <c r="FB4" s="718"/>
      <c r="FC4" s="718"/>
      <c r="FD4" s="718"/>
      <c r="FE4" s="718"/>
      <c r="FF4" s="718"/>
      <c r="FG4" s="718"/>
      <c r="FH4" s="718"/>
      <c r="FI4" s="718"/>
      <c r="FJ4" s="718"/>
      <c r="FK4" s="718"/>
      <c r="FL4" s="718"/>
      <c r="FM4" s="718"/>
      <c r="FN4" s="718"/>
      <c r="FO4" s="718"/>
      <c r="FP4" s="718"/>
      <c r="FQ4" s="718"/>
      <c r="FR4" s="718"/>
      <c r="FS4" s="718"/>
      <c r="FT4" s="718"/>
      <c r="FU4" s="718"/>
      <c r="FV4" s="718"/>
      <c r="FW4" s="718"/>
      <c r="FX4" s="718"/>
      <c r="FY4" s="718"/>
      <c r="FZ4" s="718"/>
      <c r="GA4" s="718"/>
      <c r="GB4" s="718"/>
      <c r="GC4" s="718"/>
      <c r="GD4" s="718"/>
      <c r="GE4" s="718"/>
      <c r="GF4" s="718"/>
      <c r="GG4" s="718"/>
      <c r="GH4" s="718"/>
      <c r="GI4" s="718"/>
      <c r="GJ4" s="718"/>
      <c r="GK4" s="718"/>
      <c r="GL4" s="718"/>
      <c r="GM4" s="718"/>
      <c r="GN4" s="718"/>
      <c r="GO4" s="718"/>
      <c r="GP4" s="718"/>
      <c r="GQ4" s="718"/>
      <c r="GR4" s="718"/>
      <c r="GS4" s="718"/>
      <c r="GT4" s="718"/>
      <c r="GU4" s="718"/>
      <c r="GV4" s="718"/>
      <c r="GW4" s="718"/>
      <c r="GX4" s="718"/>
      <c r="GY4" s="718"/>
      <c r="GZ4" s="718"/>
      <c r="HA4" s="718"/>
      <c r="HB4" s="718"/>
      <c r="HC4" s="718"/>
      <c r="HD4" s="718"/>
      <c r="HE4" s="718"/>
      <c r="HF4" s="718"/>
      <c r="HG4" s="718"/>
      <c r="HH4" s="718"/>
      <c r="HI4" s="718"/>
      <c r="HJ4" s="718"/>
      <c r="HK4" s="718"/>
      <c r="HL4" s="718"/>
      <c r="HM4" s="718"/>
      <c r="HN4" s="718"/>
      <c r="HO4" s="718"/>
      <c r="HP4" s="718"/>
      <c r="HQ4" s="718"/>
      <c r="HR4" s="718"/>
      <c r="HS4" s="718"/>
      <c r="HT4" s="718"/>
      <c r="HU4" s="718"/>
      <c r="HV4" s="718"/>
      <c r="HW4" s="718"/>
      <c r="HX4" s="718"/>
      <c r="HY4" s="718"/>
      <c r="HZ4" s="718"/>
      <c r="IA4" s="718"/>
      <c r="IB4" s="718"/>
      <c r="IC4" s="718"/>
      <c r="ID4" s="718"/>
      <c r="IE4" s="718"/>
      <c r="IF4" s="718"/>
      <c r="IG4" s="718"/>
    </row>
    <row r="5" spans="1:241"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88" t="str">
        <f>Income!CR5</f>
        <v>F1QE</v>
      </c>
      <c r="CS5" s="88" t="str">
        <f>Income!CS5</f>
        <v>F2QE</v>
      </c>
      <c r="CT5" s="88" t="str">
        <f>Income!CT5</f>
        <v>F3QE</v>
      </c>
      <c r="CU5" s="88" t="str">
        <f>Income!CU5</f>
        <v>F4QE</v>
      </c>
      <c r="CV5" s="88" t="str">
        <f>Income!CV5</f>
        <v>F2021E</v>
      </c>
      <c r="CW5" s="718"/>
      <c r="CX5" s="718"/>
      <c r="CY5" s="718"/>
      <c r="CZ5" s="718"/>
      <c r="DA5" s="718"/>
      <c r="DB5" s="718"/>
      <c r="DC5" s="718"/>
      <c r="DD5" s="718"/>
      <c r="DE5" s="718"/>
      <c r="DF5" s="718"/>
      <c r="DG5" s="718"/>
      <c r="DH5" s="718"/>
      <c r="DI5" s="718"/>
      <c r="DJ5" s="718"/>
      <c r="DK5" s="718"/>
      <c r="DL5" s="718"/>
      <c r="DM5" s="718"/>
      <c r="DN5" s="718"/>
      <c r="DO5" s="718"/>
      <c r="DP5" s="718"/>
      <c r="DQ5" s="718"/>
      <c r="DR5" s="718"/>
      <c r="DS5" s="718"/>
      <c r="DT5" s="718"/>
      <c r="DU5" s="718"/>
      <c r="DV5" s="718"/>
      <c r="DW5" s="718"/>
      <c r="DX5" s="718"/>
      <c r="DY5" s="718"/>
      <c r="DZ5" s="718"/>
      <c r="EA5" s="718"/>
      <c r="EB5" s="718"/>
      <c r="EC5" s="718"/>
      <c r="ED5" s="718"/>
      <c r="EE5" s="718"/>
      <c r="EF5" s="718"/>
      <c r="EG5" s="718"/>
      <c r="EH5" s="718"/>
      <c r="EI5" s="718"/>
      <c r="EJ5" s="718"/>
      <c r="EK5" s="718"/>
      <c r="EL5" s="718"/>
      <c r="EM5" s="718"/>
      <c r="EN5" s="718"/>
      <c r="EO5" s="718"/>
      <c r="EP5" s="718"/>
      <c r="EQ5" s="718"/>
      <c r="ER5" s="718"/>
      <c r="ES5" s="718"/>
      <c r="ET5" s="718"/>
      <c r="EU5" s="718"/>
      <c r="EV5" s="718"/>
      <c r="EW5" s="718"/>
      <c r="EX5" s="718"/>
      <c r="EY5" s="718"/>
      <c r="EZ5" s="718"/>
      <c r="FA5" s="718"/>
      <c r="FB5" s="718"/>
      <c r="FC5" s="718"/>
      <c r="FD5" s="718"/>
      <c r="FE5" s="718"/>
      <c r="FF5" s="718"/>
      <c r="FG5" s="718"/>
      <c r="FH5" s="718"/>
      <c r="FI5" s="718"/>
      <c r="FJ5" s="718"/>
      <c r="FK5" s="718"/>
      <c r="FL5" s="718"/>
      <c r="FM5" s="718"/>
      <c r="FN5" s="718"/>
      <c r="FO5" s="718"/>
      <c r="FP5" s="718"/>
      <c r="FQ5" s="718"/>
      <c r="FR5" s="718"/>
      <c r="FS5" s="718"/>
      <c r="FT5" s="718"/>
      <c r="FU5" s="718"/>
      <c r="FV5" s="718"/>
      <c r="FW5" s="718"/>
      <c r="FX5" s="718"/>
      <c r="FY5" s="718"/>
      <c r="FZ5" s="718"/>
      <c r="GA5" s="718"/>
      <c r="GB5" s="718"/>
      <c r="GC5" s="718"/>
      <c r="GD5" s="718"/>
      <c r="GE5" s="718"/>
      <c r="GF5" s="718"/>
      <c r="GG5" s="718"/>
      <c r="GH5" s="718"/>
      <c r="GI5" s="718"/>
      <c r="GJ5" s="718"/>
      <c r="GK5" s="718"/>
      <c r="GL5" s="718"/>
      <c r="GM5" s="718"/>
      <c r="GN5" s="718"/>
      <c r="GO5" s="718"/>
      <c r="GP5" s="718"/>
      <c r="GQ5" s="718"/>
      <c r="GR5" s="718"/>
      <c r="GS5" s="718"/>
      <c r="GT5" s="718"/>
      <c r="GU5" s="718"/>
      <c r="GV5" s="718"/>
      <c r="GW5" s="718"/>
      <c r="GX5" s="718"/>
      <c r="GY5" s="718"/>
      <c r="GZ5" s="718"/>
      <c r="HA5" s="718"/>
      <c r="HB5" s="718"/>
      <c r="HC5" s="718"/>
      <c r="HD5" s="718"/>
      <c r="HE5" s="718"/>
      <c r="HF5" s="718"/>
      <c r="HG5" s="718"/>
      <c r="HH5" s="718"/>
      <c r="HI5" s="718"/>
      <c r="HJ5" s="718"/>
      <c r="HK5" s="718"/>
      <c r="HL5" s="718"/>
      <c r="HM5" s="718"/>
      <c r="HN5" s="718"/>
      <c r="HO5" s="718"/>
      <c r="HP5" s="718"/>
      <c r="HQ5" s="718"/>
      <c r="HR5" s="718"/>
      <c r="HS5" s="718"/>
      <c r="HT5" s="718"/>
      <c r="HU5" s="718"/>
      <c r="HV5" s="718"/>
      <c r="HW5" s="718"/>
      <c r="HX5" s="718"/>
      <c r="HY5" s="718"/>
      <c r="HZ5" s="718"/>
      <c r="IA5" s="718"/>
      <c r="IB5" s="718"/>
      <c r="IC5" s="718"/>
      <c r="ID5" s="718"/>
      <c r="IE5" s="718"/>
      <c r="IF5" s="718"/>
      <c r="IG5" s="718"/>
    </row>
    <row r="6" spans="1:241" s="113" customFormat="1" ht="12" customHeight="1" x14ac:dyDescent="0.25">
      <c r="A6" s="2"/>
      <c r="B6" s="2"/>
      <c r="C6" s="2"/>
      <c r="D6" s="2"/>
      <c r="E6" s="112" t="str">
        <f>Income!E6</f>
        <v>Calendar quarter</v>
      </c>
      <c r="F6" s="88"/>
      <c r="G6" s="88"/>
      <c r="H6" s="88"/>
      <c r="I6" s="88"/>
      <c r="J6" s="88"/>
      <c r="K6" s="88"/>
      <c r="L6" s="88"/>
      <c r="M6" s="88"/>
      <c r="N6" s="88"/>
      <c r="O6" s="88"/>
      <c r="P6" s="88"/>
      <c r="Q6" s="88"/>
      <c r="R6" s="88"/>
      <c r="S6" s="88"/>
      <c r="T6" s="88"/>
      <c r="U6" s="88"/>
      <c r="V6" s="88"/>
      <c r="W6" s="88"/>
      <c r="X6" s="88"/>
      <c r="Y6" s="88"/>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88" t="str">
        <f>Income!CR6</f>
        <v>June '20</v>
      </c>
      <c r="CS6" s="88" t="str">
        <f>Income!CS6</f>
        <v>Sept. '20</v>
      </c>
      <c r="CT6" s="88" t="str">
        <f>Income!CT6</f>
        <v>Dec. '20</v>
      </c>
      <c r="CU6" s="88" t="str">
        <f>Income!CU6</f>
        <v>Mar. '21</v>
      </c>
      <c r="CV6" s="88"/>
      <c r="CW6" s="718"/>
      <c r="CX6" s="718"/>
      <c r="CY6" s="718"/>
      <c r="CZ6" s="718"/>
      <c r="DA6" s="718"/>
      <c r="DB6" s="718"/>
      <c r="DC6" s="718"/>
      <c r="DD6" s="718"/>
      <c r="DE6" s="718"/>
      <c r="DF6" s="718"/>
      <c r="DG6" s="718"/>
      <c r="DH6" s="718"/>
      <c r="DI6" s="718"/>
      <c r="DJ6" s="718"/>
      <c r="DK6" s="718"/>
      <c r="DL6" s="718"/>
      <c r="DM6" s="718"/>
      <c r="DN6" s="718"/>
      <c r="DO6" s="718"/>
      <c r="DP6" s="718"/>
      <c r="DQ6" s="718"/>
      <c r="DR6" s="718"/>
      <c r="DS6" s="718"/>
      <c r="DT6" s="718"/>
      <c r="DU6" s="718"/>
      <c r="DV6" s="718"/>
      <c r="DW6" s="718"/>
      <c r="DX6" s="718"/>
      <c r="DY6" s="718"/>
      <c r="DZ6" s="718"/>
      <c r="EA6" s="718"/>
      <c r="EB6" s="718"/>
      <c r="EC6" s="718"/>
      <c r="ED6" s="718"/>
      <c r="EE6" s="718"/>
      <c r="EF6" s="718"/>
      <c r="EG6" s="718"/>
      <c r="EH6" s="718"/>
      <c r="EI6" s="718"/>
      <c r="EJ6" s="718"/>
      <c r="EK6" s="718"/>
      <c r="EL6" s="718"/>
      <c r="EM6" s="718"/>
      <c r="EN6" s="718"/>
      <c r="EO6" s="718"/>
      <c r="EP6" s="718"/>
      <c r="EQ6" s="718"/>
      <c r="ER6" s="718"/>
      <c r="ES6" s="718"/>
      <c r="ET6" s="718"/>
      <c r="EU6" s="718"/>
      <c r="EV6" s="718"/>
      <c r="EW6" s="718"/>
      <c r="EX6" s="718"/>
      <c r="EY6" s="718"/>
      <c r="EZ6" s="718"/>
      <c r="FA6" s="718"/>
      <c r="FB6" s="718"/>
      <c r="FC6" s="718"/>
      <c r="FD6" s="718"/>
      <c r="FE6" s="718"/>
      <c r="FF6" s="718"/>
      <c r="FG6" s="718"/>
      <c r="FH6" s="718"/>
      <c r="FI6" s="718"/>
      <c r="FJ6" s="718"/>
      <c r="FK6" s="718"/>
      <c r="FL6" s="718"/>
      <c r="FM6" s="718"/>
      <c r="FN6" s="718"/>
      <c r="FO6" s="718"/>
      <c r="FP6" s="718"/>
      <c r="FQ6" s="718"/>
      <c r="FR6" s="718"/>
      <c r="FS6" s="718"/>
      <c r="FT6" s="718"/>
      <c r="FU6" s="718"/>
      <c r="FV6" s="718"/>
      <c r="FW6" s="718"/>
      <c r="FX6" s="718"/>
      <c r="FY6" s="718"/>
      <c r="FZ6" s="718"/>
      <c r="GA6" s="718"/>
      <c r="GB6" s="718"/>
      <c r="GC6" s="718"/>
      <c r="GD6" s="718"/>
      <c r="GE6" s="718"/>
      <c r="GF6" s="718"/>
      <c r="GG6" s="718"/>
      <c r="GH6" s="718"/>
      <c r="GI6" s="718"/>
      <c r="GJ6" s="718"/>
      <c r="GK6" s="718"/>
      <c r="GL6" s="718"/>
      <c r="GM6" s="718"/>
      <c r="GN6" s="718"/>
      <c r="GO6" s="718"/>
      <c r="GP6" s="718"/>
      <c r="GQ6" s="718"/>
      <c r="GR6" s="718"/>
      <c r="GS6" s="718"/>
      <c r="GT6" s="718"/>
      <c r="GU6" s="718"/>
      <c r="GV6" s="718"/>
      <c r="GW6" s="718"/>
      <c r="GX6" s="718"/>
      <c r="GY6" s="718"/>
      <c r="GZ6" s="718"/>
      <c r="HA6" s="718"/>
      <c r="HB6" s="718"/>
      <c r="HC6" s="718"/>
      <c r="HD6" s="718"/>
      <c r="HE6" s="718"/>
      <c r="HF6" s="718"/>
      <c r="HG6" s="718"/>
      <c r="HH6" s="718"/>
      <c r="HI6" s="718"/>
      <c r="HJ6" s="718"/>
      <c r="HK6" s="718"/>
      <c r="HL6" s="718"/>
      <c r="HM6" s="718"/>
      <c r="HN6" s="718"/>
      <c r="HO6" s="718"/>
      <c r="HP6" s="718"/>
      <c r="HQ6" s="718"/>
      <c r="HR6" s="718"/>
      <c r="HS6" s="718"/>
      <c r="HT6" s="718"/>
      <c r="HU6" s="718"/>
      <c r="HV6" s="718"/>
      <c r="HW6" s="718"/>
      <c r="HX6" s="718"/>
      <c r="HY6" s="718"/>
      <c r="HZ6" s="718"/>
      <c r="IA6" s="718"/>
      <c r="IB6" s="718"/>
      <c r="IC6" s="718"/>
      <c r="ID6" s="718"/>
      <c r="IE6" s="718"/>
      <c r="IF6" s="718"/>
      <c r="IG6" s="718"/>
    </row>
    <row r="7" spans="1:241" s="113" customFormat="1" ht="3.75" customHeight="1" x14ac:dyDescent="0.25">
      <c r="A7" s="2"/>
      <c r="B7" s="2"/>
      <c r="C7" s="2"/>
      <c r="D7" s="2"/>
      <c r="E7" s="40"/>
      <c r="F7" s="106"/>
      <c r="G7" s="106"/>
      <c r="H7" s="106"/>
      <c r="I7" s="106"/>
      <c r="J7" s="106"/>
      <c r="K7" s="41"/>
      <c r="L7" s="41"/>
      <c r="M7" s="41"/>
      <c r="N7" s="41"/>
      <c r="O7" s="106"/>
      <c r="P7" s="41"/>
      <c r="Q7" s="41"/>
      <c r="R7" s="41"/>
      <c r="S7" s="41"/>
      <c r="T7" s="106"/>
      <c r="U7" s="41"/>
      <c r="V7" s="41"/>
      <c r="W7" s="41"/>
      <c r="X7" s="41"/>
      <c r="Y7" s="106"/>
      <c r="Z7" s="41"/>
      <c r="AA7" s="41"/>
      <c r="AB7" s="41"/>
      <c r="AC7" s="41"/>
      <c r="AD7" s="106"/>
      <c r="AE7" s="41"/>
      <c r="AF7" s="41"/>
      <c r="AG7" s="41"/>
      <c r="AH7" s="41"/>
      <c r="AI7" s="106"/>
      <c r="AJ7" s="41"/>
      <c r="AK7" s="41"/>
      <c r="AL7" s="41"/>
      <c r="AM7" s="41"/>
      <c r="AN7" s="106"/>
      <c r="AO7" s="41"/>
      <c r="AP7" s="41"/>
      <c r="AQ7" s="41"/>
      <c r="AR7" s="41"/>
      <c r="AS7" s="106"/>
      <c r="AT7" s="41"/>
      <c r="AU7" s="41"/>
      <c r="AV7" s="41"/>
      <c r="AW7" s="41"/>
      <c r="AX7" s="106"/>
      <c r="AY7" s="41"/>
      <c r="AZ7" s="41"/>
      <c r="BA7" s="41"/>
      <c r="BB7" s="41"/>
      <c r="BC7" s="106"/>
      <c r="BD7" s="41"/>
      <c r="BE7" s="41"/>
      <c r="BF7" s="41"/>
      <c r="BG7" s="41"/>
      <c r="BH7" s="106"/>
      <c r="BI7" s="41"/>
      <c r="BJ7" s="41"/>
      <c r="BK7" s="41"/>
      <c r="BL7" s="41"/>
      <c r="BM7" s="106"/>
      <c r="BN7" s="41"/>
      <c r="BO7" s="41"/>
      <c r="BP7" s="41"/>
      <c r="BQ7" s="41"/>
      <c r="BR7" s="106"/>
      <c r="BS7" s="41"/>
      <c r="BT7" s="41"/>
      <c r="BU7" s="41"/>
      <c r="BV7" s="41"/>
      <c r="BW7" s="106"/>
      <c r="BX7" s="41"/>
      <c r="BY7" s="41"/>
      <c r="BZ7" s="41"/>
      <c r="CA7" s="41"/>
      <c r="CB7" s="106"/>
      <c r="CC7" s="19"/>
      <c r="CD7" s="19"/>
      <c r="CE7" s="19"/>
      <c r="CF7" s="19"/>
      <c r="CG7" s="88"/>
      <c r="CH7" s="19"/>
      <c r="CI7" s="19"/>
      <c r="CJ7" s="19"/>
      <c r="CK7" s="19"/>
      <c r="CL7" s="88"/>
      <c r="CM7" s="19"/>
      <c r="CN7" s="19"/>
      <c r="CO7" s="19"/>
      <c r="CP7" s="19"/>
      <c r="CQ7" s="88"/>
      <c r="CR7" s="19"/>
      <c r="CS7" s="19"/>
      <c r="CT7" s="19"/>
      <c r="CU7" s="19"/>
      <c r="CV7" s="88"/>
      <c r="CW7" s="718"/>
      <c r="CX7" s="718"/>
      <c r="CY7" s="718"/>
      <c r="CZ7" s="718"/>
      <c r="DA7" s="718"/>
      <c r="DB7" s="718"/>
      <c r="DC7" s="718"/>
      <c r="DD7" s="718"/>
      <c r="DE7" s="718"/>
      <c r="DF7" s="718"/>
      <c r="DG7" s="718"/>
      <c r="DH7" s="718"/>
      <c r="DI7" s="718"/>
      <c r="DJ7" s="718"/>
      <c r="DK7" s="718"/>
      <c r="DL7" s="718"/>
      <c r="DM7" s="718"/>
      <c r="DN7" s="718"/>
      <c r="DO7" s="718"/>
      <c r="DP7" s="718"/>
      <c r="DQ7" s="718"/>
      <c r="DR7" s="718"/>
      <c r="DS7" s="718"/>
      <c r="DT7" s="718"/>
      <c r="DU7" s="718"/>
      <c r="DV7" s="718"/>
      <c r="DW7" s="718"/>
      <c r="DX7" s="718"/>
      <c r="DY7" s="718"/>
      <c r="DZ7" s="718"/>
      <c r="EA7" s="718"/>
      <c r="EB7" s="718"/>
      <c r="EC7" s="718"/>
      <c r="ED7" s="718"/>
      <c r="EE7" s="718"/>
      <c r="EF7" s="718"/>
      <c r="EG7" s="718"/>
      <c r="EH7" s="718"/>
      <c r="EI7" s="718"/>
      <c r="EJ7" s="718"/>
      <c r="EK7" s="718"/>
      <c r="EL7" s="718"/>
      <c r="EM7" s="718"/>
      <c r="EN7" s="718"/>
      <c r="EO7" s="718"/>
      <c r="EP7" s="718"/>
      <c r="EQ7" s="718"/>
      <c r="ER7" s="718"/>
      <c r="ES7" s="718"/>
      <c r="ET7" s="718"/>
      <c r="EU7" s="718"/>
      <c r="EV7" s="718"/>
      <c r="EW7" s="718"/>
      <c r="EX7" s="718"/>
      <c r="EY7" s="718"/>
      <c r="EZ7" s="718"/>
      <c r="FA7" s="718"/>
      <c r="FB7" s="718"/>
      <c r="FC7" s="718"/>
      <c r="FD7" s="718"/>
      <c r="FE7" s="718"/>
      <c r="FF7" s="718"/>
      <c r="FG7" s="718"/>
      <c r="FH7" s="718"/>
      <c r="FI7" s="718"/>
      <c r="FJ7" s="718"/>
      <c r="FK7" s="718"/>
      <c r="FL7" s="718"/>
      <c r="FM7" s="718"/>
      <c r="FN7" s="718"/>
      <c r="FO7" s="718"/>
      <c r="FP7" s="718"/>
      <c r="FQ7" s="718"/>
      <c r="FR7" s="718"/>
      <c r="FS7" s="718"/>
      <c r="FT7" s="718"/>
      <c r="FU7" s="718"/>
      <c r="FV7" s="718"/>
      <c r="FW7" s="718"/>
      <c r="FX7" s="718"/>
      <c r="FY7" s="718"/>
      <c r="FZ7" s="718"/>
      <c r="GA7" s="718"/>
      <c r="GB7" s="718"/>
      <c r="GC7" s="718"/>
      <c r="GD7" s="718"/>
      <c r="GE7" s="718"/>
      <c r="GF7" s="718"/>
      <c r="GG7" s="718"/>
      <c r="GH7" s="718"/>
      <c r="GI7" s="718"/>
      <c r="GJ7" s="718"/>
      <c r="GK7" s="718"/>
      <c r="GL7" s="718"/>
      <c r="GM7" s="718"/>
      <c r="GN7" s="718"/>
      <c r="GO7" s="718"/>
      <c r="GP7" s="718"/>
      <c r="GQ7" s="718"/>
      <c r="GR7" s="718"/>
      <c r="GS7" s="718"/>
      <c r="GT7" s="718"/>
      <c r="GU7" s="718"/>
      <c r="GV7" s="718"/>
      <c r="GW7" s="718"/>
      <c r="GX7" s="718"/>
      <c r="GY7" s="718"/>
      <c r="GZ7" s="718"/>
      <c r="HA7" s="718"/>
      <c r="HB7" s="718"/>
      <c r="HC7" s="718"/>
      <c r="HD7" s="718"/>
      <c r="HE7" s="718"/>
      <c r="HF7" s="718"/>
      <c r="HG7" s="718"/>
      <c r="HH7" s="718"/>
      <c r="HI7" s="718"/>
      <c r="HJ7" s="718"/>
      <c r="HK7" s="718"/>
      <c r="HL7" s="718"/>
      <c r="HM7" s="718"/>
      <c r="HN7" s="718"/>
      <c r="HO7" s="718"/>
      <c r="HP7" s="718"/>
      <c r="HQ7" s="718"/>
      <c r="HR7" s="718"/>
      <c r="HS7" s="718"/>
      <c r="HT7" s="718"/>
      <c r="HU7" s="718"/>
      <c r="HV7" s="718"/>
      <c r="HW7" s="718"/>
      <c r="HX7" s="718"/>
      <c r="HY7" s="718"/>
      <c r="HZ7" s="718"/>
      <c r="IA7" s="718"/>
      <c r="IB7" s="718"/>
      <c r="IC7" s="718"/>
      <c r="ID7" s="718"/>
      <c r="IE7" s="718"/>
      <c r="IF7" s="718"/>
      <c r="IG7" s="718"/>
    </row>
    <row r="8" spans="1:241" hidden="1" x14ac:dyDescent="0.25">
      <c r="E8" s="174"/>
      <c r="F8" s="557"/>
      <c r="G8" s="557"/>
      <c r="H8" s="557"/>
      <c r="I8" s="557"/>
      <c r="J8" s="557"/>
      <c r="K8" s="174"/>
      <c r="L8" s="174"/>
      <c r="M8" s="174"/>
      <c r="N8" s="174"/>
      <c r="O8" s="557"/>
      <c r="P8" s="174"/>
      <c r="Q8" s="174"/>
      <c r="R8" s="477"/>
      <c r="S8" s="174"/>
      <c r="T8" s="557"/>
      <c r="U8" s="174"/>
      <c r="V8" s="174"/>
      <c r="W8" s="174"/>
      <c r="X8" s="174"/>
      <c r="Y8" s="557"/>
      <c r="Z8" s="174"/>
      <c r="AA8" s="174"/>
      <c r="AB8" s="174"/>
      <c r="AC8" s="174"/>
      <c r="AD8" s="557"/>
      <c r="AE8" s="174"/>
      <c r="AF8" s="174"/>
      <c r="AG8" s="174"/>
      <c r="AH8" s="174"/>
      <c r="AI8" s="557"/>
      <c r="AJ8" s="174"/>
      <c r="AK8" s="174"/>
      <c r="AL8" s="174"/>
      <c r="AM8" s="174"/>
      <c r="AN8" s="557"/>
      <c r="AO8" s="174"/>
      <c r="AP8" s="174"/>
      <c r="AQ8" s="174"/>
      <c r="AR8" s="174"/>
      <c r="AS8" s="557"/>
      <c r="AT8" s="174"/>
      <c r="AU8" s="174"/>
      <c r="AV8" s="174"/>
      <c r="AW8" s="174"/>
      <c r="AX8" s="557"/>
      <c r="AY8" s="174"/>
      <c r="AZ8" s="174"/>
      <c r="BA8" s="174"/>
      <c r="BB8" s="174"/>
      <c r="BC8" s="557"/>
      <c r="BD8" s="174"/>
      <c r="BE8" s="174"/>
      <c r="BF8" s="174"/>
      <c r="BG8" s="174"/>
      <c r="BH8" s="557"/>
      <c r="BI8" s="174"/>
      <c r="BJ8" s="174"/>
      <c r="BK8" s="174"/>
      <c r="BL8" s="174"/>
      <c r="BM8" s="483"/>
      <c r="BN8" s="174"/>
      <c r="BO8" s="174"/>
      <c r="BP8" s="174"/>
      <c r="BQ8" s="174"/>
      <c r="BR8" s="483"/>
      <c r="BS8" s="174"/>
      <c r="BT8" s="174"/>
      <c r="BU8" s="174"/>
      <c r="BV8" s="174"/>
      <c r="BW8" s="483"/>
      <c r="BX8" s="174"/>
      <c r="BY8" s="174"/>
      <c r="BZ8" s="174"/>
      <c r="CA8" s="174"/>
      <c r="CB8" s="483"/>
      <c r="CC8" s="174"/>
      <c r="CD8" s="174"/>
      <c r="CE8" s="174"/>
      <c r="CF8" s="174"/>
      <c r="CG8" s="483"/>
      <c r="CH8" s="174"/>
      <c r="CI8" s="174"/>
      <c r="CJ8" s="174"/>
      <c r="CK8" s="174"/>
      <c r="CL8" s="483"/>
      <c r="CM8" s="174"/>
      <c r="CN8" s="174"/>
      <c r="CO8" s="174"/>
      <c r="CP8" s="174"/>
      <c r="CQ8" s="483"/>
      <c r="CR8" s="174"/>
      <c r="CS8" s="174"/>
      <c r="CT8" s="174"/>
      <c r="CU8" s="174"/>
      <c r="CV8" s="483"/>
    </row>
    <row r="9" spans="1:241" hidden="1" x14ac:dyDescent="0.25">
      <c r="E9" s="174" t="s">
        <v>616</v>
      </c>
      <c r="F9" s="557"/>
      <c r="G9" s="557"/>
      <c r="H9" s="557"/>
      <c r="I9" s="557"/>
      <c r="J9" s="557"/>
      <c r="K9" s="174"/>
      <c r="L9" s="174"/>
      <c r="M9" s="174"/>
      <c r="N9" s="174"/>
      <c r="O9" s="557"/>
      <c r="P9" s="174"/>
      <c r="Q9" s="174"/>
      <c r="R9" s="477"/>
      <c r="S9" s="174"/>
      <c r="T9" s="557"/>
      <c r="U9" s="174"/>
      <c r="V9" s="174"/>
      <c r="W9" s="174"/>
      <c r="X9" s="174"/>
      <c r="Y9" s="557"/>
      <c r="Z9" s="174"/>
      <c r="AA9" s="174"/>
      <c r="AB9" s="174"/>
      <c r="AC9" s="174"/>
      <c r="AD9" s="557"/>
      <c r="AE9" s="174"/>
      <c r="AF9" s="174"/>
      <c r="AG9" s="174"/>
      <c r="AH9" s="174"/>
      <c r="AI9" s="557"/>
      <c r="AJ9" s="174"/>
      <c r="AK9" s="174"/>
      <c r="AL9" s="174"/>
      <c r="AM9" s="174"/>
      <c r="AN9" s="557"/>
      <c r="AO9" s="174"/>
      <c r="AP9" s="174"/>
      <c r="AQ9" s="174"/>
      <c r="AR9" s="174"/>
      <c r="AS9" s="557"/>
      <c r="AT9" s="174"/>
      <c r="AU9" s="174"/>
      <c r="AV9" s="174"/>
      <c r="AW9" s="174"/>
      <c r="AX9" s="557"/>
      <c r="AY9" s="174"/>
      <c r="AZ9" s="174"/>
      <c r="BA9" s="174"/>
      <c r="BB9" s="174"/>
      <c r="BC9" s="557"/>
      <c r="BD9" s="174"/>
      <c r="BE9" s="174"/>
      <c r="BF9" s="174"/>
      <c r="BG9" s="174"/>
      <c r="BH9" s="557"/>
      <c r="BI9" s="174"/>
      <c r="BJ9" s="174"/>
      <c r="BK9" s="174"/>
      <c r="BL9" s="174"/>
      <c r="BM9" s="483"/>
      <c r="BN9" s="487">
        <v>20</v>
      </c>
      <c r="BO9" s="487">
        <v>25</v>
      </c>
      <c r="BP9" s="487">
        <v>50</v>
      </c>
      <c r="BQ9" s="487">
        <v>32</v>
      </c>
      <c r="BR9" s="188">
        <f>SUM(BN9:BQ9)</f>
        <v>127</v>
      </c>
      <c r="BS9" s="487">
        <v>43</v>
      </c>
      <c r="BT9" s="487">
        <v>54</v>
      </c>
      <c r="BU9" s="487">
        <v>86</v>
      </c>
      <c r="BV9" s="487">
        <v>96</v>
      </c>
      <c r="BW9" s="188">
        <f>SUM(BS9:BV9)</f>
        <v>279</v>
      </c>
      <c r="BX9" s="487">
        <v>102</v>
      </c>
      <c r="BY9" s="487">
        <v>105</v>
      </c>
      <c r="BZ9" s="487">
        <v>5</v>
      </c>
      <c r="CA9" s="487">
        <v>5</v>
      </c>
      <c r="CB9" s="188">
        <f>SUM(BX9:CA9)</f>
        <v>217</v>
      </c>
      <c r="CC9" s="547">
        <f>(Connectivity!CC29*Connectivity!CC18/1000000)-Connectivity!CC30</f>
        <v>2.6425982471973697E-2</v>
      </c>
      <c r="CD9" s="547">
        <f>(Connectivity!CD29*Connectivity!CD18/1000000)-Connectivity!CD30</f>
        <v>0</v>
      </c>
      <c r="CE9" s="547">
        <f>(Connectivity!CE29*Connectivity!CE18/1000000)-Connectivity!CE30</f>
        <v>0</v>
      </c>
      <c r="CF9" s="547">
        <f>(Connectivity!CF29*Connectivity!CF18/1000000)-Connectivity!CF30</f>
        <v>0</v>
      </c>
      <c r="CG9" s="188">
        <f>SUM(CC9:CF9)</f>
        <v>2.6425982471973697E-2</v>
      </c>
      <c r="CH9" s="547">
        <f>(Connectivity!CH29*Connectivity!CH18/1000000)-Connectivity!CH30</f>
        <v>0</v>
      </c>
      <c r="CI9" s="547">
        <f>(Connectivity!CI29*Connectivity!CI18/1000000)-Connectivity!CI30</f>
        <v>0</v>
      </c>
      <c r="CJ9" s="547">
        <f>(Connectivity!CJ29*Connectivity!CJ18/1000000)-Connectivity!CJ30</f>
        <v>0</v>
      </c>
      <c r="CK9" s="547">
        <f>(Connectivity!CK29*Connectivity!CK18/1000000)-Connectivity!CK30</f>
        <v>0</v>
      </c>
      <c r="CL9" s="188">
        <f>SUM(CH9:CK9)</f>
        <v>0</v>
      </c>
      <c r="CM9" s="547">
        <f>(Connectivity!CM29*Connectivity!CM18/1000000)-Connectivity!CM30</f>
        <v>0</v>
      </c>
      <c r="CN9" s="547">
        <f>(Connectivity!CN29*Connectivity!CN18/1000000)-Connectivity!CN30</f>
        <v>0</v>
      </c>
      <c r="CO9" s="547">
        <f>(Connectivity!CO29*Connectivity!CO18/1000000)-Connectivity!CO30</f>
        <v>0</v>
      </c>
      <c r="CP9" s="547">
        <f>(Connectivity!CP29*Connectivity!CP18/1000000)-Connectivity!CP30</f>
        <v>0</v>
      </c>
      <c r="CQ9" s="188">
        <f>SUM(CM9:CP9)</f>
        <v>0</v>
      </c>
      <c r="CR9" s="547">
        <f>(Connectivity!CR29*Connectivity!CR18/1000000)-Connectivity!CR30</f>
        <v>0</v>
      </c>
      <c r="CS9" s="547">
        <f>(Connectivity!CS29*Connectivity!CS18/1000000)-Connectivity!CS30</f>
        <v>0</v>
      </c>
      <c r="CT9" s="547">
        <f>(Connectivity!CT29*Connectivity!CT18/1000000)-Connectivity!CT30</f>
        <v>0</v>
      </c>
      <c r="CU9" s="547">
        <f>(Connectivity!CU29*Connectivity!CU18/1000000)-Connectivity!CU30</f>
        <v>0</v>
      </c>
      <c r="CV9" s="188">
        <f>SUM(CR9:CU9)</f>
        <v>0</v>
      </c>
    </row>
    <row r="10" spans="1:241" hidden="1" x14ac:dyDescent="0.25">
      <c r="E10" s="174"/>
      <c r="F10" s="557"/>
      <c r="G10" s="557"/>
      <c r="H10" s="557"/>
      <c r="I10" s="557"/>
      <c r="J10" s="557"/>
      <c r="K10" s="174"/>
      <c r="L10" s="174"/>
      <c r="M10" s="174"/>
      <c r="N10" s="174"/>
      <c r="O10" s="557"/>
      <c r="P10" s="174"/>
      <c r="Q10" s="174"/>
      <c r="R10" s="477"/>
      <c r="S10" s="174"/>
      <c r="T10" s="557"/>
      <c r="U10" s="174"/>
      <c r="V10" s="174"/>
      <c r="W10" s="174"/>
      <c r="X10" s="174"/>
      <c r="Y10" s="557"/>
      <c r="Z10" s="174"/>
      <c r="AA10" s="174"/>
      <c r="AB10" s="174"/>
      <c r="AC10" s="174"/>
      <c r="AD10" s="557"/>
      <c r="AE10" s="174"/>
      <c r="AF10" s="174"/>
      <c r="AG10" s="174"/>
      <c r="AH10" s="174"/>
      <c r="AI10" s="557"/>
      <c r="AJ10" s="174"/>
      <c r="AK10" s="174"/>
      <c r="AL10" s="174"/>
      <c r="AM10" s="174"/>
      <c r="AN10" s="557"/>
      <c r="AO10" s="174"/>
      <c r="AP10" s="174"/>
      <c r="AQ10" s="174"/>
      <c r="AR10" s="174"/>
      <c r="AS10" s="557"/>
      <c r="AT10" s="174"/>
      <c r="AU10" s="174"/>
      <c r="AV10" s="174"/>
      <c r="AW10" s="174"/>
      <c r="AX10" s="557"/>
      <c r="AY10" s="174"/>
      <c r="AZ10" s="174"/>
      <c r="BA10" s="174"/>
      <c r="BB10" s="174"/>
      <c r="BC10" s="557"/>
      <c r="BD10" s="174"/>
      <c r="BE10" s="174"/>
      <c r="BF10" s="174"/>
      <c r="BG10" s="174"/>
      <c r="BH10" s="557"/>
      <c r="BI10" s="174"/>
      <c r="BJ10" s="174"/>
      <c r="BK10" s="174"/>
      <c r="BL10" s="174"/>
      <c r="BM10" s="483"/>
      <c r="BN10" s="487"/>
      <c r="BO10" s="487"/>
      <c r="BP10" s="487"/>
      <c r="BQ10" s="487"/>
      <c r="BR10" s="188"/>
      <c r="BS10" s="487"/>
      <c r="BT10" s="464"/>
      <c r="BU10" s="547"/>
      <c r="BV10" s="547"/>
      <c r="BW10" s="188"/>
      <c r="BX10" s="547"/>
      <c r="BY10" s="547"/>
      <c r="BZ10" s="547"/>
      <c r="CA10" s="547"/>
      <c r="CB10" s="188"/>
      <c r="CC10" s="547"/>
      <c r="CD10" s="547"/>
      <c r="CE10" s="547"/>
      <c r="CF10" s="547"/>
      <c r="CG10" s="188"/>
      <c r="CH10" s="547"/>
      <c r="CI10" s="547"/>
      <c r="CJ10" s="547"/>
      <c r="CK10" s="547"/>
      <c r="CL10" s="188"/>
      <c r="CM10" s="547"/>
      <c r="CN10" s="547"/>
      <c r="CO10" s="547"/>
      <c r="CP10" s="547"/>
      <c r="CQ10" s="188"/>
      <c r="CR10" s="547"/>
      <c r="CS10" s="547"/>
      <c r="CT10" s="547"/>
      <c r="CU10" s="547"/>
      <c r="CV10" s="188"/>
    </row>
    <row r="11" spans="1:241" ht="13.5" x14ac:dyDescent="0.25">
      <c r="E11" s="54" t="s">
        <v>750</v>
      </c>
      <c r="F11" s="557"/>
      <c r="G11" s="557"/>
      <c r="H11" s="557"/>
      <c r="I11" s="557"/>
      <c r="J11" s="557"/>
      <c r="K11" s="174"/>
      <c r="L11" s="174"/>
      <c r="M11" s="174"/>
      <c r="N11" s="174"/>
      <c r="O11" s="557"/>
      <c r="P11" s="174"/>
      <c r="Q11" s="174"/>
      <c r="R11" s="477"/>
      <c r="S11" s="174"/>
      <c r="T11" s="557"/>
      <c r="U11" s="174"/>
      <c r="V11" s="174"/>
      <c r="W11" s="174"/>
      <c r="X11" s="174"/>
      <c r="Y11" s="557"/>
      <c r="Z11" s="174"/>
      <c r="AA11" s="174"/>
      <c r="AB11" s="174"/>
      <c r="AC11" s="174"/>
      <c r="AD11" s="557"/>
      <c r="AE11" s="174"/>
      <c r="AF11" s="174"/>
      <c r="AG11" s="174"/>
      <c r="AH11" s="174"/>
      <c r="AI11" s="557"/>
      <c r="AJ11" s="174"/>
      <c r="AK11" s="174"/>
      <c r="AL11" s="174"/>
      <c r="AM11" s="174"/>
      <c r="AN11" s="557"/>
      <c r="AO11" s="174"/>
      <c r="AP11" s="174"/>
      <c r="AQ11" s="174"/>
      <c r="AR11" s="174"/>
      <c r="AS11" s="557"/>
      <c r="AT11" s="174"/>
      <c r="AU11" s="174"/>
      <c r="AV11" s="174"/>
      <c r="AW11" s="174"/>
      <c r="AX11" s="557"/>
      <c r="AY11" s="174"/>
      <c r="AZ11" s="174"/>
      <c r="BA11" s="174"/>
      <c r="BB11" s="174"/>
      <c r="BC11" s="557"/>
      <c r="BD11" s="174"/>
      <c r="BE11" s="174"/>
      <c r="BF11" s="174"/>
      <c r="BG11" s="174"/>
      <c r="BH11" s="557"/>
      <c r="BI11" s="174"/>
      <c r="BJ11" s="174"/>
      <c r="BK11" s="174"/>
      <c r="BL11" s="174"/>
      <c r="BM11" s="545"/>
      <c r="BN11" s="417"/>
      <c r="BO11" s="417"/>
      <c r="BP11" s="417"/>
      <c r="BQ11" s="417"/>
      <c r="BR11" s="161"/>
      <c r="BS11" s="417"/>
      <c r="BT11" s="417"/>
      <c r="BU11" s="417"/>
      <c r="BV11" s="417"/>
      <c r="BW11" s="188"/>
      <c r="BX11" s="721">
        <f>BX17-BX14</f>
        <v>166.798</v>
      </c>
      <c r="BY11" s="721">
        <f>BY17-BY14</f>
        <v>167.721</v>
      </c>
      <c r="BZ11" s="721">
        <f>BZ17-BZ14</f>
        <v>165.44400000000002</v>
      </c>
      <c r="CA11" s="721">
        <f>CA17-CA14</f>
        <v>164.73800000000003</v>
      </c>
      <c r="CB11" s="188">
        <f>SUM(BX11:CA11)</f>
        <v>664.70100000000002</v>
      </c>
      <c r="CC11" s="721">
        <f>CC17-CC14</f>
        <v>152.12999999999997</v>
      </c>
      <c r="CD11" s="721">
        <f>CD17-CD14</f>
        <v>157.05000000000001</v>
      </c>
      <c r="CE11" s="721">
        <f>CE17-CE14</f>
        <v>159.815</v>
      </c>
      <c r="CF11" s="721">
        <f>CF17-CF14</f>
        <v>168.02799999999996</v>
      </c>
      <c r="CG11" s="188">
        <f>SUM(CC11:CF11)</f>
        <v>637.02299999999991</v>
      </c>
      <c r="CH11" s="721">
        <f>CH17-CH14</f>
        <v>150.30700000000002</v>
      </c>
      <c r="CI11" s="439">
        <f>CD11*(1+CI12)</f>
        <v>151.39619999999999</v>
      </c>
      <c r="CJ11" s="439"/>
      <c r="CK11" s="439"/>
      <c r="CL11" s="188"/>
      <c r="CM11" s="439"/>
      <c r="CN11" s="439"/>
      <c r="CO11" s="439"/>
      <c r="CP11" s="439"/>
      <c r="CQ11" s="188"/>
      <c r="CR11" s="439"/>
      <c r="CS11" s="439"/>
      <c r="CT11" s="439"/>
      <c r="CU11" s="439"/>
      <c r="CV11" s="188"/>
    </row>
    <row r="12" spans="1:241" ht="13.5" x14ac:dyDescent="0.25">
      <c r="E12" s="91" t="s">
        <v>2</v>
      </c>
      <c r="F12" s="557"/>
      <c r="G12" s="557"/>
      <c r="H12" s="557"/>
      <c r="I12" s="557"/>
      <c r="J12" s="557"/>
      <c r="K12" s="174"/>
      <c r="L12" s="174"/>
      <c r="M12" s="174"/>
      <c r="N12" s="174"/>
      <c r="O12" s="557"/>
      <c r="P12" s="174"/>
      <c r="Q12" s="174"/>
      <c r="R12" s="477"/>
      <c r="S12" s="174"/>
      <c r="T12" s="557"/>
      <c r="U12" s="174"/>
      <c r="V12" s="174"/>
      <c r="W12" s="174"/>
      <c r="X12" s="174"/>
      <c r="Y12" s="557"/>
      <c r="Z12" s="174"/>
      <c r="AA12" s="174"/>
      <c r="AB12" s="174"/>
      <c r="AC12" s="174"/>
      <c r="AD12" s="557"/>
      <c r="AE12" s="174"/>
      <c r="AF12" s="174"/>
      <c r="AG12" s="174"/>
      <c r="AH12" s="174"/>
      <c r="AI12" s="557"/>
      <c r="AJ12" s="174"/>
      <c r="AK12" s="174"/>
      <c r="AL12" s="174"/>
      <c r="AM12" s="174"/>
      <c r="AN12" s="557"/>
      <c r="AO12" s="174"/>
      <c r="AP12" s="174"/>
      <c r="AQ12" s="174"/>
      <c r="AR12" s="174"/>
      <c r="AS12" s="557"/>
      <c r="AT12" s="174"/>
      <c r="AU12" s="174"/>
      <c r="AV12" s="174"/>
      <c r="AW12" s="174"/>
      <c r="AX12" s="557"/>
      <c r="AY12" s="174"/>
      <c r="AZ12" s="174"/>
      <c r="BA12" s="174"/>
      <c r="BB12" s="174"/>
      <c r="BC12" s="557"/>
      <c r="BD12" s="174"/>
      <c r="BE12" s="174"/>
      <c r="BF12" s="174"/>
      <c r="BG12" s="174"/>
      <c r="BH12" s="557"/>
      <c r="BI12" s="174"/>
      <c r="BJ12" s="174"/>
      <c r="BK12" s="174"/>
      <c r="BL12" s="174"/>
      <c r="BM12" s="161"/>
      <c r="BN12" s="517"/>
      <c r="BO12" s="517"/>
      <c r="BP12" s="517"/>
      <c r="BQ12" s="517"/>
      <c r="BR12" s="32"/>
      <c r="BS12" s="183"/>
      <c r="BT12" s="183"/>
      <c r="BU12" s="183"/>
      <c r="BV12" s="183"/>
      <c r="BW12" s="32"/>
      <c r="BX12" s="475" t="s">
        <v>490</v>
      </c>
      <c r="BY12" s="475" t="s">
        <v>490</v>
      </c>
      <c r="BZ12" s="475" t="s">
        <v>490</v>
      </c>
      <c r="CA12" s="475" t="s">
        <v>490</v>
      </c>
      <c r="CB12" s="580" t="s">
        <v>490</v>
      </c>
      <c r="CC12" s="183">
        <f t="shared" ref="CC12" si="0">CC11/BX11-1</f>
        <v>-8.7938704301011028E-2</v>
      </c>
      <c r="CD12" s="183">
        <f>CD11/BY11-1</f>
        <v>-6.3623517627488413E-2</v>
      </c>
      <c r="CE12" s="183">
        <f>CE11/BZ11-1</f>
        <v>-3.4023597108387205E-2</v>
      </c>
      <c r="CF12" s="183">
        <f>CF11/CA11-1</f>
        <v>1.9971105634400965E-2</v>
      </c>
      <c r="CG12" s="32">
        <f>CG11/CB11-1</f>
        <v>-4.1639774876222724E-2</v>
      </c>
      <c r="CH12" s="183">
        <f>CH11/CC11-1</f>
        <v>-1.1983172286859634E-2</v>
      </c>
      <c r="CI12" s="727">
        <v>-3.5999999999999997E-2</v>
      </c>
      <c r="CJ12" s="727"/>
      <c r="CK12" s="727"/>
      <c r="CL12" s="32"/>
      <c r="CM12" s="727"/>
      <c r="CN12" s="727"/>
      <c r="CO12" s="727"/>
      <c r="CP12" s="727"/>
      <c r="CQ12" s="32"/>
      <c r="CR12" s="727"/>
      <c r="CS12" s="727"/>
      <c r="CT12" s="727"/>
      <c r="CU12" s="727"/>
      <c r="CV12" s="32"/>
    </row>
    <row r="13" spans="1:241" ht="3.75" customHeight="1" x14ac:dyDescent="0.25">
      <c r="E13" s="91"/>
      <c r="F13" s="557"/>
      <c r="G13" s="557"/>
      <c r="H13" s="557"/>
      <c r="I13" s="557"/>
      <c r="J13" s="557"/>
      <c r="K13" s="174"/>
      <c r="L13" s="174"/>
      <c r="M13" s="174"/>
      <c r="N13" s="174"/>
      <c r="O13" s="557"/>
      <c r="P13" s="174"/>
      <c r="Q13" s="174"/>
      <c r="R13" s="477"/>
      <c r="S13" s="174"/>
      <c r="T13" s="557"/>
      <c r="U13" s="174"/>
      <c r="V13" s="174"/>
      <c r="W13" s="174"/>
      <c r="X13" s="174"/>
      <c r="Y13" s="557"/>
      <c r="Z13" s="174"/>
      <c r="AA13" s="174"/>
      <c r="AB13" s="174"/>
      <c r="AC13" s="174"/>
      <c r="AD13" s="557"/>
      <c r="AE13" s="174"/>
      <c r="AF13" s="174"/>
      <c r="AG13" s="174"/>
      <c r="AH13" s="174"/>
      <c r="AI13" s="557"/>
      <c r="AJ13" s="174"/>
      <c r="AK13" s="174"/>
      <c r="AL13" s="174"/>
      <c r="AM13" s="174"/>
      <c r="AN13" s="557"/>
      <c r="AO13" s="174"/>
      <c r="AP13" s="174"/>
      <c r="AQ13" s="174"/>
      <c r="AR13" s="174"/>
      <c r="AS13" s="557"/>
      <c r="AT13" s="174"/>
      <c r="AU13" s="174"/>
      <c r="AV13" s="174"/>
      <c r="AW13" s="174"/>
      <c r="AX13" s="557"/>
      <c r="AY13" s="174"/>
      <c r="AZ13" s="174"/>
      <c r="BA13" s="174"/>
      <c r="BB13" s="174"/>
      <c r="BC13" s="557"/>
      <c r="BD13" s="174"/>
      <c r="BE13" s="174"/>
      <c r="BF13" s="174"/>
      <c r="BG13" s="174"/>
      <c r="BH13" s="557"/>
      <c r="BI13" s="174"/>
      <c r="BJ13" s="174"/>
      <c r="BK13" s="174"/>
      <c r="BL13" s="174"/>
      <c r="BM13" s="161"/>
      <c r="BN13" s="157"/>
      <c r="BO13" s="157"/>
      <c r="BP13" s="157"/>
      <c r="BQ13" s="157"/>
      <c r="BR13" s="161"/>
      <c r="BS13" s="157"/>
      <c r="BT13" s="157"/>
      <c r="BU13" s="547"/>
      <c r="BV13" s="547"/>
      <c r="BW13" s="188"/>
      <c r="BX13" s="547"/>
      <c r="BY13" s="547"/>
      <c r="BZ13" s="547"/>
      <c r="CA13" s="547"/>
      <c r="CB13" s="188"/>
      <c r="CC13" s="547"/>
      <c r="CD13" s="547"/>
      <c r="CE13" s="547"/>
      <c r="CF13" s="547"/>
      <c r="CG13" s="188"/>
      <c r="CH13" s="547"/>
      <c r="CI13" s="547"/>
      <c r="CJ13" s="547"/>
      <c r="CK13" s="547"/>
      <c r="CL13" s="188"/>
      <c r="CM13" s="547"/>
      <c r="CN13" s="547"/>
      <c r="CO13" s="547"/>
      <c r="CP13" s="547"/>
      <c r="CQ13" s="188"/>
      <c r="CR13" s="547"/>
      <c r="CS13" s="547"/>
      <c r="CT13" s="547"/>
      <c r="CU13" s="547"/>
      <c r="CV13" s="188"/>
    </row>
    <row r="14" spans="1:241" ht="13.5" x14ac:dyDescent="0.25">
      <c r="E14" s="54" t="s">
        <v>751</v>
      </c>
      <c r="F14" s="557"/>
      <c r="G14" s="557"/>
      <c r="H14" s="557"/>
      <c r="I14" s="557"/>
      <c r="J14" s="557"/>
      <c r="K14" s="174"/>
      <c r="L14" s="174"/>
      <c r="M14" s="174"/>
      <c r="N14" s="174"/>
      <c r="O14" s="557"/>
      <c r="P14" s="174"/>
      <c r="Q14" s="174"/>
      <c r="R14" s="477"/>
      <c r="S14" s="174"/>
      <c r="T14" s="557"/>
      <c r="U14" s="174"/>
      <c r="V14" s="174"/>
      <c r="W14" s="174"/>
      <c r="X14" s="174"/>
      <c r="Y14" s="557"/>
      <c r="Z14" s="174"/>
      <c r="AA14" s="174"/>
      <c r="AB14" s="174"/>
      <c r="AC14" s="174"/>
      <c r="AD14" s="557"/>
      <c r="AE14" s="174"/>
      <c r="AF14" s="174"/>
      <c r="AG14" s="174"/>
      <c r="AH14" s="174"/>
      <c r="AI14" s="557"/>
      <c r="AJ14" s="174"/>
      <c r="AK14" s="174"/>
      <c r="AL14" s="174"/>
      <c r="AM14" s="174"/>
      <c r="AN14" s="557"/>
      <c r="AO14" s="174"/>
      <c r="AP14" s="174"/>
      <c r="AQ14" s="174"/>
      <c r="AR14" s="174"/>
      <c r="AS14" s="557"/>
      <c r="AT14" s="174"/>
      <c r="AU14" s="174"/>
      <c r="AV14" s="174"/>
      <c r="AW14" s="174"/>
      <c r="AX14" s="557"/>
      <c r="AY14" s="174"/>
      <c r="AZ14" s="174"/>
      <c r="BA14" s="174"/>
      <c r="BB14" s="174"/>
      <c r="BC14" s="557"/>
      <c r="BD14" s="174"/>
      <c r="BE14" s="174"/>
      <c r="BF14" s="174"/>
      <c r="BG14" s="174"/>
      <c r="BH14" s="557"/>
      <c r="BI14" s="174"/>
      <c r="BJ14" s="174"/>
      <c r="BK14" s="174"/>
      <c r="BL14" s="174"/>
      <c r="BM14" s="545"/>
      <c r="BN14" s="417"/>
      <c r="BO14" s="417"/>
      <c r="BP14" s="417"/>
      <c r="BQ14" s="417"/>
      <c r="BR14" s="188"/>
      <c r="BS14" s="417"/>
      <c r="BT14" s="417"/>
      <c r="BU14" s="417"/>
      <c r="BV14" s="417"/>
      <c r="BW14" s="188"/>
      <c r="BX14" s="417">
        <v>14.903</v>
      </c>
      <c r="BY14" s="417">
        <v>14.946</v>
      </c>
      <c r="BZ14" s="417">
        <v>16.667999999999999</v>
      </c>
      <c r="CA14" s="417">
        <v>14.63</v>
      </c>
      <c r="CB14" s="188">
        <f>SUM(BX14:CA14)</f>
        <v>61.146999999999998</v>
      </c>
      <c r="CC14" s="417">
        <v>13.627000000000001</v>
      </c>
      <c r="CD14" s="417">
        <v>14.177</v>
      </c>
      <c r="CE14" s="417">
        <v>15.935</v>
      </c>
      <c r="CF14" s="417">
        <v>16.542999999999999</v>
      </c>
      <c r="CG14" s="188">
        <f>SUM(CC14:CF14)</f>
        <v>60.282000000000004</v>
      </c>
      <c r="CH14" s="417">
        <v>14.195</v>
      </c>
      <c r="CI14" s="439">
        <f>CD14*(1+CI15)</f>
        <v>15.027620000000001</v>
      </c>
      <c r="CJ14" s="439"/>
      <c r="CK14" s="439"/>
      <c r="CL14" s="188"/>
      <c r="CM14" s="439"/>
      <c r="CN14" s="439"/>
      <c r="CO14" s="439"/>
      <c r="CP14" s="439"/>
      <c r="CQ14" s="188"/>
      <c r="CR14" s="439"/>
      <c r="CS14" s="439"/>
      <c r="CT14" s="439"/>
      <c r="CU14" s="439"/>
      <c r="CV14" s="188"/>
    </row>
    <row r="15" spans="1:241" ht="13.5" x14ac:dyDescent="0.25">
      <c r="E15" s="91" t="s">
        <v>2</v>
      </c>
      <c r="F15" s="557"/>
      <c r="G15" s="557"/>
      <c r="H15" s="557"/>
      <c r="I15" s="557"/>
      <c r="J15" s="557"/>
      <c r="K15" s="174"/>
      <c r="L15" s="174"/>
      <c r="M15" s="174"/>
      <c r="N15" s="174"/>
      <c r="O15" s="557"/>
      <c r="P15" s="174"/>
      <c r="Q15" s="174"/>
      <c r="R15" s="477"/>
      <c r="S15" s="174"/>
      <c r="T15" s="557"/>
      <c r="U15" s="174"/>
      <c r="V15" s="174"/>
      <c r="W15" s="174"/>
      <c r="X15" s="174"/>
      <c r="Y15" s="557"/>
      <c r="Z15" s="174"/>
      <c r="AA15" s="174"/>
      <c r="AB15" s="174"/>
      <c r="AC15" s="174"/>
      <c r="AD15" s="557"/>
      <c r="AE15" s="174"/>
      <c r="AF15" s="174"/>
      <c r="AG15" s="174"/>
      <c r="AH15" s="174"/>
      <c r="AI15" s="557"/>
      <c r="AJ15" s="174"/>
      <c r="AK15" s="174"/>
      <c r="AL15" s="174"/>
      <c r="AM15" s="174"/>
      <c r="AN15" s="557"/>
      <c r="AO15" s="174"/>
      <c r="AP15" s="174"/>
      <c r="AQ15" s="174"/>
      <c r="AR15" s="174"/>
      <c r="AS15" s="557"/>
      <c r="AT15" s="174"/>
      <c r="AU15" s="174"/>
      <c r="AV15" s="174"/>
      <c r="AW15" s="174"/>
      <c r="AX15" s="557"/>
      <c r="AY15" s="174"/>
      <c r="AZ15" s="174"/>
      <c r="BA15" s="174"/>
      <c r="BB15" s="174"/>
      <c r="BC15" s="557"/>
      <c r="BD15" s="174"/>
      <c r="BE15" s="174"/>
      <c r="BF15" s="174"/>
      <c r="BG15" s="174"/>
      <c r="BH15" s="557"/>
      <c r="BI15" s="174"/>
      <c r="BJ15" s="174"/>
      <c r="BK15" s="174"/>
      <c r="BL15" s="174"/>
      <c r="BM15" s="483"/>
      <c r="BN15" s="517"/>
      <c r="BO15" s="517"/>
      <c r="BP15" s="517"/>
      <c r="BQ15" s="517"/>
      <c r="BR15" s="32"/>
      <c r="BS15" s="183"/>
      <c r="BT15" s="183"/>
      <c r="BU15" s="183"/>
      <c r="BV15" s="183"/>
      <c r="BW15" s="32"/>
      <c r="BX15" s="475" t="s">
        <v>490</v>
      </c>
      <c r="BY15" s="475" t="s">
        <v>490</v>
      </c>
      <c r="BZ15" s="475" t="s">
        <v>490</v>
      </c>
      <c r="CA15" s="475" t="s">
        <v>490</v>
      </c>
      <c r="CB15" s="580" t="s">
        <v>490</v>
      </c>
      <c r="CC15" s="183">
        <f t="shared" ref="CC15:CH15" si="1">CC14/BX14-1</f>
        <v>-8.5620344897000544E-2</v>
      </c>
      <c r="CD15" s="183">
        <f t="shared" si="1"/>
        <v>-5.1451893483206224E-2</v>
      </c>
      <c r="CE15" s="183">
        <f t="shared" si="1"/>
        <v>-4.3976481881449425E-2</v>
      </c>
      <c r="CF15" s="183">
        <f t="shared" si="1"/>
        <v>0.13075871496924107</v>
      </c>
      <c r="CG15" s="32">
        <f t="shared" si="1"/>
        <v>-1.4146237754918412E-2</v>
      </c>
      <c r="CH15" s="183">
        <f t="shared" si="1"/>
        <v>4.1681954942393684E-2</v>
      </c>
      <c r="CI15" s="727">
        <v>0.06</v>
      </c>
      <c r="CJ15" s="727"/>
      <c r="CK15" s="727"/>
      <c r="CL15" s="32"/>
      <c r="CM15" s="727"/>
      <c r="CN15" s="727"/>
      <c r="CO15" s="727"/>
      <c r="CP15" s="727"/>
      <c r="CQ15" s="32"/>
      <c r="CR15" s="727"/>
      <c r="CS15" s="727"/>
      <c r="CT15" s="727"/>
      <c r="CU15" s="727"/>
      <c r="CV15" s="32"/>
    </row>
    <row r="16" spans="1:241" ht="3.75" customHeight="1" x14ac:dyDescent="0.25">
      <c r="E16" s="174"/>
      <c r="F16" s="557"/>
      <c r="G16" s="557"/>
      <c r="H16" s="557"/>
      <c r="I16" s="557"/>
      <c r="J16" s="557"/>
      <c r="K16" s="174"/>
      <c r="L16" s="174"/>
      <c r="M16" s="174"/>
      <c r="N16" s="174"/>
      <c r="O16" s="557"/>
      <c r="P16" s="174"/>
      <c r="Q16" s="174"/>
      <c r="R16" s="477"/>
      <c r="S16" s="174"/>
      <c r="T16" s="557"/>
      <c r="U16" s="174"/>
      <c r="V16" s="174"/>
      <c r="W16" s="174"/>
      <c r="X16" s="174"/>
      <c r="Y16" s="557"/>
      <c r="Z16" s="174"/>
      <c r="AA16" s="174"/>
      <c r="AB16" s="174"/>
      <c r="AC16" s="174"/>
      <c r="AD16" s="557"/>
      <c r="AE16" s="174"/>
      <c r="AF16" s="174"/>
      <c r="AG16" s="174"/>
      <c r="AH16" s="174"/>
      <c r="AI16" s="557"/>
      <c r="AJ16" s="174"/>
      <c r="AK16" s="174"/>
      <c r="AL16" s="174"/>
      <c r="AM16" s="174"/>
      <c r="AN16" s="557"/>
      <c r="AO16" s="174"/>
      <c r="AP16" s="174"/>
      <c r="AQ16" s="174"/>
      <c r="AR16" s="174"/>
      <c r="AS16" s="557"/>
      <c r="AT16" s="174"/>
      <c r="AU16" s="174"/>
      <c r="AV16" s="174"/>
      <c r="AW16" s="174"/>
      <c r="AX16" s="557"/>
      <c r="AY16" s="174"/>
      <c r="AZ16" s="174"/>
      <c r="BA16" s="174"/>
      <c r="BB16" s="174"/>
      <c r="BC16" s="557"/>
      <c r="BD16" s="174"/>
      <c r="BE16" s="174"/>
      <c r="BF16" s="174"/>
      <c r="BG16" s="174"/>
      <c r="BH16" s="557"/>
      <c r="BI16" s="174"/>
      <c r="BJ16" s="174"/>
      <c r="BK16" s="174"/>
      <c r="BL16" s="174"/>
      <c r="BM16" s="188"/>
      <c r="BN16" s="487"/>
      <c r="BO16" s="487"/>
      <c r="BP16" s="487"/>
      <c r="BQ16" s="487"/>
      <c r="BR16" s="188"/>
      <c r="BS16" s="487"/>
      <c r="BT16" s="464"/>
      <c r="BU16" s="547"/>
      <c r="BV16" s="547"/>
      <c r="BW16" s="188"/>
      <c r="BX16" s="547"/>
      <c r="BY16" s="547"/>
      <c r="BZ16" s="547"/>
      <c r="CA16" s="547"/>
      <c r="CB16" s="188"/>
      <c r="CC16" s="547"/>
      <c r="CD16" s="547"/>
      <c r="CE16" s="547"/>
      <c r="CF16" s="547"/>
      <c r="CG16" s="188"/>
      <c r="CH16" s="547"/>
      <c r="CI16" s="547"/>
      <c r="CJ16" s="547"/>
      <c r="CK16" s="547"/>
      <c r="CL16" s="188"/>
      <c r="CM16" s="547"/>
      <c r="CN16" s="547"/>
      <c r="CO16" s="547"/>
      <c r="CP16" s="547"/>
      <c r="CQ16" s="188"/>
      <c r="CR16" s="547"/>
      <c r="CS16" s="547"/>
      <c r="CT16" s="547"/>
      <c r="CU16" s="547"/>
      <c r="CV16" s="188"/>
    </row>
    <row r="17" spans="5:100" ht="13.5" x14ac:dyDescent="0.25">
      <c r="E17" s="642" t="s">
        <v>752</v>
      </c>
      <c r="F17" s="537"/>
      <c r="G17" s="537"/>
      <c r="H17" s="537"/>
      <c r="I17" s="537"/>
      <c r="J17" s="537"/>
      <c r="K17" s="537"/>
      <c r="L17" s="537"/>
      <c r="M17" s="537"/>
      <c r="N17" s="537"/>
      <c r="O17" s="538"/>
      <c r="P17" s="537"/>
      <c r="Q17" s="537"/>
      <c r="R17" s="537"/>
      <c r="S17" s="539"/>
      <c r="T17" s="538"/>
      <c r="U17" s="537"/>
      <c r="V17" s="537"/>
      <c r="W17" s="537"/>
      <c r="X17" s="537"/>
      <c r="Y17" s="538"/>
      <c r="Z17" s="538"/>
      <c r="AA17" s="538"/>
      <c r="AB17" s="538"/>
      <c r="AC17" s="538"/>
      <c r="AD17" s="538"/>
      <c r="AE17" s="538"/>
      <c r="AF17" s="538"/>
      <c r="AG17" s="538"/>
      <c r="AH17" s="538"/>
      <c r="AI17" s="538"/>
      <c r="AJ17" s="538"/>
      <c r="AK17" s="538"/>
      <c r="AL17" s="538"/>
      <c r="AM17" s="538"/>
      <c r="AN17" s="538"/>
      <c r="AO17" s="538"/>
      <c r="AP17" s="538"/>
      <c r="AQ17" s="538"/>
      <c r="AR17" s="538"/>
      <c r="AS17" s="538"/>
      <c r="AT17" s="538"/>
      <c r="AU17" s="538"/>
      <c r="AV17" s="538"/>
      <c r="AW17" s="538"/>
      <c r="AX17" s="538"/>
      <c r="AY17" s="538"/>
      <c r="AZ17" s="538"/>
      <c r="BA17" s="538"/>
      <c r="BB17" s="538"/>
      <c r="BC17" s="538"/>
      <c r="BD17" s="538"/>
      <c r="BE17" s="538"/>
      <c r="BF17" s="538"/>
      <c r="BG17" s="538"/>
      <c r="BH17" s="538"/>
      <c r="BI17" s="642"/>
      <c r="BJ17" s="642"/>
      <c r="BK17" s="642"/>
      <c r="BL17" s="642"/>
      <c r="BM17" s="540"/>
      <c r="BN17" s="642"/>
      <c r="BO17" s="642"/>
      <c r="BP17" s="642"/>
      <c r="BQ17" s="642"/>
      <c r="BR17" s="540"/>
      <c r="BS17" s="642"/>
      <c r="BT17" s="642"/>
      <c r="BU17" s="642"/>
      <c r="BV17" s="642"/>
      <c r="BW17" s="540"/>
      <c r="BX17" s="545">
        <v>181.70099999999999</v>
      </c>
      <c r="BY17" s="545">
        <v>182.667</v>
      </c>
      <c r="BZ17" s="545">
        <v>182.11200000000002</v>
      </c>
      <c r="CA17" s="545">
        <v>179.36800000000002</v>
      </c>
      <c r="CB17" s="540">
        <v>725.84800000000007</v>
      </c>
      <c r="CC17" s="545">
        <v>165.75699999999998</v>
      </c>
      <c r="CD17" s="545">
        <v>171.227</v>
      </c>
      <c r="CE17" s="545">
        <v>175.75</v>
      </c>
      <c r="CF17" s="545">
        <v>184.57099999999997</v>
      </c>
      <c r="CG17" s="540">
        <v>697.30499999999984</v>
      </c>
      <c r="CH17" s="545">
        <v>164.50200000000001</v>
      </c>
      <c r="CI17" s="642">
        <v>166.42382000000001</v>
      </c>
      <c r="CJ17" s="642"/>
      <c r="CK17" s="642"/>
      <c r="CL17" s="540">
        <f>SUM(CH17:CK17)</f>
        <v>330.92582000000004</v>
      </c>
      <c r="CM17" s="642"/>
      <c r="CN17" s="642"/>
      <c r="CO17" s="642"/>
      <c r="CP17" s="642"/>
      <c r="CQ17" s="540"/>
      <c r="CR17" s="642"/>
      <c r="CS17" s="642"/>
      <c r="CT17" s="642"/>
      <c r="CU17" s="642"/>
      <c r="CV17" s="540"/>
    </row>
    <row r="18" spans="5:100" ht="13.5" x14ac:dyDescent="0.25">
      <c r="E18" s="541" t="s">
        <v>2</v>
      </c>
      <c r="F18" s="150"/>
      <c r="G18" s="150"/>
      <c r="H18" s="150"/>
      <c r="I18" s="150"/>
      <c r="J18" s="524"/>
      <c r="K18" s="524"/>
      <c r="L18" s="524"/>
      <c r="M18" s="524"/>
      <c r="N18" s="524"/>
      <c r="O18" s="542"/>
      <c r="P18" s="524"/>
      <c r="Q18" s="524"/>
      <c r="R18" s="524"/>
      <c r="S18" s="539"/>
      <c r="T18" s="542"/>
      <c r="U18" s="524"/>
      <c r="V18" s="524"/>
      <c r="W18" s="524"/>
      <c r="X18" s="524"/>
      <c r="Y18" s="542"/>
      <c r="Z18" s="542"/>
      <c r="AA18" s="542"/>
      <c r="AB18" s="542"/>
      <c r="AC18" s="542"/>
      <c r="AD18" s="542"/>
      <c r="AE18" s="542"/>
      <c r="AF18" s="542"/>
      <c r="AG18" s="542"/>
      <c r="AH18" s="542"/>
      <c r="AI18" s="542"/>
      <c r="AJ18" s="542"/>
      <c r="AK18" s="542"/>
      <c r="AL18" s="542"/>
      <c r="AM18" s="542"/>
      <c r="AN18" s="542"/>
      <c r="AO18" s="542"/>
      <c r="AP18" s="542"/>
      <c r="AQ18" s="542"/>
      <c r="AR18" s="542"/>
      <c r="AS18" s="542"/>
      <c r="AT18" s="542"/>
      <c r="AU18" s="542"/>
      <c r="AV18" s="542"/>
      <c r="AW18" s="542"/>
      <c r="AX18" s="542"/>
      <c r="AY18" s="542"/>
      <c r="AZ18" s="542"/>
      <c r="BA18" s="542"/>
      <c r="BB18" s="542"/>
      <c r="BC18" s="542"/>
      <c r="BD18" s="542"/>
      <c r="BE18" s="542"/>
      <c r="BF18" s="542"/>
      <c r="BG18" s="542"/>
      <c r="BH18" s="542"/>
      <c r="BI18" s="641"/>
      <c r="BJ18" s="641"/>
      <c r="BK18" s="641"/>
      <c r="BL18" s="641"/>
      <c r="BM18" s="542"/>
      <c r="BN18" s="641"/>
      <c r="BO18" s="641"/>
      <c r="BP18" s="641"/>
      <c r="BQ18" s="641"/>
      <c r="BR18" s="641"/>
      <c r="BS18" s="641"/>
      <c r="BT18" s="641"/>
      <c r="BU18" s="641"/>
      <c r="BV18" s="641"/>
      <c r="BW18" s="641"/>
      <c r="BX18" s="580" t="s">
        <v>490</v>
      </c>
      <c r="BY18" s="580" t="s">
        <v>490</v>
      </c>
      <c r="BZ18" s="580" t="s">
        <v>490</v>
      </c>
      <c r="CA18" s="580" t="s">
        <v>490</v>
      </c>
      <c r="CB18" s="580" t="s">
        <v>490</v>
      </c>
      <c r="CC18" s="641">
        <f>CC17/BX17-1</f>
        <v>-8.7748553943016394E-2</v>
      </c>
      <c r="CD18" s="641">
        <f t="shared" ref="CD18:CI18" si="2">CD17/BY17-1</f>
        <v>-6.2627622942293848E-2</v>
      </c>
      <c r="CE18" s="641">
        <f>CE17/BZ17-1</f>
        <v>-3.4934545774029324E-2</v>
      </c>
      <c r="CF18" s="641">
        <f t="shared" si="2"/>
        <v>2.9007403773247953E-2</v>
      </c>
      <c r="CG18" s="641">
        <f t="shared" si="2"/>
        <v>-3.9323660050038289E-2</v>
      </c>
      <c r="CH18" s="641">
        <f t="shared" si="2"/>
        <v>-7.5713242879634768E-3</v>
      </c>
      <c r="CI18" s="641">
        <f t="shared" si="2"/>
        <v>-2.8051533928644456E-2</v>
      </c>
      <c r="CJ18" s="641"/>
      <c r="CK18" s="641"/>
      <c r="CL18" s="641"/>
      <c r="CM18" s="641"/>
      <c r="CN18" s="641"/>
      <c r="CO18" s="641"/>
      <c r="CP18" s="641"/>
      <c r="CQ18" s="641"/>
      <c r="CR18" s="641"/>
      <c r="CS18" s="641"/>
      <c r="CT18" s="641"/>
      <c r="CU18" s="641"/>
      <c r="CV18" s="641"/>
    </row>
    <row r="19" spans="5:100" ht="3.75" customHeight="1" x14ac:dyDescent="0.25">
      <c r="E19" s="365"/>
      <c r="F19" s="448"/>
      <c r="G19" s="448"/>
      <c r="H19" s="448"/>
      <c r="I19" s="448"/>
      <c r="J19" s="448"/>
      <c r="K19" s="451"/>
      <c r="L19" s="451"/>
      <c r="M19" s="451"/>
      <c r="N19" s="451"/>
      <c r="O19" s="449"/>
      <c r="P19" s="451"/>
      <c r="Q19" s="451"/>
      <c r="R19" s="451"/>
      <c r="S19" s="451"/>
      <c r="T19" s="449"/>
      <c r="U19" s="451"/>
      <c r="V19" s="451"/>
      <c r="W19" s="451"/>
      <c r="X19" s="451"/>
      <c r="Y19" s="449"/>
      <c r="Z19" s="451"/>
      <c r="AA19" s="451"/>
      <c r="AB19" s="451"/>
      <c r="AC19" s="451"/>
      <c r="AD19" s="449"/>
      <c r="AE19" s="451"/>
      <c r="AF19" s="451"/>
      <c r="AG19" s="451"/>
      <c r="AH19" s="451"/>
      <c r="AI19" s="370"/>
      <c r="AJ19" s="451"/>
      <c r="AK19" s="451"/>
      <c r="AL19" s="451"/>
      <c r="AM19" s="451"/>
      <c r="AN19" s="370"/>
      <c r="AO19" s="451"/>
      <c r="AP19" s="451"/>
      <c r="AQ19" s="451"/>
      <c r="AR19" s="451"/>
      <c r="AS19" s="449"/>
      <c r="AT19" s="451"/>
      <c r="AU19" s="451"/>
      <c r="AV19" s="451"/>
      <c r="AW19" s="451"/>
      <c r="AX19" s="449"/>
      <c r="AY19" s="451"/>
      <c r="AZ19" s="451"/>
      <c r="BA19" s="451"/>
      <c r="BB19" s="451"/>
      <c r="BC19" s="32"/>
      <c r="BD19" s="451"/>
      <c r="BE19" s="451"/>
      <c r="BF19" s="451"/>
      <c r="BG19" s="451"/>
      <c r="BH19" s="32"/>
      <c r="BI19" s="451"/>
      <c r="BJ19" s="451"/>
      <c r="BK19" s="451"/>
      <c r="BL19" s="451"/>
      <c r="BM19" s="518"/>
      <c r="BN19" s="451"/>
      <c r="BO19" s="451"/>
      <c r="BP19" s="451"/>
      <c r="BQ19" s="451"/>
      <c r="BR19" s="32"/>
      <c r="BS19" s="451"/>
      <c r="BT19" s="451"/>
      <c r="BU19" s="451"/>
      <c r="BV19" s="451"/>
      <c r="BW19" s="32"/>
      <c r="BX19" s="451"/>
      <c r="BY19" s="451"/>
      <c r="BZ19" s="451"/>
      <c r="CA19" s="451"/>
      <c r="CB19" s="32"/>
      <c r="CC19" s="451"/>
      <c r="CD19" s="451"/>
      <c r="CE19" s="451"/>
      <c r="CF19" s="451"/>
      <c r="CG19" s="32"/>
      <c r="CH19" s="451"/>
      <c r="CI19" s="451"/>
      <c r="CJ19" s="451"/>
      <c r="CK19" s="451"/>
      <c r="CL19" s="32"/>
      <c r="CM19" s="451"/>
      <c r="CN19" s="451"/>
      <c r="CO19" s="451"/>
      <c r="CP19" s="451"/>
      <c r="CQ19" s="32"/>
      <c r="CR19" s="451"/>
      <c r="CS19" s="451"/>
      <c r="CT19" s="451"/>
      <c r="CU19" s="451"/>
      <c r="CV19" s="32"/>
    </row>
    <row r="20" spans="5:100" ht="13.5" customHeight="1" x14ac:dyDescent="0.25">
      <c r="E20" s="54" t="s">
        <v>760</v>
      </c>
      <c r="F20" s="448"/>
      <c r="G20" s="448"/>
      <c r="H20" s="448"/>
      <c r="I20" s="448"/>
      <c r="J20" s="448"/>
      <c r="K20" s="451"/>
      <c r="L20" s="451"/>
      <c r="M20" s="451"/>
      <c r="N20" s="451"/>
      <c r="O20" s="449"/>
      <c r="P20" s="451"/>
      <c r="Q20" s="451"/>
      <c r="R20" s="451"/>
      <c r="S20" s="451"/>
      <c r="T20" s="449"/>
      <c r="U20" s="451"/>
      <c r="V20" s="451"/>
      <c r="W20" s="451"/>
      <c r="X20" s="451"/>
      <c r="Y20" s="449"/>
      <c r="Z20" s="451"/>
      <c r="AA20" s="451"/>
      <c r="AB20" s="451"/>
      <c r="AC20" s="451"/>
      <c r="AD20" s="449"/>
      <c r="AE20" s="451"/>
      <c r="AF20" s="451"/>
      <c r="AG20" s="451"/>
      <c r="AH20" s="451"/>
      <c r="AI20" s="370"/>
      <c r="AJ20" s="451"/>
      <c r="AK20" s="451"/>
      <c r="AL20" s="451"/>
      <c r="AM20" s="451"/>
      <c r="AN20" s="370"/>
      <c r="AO20" s="451"/>
      <c r="AP20" s="451"/>
      <c r="AQ20" s="451"/>
      <c r="AR20" s="451"/>
      <c r="AS20" s="449"/>
      <c r="AT20" s="451"/>
      <c r="AU20" s="451"/>
      <c r="AV20" s="451"/>
      <c r="AW20" s="451"/>
      <c r="AX20" s="449"/>
      <c r="AY20" s="451"/>
      <c r="AZ20" s="451"/>
      <c r="BA20" s="451"/>
      <c r="BB20" s="451"/>
      <c r="BC20" s="32"/>
      <c r="BD20" s="451"/>
      <c r="BE20" s="451"/>
      <c r="BF20" s="451"/>
      <c r="BG20" s="451"/>
      <c r="BH20" s="32"/>
      <c r="BI20" s="451"/>
      <c r="BJ20" s="451"/>
      <c r="BK20" s="451"/>
      <c r="BL20" s="451"/>
      <c r="BM20" s="518"/>
      <c r="BN20" s="451"/>
      <c r="BO20" s="451"/>
      <c r="BP20" s="451"/>
      <c r="BQ20" s="451"/>
      <c r="BR20" s="32"/>
      <c r="BS20" s="451"/>
      <c r="BT20" s="451"/>
      <c r="BU20" s="451"/>
      <c r="BV20" s="451"/>
      <c r="BW20" s="32"/>
      <c r="BX20" s="417">
        <v>6.7</v>
      </c>
      <c r="BY20" s="417">
        <v>8.8000000000000007</v>
      </c>
      <c r="BZ20" s="417">
        <v>12.8</v>
      </c>
      <c r="CA20" s="417">
        <v>11.9</v>
      </c>
      <c r="CB20" s="188">
        <f>SUM(BX20:CA20)</f>
        <v>40.200000000000003</v>
      </c>
      <c r="CC20" s="417">
        <f>166-153</f>
        <v>13</v>
      </c>
      <c r="CD20" s="417">
        <f>171-160</f>
        <v>11</v>
      </c>
      <c r="CE20" s="417">
        <f>176-167</f>
        <v>9</v>
      </c>
      <c r="CF20" s="417">
        <f>185-178</f>
        <v>7</v>
      </c>
      <c r="CG20" s="188">
        <f>SUM(CC20:CF20)</f>
        <v>40</v>
      </c>
      <c r="CH20" s="417">
        <v>4.3</v>
      </c>
      <c r="CI20" s="739">
        <v>0</v>
      </c>
      <c r="CJ20" s="739"/>
      <c r="CK20" s="739"/>
      <c r="CL20" s="188"/>
      <c r="CM20" s="739"/>
      <c r="CN20" s="739"/>
      <c r="CO20" s="739"/>
      <c r="CP20" s="739"/>
      <c r="CQ20" s="188"/>
      <c r="CR20" s="739"/>
      <c r="CS20" s="739"/>
      <c r="CT20" s="739"/>
      <c r="CU20" s="739"/>
      <c r="CV20" s="188"/>
    </row>
    <row r="21" spans="5:100" ht="3.75" customHeight="1" x14ac:dyDescent="0.25">
      <c r="E21" s="365" t="s">
        <v>766</v>
      </c>
      <c r="F21" s="448"/>
      <c r="G21" s="448"/>
      <c r="H21" s="448"/>
      <c r="I21" s="448"/>
      <c r="J21" s="448"/>
      <c r="K21" s="451"/>
      <c r="L21" s="451"/>
      <c r="M21" s="451"/>
      <c r="N21" s="451"/>
      <c r="O21" s="449"/>
      <c r="P21" s="451"/>
      <c r="Q21" s="451"/>
      <c r="R21" s="451"/>
      <c r="S21" s="451"/>
      <c r="T21" s="449"/>
      <c r="U21" s="451"/>
      <c r="V21" s="451"/>
      <c r="W21" s="451"/>
      <c r="X21" s="451"/>
      <c r="Y21" s="449"/>
      <c r="Z21" s="451"/>
      <c r="AA21" s="451"/>
      <c r="AB21" s="451"/>
      <c r="AC21" s="451"/>
      <c r="AD21" s="449"/>
      <c r="AE21" s="451"/>
      <c r="AF21" s="451"/>
      <c r="AG21" s="451"/>
      <c r="AH21" s="451"/>
      <c r="AI21" s="370"/>
      <c r="AJ21" s="451"/>
      <c r="AK21" s="451"/>
      <c r="AL21" s="451"/>
      <c r="AM21" s="451"/>
      <c r="AN21" s="370"/>
      <c r="AO21" s="451"/>
      <c r="AP21" s="451"/>
      <c r="AQ21" s="451"/>
      <c r="AR21" s="451"/>
      <c r="AS21" s="449"/>
      <c r="AT21" s="451"/>
      <c r="AU21" s="451"/>
      <c r="AV21" s="451"/>
      <c r="AW21" s="451"/>
      <c r="AX21" s="449"/>
      <c r="AY21" s="451"/>
      <c r="AZ21" s="451"/>
      <c r="BA21" s="451"/>
      <c r="BB21" s="451"/>
      <c r="BC21" s="32"/>
      <c r="BD21" s="451"/>
      <c r="BE21" s="451"/>
      <c r="BF21" s="451"/>
      <c r="BG21" s="451"/>
      <c r="BH21" s="32"/>
      <c r="BI21" s="451"/>
      <c r="BJ21" s="451"/>
      <c r="BK21" s="451"/>
      <c r="BL21" s="451"/>
      <c r="BM21" s="518"/>
      <c r="BN21" s="451"/>
      <c r="BO21" s="451"/>
      <c r="BP21" s="451"/>
      <c r="BQ21" s="451"/>
      <c r="BR21" s="32"/>
      <c r="BS21" s="451"/>
      <c r="BT21" s="451"/>
      <c r="BU21" s="451"/>
      <c r="BV21" s="451"/>
      <c r="BW21" s="32"/>
      <c r="BX21" s="451"/>
      <c r="BY21" s="451"/>
      <c r="BZ21" s="451"/>
      <c r="CA21" s="451"/>
      <c r="CB21" s="32"/>
      <c r="CC21" s="451"/>
      <c r="CD21" s="451"/>
      <c r="CE21" s="451"/>
      <c r="CF21" s="451"/>
      <c r="CG21" s="32"/>
      <c r="CH21" s="451"/>
      <c r="CI21" s="451"/>
      <c r="CJ21" s="451"/>
      <c r="CK21" s="451"/>
      <c r="CL21" s="32"/>
      <c r="CM21" s="451"/>
      <c r="CN21" s="451"/>
      <c r="CO21" s="451"/>
      <c r="CP21" s="451"/>
      <c r="CQ21" s="32"/>
      <c r="CR21" s="451"/>
      <c r="CS21" s="451"/>
      <c r="CT21" s="451"/>
      <c r="CU21" s="451"/>
      <c r="CV21" s="32"/>
    </row>
    <row r="22" spans="5:100" ht="13.5" customHeight="1" x14ac:dyDescent="0.25">
      <c r="E22" s="54" t="s">
        <v>761</v>
      </c>
      <c r="F22" s="448"/>
      <c r="G22" s="448"/>
      <c r="H22" s="448"/>
      <c r="I22" s="448"/>
      <c r="J22" s="448"/>
      <c r="K22" s="451"/>
      <c r="L22" s="451"/>
      <c r="M22" s="451"/>
      <c r="N22" s="451"/>
      <c r="O22" s="449"/>
      <c r="P22" s="451"/>
      <c r="Q22" s="451"/>
      <c r="R22" s="451"/>
      <c r="S22" s="451"/>
      <c r="T22" s="449"/>
      <c r="U22" s="451"/>
      <c r="V22" s="451"/>
      <c r="W22" s="451"/>
      <c r="X22" s="451"/>
      <c r="Y22" s="449"/>
      <c r="Z22" s="451"/>
      <c r="AA22" s="451"/>
      <c r="AB22" s="451"/>
      <c r="AC22" s="451"/>
      <c r="AD22" s="449"/>
      <c r="AE22" s="451"/>
      <c r="AF22" s="451"/>
      <c r="AG22" s="451"/>
      <c r="AH22" s="451"/>
      <c r="AI22" s="370"/>
      <c r="AJ22" s="451"/>
      <c r="AK22" s="451"/>
      <c r="AL22" s="451"/>
      <c r="AM22" s="451"/>
      <c r="AN22" s="370"/>
      <c r="AO22" s="451"/>
      <c r="AP22" s="451"/>
      <c r="AQ22" s="451"/>
      <c r="AR22" s="451"/>
      <c r="AS22" s="449"/>
      <c r="AT22" s="451"/>
      <c r="AU22" s="451"/>
      <c r="AV22" s="451"/>
      <c r="AW22" s="451"/>
      <c r="AX22" s="449"/>
      <c r="AY22" s="451"/>
      <c r="AZ22" s="451"/>
      <c r="BA22" s="451"/>
      <c r="BB22" s="451"/>
      <c r="BC22" s="32"/>
      <c r="BD22" s="451"/>
      <c r="BE22" s="451"/>
      <c r="BF22" s="451"/>
      <c r="BG22" s="451"/>
      <c r="BH22" s="32"/>
      <c r="BI22" s="451"/>
      <c r="BJ22" s="451"/>
      <c r="BK22" s="451"/>
      <c r="BL22" s="451"/>
      <c r="BM22" s="518"/>
      <c r="BN22" s="451"/>
      <c r="BO22" s="451"/>
      <c r="BP22" s="451"/>
      <c r="BQ22" s="451"/>
      <c r="BR22" s="32"/>
      <c r="BS22" s="451"/>
      <c r="BT22" s="451"/>
      <c r="BU22" s="451"/>
      <c r="BV22" s="451"/>
      <c r="BW22" s="32"/>
      <c r="BX22" s="721">
        <f>BX17-BX20</f>
        <v>175.001</v>
      </c>
      <c r="BY22" s="721">
        <f>BY17-BY20</f>
        <v>173.86699999999999</v>
      </c>
      <c r="BZ22" s="721">
        <f>BZ17-BZ20</f>
        <v>169.31200000000001</v>
      </c>
      <c r="CA22" s="721">
        <f>CA17-CA20</f>
        <v>167.46800000000002</v>
      </c>
      <c r="CB22" s="188">
        <f>SUM(BX22:CA22)</f>
        <v>685.64800000000014</v>
      </c>
      <c r="CC22" s="721">
        <f>CC17-CC20</f>
        <v>152.75699999999998</v>
      </c>
      <c r="CD22" s="721">
        <f>CD17-CD20</f>
        <v>160.227</v>
      </c>
      <c r="CE22" s="721">
        <f>CE17-CE20</f>
        <v>166.75</v>
      </c>
      <c r="CF22" s="721">
        <f>CF17-CF20</f>
        <v>177.57099999999997</v>
      </c>
      <c r="CG22" s="188">
        <f>SUM(CC22:CF22)</f>
        <v>657.30499999999995</v>
      </c>
      <c r="CH22" s="721">
        <f>CH17-CH20</f>
        <v>160.202</v>
      </c>
      <c r="CI22" s="721">
        <f>CI17-CI20</f>
        <v>166.42382000000001</v>
      </c>
      <c r="CJ22" s="721"/>
      <c r="CK22" s="721"/>
      <c r="CL22" s="188"/>
      <c r="CM22" s="721"/>
      <c r="CN22" s="721"/>
      <c r="CO22" s="721"/>
      <c r="CP22" s="721"/>
      <c r="CQ22" s="188"/>
      <c r="CR22" s="721"/>
      <c r="CS22" s="721"/>
      <c r="CT22" s="721"/>
      <c r="CU22" s="721"/>
      <c r="CV22" s="188"/>
    </row>
    <row r="23" spans="5:100" ht="13.5" customHeight="1" x14ac:dyDescent="0.25">
      <c r="E23" s="91" t="s">
        <v>2</v>
      </c>
      <c r="F23" s="448"/>
      <c r="G23" s="448"/>
      <c r="H23" s="448"/>
      <c r="I23" s="448"/>
      <c r="J23" s="448"/>
      <c r="K23" s="451"/>
      <c r="L23" s="451"/>
      <c r="M23" s="451"/>
      <c r="N23" s="451"/>
      <c r="O23" s="449"/>
      <c r="P23" s="451"/>
      <c r="Q23" s="451"/>
      <c r="R23" s="451"/>
      <c r="S23" s="451"/>
      <c r="T23" s="449"/>
      <c r="U23" s="451"/>
      <c r="V23" s="451"/>
      <c r="W23" s="451"/>
      <c r="X23" s="451"/>
      <c r="Y23" s="449"/>
      <c r="Z23" s="451"/>
      <c r="AA23" s="451"/>
      <c r="AB23" s="451"/>
      <c r="AC23" s="451"/>
      <c r="AD23" s="449"/>
      <c r="AE23" s="451"/>
      <c r="AF23" s="451"/>
      <c r="AG23" s="451"/>
      <c r="AH23" s="451"/>
      <c r="AI23" s="370"/>
      <c r="AJ23" s="451"/>
      <c r="AK23" s="451"/>
      <c r="AL23" s="451"/>
      <c r="AM23" s="451"/>
      <c r="AN23" s="370"/>
      <c r="AO23" s="451"/>
      <c r="AP23" s="451"/>
      <c r="AQ23" s="451"/>
      <c r="AR23" s="451"/>
      <c r="AS23" s="449"/>
      <c r="AT23" s="451"/>
      <c r="AU23" s="451"/>
      <c r="AV23" s="451"/>
      <c r="AW23" s="451"/>
      <c r="AX23" s="449"/>
      <c r="AY23" s="451"/>
      <c r="AZ23" s="451"/>
      <c r="BA23" s="451"/>
      <c r="BB23" s="451"/>
      <c r="BC23" s="32"/>
      <c r="BD23" s="451"/>
      <c r="BE23" s="451"/>
      <c r="BF23" s="451"/>
      <c r="BG23" s="451"/>
      <c r="BH23" s="32"/>
      <c r="BI23" s="451"/>
      <c r="BJ23" s="451"/>
      <c r="BK23" s="451"/>
      <c r="BL23" s="451"/>
      <c r="BM23" s="518"/>
      <c r="BN23" s="451"/>
      <c r="BO23" s="451"/>
      <c r="BP23" s="451"/>
      <c r="BQ23" s="451"/>
      <c r="BR23" s="32"/>
      <c r="BS23" s="451"/>
      <c r="BT23" s="451"/>
      <c r="BU23" s="451"/>
      <c r="BV23" s="451"/>
      <c r="BW23" s="32"/>
      <c r="BX23" s="451"/>
      <c r="BY23" s="451"/>
      <c r="BZ23" s="451"/>
      <c r="CA23" s="451"/>
      <c r="CB23" s="32"/>
      <c r="CC23" s="183">
        <f t="shared" ref="CC23:CI23" si="3">CC22/BX22-1</f>
        <v>-0.12710784509802819</v>
      </c>
      <c r="CD23" s="183">
        <f t="shared" si="3"/>
        <v>-7.8450769841315382E-2</v>
      </c>
      <c r="CE23" s="183">
        <f t="shared" si="3"/>
        <v>-1.5131827631827743E-2</v>
      </c>
      <c r="CF23" s="183">
        <f t="shared" si="3"/>
        <v>6.0327943248859262E-2</v>
      </c>
      <c r="CG23" s="32">
        <f t="shared" si="3"/>
        <v>-4.1337537628637677E-2</v>
      </c>
      <c r="CH23" s="183">
        <f t="shared" si="3"/>
        <v>4.8737537395995068E-2</v>
      </c>
      <c r="CI23" s="183">
        <f t="shared" si="3"/>
        <v>3.8675254482702703E-2</v>
      </c>
      <c r="CJ23" s="183"/>
      <c r="CK23" s="183"/>
      <c r="CL23" s="32"/>
      <c r="CM23" s="183"/>
      <c r="CN23" s="183"/>
      <c r="CO23" s="183"/>
      <c r="CP23" s="183"/>
      <c r="CQ23" s="32"/>
      <c r="CR23" s="183"/>
      <c r="CS23" s="183"/>
      <c r="CT23" s="183"/>
      <c r="CU23" s="183"/>
      <c r="CV23" s="32"/>
    </row>
    <row r="24" spans="5:100" ht="3.75" customHeight="1" x14ac:dyDescent="0.25">
      <c r="E24" s="91"/>
      <c r="F24" s="448"/>
      <c r="G24" s="448"/>
      <c r="H24" s="448"/>
      <c r="I24" s="448"/>
      <c r="J24" s="448"/>
      <c r="K24" s="451"/>
      <c r="L24" s="451"/>
      <c r="M24" s="451"/>
      <c r="N24" s="451"/>
      <c r="O24" s="449"/>
      <c r="P24" s="451"/>
      <c r="Q24" s="451"/>
      <c r="R24" s="451"/>
      <c r="S24" s="451"/>
      <c r="T24" s="449"/>
      <c r="U24" s="451"/>
      <c r="V24" s="451"/>
      <c r="W24" s="451"/>
      <c r="X24" s="451"/>
      <c r="Y24" s="449"/>
      <c r="Z24" s="451"/>
      <c r="AA24" s="451"/>
      <c r="AB24" s="451"/>
      <c r="AC24" s="451"/>
      <c r="AD24" s="449"/>
      <c r="AE24" s="451"/>
      <c r="AF24" s="451"/>
      <c r="AG24" s="451"/>
      <c r="AH24" s="451"/>
      <c r="AI24" s="370"/>
      <c r="AJ24" s="451"/>
      <c r="AK24" s="451"/>
      <c r="AL24" s="451"/>
      <c r="AM24" s="451"/>
      <c r="AN24" s="370"/>
      <c r="AO24" s="451"/>
      <c r="AP24" s="451"/>
      <c r="AQ24" s="451"/>
      <c r="AR24" s="451"/>
      <c r="AS24" s="449"/>
      <c r="AT24" s="451"/>
      <c r="AU24" s="451"/>
      <c r="AV24" s="451"/>
      <c r="AW24" s="451"/>
      <c r="AX24" s="449"/>
      <c r="AY24" s="451"/>
      <c r="AZ24" s="451"/>
      <c r="BA24" s="451"/>
      <c r="BB24" s="451"/>
      <c r="BC24" s="32"/>
      <c r="BD24" s="451"/>
      <c r="BE24" s="451"/>
      <c r="BF24" s="451"/>
      <c r="BG24" s="451"/>
      <c r="BH24" s="32"/>
      <c r="BI24" s="451"/>
      <c r="BJ24" s="451"/>
      <c r="BK24" s="451"/>
      <c r="BL24" s="451"/>
      <c r="BM24" s="518"/>
      <c r="BN24" s="451"/>
      <c r="BO24" s="451"/>
      <c r="BP24" s="451"/>
      <c r="BQ24" s="451"/>
      <c r="BR24" s="32"/>
      <c r="BS24" s="451"/>
      <c r="BT24" s="451"/>
      <c r="BU24" s="451"/>
      <c r="BV24" s="451"/>
      <c r="BW24" s="32"/>
      <c r="BX24" s="451"/>
      <c r="BY24" s="451"/>
      <c r="BZ24" s="451"/>
      <c r="CA24" s="451"/>
      <c r="CB24" s="32"/>
      <c r="CC24" s="451"/>
      <c r="CD24" s="451"/>
      <c r="CE24" s="451"/>
      <c r="CF24" s="451"/>
      <c r="CG24" s="32"/>
      <c r="CH24" s="451"/>
      <c r="CI24" s="451"/>
      <c r="CJ24" s="451"/>
      <c r="CK24" s="451"/>
      <c r="CL24" s="32"/>
      <c r="CM24" s="451"/>
      <c r="CN24" s="451"/>
      <c r="CO24" s="451"/>
      <c r="CP24" s="451"/>
      <c r="CQ24" s="32"/>
      <c r="CR24" s="451"/>
      <c r="CS24" s="451"/>
      <c r="CT24" s="451"/>
      <c r="CU24" s="451"/>
      <c r="CV24" s="32"/>
    </row>
    <row r="25" spans="5:100" ht="13.5" customHeight="1" x14ac:dyDescent="0.25">
      <c r="E25" s="721" t="s">
        <v>762</v>
      </c>
      <c r="F25" s="448"/>
      <c r="G25" s="448"/>
      <c r="H25" s="448"/>
      <c r="I25" s="448"/>
      <c r="J25" s="448"/>
      <c r="K25" s="451"/>
      <c r="L25" s="451"/>
      <c r="M25" s="451"/>
      <c r="N25" s="451"/>
      <c r="O25" s="449"/>
      <c r="P25" s="451"/>
      <c r="Q25" s="451"/>
      <c r="R25" s="451"/>
      <c r="S25" s="451"/>
      <c r="T25" s="449"/>
      <c r="U25" s="451"/>
      <c r="V25" s="451"/>
      <c r="W25" s="451"/>
      <c r="X25" s="451"/>
      <c r="Y25" s="449"/>
      <c r="Z25" s="451"/>
      <c r="AA25" s="451"/>
      <c r="AB25" s="451"/>
      <c r="AC25" s="451"/>
      <c r="AD25" s="449"/>
      <c r="AE25" s="451"/>
      <c r="AF25" s="451"/>
      <c r="AG25" s="451"/>
      <c r="AH25" s="451"/>
      <c r="AI25" s="370"/>
      <c r="AJ25" s="451"/>
      <c r="AK25" s="451"/>
      <c r="AL25" s="451"/>
      <c r="AM25" s="451"/>
      <c r="AN25" s="370"/>
      <c r="AO25" s="451"/>
      <c r="AP25" s="451"/>
      <c r="AQ25" s="451"/>
      <c r="AR25" s="451"/>
      <c r="AS25" s="449"/>
      <c r="AT25" s="451"/>
      <c r="AU25" s="451"/>
      <c r="AV25" s="451"/>
      <c r="AW25" s="451"/>
      <c r="AX25" s="449"/>
      <c r="AY25" s="451"/>
      <c r="AZ25" s="451"/>
      <c r="BA25" s="451"/>
      <c r="BB25" s="451"/>
      <c r="BC25" s="32"/>
      <c r="BD25" s="451"/>
      <c r="BE25" s="451"/>
      <c r="BF25" s="451"/>
      <c r="BG25" s="451"/>
      <c r="BH25" s="32"/>
      <c r="BI25" s="451"/>
      <c r="BJ25" s="451"/>
      <c r="BK25" s="451"/>
      <c r="BL25" s="451"/>
      <c r="BM25" s="518"/>
      <c r="BN25" s="451"/>
      <c r="BO25" s="451"/>
      <c r="BP25" s="451"/>
      <c r="BQ25" s="451"/>
      <c r="BR25" s="32"/>
      <c r="BS25" s="451"/>
      <c r="BT25" s="451"/>
      <c r="BU25" s="451"/>
      <c r="BV25" s="451"/>
      <c r="BW25" s="32"/>
      <c r="BX25" s="417">
        <v>12.319000000000003</v>
      </c>
      <c r="BY25" s="417">
        <v>8.0559999999999974</v>
      </c>
      <c r="BZ25" s="417">
        <v>0</v>
      </c>
      <c r="CA25" s="417">
        <v>0</v>
      </c>
      <c r="CB25" s="188">
        <f>SUM(BX25:CA25)</f>
        <v>20.375</v>
      </c>
      <c r="CC25" s="417">
        <v>0</v>
      </c>
      <c r="CD25" s="417">
        <v>0</v>
      </c>
      <c r="CE25" s="417">
        <v>0</v>
      </c>
      <c r="CF25" s="417">
        <v>0</v>
      </c>
      <c r="CG25" s="188">
        <f>SUM(CC25:CF25)</f>
        <v>0</v>
      </c>
      <c r="CH25" s="417">
        <v>0</v>
      </c>
      <c r="CI25" s="739">
        <v>0</v>
      </c>
      <c r="CJ25" s="739"/>
      <c r="CK25" s="739"/>
      <c r="CL25" s="188"/>
      <c r="CM25" s="739"/>
      <c r="CN25" s="739"/>
      <c r="CO25" s="739"/>
      <c r="CP25" s="739"/>
      <c r="CQ25" s="188"/>
      <c r="CR25" s="739"/>
      <c r="CS25" s="739"/>
      <c r="CT25" s="739"/>
      <c r="CU25" s="739"/>
      <c r="CV25" s="188"/>
    </row>
    <row r="26" spans="5:100" ht="3.75" customHeight="1" x14ac:dyDescent="0.25">
      <c r="E26" s="91"/>
      <c r="F26" s="448"/>
      <c r="G26" s="448"/>
      <c r="H26" s="448"/>
      <c r="I26" s="448"/>
      <c r="J26" s="448"/>
      <c r="K26" s="451"/>
      <c r="L26" s="451"/>
      <c r="M26" s="451"/>
      <c r="N26" s="451"/>
      <c r="O26" s="449"/>
      <c r="P26" s="451"/>
      <c r="Q26" s="451"/>
      <c r="R26" s="451"/>
      <c r="S26" s="451"/>
      <c r="T26" s="449"/>
      <c r="U26" s="451"/>
      <c r="V26" s="451"/>
      <c r="W26" s="451"/>
      <c r="X26" s="451"/>
      <c r="Y26" s="449"/>
      <c r="Z26" s="451"/>
      <c r="AA26" s="451"/>
      <c r="AB26" s="451"/>
      <c r="AC26" s="451"/>
      <c r="AD26" s="449"/>
      <c r="AE26" s="451"/>
      <c r="AF26" s="451"/>
      <c r="AG26" s="451"/>
      <c r="AH26" s="451"/>
      <c r="AI26" s="370"/>
      <c r="AJ26" s="451"/>
      <c r="AK26" s="451"/>
      <c r="AL26" s="451"/>
      <c r="AM26" s="451"/>
      <c r="AN26" s="370"/>
      <c r="AO26" s="451"/>
      <c r="AP26" s="451"/>
      <c r="AQ26" s="451"/>
      <c r="AR26" s="451"/>
      <c r="AS26" s="449"/>
      <c r="AT26" s="451"/>
      <c r="AU26" s="451"/>
      <c r="AV26" s="451"/>
      <c r="AW26" s="451"/>
      <c r="AX26" s="449"/>
      <c r="AY26" s="451"/>
      <c r="AZ26" s="451"/>
      <c r="BA26" s="451"/>
      <c r="BB26" s="451"/>
      <c r="BC26" s="32"/>
      <c r="BD26" s="451"/>
      <c r="BE26" s="451"/>
      <c r="BF26" s="451"/>
      <c r="BG26" s="451"/>
      <c r="BH26" s="32"/>
      <c r="BI26" s="451"/>
      <c r="BJ26" s="451"/>
      <c r="BK26" s="451"/>
      <c r="BL26" s="451"/>
      <c r="BM26" s="518"/>
      <c r="BN26" s="451"/>
      <c r="BO26" s="451"/>
      <c r="BP26" s="451"/>
      <c r="BQ26" s="451"/>
      <c r="BR26" s="32"/>
      <c r="BS26" s="451"/>
      <c r="BT26" s="451"/>
      <c r="BU26" s="451"/>
      <c r="BV26" s="451"/>
      <c r="BW26" s="32"/>
      <c r="BX26" s="451"/>
      <c r="BY26" s="451"/>
      <c r="BZ26" s="451"/>
      <c r="CA26" s="451"/>
      <c r="CB26" s="32"/>
      <c r="CC26" s="451"/>
      <c r="CD26" s="451"/>
      <c r="CE26" s="451"/>
      <c r="CF26" s="451"/>
      <c r="CG26" s="32"/>
      <c r="CH26" s="451"/>
      <c r="CI26" s="451"/>
      <c r="CJ26" s="451"/>
      <c r="CK26" s="451"/>
      <c r="CL26" s="32"/>
      <c r="CM26" s="451"/>
      <c r="CN26" s="451"/>
      <c r="CO26" s="451"/>
      <c r="CP26" s="451"/>
      <c r="CQ26" s="32"/>
      <c r="CR26" s="451"/>
      <c r="CS26" s="451"/>
      <c r="CT26" s="451"/>
      <c r="CU26" s="451"/>
      <c r="CV26" s="32"/>
    </row>
    <row r="27" spans="5:100" ht="13.5" customHeight="1" x14ac:dyDescent="0.3">
      <c r="E27" s="564" t="s">
        <v>763</v>
      </c>
      <c r="F27" s="741"/>
      <c r="G27" s="741"/>
      <c r="H27" s="741"/>
      <c r="I27" s="741"/>
      <c r="J27" s="741"/>
      <c r="K27" s="741"/>
      <c r="L27" s="741"/>
      <c r="M27" s="741"/>
      <c r="N27" s="741"/>
      <c r="O27" s="736"/>
      <c r="P27" s="741"/>
      <c r="Q27" s="741"/>
      <c r="R27" s="741"/>
      <c r="S27" s="741"/>
      <c r="T27" s="736"/>
      <c r="U27" s="741"/>
      <c r="V27" s="741"/>
      <c r="W27" s="741"/>
      <c r="X27" s="741"/>
      <c r="Y27" s="736"/>
      <c r="Z27" s="741"/>
      <c r="AA27" s="741"/>
      <c r="AB27" s="741"/>
      <c r="AC27" s="741"/>
      <c r="AD27" s="736"/>
      <c r="AE27" s="741"/>
      <c r="AF27" s="741"/>
      <c r="AG27" s="741"/>
      <c r="AH27" s="741"/>
      <c r="AI27" s="740"/>
      <c r="AJ27" s="741"/>
      <c r="AK27" s="741"/>
      <c r="AL27" s="741"/>
      <c r="AM27" s="741"/>
      <c r="AN27" s="740"/>
      <c r="AO27" s="741"/>
      <c r="AP27" s="741"/>
      <c r="AQ27" s="741"/>
      <c r="AR27" s="741"/>
      <c r="AS27" s="736"/>
      <c r="AT27" s="741"/>
      <c r="AU27" s="741"/>
      <c r="AV27" s="741"/>
      <c r="AW27" s="741"/>
      <c r="AX27" s="736"/>
      <c r="AY27" s="741"/>
      <c r="AZ27" s="741"/>
      <c r="BA27" s="741"/>
      <c r="BB27" s="741"/>
      <c r="BC27" s="735"/>
      <c r="BD27" s="741"/>
      <c r="BE27" s="741"/>
      <c r="BF27" s="741"/>
      <c r="BG27" s="741"/>
      <c r="BH27" s="735"/>
      <c r="BI27" s="741"/>
      <c r="BJ27" s="741"/>
      <c r="BK27" s="741"/>
      <c r="BL27" s="741"/>
      <c r="BM27" s="734"/>
      <c r="BN27" s="741"/>
      <c r="BO27" s="741"/>
      <c r="BP27" s="741"/>
      <c r="BQ27" s="741"/>
      <c r="BR27" s="735"/>
      <c r="BS27" s="741"/>
      <c r="BT27" s="741"/>
      <c r="BU27" s="741"/>
      <c r="BV27" s="741"/>
      <c r="BW27" s="735"/>
      <c r="BX27" s="642">
        <f>BX17-BX20-BX25</f>
        <v>162.68200000000002</v>
      </c>
      <c r="BY27" s="642">
        <f>BY17-BY20-BY25</f>
        <v>165.81099999999998</v>
      </c>
      <c r="BZ27" s="642">
        <f>BZ17-BZ20-BZ25</f>
        <v>169.31200000000001</v>
      </c>
      <c r="CA27" s="642">
        <f>CA17-CA20-CA25</f>
        <v>167.46800000000002</v>
      </c>
      <c r="CB27" s="733">
        <f>SUM(BX27:CA27)</f>
        <v>665.27300000000002</v>
      </c>
      <c r="CC27" s="642">
        <f>CC17-CC20-CC25</f>
        <v>152.75699999999998</v>
      </c>
      <c r="CD27" s="642">
        <f>CD17-CD20-CD25</f>
        <v>160.227</v>
      </c>
      <c r="CE27" s="642">
        <f>CE17-CE20-CE25</f>
        <v>166.75</v>
      </c>
      <c r="CF27" s="642">
        <f>CF17-CF20-CF25</f>
        <v>177.57099999999997</v>
      </c>
      <c r="CG27" s="733">
        <f>SUM(CC27:CF27)</f>
        <v>657.30499999999995</v>
      </c>
      <c r="CH27" s="642">
        <f>CH17-CH20-CH25</f>
        <v>160.202</v>
      </c>
      <c r="CI27" s="642">
        <f>CI17-CI20-CI25</f>
        <v>166.42382000000001</v>
      </c>
      <c r="CJ27" s="642"/>
      <c r="CK27" s="642"/>
      <c r="CL27" s="540">
        <f>SUM(CH27:CK27)</f>
        <v>326.62581999999998</v>
      </c>
      <c r="CM27" s="642"/>
      <c r="CN27" s="642"/>
      <c r="CO27" s="642"/>
      <c r="CP27" s="642"/>
      <c r="CQ27" s="733"/>
      <c r="CR27" s="642"/>
      <c r="CS27" s="642"/>
      <c r="CT27" s="642"/>
      <c r="CU27" s="642"/>
      <c r="CV27" s="733"/>
    </row>
    <row r="28" spans="5:100" ht="13.5" customHeight="1" x14ac:dyDescent="0.25">
      <c r="E28" s="541" t="s">
        <v>2</v>
      </c>
      <c r="F28" s="737"/>
      <c r="G28" s="737"/>
      <c r="H28" s="737"/>
      <c r="I28" s="737"/>
      <c r="J28" s="737"/>
      <c r="K28" s="737"/>
      <c r="L28" s="737"/>
      <c r="M28" s="737"/>
      <c r="N28" s="737"/>
      <c r="O28" s="569"/>
      <c r="P28" s="737"/>
      <c r="Q28" s="737"/>
      <c r="R28" s="737"/>
      <c r="S28" s="737"/>
      <c r="T28" s="569"/>
      <c r="U28" s="737"/>
      <c r="V28" s="737"/>
      <c r="W28" s="737"/>
      <c r="X28" s="737"/>
      <c r="Y28" s="569"/>
      <c r="Z28" s="737"/>
      <c r="AA28" s="737"/>
      <c r="AB28" s="737"/>
      <c r="AC28" s="737"/>
      <c r="AD28" s="569"/>
      <c r="AE28" s="737"/>
      <c r="AF28" s="737"/>
      <c r="AG28" s="737"/>
      <c r="AH28" s="737"/>
      <c r="AI28" s="570"/>
      <c r="AJ28" s="737"/>
      <c r="AK28" s="737"/>
      <c r="AL28" s="737"/>
      <c r="AM28" s="737"/>
      <c r="AN28" s="570"/>
      <c r="AO28" s="737"/>
      <c r="AP28" s="737"/>
      <c r="AQ28" s="737"/>
      <c r="AR28" s="737"/>
      <c r="AS28" s="569"/>
      <c r="AT28" s="737"/>
      <c r="AU28" s="737"/>
      <c r="AV28" s="737"/>
      <c r="AW28" s="737"/>
      <c r="AX28" s="569"/>
      <c r="AY28" s="737"/>
      <c r="AZ28" s="737"/>
      <c r="BA28" s="737"/>
      <c r="BB28" s="737"/>
      <c r="BC28" s="641"/>
      <c r="BD28" s="737"/>
      <c r="BE28" s="737"/>
      <c r="BF28" s="737"/>
      <c r="BG28" s="737"/>
      <c r="BH28" s="641"/>
      <c r="BI28" s="737"/>
      <c r="BJ28" s="737"/>
      <c r="BK28" s="737"/>
      <c r="BL28" s="737"/>
      <c r="BM28" s="518"/>
      <c r="BN28" s="737"/>
      <c r="BO28" s="737"/>
      <c r="BP28" s="737"/>
      <c r="BQ28" s="737"/>
      <c r="BR28" s="641"/>
      <c r="BS28" s="737"/>
      <c r="BT28" s="737"/>
      <c r="BU28" s="737"/>
      <c r="BV28" s="737"/>
      <c r="BW28" s="641"/>
      <c r="BX28" s="737"/>
      <c r="BY28" s="737"/>
      <c r="BZ28" s="737"/>
      <c r="CA28" s="737"/>
      <c r="CB28" s="641"/>
      <c r="CC28" s="641">
        <f t="shared" ref="CC28:CI28" si="4">CC27/BX27-1</f>
        <v>-6.1008593452256843E-2</v>
      </c>
      <c r="CD28" s="641">
        <f t="shared" si="4"/>
        <v>-3.3676897190174193E-2</v>
      </c>
      <c r="CE28" s="641">
        <f t="shared" si="4"/>
        <v>-1.5131827631827743E-2</v>
      </c>
      <c r="CF28" s="641">
        <f t="shared" si="4"/>
        <v>6.0327943248859262E-2</v>
      </c>
      <c r="CG28" s="641">
        <f t="shared" si="4"/>
        <v>-1.1977037997934814E-2</v>
      </c>
      <c r="CH28" s="641">
        <f t="shared" si="4"/>
        <v>4.8737537395995068E-2</v>
      </c>
      <c r="CI28" s="641">
        <f t="shared" si="4"/>
        <v>3.8675254482702703E-2</v>
      </c>
      <c r="CJ28" s="641"/>
      <c r="CK28" s="641"/>
      <c r="CL28" s="641"/>
      <c r="CM28" s="641"/>
      <c r="CN28" s="641"/>
      <c r="CO28" s="641"/>
      <c r="CP28" s="641"/>
      <c r="CQ28" s="641"/>
      <c r="CR28" s="641"/>
      <c r="CS28" s="641"/>
      <c r="CT28" s="641"/>
      <c r="CU28" s="641"/>
      <c r="CV28" s="641"/>
    </row>
    <row r="29" spans="5:100" ht="3.75" customHeight="1" x14ac:dyDescent="0.25">
      <c r="E29" s="365"/>
      <c r="F29" s="448"/>
      <c r="G29" s="448"/>
      <c r="H29" s="448"/>
      <c r="I29" s="448"/>
      <c r="J29" s="448"/>
      <c r="K29" s="451"/>
      <c r="L29" s="451"/>
      <c r="M29" s="451"/>
      <c r="N29" s="451"/>
      <c r="O29" s="449"/>
      <c r="P29" s="451"/>
      <c r="Q29" s="451"/>
      <c r="R29" s="451"/>
      <c r="S29" s="451"/>
      <c r="T29" s="449"/>
      <c r="U29" s="451"/>
      <c r="V29" s="451"/>
      <c r="W29" s="451"/>
      <c r="X29" s="451"/>
      <c r="Y29" s="449"/>
      <c r="Z29" s="451"/>
      <c r="AA29" s="451"/>
      <c r="AB29" s="451"/>
      <c r="AC29" s="451"/>
      <c r="AD29" s="449"/>
      <c r="AE29" s="451"/>
      <c r="AF29" s="451"/>
      <c r="AG29" s="451"/>
      <c r="AH29" s="451"/>
      <c r="AI29" s="370"/>
      <c r="AJ29" s="451"/>
      <c r="AK29" s="451"/>
      <c r="AL29" s="451"/>
      <c r="AM29" s="451"/>
      <c r="AN29" s="370"/>
      <c r="AO29" s="451"/>
      <c r="AP29" s="451"/>
      <c r="AQ29" s="451"/>
      <c r="AR29" s="451"/>
      <c r="AS29" s="449"/>
      <c r="AT29" s="451"/>
      <c r="AU29" s="451"/>
      <c r="AV29" s="451"/>
      <c r="AW29" s="451"/>
      <c r="AX29" s="449"/>
      <c r="AY29" s="451"/>
      <c r="AZ29" s="451"/>
      <c r="BA29" s="451"/>
      <c r="BB29" s="451"/>
      <c r="BC29" s="32"/>
      <c r="BD29" s="451"/>
      <c r="BE29" s="451"/>
      <c r="BF29" s="451"/>
      <c r="BG29" s="451"/>
      <c r="BH29" s="32"/>
      <c r="BI29" s="451"/>
      <c r="BJ29" s="451"/>
      <c r="BK29" s="451"/>
      <c r="BL29" s="451"/>
      <c r="BM29" s="518"/>
      <c r="BN29" s="451"/>
      <c r="BO29" s="451"/>
      <c r="BP29" s="451"/>
      <c r="BQ29" s="451"/>
      <c r="BR29" s="32"/>
      <c r="BS29" s="451"/>
      <c r="BT29" s="451"/>
      <c r="BU29" s="451"/>
      <c r="BV29" s="451"/>
      <c r="BW29" s="32"/>
      <c r="BX29" s="451"/>
      <c r="BY29" s="451"/>
      <c r="BZ29" s="451"/>
      <c r="CA29" s="451"/>
      <c r="CB29" s="32"/>
      <c r="CC29" s="451"/>
      <c r="CD29" s="451"/>
      <c r="CE29" s="451"/>
      <c r="CF29" s="451"/>
      <c r="CG29" s="32"/>
      <c r="CH29" s="451"/>
      <c r="CI29" s="451"/>
      <c r="CJ29" s="451"/>
      <c r="CK29" s="451"/>
      <c r="CL29" s="32"/>
      <c r="CM29" s="451"/>
      <c r="CN29" s="451"/>
      <c r="CO29" s="451"/>
      <c r="CP29" s="451"/>
      <c r="CQ29" s="32"/>
      <c r="CR29" s="451"/>
      <c r="CS29" s="451"/>
      <c r="CT29" s="451"/>
      <c r="CU29" s="451"/>
      <c r="CV29" s="32"/>
    </row>
    <row r="30" spans="5:100" ht="13.5" x14ac:dyDescent="0.25">
      <c r="E30" s="365" t="s">
        <v>643</v>
      </c>
      <c r="F30" s="524"/>
      <c r="G30" s="524"/>
      <c r="H30" s="524"/>
      <c r="I30" s="524"/>
      <c r="J30" s="524"/>
      <c r="O30" s="524"/>
      <c r="T30" s="524"/>
      <c r="Y30" s="524"/>
      <c r="AD30" s="524"/>
      <c r="AI30" s="524"/>
      <c r="AN30" s="524"/>
      <c r="AS30" s="524"/>
      <c r="AX30" s="524"/>
      <c r="BC30" s="524"/>
      <c r="BH30" s="524"/>
      <c r="BM30" s="524"/>
      <c r="BR30" s="524"/>
      <c r="BW30" s="524"/>
      <c r="CB30" s="524"/>
      <c r="CG30" s="524"/>
      <c r="CL30" s="524"/>
      <c r="CQ30" s="524"/>
      <c r="CV30" s="524"/>
    </row>
    <row r="31" spans="5:100" ht="3.75" customHeight="1" x14ac:dyDescent="0.25">
      <c r="F31" s="524"/>
      <c r="G31" s="524"/>
      <c r="H31" s="524"/>
      <c r="I31" s="524"/>
      <c r="J31" s="524"/>
      <c r="O31" s="524"/>
      <c r="T31" s="524"/>
      <c r="Y31" s="524"/>
      <c r="AD31" s="524"/>
      <c r="AI31" s="524"/>
      <c r="AN31" s="524"/>
      <c r="AS31" s="524"/>
      <c r="AX31" s="524"/>
      <c r="BC31" s="524"/>
      <c r="BH31" s="524"/>
      <c r="BM31" s="524"/>
      <c r="BR31" s="524"/>
      <c r="BW31" s="524"/>
      <c r="CB31" s="524"/>
      <c r="CG31" s="524"/>
      <c r="CL31" s="524"/>
      <c r="CQ31" s="524"/>
      <c r="CV31" s="524"/>
    </row>
    <row r="32" spans="5:100" ht="13.5" x14ac:dyDescent="0.25">
      <c r="E32" s="54" t="s">
        <v>753</v>
      </c>
      <c r="F32" s="185"/>
      <c r="G32" s="185"/>
      <c r="H32" s="185"/>
      <c r="I32" s="185"/>
      <c r="J32" s="185"/>
      <c r="K32" s="122"/>
      <c r="L32" s="122"/>
      <c r="M32" s="122"/>
      <c r="N32" s="122"/>
      <c r="O32" s="161"/>
      <c r="P32" s="122"/>
      <c r="Q32" s="122"/>
      <c r="R32" s="122"/>
      <c r="S32" s="122"/>
      <c r="T32" s="161"/>
      <c r="U32" s="122"/>
      <c r="V32" s="122"/>
      <c r="W32" s="122"/>
      <c r="X32" s="122"/>
      <c r="Y32" s="161"/>
      <c r="Z32" s="128"/>
      <c r="AA32" s="128"/>
      <c r="AB32" s="128"/>
      <c r="AC32" s="128"/>
      <c r="AD32" s="161"/>
      <c r="AE32" s="128"/>
      <c r="AF32" s="128"/>
      <c r="AG32" s="128"/>
      <c r="AH32" s="128"/>
      <c r="AI32" s="140"/>
      <c r="AJ32" s="721"/>
      <c r="AK32" s="721"/>
      <c r="AL32" s="721"/>
      <c r="AM32" s="721"/>
      <c r="AN32" s="140"/>
      <c r="AO32" s="721"/>
      <c r="AP32" s="721"/>
      <c r="AQ32" s="721"/>
      <c r="AR32" s="726"/>
      <c r="AS32" s="161"/>
      <c r="AT32" s="439"/>
      <c r="AU32" s="439"/>
      <c r="AV32" s="439"/>
      <c r="AW32" s="439"/>
      <c r="AX32" s="161"/>
      <c r="AY32" s="439"/>
      <c r="AZ32" s="439"/>
      <c r="BA32" s="439"/>
      <c r="BB32" s="439"/>
      <c r="BC32" s="161"/>
      <c r="BD32" s="439"/>
      <c r="BE32" s="439"/>
      <c r="BF32" s="439"/>
      <c r="BG32" s="439"/>
      <c r="BH32" s="161"/>
      <c r="BI32" s="439"/>
      <c r="BJ32" s="439"/>
      <c r="BK32" s="439"/>
      <c r="BL32" s="439"/>
      <c r="BM32" s="161"/>
      <c r="BN32" s="417"/>
      <c r="BO32" s="417"/>
      <c r="BP32" s="417"/>
      <c r="BQ32" s="417"/>
      <c r="BR32" s="540"/>
      <c r="BS32" s="417"/>
      <c r="BT32" s="417"/>
      <c r="BU32" s="417"/>
      <c r="BV32" s="417"/>
      <c r="BW32" s="540"/>
      <c r="BX32" s="721">
        <f>BX39-BX36</f>
        <v>72.757999999999981</v>
      </c>
      <c r="BY32" s="721">
        <f>BY39-BY36</f>
        <v>76.471000000000004</v>
      </c>
      <c r="BZ32" s="721">
        <f>BZ39-BZ36</f>
        <v>82.010999999999996</v>
      </c>
      <c r="CA32" s="721">
        <f>CA39-CA36</f>
        <v>80.584000000000017</v>
      </c>
      <c r="CB32" s="540">
        <f>SUM(BX32:CA32)</f>
        <v>311.82400000000001</v>
      </c>
      <c r="CC32" s="721">
        <f>CC39-CC36</f>
        <v>73.399999999999977</v>
      </c>
      <c r="CD32" s="721">
        <f>CD39-CD36</f>
        <v>76.978999999999999</v>
      </c>
      <c r="CE32" s="721">
        <f>CE39-CE36</f>
        <v>79.344000000000008</v>
      </c>
      <c r="CF32" s="721">
        <f>CF39-CF36</f>
        <v>82.482999999999976</v>
      </c>
      <c r="CG32" s="540">
        <f>SUM(CC32:CF32)</f>
        <v>312.2059999999999</v>
      </c>
      <c r="CH32" s="721">
        <f>CH39-CH36</f>
        <v>68.504000000000005</v>
      </c>
      <c r="CI32" s="631">
        <f>'Acxiom Marketing Solutions'!CI11*CI34</f>
        <v>70.422850999999994</v>
      </c>
      <c r="CJ32" s="631"/>
      <c r="CK32" s="631"/>
      <c r="CL32" s="540"/>
      <c r="CM32" s="631"/>
      <c r="CN32" s="631"/>
      <c r="CO32" s="631"/>
      <c r="CP32" s="631"/>
      <c r="CQ32" s="540"/>
      <c r="CR32" s="631"/>
      <c r="CS32" s="631"/>
      <c r="CT32" s="631"/>
      <c r="CU32" s="631"/>
      <c r="CV32" s="540"/>
    </row>
    <row r="33" spans="5:100" ht="13.5" x14ac:dyDescent="0.25">
      <c r="E33" s="365" t="s">
        <v>2</v>
      </c>
      <c r="F33" s="185"/>
      <c r="G33" s="185"/>
      <c r="H33" s="185"/>
      <c r="I33" s="185"/>
      <c r="J33" s="185"/>
      <c r="K33" s="122"/>
      <c r="L33" s="122"/>
      <c r="M33" s="122"/>
      <c r="N33" s="122"/>
      <c r="O33" s="161"/>
      <c r="P33" s="122"/>
      <c r="Q33" s="122"/>
      <c r="R33" s="122"/>
      <c r="S33" s="122"/>
      <c r="T33" s="161"/>
      <c r="U33" s="122"/>
      <c r="V33" s="122"/>
      <c r="W33" s="122"/>
      <c r="X33" s="122"/>
      <c r="Y33" s="161"/>
      <c r="Z33" s="128"/>
      <c r="AA33" s="128"/>
      <c r="AB33" s="128"/>
      <c r="AC33" s="128"/>
      <c r="AD33" s="161"/>
      <c r="AE33" s="128"/>
      <c r="AF33" s="128"/>
      <c r="AG33" s="128"/>
      <c r="AH33" s="128"/>
      <c r="AI33" s="140"/>
      <c r="AJ33" s="721"/>
      <c r="AK33" s="721"/>
      <c r="AL33" s="721"/>
      <c r="AM33" s="721"/>
      <c r="AN33" s="140"/>
      <c r="AO33" s="721"/>
      <c r="AP33" s="721"/>
      <c r="AQ33" s="721"/>
      <c r="AR33" s="726"/>
      <c r="AS33" s="161"/>
      <c r="AT33" s="439"/>
      <c r="AU33" s="439"/>
      <c r="AV33" s="439"/>
      <c r="AW33" s="439"/>
      <c r="AX33" s="161"/>
      <c r="AY33" s="439"/>
      <c r="AZ33" s="439"/>
      <c r="BA33" s="439"/>
      <c r="BB33" s="439"/>
      <c r="BC33" s="161"/>
      <c r="BD33" s="439"/>
      <c r="BE33" s="439"/>
      <c r="BF33" s="439"/>
      <c r="BG33" s="439"/>
      <c r="BH33" s="161"/>
      <c r="BI33" s="439"/>
      <c r="BJ33" s="439"/>
      <c r="BK33" s="439"/>
      <c r="BL33" s="439"/>
      <c r="BM33" s="161"/>
      <c r="BN33" s="363"/>
      <c r="BO33" s="363"/>
      <c r="BP33" s="363"/>
      <c r="BQ33" s="363"/>
      <c r="BR33" s="641"/>
      <c r="BS33" s="363"/>
      <c r="BT33" s="363"/>
      <c r="BU33" s="363"/>
      <c r="BV33" s="363"/>
      <c r="BW33" s="641"/>
      <c r="BX33" s="475" t="s">
        <v>490</v>
      </c>
      <c r="BY33" s="475" t="s">
        <v>490</v>
      </c>
      <c r="BZ33" s="475" t="s">
        <v>490</v>
      </c>
      <c r="CA33" s="475" t="s">
        <v>490</v>
      </c>
      <c r="CB33" s="580" t="s">
        <v>490</v>
      </c>
      <c r="CC33" s="363">
        <f t="shared" ref="CC33:CI33" si="5">(CC32-BX32)/ABS(BX32)</f>
        <v>8.8237719563483887E-3</v>
      </c>
      <c r="CD33" s="363">
        <f t="shared" si="5"/>
        <v>6.6430411528552724E-3</v>
      </c>
      <c r="CE33" s="363">
        <f>(CE32-BZ32)/ABS(BZ32)</f>
        <v>-3.2520027801148474E-2</v>
      </c>
      <c r="CF33" s="363">
        <f t="shared" si="5"/>
        <v>2.3565472054005235E-2</v>
      </c>
      <c r="CG33" s="641">
        <f t="shared" si="5"/>
        <v>1.2250500282206991E-3</v>
      </c>
      <c r="CH33" s="363">
        <f>(CH32-CC32)/ABS(CC32)</f>
        <v>-6.6702997275203998E-2</v>
      </c>
      <c r="CI33" s="363">
        <f t="shared" si="5"/>
        <v>-8.5168019849569426E-2</v>
      </c>
      <c r="CJ33" s="363"/>
      <c r="CK33" s="363"/>
      <c r="CL33" s="641"/>
      <c r="CM33" s="363"/>
      <c r="CN33" s="363"/>
      <c r="CO33" s="363"/>
      <c r="CP33" s="363"/>
      <c r="CQ33" s="641"/>
      <c r="CR33" s="363"/>
      <c r="CS33" s="363"/>
      <c r="CT33" s="363"/>
      <c r="CU33" s="363"/>
      <c r="CV33" s="641"/>
    </row>
    <row r="34" spans="5:100" ht="13.5" x14ac:dyDescent="0.25">
      <c r="E34" s="365" t="s">
        <v>91</v>
      </c>
      <c r="F34" s="185"/>
      <c r="G34" s="185"/>
      <c r="H34" s="185"/>
      <c r="I34" s="185"/>
      <c r="J34" s="185"/>
      <c r="K34" s="122"/>
      <c r="L34" s="122"/>
      <c r="M34" s="122"/>
      <c r="N34" s="122"/>
      <c r="O34" s="161"/>
      <c r="P34" s="122"/>
      <c r="Q34" s="122"/>
      <c r="R34" s="122"/>
      <c r="S34" s="122"/>
      <c r="T34" s="161"/>
      <c r="U34" s="122"/>
      <c r="V34" s="122"/>
      <c r="W34" s="122"/>
      <c r="X34" s="122"/>
      <c r="Y34" s="161"/>
      <c r="Z34" s="128"/>
      <c r="AA34" s="128"/>
      <c r="AB34" s="128"/>
      <c r="AC34" s="128"/>
      <c r="AD34" s="161"/>
      <c r="AE34" s="128"/>
      <c r="AF34" s="128"/>
      <c r="AG34" s="128"/>
      <c r="AH34" s="128"/>
      <c r="AI34" s="140"/>
      <c r="AJ34" s="721"/>
      <c r="AK34" s="721"/>
      <c r="AL34" s="721"/>
      <c r="AM34" s="721"/>
      <c r="AN34" s="140"/>
      <c r="AO34" s="721"/>
      <c r="AP34" s="721"/>
      <c r="AQ34" s="721"/>
      <c r="AR34" s="726"/>
      <c r="AS34" s="161"/>
      <c r="AT34" s="439"/>
      <c r="AU34" s="439"/>
      <c r="AV34" s="439"/>
      <c r="AW34" s="439"/>
      <c r="AX34" s="161"/>
      <c r="AY34" s="439"/>
      <c r="AZ34" s="439"/>
      <c r="BA34" s="439"/>
      <c r="BB34" s="439"/>
      <c r="BC34" s="161"/>
      <c r="BD34" s="439"/>
      <c r="BE34" s="439"/>
      <c r="BF34" s="439"/>
      <c r="BG34" s="439"/>
      <c r="BH34" s="161"/>
      <c r="BI34" s="439"/>
      <c r="BJ34" s="439"/>
      <c r="BK34" s="439"/>
      <c r="BL34" s="439"/>
      <c r="BM34" s="161"/>
      <c r="BN34" s="363"/>
      <c r="BO34" s="363"/>
      <c r="BP34" s="363"/>
      <c r="BQ34" s="363"/>
      <c r="BR34" s="641"/>
      <c r="BS34" s="363"/>
      <c r="BT34" s="363"/>
      <c r="BU34" s="363"/>
      <c r="BV34" s="363"/>
      <c r="BW34" s="641"/>
      <c r="BX34" s="363">
        <f>BX32/'Acxiom Marketing Solutions'!BX11</f>
        <v>0.43620427103442477</v>
      </c>
      <c r="BY34" s="363">
        <f>BY32/'Acxiom Marketing Solutions'!BY11</f>
        <v>0.45594171272529976</v>
      </c>
      <c r="BZ34" s="363">
        <f>BZ32/'Acxiom Marketing Solutions'!BZ11</f>
        <v>0.49570247334445483</v>
      </c>
      <c r="CA34" s="363">
        <f>CA32/'Acxiom Marketing Solutions'!CA11</f>
        <v>0.48916461290048441</v>
      </c>
      <c r="CB34" s="641">
        <f>CB32/'Acxiom Marketing Solutions'!CB11</f>
        <v>0.46911919795517082</v>
      </c>
      <c r="CC34" s="363">
        <f>CC32/'Acxiom Marketing Solutions'!CC11</f>
        <v>0.48248208768816142</v>
      </c>
      <c r="CD34" s="363">
        <f>CD32/'Acxiom Marketing Solutions'!CD11</f>
        <v>0.49015600127347975</v>
      </c>
      <c r="CE34" s="363">
        <f>CE32/'Acxiom Marketing Solutions'!CE11</f>
        <v>0.49647404811813667</v>
      </c>
      <c r="CF34" s="363">
        <f>CF32/'Acxiom Marketing Solutions'!CF11</f>
        <v>0.49088842335801175</v>
      </c>
      <c r="CG34" s="641">
        <f>CG32/'Acxiom Marketing Solutions'!CG11</f>
        <v>0.49010161328554847</v>
      </c>
      <c r="CH34" s="363">
        <f>CH32/'Acxiom Marketing Solutions'!CH11</f>
        <v>0.45576054342113143</v>
      </c>
      <c r="CI34" s="727">
        <f>CD34-0.025</f>
        <v>0.46515600127347972</v>
      </c>
      <c r="CJ34" s="727"/>
      <c r="CK34" s="727"/>
      <c r="CL34" s="641"/>
      <c r="CM34" s="727"/>
      <c r="CN34" s="727"/>
      <c r="CO34" s="727"/>
      <c r="CP34" s="727"/>
      <c r="CQ34" s="641"/>
      <c r="CR34" s="727"/>
      <c r="CS34" s="727"/>
      <c r="CT34" s="727"/>
      <c r="CU34" s="727"/>
      <c r="CV34" s="641"/>
    </row>
    <row r="35" spans="5:100" ht="3.75" customHeight="1" x14ac:dyDescent="0.25">
      <c r="E35" s="365"/>
      <c r="F35" s="185"/>
      <c r="G35" s="185"/>
      <c r="H35" s="185"/>
      <c r="I35" s="185"/>
      <c r="J35" s="185"/>
      <c r="K35" s="122"/>
      <c r="L35" s="122"/>
      <c r="M35" s="122"/>
      <c r="N35" s="122"/>
      <c r="O35" s="161"/>
      <c r="P35" s="122"/>
      <c r="Q35" s="122"/>
      <c r="R35" s="122"/>
      <c r="S35" s="122"/>
      <c r="T35" s="161"/>
      <c r="U35" s="122"/>
      <c r="V35" s="122"/>
      <c r="W35" s="122"/>
      <c r="X35" s="122"/>
      <c r="Y35" s="161"/>
      <c r="Z35" s="128"/>
      <c r="AA35" s="128"/>
      <c r="AB35" s="128"/>
      <c r="AC35" s="128"/>
      <c r="AD35" s="161"/>
      <c r="AE35" s="128"/>
      <c r="AF35" s="128"/>
      <c r="AG35" s="128"/>
      <c r="AH35" s="128"/>
      <c r="AI35" s="140"/>
      <c r="AJ35" s="721"/>
      <c r="AK35" s="721"/>
      <c r="AL35" s="721"/>
      <c r="AM35" s="721"/>
      <c r="AN35" s="140"/>
      <c r="AO35" s="721"/>
      <c r="AP35" s="721"/>
      <c r="AQ35" s="721"/>
      <c r="AR35" s="726"/>
      <c r="AS35" s="161"/>
      <c r="AT35" s="439"/>
      <c r="AU35" s="439"/>
      <c r="AV35" s="439"/>
      <c r="AW35" s="439"/>
      <c r="AX35" s="161"/>
      <c r="AY35" s="439"/>
      <c r="AZ35" s="439"/>
      <c r="BA35" s="439"/>
      <c r="BB35" s="439"/>
      <c r="BC35" s="161"/>
      <c r="BD35" s="439"/>
      <c r="BE35" s="439"/>
      <c r="BF35" s="439"/>
      <c r="BG35" s="439"/>
      <c r="BH35" s="161"/>
      <c r="BI35" s="439"/>
      <c r="BJ35" s="439"/>
      <c r="BK35" s="439"/>
      <c r="BL35" s="439"/>
      <c r="BM35" s="161"/>
      <c r="BN35" s="363"/>
      <c r="BO35" s="363"/>
      <c r="BP35" s="363"/>
      <c r="BQ35" s="363"/>
      <c r="BR35" s="641"/>
      <c r="BS35" s="363"/>
      <c r="BT35" s="363"/>
      <c r="BU35" s="363"/>
      <c r="BV35" s="363"/>
      <c r="BW35" s="641"/>
      <c r="BX35" s="363"/>
      <c r="BY35" s="363"/>
      <c r="BZ35" s="363"/>
      <c r="CA35" s="363"/>
      <c r="CB35" s="641"/>
      <c r="CC35" s="363"/>
      <c r="CD35" s="363"/>
      <c r="CE35" s="727"/>
      <c r="CF35" s="727"/>
      <c r="CG35" s="641"/>
      <c r="CH35" s="727"/>
      <c r="CI35" s="727"/>
      <c r="CJ35" s="727"/>
      <c r="CK35" s="727"/>
      <c r="CL35" s="641"/>
      <c r="CM35" s="727"/>
      <c r="CN35" s="727"/>
      <c r="CO35" s="727"/>
      <c r="CP35" s="727"/>
      <c r="CQ35" s="641"/>
      <c r="CR35" s="727"/>
      <c r="CS35" s="727"/>
      <c r="CT35" s="727"/>
      <c r="CU35" s="727"/>
      <c r="CV35" s="641"/>
    </row>
    <row r="36" spans="5:100" ht="13.5" x14ac:dyDescent="0.25">
      <c r="E36" s="54" t="s">
        <v>754</v>
      </c>
      <c r="F36" s="185"/>
      <c r="G36" s="185"/>
      <c r="H36" s="185"/>
      <c r="I36" s="185"/>
      <c r="J36" s="185"/>
      <c r="K36" s="122"/>
      <c r="L36" s="122"/>
      <c r="M36" s="122"/>
      <c r="N36" s="122"/>
      <c r="O36" s="161"/>
      <c r="P36" s="122"/>
      <c r="Q36" s="122"/>
      <c r="R36" s="122"/>
      <c r="S36" s="122"/>
      <c r="T36" s="161"/>
      <c r="U36" s="122"/>
      <c r="V36" s="122"/>
      <c r="W36" s="122"/>
      <c r="X36" s="122"/>
      <c r="Y36" s="161"/>
      <c r="Z36" s="128"/>
      <c r="AA36" s="128"/>
      <c r="AB36" s="128"/>
      <c r="AC36" s="128"/>
      <c r="AD36" s="161"/>
      <c r="AE36" s="128"/>
      <c r="AF36" s="128"/>
      <c r="AG36" s="128"/>
      <c r="AH36" s="128"/>
      <c r="AI36" s="140"/>
      <c r="AJ36" s="721"/>
      <c r="AK36" s="721"/>
      <c r="AL36" s="721"/>
      <c r="AM36" s="721"/>
      <c r="AN36" s="140"/>
      <c r="AO36" s="721"/>
      <c r="AP36" s="721"/>
      <c r="AQ36" s="721"/>
      <c r="AR36" s="726"/>
      <c r="AS36" s="161"/>
      <c r="AT36" s="439"/>
      <c r="AU36" s="439"/>
      <c r="AV36" s="439"/>
      <c r="AW36" s="439"/>
      <c r="AX36" s="161"/>
      <c r="AY36" s="439"/>
      <c r="AZ36" s="439"/>
      <c r="BA36" s="439"/>
      <c r="BB36" s="439"/>
      <c r="BC36" s="161"/>
      <c r="BD36" s="439"/>
      <c r="BE36" s="439"/>
      <c r="BF36" s="439"/>
      <c r="BG36" s="439"/>
      <c r="BH36" s="161"/>
      <c r="BI36" s="439"/>
      <c r="BJ36" s="439"/>
      <c r="BK36" s="439"/>
      <c r="BL36" s="439"/>
      <c r="BM36" s="161"/>
      <c r="BN36" s="417"/>
      <c r="BO36" s="417"/>
      <c r="BP36" s="417"/>
      <c r="BQ36" s="417"/>
      <c r="BR36" s="540"/>
      <c r="BS36" s="417"/>
      <c r="BT36" s="417"/>
      <c r="BU36" s="417"/>
      <c r="BV36" s="417"/>
      <c r="BW36" s="540"/>
      <c r="BX36" s="417">
        <v>5.6429999999999998</v>
      </c>
      <c r="BY36" s="417">
        <v>5.3929999999999998</v>
      </c>
      <c r="BZ36" s="417">
        <v>6.2919999999999998</v>
      </c>
      <c r="CA36" s="417">
        <v>4.6470000000000002</v>
      </c>
      <c r="CB36" s="540">
        <f>SUM(BX36:CA36)</f>
        <v>21.975000000000001</v>
      </c>
      <c r="CC36" s="417">
        <v>4.4640000000000004</v>
      </c>
      <c r="CD36" s="417">
        <v>4.8490000000000002</v>
      </c>
      <c r="CE36" s="417">
        <v>6.6369999999999996</v>
      </c>
      <c r="CF36" s="417">
        <v>6.5839999999999996</v>
      </c>
      <c r="CG36" s="540">
        <f>SUM(CC36:CF36)</f>
        <v>22.533999999999999</v>
      </c>
      <c r="CH36" s="417">
        <v>4.67</v>
      </c>
      <c r="CI36" s="631">
        <f>'Acxiom Marketing Solutions'!CI14*CI38</f>
        <v>4.8393876000000002</v>
      </c>
      <c r="CJ36" s="631"/>
      <c r="CK36" s="631"/>
      <c r="CL36" s="540"/>
      <c r="CM36" s="631"/>
      <c r="CN36" s="631"/>
      <c r="CO36" s="631"/>
      <c r="CP36" s="631"/>
      <c r="CQ36" s="540"/>
      <c r="CR36" s="631"/>
      <c r="CS36" s="631"/>
      <c r="CT36" s="631"/>
      <c r="CU36" s="631"/>
      <c r="CV36" s="540"/>
    </row>
    <row r="37" spans="5:100" ht="13.5" x14ac:dyDescent="0.25">
      <c r="E37" s="365" t="s">
        <v>2</v>
      </c>
      <c r="F37" s="185"/>
      <c r="G37" s="185"/>
      <c r="H37" s="185"/>
      <c r="I37" s="185"/>
      <c r="J37" s="185"/>
      <c r="K37" s="122"/>
      <c r="L37" s="122"/>
      <c r="M37" s="122"/>
      <c r="N37" s="122"/>
      <c r="O37" s="161"/>
      <c r="P37" s="122"/>
      <c r="Q37" s="122"/>
      <c r="R37" s="122"/>
      <c r="S37" s="122"/>
      <c r="T37" s="161"/>
      <c r="U37" s="122"/>
      <c r="V37" s="122"/>
      <c r="W37" s="122"/>
      <c r="X37" s="122"/>
      <c r="Y37" s="161"/>
      <c r="Z37" s="128"/>
      <c r="AA37" s="128"/>
      <c r="AB37" s="128"/>
      <c r="AC37" s="128"/>
      <c r="AD37" s="161"/>
      <c r="AE37" s="128"/>
      <c r="AF37" s="128"/>
      <c r="AG37" s="128"/>
      <c r="AH37" s="128"/>
      <c r="AI37" s="140"/>
      <c r="AJ37" s="721"/>
      <c r="AK37" s="721"/>
      <c r="AL37" s="721"/>
      <c r="AM37" s="721"/>
      <c r="AN37" s="140"/>
      <c r="AO37" s="721"/>
      <c r="AP37" s="721"/>
      <c r="AQ37" s="721"/>
      <c r="AR37" s="726"/>
      <c r="AS37" s="161"/>
      <c r="AT37" s="439"/>
      <c r="AU37" s="439"/>
      <c r="AV37" s="439"/>
      <c r="AW37" s="439"/>
      <c r="AX37" s="161"/>
      <c r="AY37" s="439"/>
      <c r="AZ37" s="439"/>
      <c r="BA37" s="439"/>
      <c r="BB37" s="439"/>
      <c r="BC37" s="161"/>
      <c r="BD37" s="439"/>
      <c r="BE37" s="439"/>
      <c r="BF37" s="439"/>
      <c r="BG37" s="439"/>
      <c r="BH37" s="161"/>
      <c r="BI37" s="439"/>
      <c r="BJ37" s="439"/>
      <c r="BK37" s="439"/>
      <c r="BL37" s="439"/>
      <c r="BM37" s="161"/>
      <c r="BN37" s="363"/>
      <c r="BO37" s="363"/>
      <c r="BP37" s="363"/>
      <c r="BQ37" s="363"/>
      <c r="BR37" s="641"/>
      <c r="BS37" s="363"/>
      <c r="BT37" s="363"/>
      <c r="BU37" s="363"/>
      <c r="BV37" s="363"/>
      <c r="BW37" s="641"/>
      <c r="BX37" s="475" t="s">
        <v>490</v>
      </c>
      <c r="BY37" s="475" t="s">
        <v>490</v>
      </c>
      <c r="BZ37" s="475" t="s">
        <v>490</v>
      </c>
      <c r="CA37" s="475" t="s">
        <v>490</v>
      </c>
      <c r="CB37" s="580" t="s">
        <v>490</v>
      </c>
      <c r="CC37" s="363">
        <f t="shared" ref="CC37:CI37" si="6">(CC36-BX36)/ABS(BX36)</f>
        <v>-0.20893141945773513</v>
      </c>
      <c r="CD37" s="363">
        <f t="shared" si="6"/>
        <v>-0.1008715000927127</v>
      </c>
      <c r="CE37" s="363">
        <f>(CE36-BZ36)/ABS(BZ36)</f>
        <v>5.483153210425934E-2</v>
      </c>
      <c r="CF37" s="363">
        <f>(CF36-CA36)/ABS(CA36)</f>
        <v>0.4168280611146975</v>
      </c>
      <c r="CG37" s="641">
        <f t="shared" si="6"/>
        <v>2.543799772468703E-2</v>
      </c>
      <c r="CH37" s="363">
        <f>(CH36-CC36)/ABS(CC36)</f>
        <v>4.6146953405017808E-2</v>
      </c>
      <c r="CI37" s="363">
        <f t="shared" si="6"/>
        <v>-1.9823468756444557E-3</v>
      </c>
      <c r="CJ37" s="363"/>
      <c r="CK37" s="363"/>
      <c r="CL37" s="641"/>
      <c r="CM37" s="363"/>
      <c r="CN37" s="363"/>
      <c r="CO37" s="363"/>
      <c r="CP37" s="363"/>
      <c r="CQ37" s="641"/>
      <c r="CR37" s="363"/>
      <c r="CS37" s="363"/>
      <c r="CT37" s="363"/>
      <c r="CU37" s="363"/>
      <c r="CV37" s="641"/>
    </row>
    <row r="38" spans="5:100" ht="13.5" x14ac:dyDescent="0.25">
      <c r="E38" s="365" t="s">
        <v>91</v>
      </c>
      <c r="F38" s="185"/>
      <c r="G38" s="185"/>
      <c r="H38" s="185"/>
      <c r="I38" s="185"/>
      <c r="J38" s="185"/>
      <c r="K38" s="122"/>
      <c r="L38" s="122"/>
      <c r="M38" s="122"/>
      <c r="N38" s="122"/>
      <c r="O38" s="161"/>
      <c r="P38" s="122"/>
      <c r="Q38" s="122"/>
      <c r="R38" s="122"/>
      <c r="S38" s="122"/>
      <c r="T38" s="161"/>
      <c r="U38" s="122"/>
      <c r="V38" s="122"/>
      <c r="W38" s="122"/>
      <c r="X38" s="122"/>
      <c r="Y38" s="161"/>
      <c r="Z38" s="128"/>
      <c r="AA38" s="128"/>
      <c r="AB38" s="128"/>
      <c r="AC38" s="128"/>
      <c r="AD38" s="161"/>
      <c r="AE38" s="128"/>
      <c r="AF38" s="128"/>
      <c r="AG38" s="128"/>
      <c r="AH38" s="128"/>
      <c r="AI38" s="140"/>
      <c r="AJ38" s="721"/>
      <c r="AK38" s="721"/>
      <c r="AL38" s="721"/>
      <c r="AM38" s="721"/>
      <c r="AN38" s="140"/>
      <c r="AO38" s="721"/>
      <c r="AP38" s="721"/>
      <c r="AQ38" s="721"/>
      <c r="AR38" s="726"/>
      <c r="AS38" s="161"/>
      <c r="AT38" s="439"/>
      <c r="AU38" s="439"/>
      <c r="AV38" s="439"/>
      <c r="AW38" s="439"/>
      <c r="AX38" s="161"/>
      <c r="AY38" s="439"/>
      <c r="AZ38" s="439"/>
      <c r="BA38" s="439"/>
      <c r="BB38" s="439"/>
      <c r="BC38" s="161"/>
      <c r="BD38" s="439"/>
      <c r="BE38" s="439"/>
      <c r="BF38" s="439"/>
      <c r="BG38" s="439"/>
      <c r="BH38" s="161"/>
      <c r="BI38" s="439"/>
      <c r="BJ38" s="439"/>
      <c r="BK38" s="439"/>
      <c r="BL38" s="439"/>
      <c r="BM38" s="161"/>
      <c r="BN38" s="363"/>
      <c r="BO38" s="363"/>
      <c r="BP38" s="363"/>
      <c r="BQ38" s="363"/>
      <c r="BR38" s="641"/>
      <c r="BS38" s="363"/>
      <c r="BT38" s="363"/>
      <c r="BU38" s="363"/>
      <c r="BV38" s="363"/>
      <c r="BW38" s="641"/>
      <c r="BX38" s="363">
        <f>BX36/'Acxiom Marketing Solutions'!BX14</f>
        <v>0.37864859424276986</v>
      </c>
      <c r="BY38" s="363">
        <f>BY36/'Acxiom Marketing Solutions'!BY14</f>
        <v>0.36083232972032653</v>
      </c>
      <c r="BZ38" s="363">
        <f>BZ36/'Acxiom Marketing Solutions'!BZ14</f>
        <v>0.37748980081593475</v>
      </c>
      <c r="CA38" s="363">
        <f>CA36/'Acxiom Marketing Solutions'!CA14</f>
        <v>0.31763499658236499</v>
      </c>
      <c r="CB38" s="641">
        <f>CB36/'Acxiom Marketing Solutions'!CB14</f>
        <v>0.35937985510327575</v>
      </c>
      <c r="CC38" s="363">
        <f>CC36/'Acxiom Marketing Solutions'!CC14</f>
        <v>0.32758494165993984</v>
      </c>
      <c r="CD38" s="363">
        <f>CD36/'Acxiom Marketing Solutions'!CD14</f>
        <v>0.34203287014177897</v>
      </c>
      <c r="CE38" s="363">
        <f>CE36/'Acxiom Marketing Solutions'!CE14</f>
        <v>0.41650454973329143</v>
      </c>
      <c r="CF38" s="363">
        <f>CF36/'Acxiom Marketing Solutions'!CF14</f>
        <v>0.39799310886779904</v>
      </c>
      <c r="CG38" s="641">
        <f>CG36/'Acxiom Marketing Solutions'!CG14</f>
        <v>0.37380976079094919</v>
      </c>
      <c r="CH38" s="363">
        <f>CH36/'Acxiom Marketing Solutions'!CH14</f>
        <v>0.328989080662205</v>
      </c>
      <c r="CI38" s="727">
        <f>CD38-0.02</f>
        <v>0.32203287014177895</v>
      </c>
      <c r="CJ38" s="727"/>
      <c r="CK38" s="727"/>
      <c r="CL38" s="641"/>
      <c r="CM38" s="727"/>
      <c r="CN38" s="727"/>
      <c r="CO38" s="727"/>
      <c r="CP38" s="727"/>
      <c r="CQ38" s="641"/>
      <c r="CR38" s="727"/>
      <c r="CS38" s="727"/>
      <c r="CT38" s="727"/>
      <c r="CU38" s="727"/>
      <c r="CV38" s="641"/>
    </row>
    <row r="39" spans="5:100" ht="13.5" x14ac:dyDescent="0.25">
      <c r="E39" s="564" t="s">
        <v>755</v>
      </c>
      <c r="F39" s="565"/>
      <c r="G39" s="565"/>
      <c r="H39" s="565"/>
      <c r="I39" s="565"/>
      <c r="J39" s="565"/>
      <c r="K39" s="565"/>
      <c r="L39" s="565"/>
      <c r="M39" s="565"/>
      <c r="N39" s="565"/>
      <c r="O39" s="566"/>
      <c r="P39" s="565"/>
      <c r="Q39" s="565"/>
      <c r="R39" s="565"/>
      <c r="S39" s="565"/>
      <c r="T39" s="566"/>
      <c r="U39" s="565"/>
      <c r="V39" s="565"/>
      <c r="W39" s="565"/>
      <c r="X39" s="565"/>
      <c r="Y39" s="566"/>
      <c r="Z39" s="567"/>
      <c r="AA39" s="567"/>
      <c r="AB39" s="567"/>
      <c r="AC39" s="567"/>
      <c r="AD39" s="566"/>
      <c r="AE39" s="567"/>
      <c r="AF39" s="567"/>
      <c r="AG39" s="567"/>
      <c r="AH39" s="567"/>
      <c r="AI39" s="513"/>
      <c r="AJ39" s="568"/>
      <c r="AK39" s="568"/>
      <c r="AL39" s="568"/>
      <c r="AM39" s="568"/>
      <c r="AN39" s="513"/>
      <c r="AO39" s="568"/>
      <c r="AP39" s="568"/>
      <c r="AQ39" s="568"/>
      <c r="AR39" s="565"/>
      <c r="AS39" s="566"/>
      <c r="AT39" s="566"/>
      <c r="AU39" s="566"/>
      <c r="AV39" s="566"/>
      <c r="AW39" s="566"/>
      <c r="AX39" s="566"/>
      <c r="AY39" s="566"/>
      <c r="AZ39" s="566"/>
      <c r="BA39" s="566"/>
      <c r="BB39" s="566"/>
      <c r="BC39" s="566"/>
      <c r="BD39" s="566"/>
      <c r="BE39" s="566"/>
      <c r="BF39" s="566"/>
      <c r="BG39" s="566"/>
      <c r="BH39" s="566"/>
      <c r="BI39" s="566"/>
      <c r="BJ39" s="566"/>
      <c r="BK39" s="566"/>
      <c r="BL39" s="566"/>
      <c r="BM39" s="566"/>
      <c r="BN39" s="545"/>
      <c r="BO39" s="545"/>
      <c r="BP39" s="545"/>
      <c r="BQ39" s="545"/>
      <c r="BR39" s="540"/>
      <c r="BS39" s="545"/>
      <c r="BT39" s="545"/>
      <c r="BU39" s="545"/>
      <c r="BV39" s="545"/>
      <c r="BW39" s="540"/>
      <c r="BX39" s="545">
        <v>78.400999999999982</v>
      </c>
      <c r="BY39" s="545">
        <v>81.864000000000004</v>
      </c>
      <c r="BZ39" s="545">
        <v>88.302999999999997</v>
      </c>
      <c r="CA39" s="545">
        <v>85.231000000000023</v>
      </c>
      <c r="CB39" s="540">
        <v>333.79899999999998</v>
      </c>
      <c r="CC39" s="545">
        <v>77.863999999999976</v>
      </c>
      <c r="CD39" s="545">
        <v>81.828000000000003</v>
      </c>
      <c r="CE39" s="545">
        <v>85.981000000000009</v>
      </c>
      <c r="CF39" s="545">
        <v>89.066999999999979</v>
      </c>
      <c r="CG39" s="540">
        <v>334.74</v>
      </c>
      <c r="CH39" s="545">
        <v>73.174000000000007</v>
      </c>
      <c r="CI39" s="642">
        <v>75.262238599999989</v>
      </c>
      <c r="CJ39" s="642"/>
      <c r="CK39" s="642"/>
      <c r="CL39" s="540">
        <f>SUM(CH39:CK39)</f>
        <v>148.4362386</v>
      </c>
      <c r="CM39" s="642"/>
      <c r="CN39" s="642"/>
      <c r="CO39" s="642"/>
      <c r="CP39" s="642"/>
      <c r="CQ39" s="540"/>
      <c r="CR39" s="642"/>
      <c r="CS39" s="642"/>
      <c r="CT39" s="642"/>
      <c r="CU39" s="642"/>
      <c r="CV39" s="540"/>
    </row>
    <row r="40" spans="5:100" ht="13.5" x14ac:dyDescent="0.25">
      <c r="E40" s="643" t="s">
        <v>2</v>
      </c>
      <c r="F40" s="565"/>
      <c r="G40" s="565"/>
      <c r="H40" s="565"/>
      <c r="I40" s="565"/>
      <c r="J40" s="565"/>
      <c r="K40" s="565"/>
      <c r="L40" s="565"/>
      <c r="M40" s="565"/>
      <c r="N40" s="565"/>
      <c r="O40" s="566"/>
      <c r="P40" s="565"/>
      <c r="Q40" s="565"/>
      <c r="R40" s="565"/>
      <c r="S40" s="565"/>
      <c r="T40" s="566"/>
      <c r="U40" s="565"/>
      <c r="V40" s="565"/>
      <c r="W40" s="565"/>
      <c r="X40" s="565"/>
      <c r="Y40" s="566"/>
      <c r="Z40" s="567"/>
      <c r="AA40" s="567"/>
      <c r="AB40" s="567"/>
      <c r="AC40" s="567"/>
      <c r="AD40" s="566"/>
      <c r="AE40" s="567"/>
      <c r="AF40" s="567"/>
      <c r="AG40" s="567"/>
      <c r="AH40" s="567"/>
      <c r="AI40" s="513"/>
      <c r="AJ40" s="568"/>
      <c r="AK40" s="568"/>
      <c r="AL40" s="568"/>
      <c r="AM40" s="568"/>
      <c r="AN40" s="513"/>
      <c r="AO40" s="568"/>
      <c r="AP40" s="568"/>
      <c r="AQ40" s="568"/>
      <c r="AR40" s="565"/>
      <c r="AS40" s="566"/>
      <c r="AT40" s="566"/>
      <c r="AU40" s="566"/>
      <c r="AV40" s="566"/>
      <c r="AW40" s="566"/>
      <c r="AX40" s="566"/>
      <c r="AY40" s="566"/>
      <c r="AZ40" s="566"/>
      <c r="BA40" s="566"/>
      <c r="BB40" s="566"/>
      <c r="BC40" s="566"/>
      <c r="BD40" s="566"/>
      <c r="BE40" s="566"/>
      <c r="BF40" s="566"/>
      <c r="BG40" s="566"/>
      <c r="BH40" s="566"/>
      <c r="BI40" s="566"/>
      <c r="BJ40" s="566"/>
      <c r="BK40" s="566"/>
      <c r="BL40" s="566"/>
      <c r="BM40" s="566"/>
      <c r="BN40" s="643"/>
      <c r="BO40" s="643"/>
      <c r="BP40" s="513"/>
      <c r="BQ40" s="643"/>
      <c r="BR40" s="643"/>
      <c r="BS40" s="641"/>
      <c r="BT40" s="643"/>
      <c r="BU40" s="643"/>
      <c r="BV40" s="643"/>
      <c r="BW40" s="641"/>
      <c r="BX40" s="580" t="s">
        <v>490</v>
      </c>
      <c r="BY40" s="580" t="s">
        <v>490</v>
      </c>
      <c r="BZ40" s="580" t="s">
        <v>490</v>
      </c>
      <c r="CA40" s="580" t="s">
        <v>490</v>
      </c>
      <c r="CB40" s="580" t="s">
        <v>490</v>
      </c>
      <c r="CC40" s="643">
        <f t="shared" ref="CC40:CI40" si="7">CC39/BX39-1</f>
        <v>-6.8494024310915558E-3</v>
      </c>
      <c r="CD40" s="643">
        <f>CD39/BY39-1</f>
        <v>-4.3975373790683392E-4</v>
      </c>
      <c r="CE40" s="643">
        <f>CE39/BZ39-1</f>
        <v>-2.6295822338991748E-2</v>
      </c>
      <c r="CF40" s="643">
        <f t="shared" si="7"/>
        <v>4.5007098356231401E-2</v>
      </c>
      <c r="CG40" s="641">
        <f t="shared" si="7"/>
        <v>2.8190617707064547E-3</v>
      </c>
      <c r="CH40" s="643">
        <f t="shared" si="7"/>
        <v>-6.0233227165313541E-2</v>
      </c>
      <c r="CI40" s="643">
        <f t="shared" si="7"/>
        <v>-8.0238566260937727E-2</v>
      </c>
      <c r="CJ40" s="643"/>
      <c r="CK40" s="643"/>
      <c r="CL40" s="641"/>
      <c r="CM40" s="643"/>
      <c r="CN40" s="643"/>
      <c r="CO40" s="643"/>
      <c r="CP40" s="643"/>
      <c r="CQ40" s="641"/>
      <c r="CR40" s="643"/>
      <c r="CS40" s="643"/>
      <c r="CT40" s="643"/>
      <c r="CU40" s="643"/>
      <c r="CV40" s="641"/>
    </row>
    <row r="41" spans="5:100" ht="13.5" x14ac:dyDescent="0.25">
      <c r="E41" s="643" t="s">
        <v>91</v>
      </c>
      <c r="F41" s="565"/>
      <c r="G41" s="565"/>
      <c r="H41" s="565"/>
      <c r="I41" s="565"/>
      <c r="J41" s="565"/>
      <c r="K41" s="565"/>
      <c r="L41" s="565"/>
      <c r="M41" s="565"/>
      <c r="N41" s="565"/>
      <c r="O41" s="566"/>
      <c r="P41" s="565"/>
      <c r="Q41" s="565"/>
      <c r="R41" s="565"/>
      <c r="S41" s="565"/>
      <c r="T41" s="566"/>
      <c r="U41" s="565"/>
      <c r="V41" s="565"/>
      <c r="W41" s="565"/>
      <c r="X41" s="565"/>
      <c r="Y41" s="566"/>
      <c r="Z41" s="567"/>
      <c r="AA41" s="567"/>
      <c r="AB41" s="567"/>
      <c r="AC41" s="567"/>
      <c r="AD41" s="566"/>
      <c r="AE41" s="567"/>
      <c r="AF41" s="567"/>
      <c r="AG41" s="567"/>
      <c r="AH41" s="567"/>
      <c r="AI41" s="513"/>
      <c r="AJ41" s="568"/>
      <c r="AK41" s="568"/>
      <c r="AL41" s="568"/>
      <c r="AM41" s="568"/>
      <c r="AN41" s="513"/>
      <c r="AO41" s="568"/>
      <c r="AP41" s="568"/>
      <c r="AQ41" s="568"/>
      <c r="AR41" s="565"/>
      <c r="AS41" s="566"/>
      <c r="AT41" s="566"/>
      <c r="AU41" s="566"/>
      <c r="AV41" s="566"/>
      <c r="AW41" s="566"/>
      <c r="AX41" s="566"/>
      <c r="AY41" s="566"/>
      <c r="AZ41" s="566"/>
      <c r="BA41" s="566"/>
      <c r="BB41" s="566"/>
      <c r="BC41" s="566"/>
      <c r="BD41" s="566"/>
      <c r="BE41" s="566"/>
      <c r="BF41" s="566"/>
      <c r="BG41" s="566"/>
      <c r="BH41" s="566"/>
      <c r="BI41" s="566"/>
      <c r="BJ41" s="566"/>
      <c r="BK41" s="566"/>
      <c r="BL41" s="566"/>
      <c r="BM41" s="566"/>
      <c r="BN41" s="643"/>
      <c r="BO41" s="643"/>
      <c r="BP41" s="643"/>
      <c r="BQ41" s="643"/>
      <c r="BR41" s="643"/>
      <c r="BS41" s="643"/>
      <c r="BT41" s="643"/>
      <c r="BU41" s="643"/>
      <c r="BV41" s="643"/>
      <c r="BW41" s="643"/>
      <c r="BX41" s="643">
        <f>BX39/'Acxiom Marketing Solutions'!BX17</f>
        <v>0.4314835911745119</v>
      </c>
      <c r="BY41" s="643">
        <f>BY39/'Acxiom Marketing Solutions'!BY17</f>
        <v>0.44815976613181363</v>
      </c>
      <c r="BZ41" s="643">
        <f>BZ39/'Acxiom Marketing Solutions'!BZ17</f>
        <v>0.48488292918643466</v>
      </c>
      <c r="CA41" s="643">
        <f>CA39/'Acxiom Marketing Solutions'!CA17</f>
        <v>0.47517394407029129</v>
      </c>
      <c r="CB41" s="643">
        <f>CB39/'Acxiom Marketing Solutions'!CB17</f>
        <v>0.45987451918307959</v>
      </c>
      <c r="CC41" s="643">
        <f>CC39/'Acxiom Marketing Solutions'!CC17</f>
        <v>0.4697478839506023</v>
      </c>
      <c r="CD41" s="643">
        <f>CD39/'Acxiom Marketing Solutions'!CD17</f>
        <v>0.47789192125073732</v>
      </c>
      <c r="CE41" s="643">
        <f>CE39/'Acxiom Marketing Solutions'!CE17</f>
        <v>0.48922332859174972</v>
      </c>
      <c r="CF41" s="643">
        <f>CF39/'Acxiom Marketing Solutions'!CF17</f>
        <v>0.48256226601145358</v>
      </c>
      <c r="CG41" s="643">
        <f>CG39/'Acxiom Marketing Solutions'!CG17</f>
        <v>0.4800481855142299</v>
      </c>
      <c r="CH41" s="643">
        <f>CH39/'Acxiom Marketing Solutions'!CH17</f>
        <v>0.44482133955818171</v>
      </c>
      <c r="CI41" s="643">
        <f>CI39/'Acxiom Marketing Solutions'!CI17</f>
        <v>0.45223237034217811</v>
      </c>
      <c r="CJ41" s="643"/>
      <c r="CK41" s="643"/>
      <c r="CL41" s="643"/>
      <c r="CM41" s="643"/>
      <c r="CN41" s="643"/>
      <c r="CO41" s="643"/>
      <c r="CP41" s="643"/>
      <c r="CQ41" s="643"/>
      <c r="CR41" s="643"/>
      <c r="CS41" s="643"/>
      <c r="CT41" s="643"/>
      <c r="CU41" s="643"/>
      <c r="CV41" s="643"/>
    </row>
    <row r="42" spans="5:100" ht="3.75" customHeight="1" x14ac:dyDescent="0.25">
      <c r="E42" s="365"/>
      <c r="F42" s="185"/>
      <c r="G42" s="185"/>
      <c r="H42" s="185"/>
      <c r="I42" s="185"/>
      <c r="J42" s="185"/>
      <c r="K42" s="122"/>
      <c r="L42" s="122"/>
      <c r="M42" s="122"/>
      <c r="N42" s="122"/>
      <c r="O42" s="161"/>
      <c r="P42" s="122"/>
      <c r="Q42" s="122"/>
      <c r="R42" s="122"/>
      <c r="S42" s="122"/>
      <c r="T42" s="161"/>
      <c r="U42" s="122"/>
      <c r="V42" s="122"/>
      <c r="W42" s="122"/>
      <c r="X42" s="122"/>
      <c r="Y42" s="161"/>
      <c r="Z42" s="128"/>
      <c r="AA42" s="128"/>
      <c r="AB42" s="128"/>
      <c r="AC42" s="128"/>
      <c r="AD42" s="161"/>
      <c r="AE42" s="128"/>
      <c r="AF42" s="128"/>
      <c r="AG42" s="128"/>
      <c r="AH42" s="128"/>
      <c r="AI42" s="140"/>
      <c r="AJ42" s="721"/>
      <c r="AK42" s="721"/>
      <c r="AL42" s="721"/>
      <c r="AM42" s="721"/>
      <c r="AN42" s="140"/>
      <c r="AO42" s="721"/>
      <c r="AP42" s="721"/>
      <c r="AQ42" s="721"/>
      <c r="AR42" s="726"/>
      <c r="AS42" s="161"/>
      <c r="AT42" s="439"/>
      <c r="AU42" s="439"/>
      <c r="AV42" s="439"/>
      <c r="AW42" s="439"/>
      <c r="AX42" s="161"/>
      <c r="AY42" s="439"/>
      <c r="AZ42" s="439"/>
      <c r="BA42" s="439"/>
      <c r="BB42" s="439"/>
      <c r="BC42" s="161"/>
      <c r="BD42" s="439"/>
      <c r="BE42" s="439"/>
      <c r="BF42" s="439"/>
      <c r="BG42" s="439"/>
      <c r="BH42" s="161"/>
      <c r="BI42" s="439"/>
      <c r="BJ42" s="439"/>
      <c r="BK42" s="439"/>
      <c r="BL42" s="439"/>
      <c r="BM42" s="161"/>
      <c r="BN42" s="352"/>
      <c r="BO42" s="352"/>
      <c r="BP42" s="352"/>
      <c r="BQ42" s="352"/>
      <c r="BR42" s="643"/>
      <c r="BS42" s="352"/>
      <c r="BT42" s="352"/>
      <c r="BU42" s="352"/>
      <c r="BV42" s="352"/>
      <c r="BW42" s="643"/>
      <c r="BX42" s="352"/>
      <c r="BY42" s="727"/>
      <c r="BZ42" s="727"/>
      <c r="CA42" s="727"/>
      <c r="CB42" s="643"/>
      <c r="CC42" s="727"/>
      <c r="CD42" s="727"/>
      <c r="CE42" s="727"/>
      <c r="CF42" s="727"/>
      <c r="CG42" s="32"/>
      <c r="CH42" s="352"/>
      <c r="CI42" s="352"/>
      <c r="CJ42" s="352"/>
      <c r="CK42" s="352"/>
      <c r="CL42" s="32"/>
      <c r="CM42" s="352"/>
      <c r="CN42" s="352"/>
      <c r="CO42" s="352"/>
      <c r="CP42" s="352"/>
      <c r="CQ42" s="32"/>
      <c r="CR42" s="352"/>
      <c r="CS42" s="352"/>
      <c r="CT42" s="352"/>
      <c r="CU42" s="352"/>
      <c r="CV42" s="32"/>
    </row>
    <row r="43" spans="5:100" ht="13.5" x14ac:dyDescent="0.25">
      <c r="E43" s="365" t="s">
        <v>299</v>
      </c>
      <c r="F43" s="185"/>
      <c r="G43" s="185"/>
      <c r="H43" s="185"/>
      <c r="I43" s="185"/>
      <c r="J43" s="185"/>
      <c r="K43" s="122"/>
      <c r="L43" s="122"/>
      <c r="M43" s="122"/>
      <c r="N43" s="122"/>
      <c r="O43" s="161"/>
      <c r="P43" s="122"/>
      <c r="Q43" s="122"/>
      <c r="R43" s="122"/>
      <c r="S43" s="122"/>
      <c r="T43" s="161"/>
      <c r="U43" s="122"/>
      <c r="V43" s="122"/>
      <c r="W43" s="122"/>
      <c r="X43" s="122"/>
      <c r="Y43" s="161"/>
      <c r="Z43" s="128"/>
      <c r="AA43" s="128"/>
      <c r="AB43" s="128"/>
      <c r="AC43" s="128"/>
      <c r="AD43" s="161"/>
      <c r="AE43" s="128"/>
      <c r="AF43" s="128"/>
      <c r="AG43" s="128"/>
      <c r="AH43" s="128"/>
      <c r="AI43" s="140"/>
      <c r="AJ43" s="721"/>
      <c r="AK43" s="721"/>
      <c r="AL43" s="721"/>
      <c r="AM43" s="721"/>
      <c r="AN43" s="140"/>
      <c r="AO43" s="721"/>
      <c r="AP43" s="721"/>
      <c r="AQ43" s="721"/>
      <c r="AR43" s="726"/>
      <c r="AS43" s="161"/>
      <c r="AT43" s="439"/>
      <c r="AU43" s="439"/>
      <c r="AV43" s="439"/>
      <c r="AW43" s="439"/>
      <c r="AX43" s="161"/>
      <c r="AY43" s="439"/>
      <c r="AZ43" s="439"/>
      <c r="BA43" s="439"/>
      <c r="BB43" s="439"/>
      <c r="BC43" s="161"/>
      <c r="BD43" s="439"/>
      <c r="BE43" s="439"/>
      <c r="BF43" s="439"/>
      <c r="BG43" s="439"/>
      <c r="BH43" s="161"/>
      <c r="BI43" s="439"/>
      <c r="BJ43" s="439"/>
      <c r="BK43" s="439"/>
      <c r="BL43" s="439"/>
      <c r="BM43" s="161"/>
      <c r="BN43" s="352"/>
      <c r="BO43" s="352"/>
      <c r="BP43" s="352"/>
      <c r="BQ43" s="352"/>
      <c r="BR43" s="643"/>
      <c r="BS43" s="352"/>
      <c r="BT43" s="352"/>
      <c r="BU43" s="352"/>
      <c r="BV43" s="352"/>
      <c r="BW43" s="643"/>
      <c r="BX43" s="352"/>
      <c r="BY43" s="727"/>
      <c r="BZ43" s="727"/>
      <c r="CA43" s="727"/>
      <c r="CB43" s="643"/>
      <c r="CC43" s="727"/>
      <c r="CD43" s="727"/>
      <c r="CE43" s="727"/>
      <c r="CF43" s="727"/>
      <c r="CG43" s="32"/>
      <c r="CH43" s="352"/>
      <c r="CI43" s="352"/>
      <c r="CJ43" s="352"/>
      <c r="CK43" s="352"/>
      <c r="CL43" s="32"/>
      <c r="CM43" s="352"/>
      <c r="CN43" s="352"/>
      <c r="CO43" s="352"/>
      <c r="CP43" s="352"/>
      <c r="CQ43" s="32"/>
      <c r="CR43" s="352"/>
      <c r="CS43" s="352"/>
      <c r="CT43" s="352"/>
      <c r="CU43" s="352"/>
      <c r="CV43" s="32"/>
    </row>
    <row r="44" spans="5:100" ht="3.75" customHeight="1" x14ac:dyDescent="0.25">
      <c r="E44" s="365"/>
      <c r="F44" s="185"/>
      <c r="G44" s="185"/>
      <c r="H44" s="185"/>
      <c r="I44" s="185"/>
      <c r="J44" s="185"/>
      <c r="K44" s="122"/>
      <c r="L44" s="122"/>
      <c r="M44" s="122"/>
      <c r="N44" s="122"/>
      <c r="O44" s="161"/>
      <c r="P44" s="122"/>
      <c r="Q44" s="122"/>
      <c r="R44" s="122"/>
      <c r="S44" s="122"/>
      <c r="T44" s="161"/>
      <c r="U44" s="122"/>
      <c r="V44" s="122"/>
      <c r="W44" s="122"/>
      <c r="X44" s="122"/>
      <c r="Y44" s="161"/>
      <c r="Z44" s="128"/>
      <c r="AA44" s="128"/>
      <c r="AB44" s="128"/>
      <c r="AC44" s="128"/>
      <c r="AD44" s="161"/>
      <c r="AE44" s="128"/>
      <c r="AF44" s="128"/>
      <c r="AG44" s="128"/>
      <c r="AH44" s="128"/>
      <c r="AI44" s="140"/>
      <c r="AJ44" s="721"/>
      <c r="AK44" s="721"/>
      <c r="AL44" s="721"/>
      <c r="AM44" s="721"/>
      <c r="AN44" s="140"/>
      <c r="AO44" s="721"/>
      <c r="AP44" s="721"/>
      <c r="AQ44" s="721"/>
      <c r="AR44" s="726"/>
      <c r="AS44" s="161"/>
      <c r="AT44" s="439"/>
      <c r="AU44" s="439"/>
      <c r="AV44" s="439"/>
      <c r="AW44" s="439"/>
      <c r="AX44" s="161"/>
      <c r="AY44" s="439"/>
      <c r="AZ44" s="439"/>
      <c r="BA44" s="439"/>
      <c r="BB44" s="439"/>
      <c r="BC44" s="161"/>
      <c r="BD44" s="439"/>
      <c r="BE44" s="439"/>
      <c r="BF44" s="439"/>
      <c r="BG44" s="439"/>
      <c r="BH44" s="161"/>
      <c r="BI44" s="439"/>
      <c r="BJ44" s="439"/>
      <c r="BK44" s="439"/>
      <c r="BL44" s="439"/>
      <c r="BM44" s="161"/>
      <c r="BN44" s="352"/>
      <c r="BO44" s="352"/>
      <c r="BP44" s="352"/>
      <c r="BQ44" s="352"/>
      <c r="BR44" s="643"/>
      <c r="BS44" s="352"/>
      <c r="BT44" s="352"/>
      <c r="BU44" s="352"/>
      <c r="BV44" s="352"/>
      <c r="BW44" s="643"/>
      <c r="BX44" s="352"/>
      <c r="BY44" s="727"/>
      <c r="BZ44" s="727"/>
      <c r="CA44" s="727"/>
      <c r="CB44" s="643"/>
      <c r="CC44" s="727"/>
      <c r="CD44" s="727"/>
      <c r="CE44" s="727"/>
      <c r="CF44" s="727"/>
      <c r="CG44" s="32"/>
      <c r="CH44" s="352"/>
      <c r="CI44" s="352"/>
      <c r="CJ44" s="352"/>
      <c r="CK44" s="352"/>
      <c r="CL44" s="32"/>
      <c r="CM44" s="352"/>
      <c r="CN44" s="352"/>
      <c r="CO44" s="352"/>
      <c r="CP44" s="352"/>
      <c r="CQ44" s="32"/>
      <c r="CR44" s="352"/>
      <c r="CS44" s="352"/>
      <c r="CT44" s="352"/>
      <c r="CU44" s="352"/>
      <c r="CV44" s="32"/>
    </row>
    <row r="45" spans="5:100" ht="13.5" x14ac:dyDescent="0.25">
      <c r="E45" s="54" t="s">
        <v>753</v>
      </c>
      <c r="F45" s="185"/>
      <c r="G45" s="185"/>
      <c r="H45" s="185"/>
      <c r="I45" s="185"/>
      <c r="J45" s="185"/>
      <c r="K45" s="122"/>
      <c r="L45" s="122"/>
      <c r="M45" s="122"/>
      <c r="N45" s="122"/>
      <c r="O45" s="161"/>
      <c r="P45" s="122"/>
      <c r="Q45" s="122"/>
      <c r="R45" s="122"/>
      <c r="S45" s="122"/>
      <c r="T45" s="161"/>
      <c r="U45" s="122"/>
      <c r="V45" s="122"/>
      <c r="W45" s="122"/>
      <c r="X45" s="122"/>
      <c r="Y45" s="161"/>
      <c r="Z45" s="128"/>
      <c r="AA45" s="128"/>
      <c r="AB45" s="128"/>
      <c r="AC45" s="128"/>
      <c r="AD45" s="161"/>
      <c r="AE45" s="128"/>
      <c r="AF45" s="128"/>
      <c r="AG45" s="128"/>
      <c r="AH45" s="128"/>
      <c r="AI45" s="140"/>
      <c r="AJ45" s="721"/>
      <c r="AK45" s="721"/>
      <c r="AL45" s="721"/>
      <c r="AM45" s="721"/>
      <c r="AN45" s="140"/>
      <c r="AO45" s="721"/>
      <c r="AP45" s="721"/>
      <c r="AQ45" s="721"/>
      <c r="AR45" s="726"/>
      <c r="AS45" s="161"/>
      <c r="AT45" s="439"/>
      <c r="AU45" s="439"/>
      <c r="AV45" s="439"/>
      <c r="AW45" s="439"/>
      <c r="AX45" s="161"/>
      <c r="AY45" s="439"/>
      <c r="AZ45" s="439"/>
      <c r="BA45" s="439"/>
      <c r="BB45" s="439"/>
      <c r="BC45" s="161"/>
      <c r="BD45" s="439"/>
      <c r="BE45" s="439"/>
      <c r="BF45" s="439"/>
      <c r="BG45" s="439"/>
      <c r="BH45" s="161"/>
      <c r="BI45" s="439"/>
      <c r="BJ45" s="439"/>
      <c r="BK45" s="439"/>
      <c r="BL45" s="439"/>
      <c r="BM45" s="161"/>
      <c r="BN45" s="417"/>
      <c r="BO45" s="417"/>
      <c r="BP45" s="417"/>
      <c r="BQ45" s="417"/>
      <c r="BR45" s="540"/>
      <c r="BS45" s="417"/>
      <c r="BT45" s="417"/>
      <c r="BU45" s="417"/>
      <c r="BV45" s="417"/>
      <c r="BW45" s="540"/>
      <c r="BX45" s="721">
        <f>BX52-BX49</f>
        <v>42.797999999999995</v>
      </c>
      <c r="BY45" s="721">
        <f>BY52-BY49</f>
        <v>47.612000000000002</v>
      </c>
      <c r="BZ45" s="721">
        <f>BZ52-BZ49</f>
        <v>51.64500000000001</v>
      </c>
      <c r="CA45" s="721">
        <f>CA52-CA49</f>
        <v>52.216000000000001</v>
      </c>
      <c r="CB45" s="642">
        <f>SUM(BX45:CA45)</f>
        <v>194.27100000000002</v>
      </c>
      <c r="CC45" s="721">
        <f>CC52-CC49</f>
        <v>47.557000000000009</v>
      </c>
      <c r="CD45" s="721">
        <f>CD52-CD49</f>
        <v>49.980999999999995</v>
      </c>
      <c r="CE45" s="721">
        <f>CE52-CE49</f>
        <v>50.644000000000005</v>
      </c>
      <c r="CF45" s="721">
        <f>CF52-CF49</f>
        <v>47.712999999999994</v>
      </c>
      <c r="CG45" s="642">
        <f>SUM(CC45:CF45)</f>
        <v>195.89500000000001</v>
      </c>
      <c r="CH45" s="721">
        <f>CH52-CH49</f>
        <v>46.111999999999995</v>
      </c>
      <c r="CI45" s="631">
        <f>'Acxiom Marketing Solutions'!CI11*CI47</f>
        <v>44.548175199999982</v>
      </c>
      <c r="CJ45" s="631"/>
      <c r="CK45" s="631"/>
      <c r="CL45" s="540"/>
      <c r="CM45" s="631"/>
      <c r="CN45" s="631"/>
      <c r="CO45" s="631"/>
      <c r="CP45" s="631"/>
      <c r="CQ45" s="540"/>
      <c r="CR45" s="631"/>
      <c r="CS45" s="631"/>
      <c r="CT45" s="631"/>
      <c r="CU45" s="631"/>
      <c r="CV45" s="540"/>
    </row>
    <row r="46" spans="5:100" ht="13.5" x14ac:dyDescent="0.25">
      <c r="E46" s="365" t="s">
        <v>2</v>
      </c>
      <c r="F46" s="185"/>
      <c r="G46" s="185"/>
      <c r="H46" s="185"/>
      <c r="I46" s="185"/>
      <c r="J46" s="185"/>
      <c r="K46" s="122"/>
      <c r="L46" s="122"/>
      <c r="M46" s="122"/>
      <c r="N46" s="122"/>
      <c r="O46" s="161"/>
      <c r="P46" s="122"/>
      <c r="Q46" s="122"/>
      <c r="R46" s="122"/>
      <c r="S46" s="122"/>
      <c r="T46" s="161"/>
      <c r="U46" s="122"/>
      <c r="V46" s="122"/>
      <c r="W46" s="122"/>
      <c r="X46" s="122"/>
      <c r="Y46" s="161"/>
      <c r="Z46" s="128"/>
      <c r="AA46" s="128"/>
      <c r="AB46" s="128"/>
      <c r="AC46" s="128"/>
      <c r="AD46" s="161"/>
      <c r="AE46" s="128"/>
      <c r="AF46" s="128"/>
      <c r="AG46" s="128"/>
      <c r="AH46" s="128"/>
      <c r="AI46" s="140"/>
      <c r="AJ46" s="721"/>
      <c r="AK46" s="721"/>
      <c r="AL46" s="721"/>
      <c r="AM46" s="721"/>
      <c r="AN46" s="140"/>
      <c r="AO46" s="721"/>
      <c r="AP46" s="721"/>
      <c r="AQ46" s="721"/>
      <c r="AR46" s="726"/>
      <c r="AS46" s="161"/>
      <c r="AT46" s="439"/>
      <c r="AU46" s="439"/>
      <c r="AV46" s="439"/>
      <c r="AW46" s="439"/>
      <c r="AX46" s="161"/>
      <c r="AY46" s="439"/>
      <c r="AZ46" s="439"/>
      <c r="BA46" s="439"/>
      <c r="BB46" s="439"/>
      <c r="BC46" s="161"/>
      <c r="BD46" s="439"/>
      <c r="BE46" s="439"/>
      <c r="BF46" s="439"/>
      <c r="BG46" s="439"/>
      <c r="BH46" s="161"/>
      <c r="BI46" s="439"/>
      <c r="BJ46" s="439"/>
      <c r="BK46" s="439"/>
      <c r="BL46" s="439"/>
      <c r="BM46" s="161"/>
      <c r="BN46" s="363"/>
      <c r="BO46" s="363"/>
      <c r="BP46" s="363"/>
      <c r="BQ46" s="363"/>
      <c r="BR46" s="641"/>
      <c r="BS46" s="363"/>
      <c r="BT46" s="363"/>
      <c r="BU46" s="363"/>
      <c r="BV46" s="363"/>
      <c r="BW46" s="641"/>
      <c r="BX46" s="475" t="s">
        <v>490</v>
      </c>
      <c r="BY46" s="475" t="s">
        <v>490</v>
      </c>
      <c r="BZ46" s="475" t="s">
        <v>490</v>
      </c>
      <c r="CA46" s="475" t="s">
        <v>490</v>
      </c>
      <c r="CB46" s="580" t="s">
        <v>490</v>
      </c>
      <c r="CC46" s="363">
        <f t="shared" ref="CC46:CI46" si="8">(CC45-BX45)/ABS(BX45)</f>
        <v>0.11119678489649085</v>
      </c>
      <c r="CD46" s="363">
        <f t="shared" si="8"/>
        <v>4.9756363941863238E-2</v>
      </c>
      <c r="CE46" s="363">
        <f t="shared" si="8"/>
        <v>-1.9382321618743432E-2</v>
      </c>
      <c r="CF46" s="363">
        <f t="shared" si="8"/>
        <v>-8.6237934732649138E-2</v>
      </c>
      <c r="CG46" s="641">
        <f t="shared" si="8"/>
        <v>8.3594566353186791E-3</v>
      </c>
      <c r="CH46" s="363">
        <f>(CH45-CC45)/ABS(CC45)</f>
        <v>-3.0384591122232567E-2</v>
      </c>
      <c r="CI46" s="363">
        <f t="shared" si="8"/>
        <v>-0.10869780116444276</v>
      </c>
      <c r="CJ46" s="363"/>
      <c r="CK46" s="363"/>
      <c r="CL46" s="641"/>
      <c r="CM46" s="363"/>
      <c r="CN46" s="363"/>
      <c r="CO46" s="363"/>
      <c r="CP46" s="363"/>
      <c r="CQ46" s="641"/>
      <c r="CR46" s="363"/>
      <c r="CS46" s="363"/>
      <c r="CT46" s="363"/>
      <c r="CU46" s="363"/>
      <c r="CV46" s="641"/>
    </row>
    <row r="47" spans="5:100" ht="13.5" x14ac:dyDescent="0.25">
      <c r="E47" s="365" t="s">
        <v>91</v>
      </c>
      <c r="F47" s="185"/>
      <c r="G47" s="185"/>
      <c r="H47" s="185"/>
      <c r="I47" s="185"/>
      <c r="J47" s="185"/>
      <c r="K47" s="122"/>
      <c r="L47" s="122"/>
      <c r="M47" s="122"/>
      <c r="N47" s="122"/>
      <c r="O47" s="161"/>
      <c r="P47" s="122"/>
      <c r="Q47" s="122"/>
      <c r="R47" s="122"/>
      <c r="S47" s="122"/>
      <c r="T47" s="161"/>
      <c r="U47" s="122"/>
      <c r="V47" s="122"/>
      <c r="W47" s="122"/>
      <c r="X47" s="122"/>
      <c r="Y47" s="161"/>
      <c r="Z47" s="128"/>
      <c r="AA47" s="128"/>
      <c r="AB47" s="128"/>
      <c r="AC47" s="128"/>
      <c r="AD47" s="161"/>
      <c r="AE47" s="128"/>
      <c r="AF47" s="128"/>
      <c r="AG47" s="128"/>
      <c r="AH47" s="128"/>
      <c r="AI47" s="140"/>
      <c r="AJ47" s="721"/>
      <c r="AK47" s="721"/>
      <c r="AL47" s="721"/>
      <c r="AM47" s="721"/>
      <c r="AN47" s="140"/>
      <c r="AO47" s="721"/>
      <c r="AP47" s="721"/>
      <c r="AQ47" s="721"/>
      <c r="AR47" s="726"/>
      <c r="AS47" s="161"/>
      <c r="AT47" s="439"/>
      <c r="AU47" s="439"/>
      <c r="AV47" s="439"/>
      <c r="AW47" s="439"/>
      <c r="AX47" s="161"/>
      <c r="AY47" s="439"/>
      <c r="AZ47" s="439"/>
      <c r="BA47" s="439"/>
      <c r="BB47" s="439"/>
      <c r="BC47" s="161"/>
      <c r="BD47" s="439"/>
      <c r="BE47" s="439"/>
      <c r="BF47" s="439"/>
      <c r="BG47" s="439"/>
      <c r="BH47" s="161"/>
      <c r="BI47" s="439"/>
      <c r="BJ47" s="439"/>
      <c r="BK47" s="439"/>
      <c r="BL47" s="439"/>
      <c r="BM47" s="161"/>
      <c r="BN47" s="352"/>
      <c r="BO47" s="352"/>
      <c r="BP47" s="352"/>
      <c r="BQ47" s="352"/>
      <c r="BR47" s="643"/>
      <c r="BS47" s="352"/>
      <c r="BT47" s="352"/>
      <c r="BU47" s="352"/>
      <c r="BV47" s="352"/>
      <c r="BW47" s="643"/>
      <c r="BX47" s="352">
        <f>BX45/'Acxiom Marketing Solutions'!BX11</f>
        <v>0.25658581038141942</v>
      </c>
      <c r="BY47" s="352">
        <f>BY45/'Acxiom Marketing Solutions'!BY11</f>
        <v>0.28387619916408796</v>
      </c>
      <c r="BZ47" s="352">
        <f>BZ45/'Acxiom Marketing Solutions'!BZ11</f>
        <v>0.31216000580256764</v>
      </c>
      <c r="CA47" s="352">
        <f>CA45/'Acxiom Marketing Solutions'!CA11</f>
        <v>0.31696390632398108</v>
      </c>
      <c r="CB47" s="643">
        <f>CB45/'Acxiom Marketing Solutions'!CB11</f>
        <v>0.29226825294380482</v>
      </c>
      <c r="CC47" s="352">
        <f>CC45/'Acxiom Marketing Solutions'!CC11</f>
        <v>0.31260763820416759</v>
      </c>
      <c r="CD47" s="352">
        <f>CD45/'Acxiom Marketing Solutions'!CD11</f>
        <v>0.31824896529767582</v>
      </c>
      <c r="CE47" s="352">
        <f>CE45/'Acxiom Marketing Solutions'!CE11</f>
        <v>0.31689140568782659</v>
      </c>
      <c r="CF47" s="352">
        <f>CF45/'Acxiom Marketing Solutions'!CF11</f>
        <v>0.28395862594329518</v>
      </c>
      <c r="CG47" s="643">
        <f>CG45/'Acxiom Marketing Solutions'!CG11</f>
        <v>0.30751636911069152</v>
      </c>
      <c r="CH47" s="352">
        <f>CH45/'Acxiom Marketing Solutions'!CH11</f>
        <v>0.30678544578762129</v>
      </c>
      <c r="CI47" s="727">
        <f>CD47-0.024</f>
        <v>0.2942489652976758</v>
      </c>
      <c r="CJ47" s="727"/>
      <c r="CK47" s="727"/>
      <c r="CL47" s="643"/>
      <c r="CM47" s="727"/>
      <c r="CN47" s="727"/>
      <c r="CO47" s="727"/>
      <c r="CP47" s="727"/>
      <c r="CQ47" s="643"/>
      <c r="CR47" s="727"/>
      <c r="CS47" s="727"/>
      <c r="CT47" s="727"/>
      <c r="CU47" s="727"/>
      <c r="CV47" s="643"/>
    </row>
    <row r="48" spans="5:100" ht="3.75" customHeight="1" x14ac:dyDescent="0.25">
      <c r="E48" s="365"/>
      <c r="F48" s="185"/>
      <c r="G48" s="185"/>
      <c r="H48" s="185"/>
      <c r="I48" s="185"/>
      <c r="J48" s="185"/>
      <c r="K48" s="122"/>
      <c r="L48" s="122"/>
      <c r="M48" s="122"/>
      <c r="N48" s="122"/>
      <c r="O48" s="161"/>
      <c r="P48" s="122"/>
      <c r="Q48" s="122"/>
      <c r="R48" s="122"/>
      <c r="S48" s="122"/>
      <c r="T48" s="161"/>
      <c r="U48" s="122"/>
      <c r="V48" s="122"/>
      <c r="W48" s="122"/>
      <c r="X48" s="122"/>
      <c r="Y48" s="161"/>
      <c r="Z48" s="128"/>
      <c r="AA48" s="128"/>
      <c r="AB48" s="128"/>
      <c r="AC48" s="128"/>
      <c r="AD48" s="161"/>
      <c r="AE48" s="128"/>
      <c r="AF48" s="128"/>
      <c r="AG48" s="128"/>
      <c r="AH48" s="128"/>
      <c r="AI48" s="140"/>
      <c r="AJ48" s="721"/>
      <c r="AK48" s="721"/>
      <c r="AL48" s="721"/>
      <c r="AM48" s="721"/>
      <c r="AN48" s="140"/>
      <c r="AO48" s="721"/>
      <c r="AP48" s="721"/>
      <c r="AQ48" s="721"/>
      <c r="AR48" s="726"/>
      <c r="AS48" s="161"/>
      <c r="AT48" s="439"/>
      <c r="AU48" s="439"/>
      <c r="AV48" s="439"/>
      <c r="AW48" s="439"/>
      <c r="AX48" s="161"/>
      <c r="AY48" s="439"/>
      <c r="AZ48" s="439"/>
      <c r="BA48" s="439"/>
      <c r="BB48" s="439"/>
      <c r="BC48" s="161"/>
      <c r="BD48" s="439"/>
      <c r="BE48" s="439"/>
      <c r="BF48" s="439"/>
      <c r="BG48" s="439"/>
      <c r="BH48" s="161"/>
      <c r="BI48" s="439"/>
      <c r="BJ48" s="439"/>
      <c r="BK48" s="439"/>
      <c r="BL48" s="439"/>
      <c r="BM48" s="161"/>
      <c r="BN48" s="352"/>
      <c r="BO48" s="352"/>
      <c r="BP48" s="352"/>
      <c r="BQ48" s="352"/>
      <c r="BR48" s="643"/>
      <c r="BS48" s="352"/>
      <c r="BT48" s="352"/>
      <c r="BU48" s="352"/>
      <c r="BV48" s="352"/>
      <c r="BW48" s="643"/>
      <c r="BX48" s="352"/>
      <c r="BY48" s="352"/>
      <c r="BZ48" s="352"/>
      <c r="CA48" s="352"/>
      <c r="CB48" s="643"/>
      <c r="CC48" s="352"/>
      <c r="CD48" s="352"/>
      <c r="CE48" s="727"/>
      <c r="CF48" s="727"/>
      <c r="CG48" s="643"/>
      <c r="CH48" s="727"/>
      <c r="CI48" s="727"/>
      <c r="CJ48" s="727"/>
      <c r="CK48" s="727"/>
      <c r="CL48" s="643"/>
      <c r="CM48" s="727"/>
      <c r="CN48" s="727"/>
      <c r="CO48" s="727"/>
      <c r="CP48" s="727"/>
      <c r="CQ48" s="643"/>
      <c r="CR48" s="727"/>
      <c r="CS48" s="727"/>
      <c r="CT48" s="727"/>
      <c r="CU48" s="727"/>
      <c r="CV48" s="643"/>
    </row>
    <row r="49" spans="5:100" ht="13.5" x14ac:dyDescent="0.25">
      <c r="E49" s="54" t="s">
        <v>754</v>
      </c>
      <c r="F49" s="185"/>
      <c r="G49" s="185"/>
      <c r="H49" s="185"/>
      <c r="I49" s="185"/>
      <c r="J49" s="185"/>
      <c r="K49" s="122"/>
      <c r="L49" s="122"/>
      <c r="M49" s="122"/>
      <c r="N49" s="122"/>
      <c r="O49" s="161"/>
      <c r="P49" s="122"/>
      <c r="Q49" s="122"/>
      <c r="R49" s="122"/>
      <c r="S49" s="122"/>
      <c r="T49" s="161"/>
      <c r="U49" s="122"/>
      <c r="V49" s="122"/>
      <c r="W49" s="122"/>
      <c r="X49" s="122"/>
      <c r="Y49" s="161"/>
      <c r="Z49" s="128"/>
      <c r="AA49" s="128"/>
      <c r="AB49" s="128"/>
      <c r="AC49" s="128"/>
      <c r="AD49" s="161"/>
      <c r="AE49" s="128"/>
      <c r="AF49" s="128"/>
      <c r="AG49" s="128"/>
      <c r="AH49" s="128"/>
      <c r="AI49" s="140"/>
      <c r="AJ49" s="721"/>
      <c r="AK49" s="721"/>
      <c r="AL49" s="721"/>
      <c r="AM49" s="721"/>
      <c r="AN49" s="140"/>
      <c r="AO49" s="721"/>
      <c r="AP49" s="721"/>
      <c r="AQ49" s="721"/>
      <c r="AR49" s="726"/>
      <c r="AS49" s="161"/>
      <c r="AT49" s="439"/>
      <c r="AU49" s="439"/>
      <c r="AV49" s="439"/>
      <c r="AW49" s="439"/>
      <c r="AX49" s="161"/>
      <c r="AY49" s="439"/>
      <c r="AZ49" s="439"/>
      <c r="BA49" s="439"/>
      <c r="BB49" s="439"/>
      <c r="BC49" s="161"/>
      <c r="BD49" s="439"/>
      <c r="BE49" s="439"/>
      <c r="BF49" s="439"/>
      <c r="BG49" s="439"/>
      <c r="BH49" s="161"/>
      <c r="BI49" s="439"/>
      <c r="BJ49" s="439"/>
      <c r="BK49" s="439"/>
      <c r="BL49" s="439"/>
      <c r="BM49" s="161"/>
      <c r="BN49" s="417"/>
      <c r="BO49" s="417"/>
      <c r="BP49" s="417"/>
      <c r="BQ49" s="417"/>
      <c r="BR49" s="540"/>
      <c r="BS49" s="417"/>
      <c r="BT49" s="417"/>
      <c r="BU49" s="417"/>
      <c r="BV49" s="417"/>
      <c r="BW49" s="540"/>
      <c r="BX49" s="417">
        <v>2.198</v>
      </c>
      <c r="BY49" s="417">
        <v>2.3719999999999999</v>
      </c>
      <c r="BZ49" s="417">
        <v>2.2450000000000001</v>
      </c>
      <c r="CA49" s="417">
        <v>0.41899999999999998</v>
      </c>
      <c r="CB49" s="540">
        <f>SUM(BX49:CA49)</f>
        <v>7.234</v>
      </c>
      <c r="CC49" s="417">
        <v>0.81799999999999995</v>
      </c>
      <c r="CD49" s="417">
        <v>1.222</v>
      </c>
      <c r="CE49" s="417">
        <v>2.3170000000000002</v>
      </c>
      <c r="CF49" s="417">
        <v>2.7069999999999999</v>
      </c>
      <c r="CG49" s="540">
        <f>SUM(CC49:CF49)</f>
        <v>7.0640000000000001</v>
      </c>
      <c r="CH49" s="417">
        <v>1.3460000000000001</v>
      </c>
      <c r="CI49" s="631">
        <f>'Acxiom Marketing Solutions'!CI14*CI51</f>
        <v>1.8964247999999999</v>
      </c>
      <c r="CJ49" s="631"/>
      <c r="CK49" s="631"/>
      <c r="CL49" s="540"/>
      <c r="CM49" s="631"/>
      <c r="CN49" s="631"/>
      <c r="CO49" s="631"/>
      <c r="CP49" s="631"/>
      <c r="CQ49" s="540"/>
      <c r="CR49" s="631"/>
      <c r="CS49" s="631"/>
      <c r="CT49" s="631"/>
      <c r="CU49" s="631"/>
      <c r="CV49" s="540"/>
    </row>
    <row r="50" spans="5:100" ht="13.5" x14ac:dyDescent="0.25">
      <c r="E50" s="365" t="s">
        <v>2</v>
      </c>
      <c r="F50" s="185"/>
      <c r="G50" s="185"/>
      <c r="H50" s="185"/>
      <c r="I50" s="185"/>
      <c r="J50" s="185"/>
      <c r="K50" s="122"/>
      <c r="L50" s="122"/>
      <c r="M50" s="122"/>
      <c r="N50" s="122"/>
      <c r="O50" s="161"/>
      <c r="P50" s="122"/>
      <c r="Q50" s="122"/>
      <c r="R50" s="122"/>
      <c r="S50" s="122"/>
      <c r="T50" s="161"/>
      <c r="U50" s="122"/>
      <c r="V50" s="122"/>
      <c r="W50" s="122"/>
      <c r="X50" s="122"/>
      <c r="Y50" s="161"/>
      <c r="Z50" s="128"/>
      <c r="AA50" s="128"/>
      <c r="AB50" s="128"/>
      <c r="AC50" s="128"/>
      <c r="AD50" s="161"/>
      <c r="AE50" s="128"/>
      <c r="AF50" s="128"/>
      <c r="AG50" s="128"/>
      <c r="AH50" s="128"/>
      <c r="AI50" s="140"/>
      <c r="AJ50" s="721"/>
      <c r="AK50" s="721"/>
      <c r="AL50" s="721"/>
      <c r="AM50" s="721"/>
      <c r="AN50" s="140"/>
      <c r="AO50" s="721"/>
      <c r="AP50" s="721"/>
      <c r="AQ50" s="721"/>
      <c r="AR50" s="726"/>
      <c r="AS50" s="161"/>
      <c r="AT50" s="439"/>
      <c r="AU50" s="439"/>
      <c r="AV50" s="439"/>
      <c r="AW50" s="439"/>
      <c r="AX50" s="161"/>
      <c r="AY50" s="439"/>
      <c r="AZ50" s="439"/>
      <c r="BA50" s="439"/>
      <c r="BB50" s="439"/>
      <c r="BC50" s="161"/>
      <c r="BD50" s="439"/>
      <c r="BE50" s="439"/>
      <c r="BF50" s="439"/>
      <c r="BG50" s="439"/>
      <c r="BH50" s="161"/>
      <c r="BI50" s="439"/>
      <c r="BJ50" s="439"/>
      <c r="BK50" s="439"/>
      <c r="BL50" s="439"/>
      <c r="BM50" s="161"/>
      <c r="BN50" s="363"/>
      <c r="BO50" s="363"/>
      <c r="BP50" s="363"/>
      <c r="BQ50" s="363"/>
      <c r="BR50" s="641"/>
      <c r="BS50" s="363"/>
      <c r="BT50" s="363"/>
      <c r="BU50" s="363"/>
      <c r="BV50" s="363"/>
      <c r="BW50" s="641"/>
      <c r="BX50" s="475" t="s">
        <v>490</v>
      </c>
      <c r="BY50" s="475" t="s">
        <v>490</v>
      </c>
      <c r="BZ50" s="475" t="s">
        <v>490</v>
      </c>
      <c r="CA50" s="475" t="s">
        <v>490</v>
      </c>
      <c r="CB50" s="580" t="s">
        <v>490</v>
      </c>
      <c r="CC50" s="363">
        <f t="shared" ref="CC50:CI50" si="9">(CC49-BX49)/ABS(BX49)</f>
        <v>-0.62784349408553231</v>
      </c>
      <c r="CD50" s="363">
        <f t="shared" si="9"/>
        <v>-0.484822934232715</v>
      </c>
      <c r="CE50" s="363">
        <f t="shared" si="9"/>
        <v>3.2071269487750582E-2</v>
      </c>
      <c r="CF50" s="363">
        <f>(CF49-CA49)/ABS(CA49)</f>
        <v>5.4606205250596656</v>
      </c>
      <c r="CG50" s="641">
        <f t="shared" si="9"/>
        <v>-2.3500138236107262E-2</v>
      </c>
      <c r="CH50" s="363">
        <f>(CH49-CC49)/ABS(CC49)</f>
        <v>0.64547677261613712</v>
      </c>
      <c r="CI50" s="363">
        <f t="shared" si="9"/>
        <v>0.55190245499181667</v>
      </c>
      <c r="CJ50" s="363"/>
      <c r="CK50" s="363"/>
      <c r="CL50" s="641"/>
      <c r="CM50" s="363"/>
      <c r="CN50" s="363"/>
      <c r="CO50" s="363"/>
      <c r="CP50" s="363"/>
      <c r="CQ50" s="641"/>
      <c r="CR50" s="363"/>
      <c r="CS50" s="363"/>
      <c r="CT50" s="363"/>
      <c r="CU50" s="363"/>
      <c r="CV50" s="641"/>
    </row>
    <row r="51" spans="5:100" ht="13.5" x14ac:dyDescent="0.25">
      <c r="E51" s="365" t="s">
        <v>91</v>
      </c>
      <c r="F51" s="185"/>
      <c r="G51" s="185"/>
      <c r="H51" s="185"/>
      <c r="I51" s="185"/>
      <c r="J51" s="185"/>
      <c r="K51" s="122"/>
      <c r="L51" s="122"/>
      <c r="M51" s="122"/>
      <c r="N51" s="122"/>
      <c r="O51" s="161"/>
      <c r="P51" s="122"/>
      <c r="Q51" s="122"/>
      <c r="R51" s="122"/>
      <c r="S51" s="122"/>
      <c r="T51" s="161"/>
      <c r="U51" s="122"/>
      <c r="V51" s="122"/>
      <c r="W51" s="122"/>
      <c r="X51" s="122"/>
      <c r="Y51" s="161"/>
      <c r="Z51" s="128"/>
      <c r="AA51" s="128"/>
      <c r="AB51" s="128"/>
      <c r="AC51" s="128"/>
      <c r="AD51" s="161"/>
      <c r="AE51" s="128"/>
      <c r="AF51" s="128"/>
      <c r="AG51" s="128"/>
      <c r="AH51" s="128"/>
      <c r="AI51" s="140"/>
      <c r="AJ51" s="721"/>
      <c r="AK51" s="721"/>
      <c r="AL51" s="721"/>
      <c r="AM51" s="721"/>
      <c r="AN51" s="140"/>
      <c r="AO51" s="721"/>
      <c r="AP51" s="721"/>
      <c r="AQ51" s="721"/>
      <c r="AR51" s="726"/>
      <c r="AS51" s="161"/>
      <c r="AT51" s="439"/>
      <c r="AU51" s="439"/>
      <c r="AV51" s="439"/>
      <c r="AW51" s="439"/>
      <c r="AX51" s="161"/>
      <c r="AY51" s="439"/>
      <c r="AZ51" s="439"/>
      <c r="BA51" s="439"/>
      <c r="BB51" s="439"/>
      <c r="BC51" s="161"/>
      <c r="BD51" s="439"/>
      <c r="BE51" s="439"/>
      <c r="BF51" s="439"/>
      <c r="BG51" s="439"/>
      <c r="BH51" s="161"/>
      <c r="BI51" s="439"/>
      <c r="BJ51" s="439"/>
      <c r="BK51" s="439"/>
      <c r="BL51" s="439"/>
      <c r="BM51" s="161"/>
      <c r="BN51" s="352"/>
      <c r="BO51" s="352"/>
      <c r="BP51" s="352"/>
      <c r="BQ51" s="352"/>
      <c r="BR51" s="643"/>
      <c r="BS51" s="352"/>
      <c r="BT51" s="352"/>
      <c r="BU51" s="352"/>
      <c r="BV51" s="352"/>
      <c r="BW51" s="643"/>
      <c r="BX51" s="352">
        <f>BX49/'Acxiom Marketing Solutions'!BX14</f>
        <v>0.14748708313762329</v>
      </c>
      <c r="BY51" s="352">
        <f>BY49/'Acxiom Marketing Solutions'!BY14</f>
        <v>0.15870467014585843</v>
      </c>
      <c r="BZ51" s="352">
        <f>BZ49/'Acxiom Marketing Solutions'!BZ14</f>
        <v>0.13468922486201104</v>
      </c>
      <c r="CA51" s="352">
        <f>CA49/'Acxiom Marketing Solutions'!CA14</f>
        <v>2.8639781271360215E-2</v>
      </c>
      <c r="CB51" s="643">
        <f>CB49/'Acxiom Marketing Solutions'!CB14</f>
        <v>0.11830506811454364</v>
      </c>
      <c r="CC51" s="352">
        <f>CC49/'Acxiom Marketing Solutions'!CC14</f>
        <v>6.0027885814926241E-2</v>
      </c>
      <c r="CD51" s="352">
        <f>CD49/'Acxiom Marketing Solutions'!CD14</f>
        <v>8.6195951188544825E-2</v>
      </c>
      <c r="CE51" s="352">
        <f>CE49/'Acxiom Marketing Solutions'!CE14</f>
        <v>0.14540320050203953</v>
      </c>
      <c r="CF51" s="352">
        <f>CF49/'Acxiom Marketing Solutions'!CF14</f>
        <v>0.16363416550806989</v>
      </c>
      <c r="CG51" s="643">
        <f>CG49/'Acxiom Marketing Solutions'!CG14</f>
        <v>0.11718257522975349</v>
      </c>
      <c r="CH51" s="352">
        <f>CH49/'Acxiom Marketing Solutions'!CH14</f>
        <v>9.4822120464952447E-2</v>
      </c>
      <c r="CI51" s="727">
        <f>CD51+0.04</f>
        <v>0.12619595118854482</v>
      </c>
      <c r="CJ51" s="727"/>
      <c r="CK51" s="727"/>
      <c r="CL51" s="643"/>
      <c r="CM51" s="727"/>
      <c r="CN51" s="727"/>
      <c r="CO51" s="727"/>
      <c r="CP51" s="727"/>
      <c r="CQ51" s="643"/>
      <c r="CR51" s="727"/>
      <c r="CS51" s="727"/>
      <c r="CT51" s="727"/>
      <c r="CU51" s="727"/>
      <c r="CV51" s="643"/>
    </row>
    <row r="52" spans="5:100" ht="13.5" x14ac:dyDescent="0.25">
      <c r="E52" s="564" t="s">
        <v>756</v>
      </c>
      <c r="F52" s="565"/>
      <c r="G52" s="565"/>
      <c r="H52" s="565"/>
      <c r="I52" s="565"/>
      <c r="J52" s="565"/>
      <c r="K52" s="565"/>
      <c r="L52" s="565"/>
      <c r="M52" s="565"/>
      <c r="N52" s="565"/>
      <c r="O52" s="566"/>
      <c r="P52" s="565"/>
      <c r="Q52" s="565"/>
      <c r="R52" s="565"/>
      <c r="S52" s="565"/>
      <c r="T52" s="566"/>
      <c r="U52" s="565"/>
      <c r="V52" s="565"/>
      <c r="W52" s="565"/>
      <c r="X52" s="565"/>
      <c r="Y52" s="566"/>
      <c r="Z52" s="567"/>
      <c r="AA52" s="567"/>
      <c r="AB52" s="567"/>
      <c r="AC52" s="567"/>
      <c r="AD52" s="566"/>
      <c r="AE52" s="567"/>
      <c r="AF52" s="567"/>
      <c r="AG52" s="567"/>
      <c r="AH52" s="567"/>
      <c r="AI52" s="513"/>
      <c r="AJ52" s="568"/>
      <c r="AK52" s="568"/>
      <c r="AL52" s="568"/>
      <c r="AM52" s="568"/>
      <c r="AN52" s="513"/>
      <c r="AO52" s="568"/>
      <c r="AP52" s="568"/>
      <c r="AQ52" s="568"/>
      <c r="AR52" s="565"/>
      <c r="AS52" s="566"/>
      <c r="AT52" s="566"/>
      <c r="AU52" s="566"/>
      <c r="AV52" s="566"/>
      <c r="AW52" s="566"/>
      <c r="AX52" s="566"/>
      <c r="AY52" s="566"/>
      <c r="AZ52" s="566"/>
      <c r="BA52" s="566"/>
      <c r="BB52" s="566"/>
      <c r="BC52" s="566"/>
      <c r="BD52" s="566"/>
      <c r="BE52" s="566"/>
      <c r="BF52" s="566"/>
      <c r="BG52" s="566"/>
      <c r="BH52" s="566"/>
      <c r="BI52" s="566"/>
      <c r="BJ52" s="566"/>
      <c r="BK52" s="566"/>
      <c r="BL52" s="566"/>
      <c r="BM52" s="566"/>
      <c r="BN52" s="545"/>
      <c r="BO52" s="545"/>
      <c r="BP52" s="545"/>
      <c r="BQ52" s="545"/>
      <c r="BR52" s="540"/>
      <c r="BS52" s="545"/>
      <c r="BT52" s="545"/>
      <c r="BU52" s="545"/>
      <c r="BV52" s="545"/>
      <c r="BW52" s="540"/>
      <c r="BX52" s="545">
        <v>44.995999999999995</v>
      </c>
      <c r="BY52" s="545">
        <v>49.984000000000002</v>
      </c>
      <c r="BZ52" s="545">
        <v>53.890000000000008</v>
      </c>
      <c r="CA52" s="545">
        <v>52.634999999999998</v>
      </c>
      <c r="CB52" s="540">
        <v>201.505</v>
      </c>
      <c r="CC52" s="545">
        <v>48.375000000000007</v>
      </c>
      <c r="CD52" s="545">
        <v>51.202999999999996</v>
      </c>
      <c r="CE52" s="545">
        <v>52.961000000000006</v>
      </c>
      <c r="CF52" s="545">
        <v>50.419999999999995</v>
      </c>
      <c r="CG52" s="540">
        <v>202.959</v>
      </c>
      <c r="CH52" s="545">
        <v>47.457999999999998</v>
      </c>
      <c r="CI52" s="642">
        <v>46.44459999999998</v>
      </c>
      <c r="CJ52" s="642"/>
      <c r="CK52" s="642"/>
      <c r="CL52" s="540">
        <f>SUM(CH52:CK52)</f>
        <v>93.902599999999978</v>
      </c>
      <c r="CM52" s="642"/>
      <c r="CN52" s="642"/>
      <c r="CO52" s="642"/>
      <c r="CP52" s="642"/>
      <c r="CQ52" s="540"/>
      <c r="CR52" s="642"/>
      <c r="CS52" s="642"/>
      <c r="CT52" s="642"/>
      <c r="CU52" s="642"/>
      <c r="CV52" s="540"/>
    </row>
    <row r="53" spans="5:100" ht="13.5" x14ac:dyDescent="0.25">
      <c r="E53" s="643" t="s">
        <v>2</v>
      </c>
      <c r="F53" s="565"/>
      <c r="G53" s="565"/>
      <c r="H53" s="565"/>
      <c r="I53" s="565"/>
      <c r="J53" s="565"/>
      <c r="K53" s="565"/>
      <c r="L53" s="565"/>
      <c r="M53" s="565"/>
      <c r="N53" s="565"/>
      <c r="O53" s="566"/>
      <c r="P53" s="565"/>
      <c r="Q53" s="565"/>
      <c r="R53" s="565"/>
      <c r="S53" s="565"/>
      <c r="T53" s="566"/>
      <c r="U53" s="565"/>
      <c r="V53" s="565"/>
      <c r="W53" s="565"/>
      <c r="X53" s="565"/>
      <c r="Y53" s="566"/>
      <c r="Z53" s="567"/>
      <c r="AA53" s="567"/>
      <c r="AB53" s="567"/>
      <c r="AC53" s="567"/>
      <c r="AD53" s="566"/>
      <c r="AE53" s="567"/>
      <c r="AF53" s="567"/>
      <c r="AG53" s="567"/>
      <c r="AH53" s="567"/>
      <c r="AI53" s="513"/>
      <c r="AJ53" s="568"/>
      <c r="AK53" s="568"/>
      <c r="AL53" s="568"/>
      <c r="AM53" s="568"/>
      <c r="AN53" s="513"/>
      <c r="AO53" s="568"/>
      <c r="AP53" s="568"/>
      <c r="AQ53" s="568"/>
      <c r="AR53" s="565"/>
      <c r="AS53" s="566"/>
      <c r="AT53" s="566"/>
      <c r="AU53" s="566"/>
      <c r="AV53" s="566"/>
      <c r="AW53" s="566"/>
      <c r="AX53" s="566"/>
      <c r="AY53" s="566"/>
      <c r="AZ53" s="566"/>
      <c r="BA53" s="566"/>
      <c r="BB53" s="566"/>
      <c r="BC53" s="566"/>
      <c r="BD53" s="566"/>
      <c r="BE53" s="566"/>
      <c r="BF53" s="566"/>
      <c r="BG53" s="566"/>
      <c r="BH53" s="566"/>
      <c r="BI53" s="566"/>
      <c r="BJ53" s="566"/>
      <c r="BK53" s="566"/>
      <c r="BL53" s="566"/>
      <c r="BM53" s="566"/>
      <c r="BN53" s="644"/>
      <c r="BO53" s="644"/>
      <c r="BP53" s="513"/>
      <c r="BQ53" s="644"/>
      <c r="BR53" s="644"/>
      <c r="BS53" s="641"/>
      <c r="BT53" s="641"/>
      <c r="BU53" s="641"/>
      <c r="BV53" s="641"/>
      <c r="BW53" s="641"/>
      <c r="BX53" s="580" t="s">
        <v>490</v>
      </c>
      <c r="BY53" s="580" t="s">
        <v>490</v>
      </c>
      <c r="BZ53" s="580" t="s">
        <v>490</v>
      </c>
      <c r="CA53" s="580" t="s">
        <v>490</v>
      </c>
      <c r="CB53" s="580" t="s">
        <v>490</v>
      </c>
      <c r="CC53" s="641">
        <f t="shared" ref="CC53:CI53" si="10">(CC52-BX52)/ABS(BX52)</f>
        <v>7.5095564050138064E-2</v>
      </c>
      <c r="CD53" s="641">
        <f t="shared" si="10"/>
        <v>2.4387804097311019E-2</v>
      </c>
      <c r="CE53" s="641">
        <f t="shared" si="10"/>
        <v>-1.7238819818148114E-2</v>
      </c>
      <c r="CF53" s="641">
        <f>(CF52-CA52)/ABS(CA52)</f>
        <v>-4.2082264652797637E-2</v>
      </c>
      <c r="CG53" s="641">
        <f t="shared" si="10"/>
        <v>7.2157018436267472E-3</v>
      </c>
      <c r="CH53" s="641">
        <f t="shared" si="10"/>
        <v>-1.8956072351421365E-2</v>
      </c>
      <c r="CI53" s="641">
        <f t="shared" si="10"/>
        <v>-9.2932054762416588E-2</v>
      </c>
      <c r="CJ53" s="641"/>
      <c r="CK53" s="641"/>
      <c r="CL53" s="641"/>
      <c r="CM53" s="641"/>
      <c r="CN53" s="641"/>
      <c r="CO53" s="641"/>
      <c r="CP53" s="641"/>
      <c r="CQ53" s="641"/>
      <c r="CR53" s="641"/>
      <c r="CS53" s="641"/>
      <c r="CT53" s="641"/>
      <c r="CU53" s="641"/>
      <c r="CV53" s="641"/>
    </row>
    <row r="54" spans="5:100" ht="13.5" x14ac:dyDescent="0.25">
      <c r="E54" s="643" t="s">
        <v>91</v>
      </c>
      <c r="F54" s="565"/>
      <c r="G54" s="565"/>
      <c r="H54" s="565"/>
      <c r="I54" s="565"/>
      <c r="J54" s="565"/>
      <c r="K54" s="565"/>
      <c r="L54" s="565"/>
      <c r="M54" s="565"/>
      <c r="N54" s="565"/>
      <c r="O54" s="566"/>
      <c r="P54" s="565"/>
      <c r="Q54" s="565"/>
      <c r="R54" s="565"/>
      <c r="S54" s="565"/>
      <c r="T54" s="566"/>
      <c r="U54" s="565"/>
      <c r="V54" s="565"/>
      <c r="W54" s="565"/>
      <c r="X54" s="565"/>
      <c r="Y54" s="566"/>
      <c r="Z54" s="567"/>
      <c r="AA54" s="567"/>
      <c r="AB54" s="567"/>
      <c r="AC54" s="567"/>
      <c r="AD54" s="566"/>
      <c r="AE54" s="567"/>
      <c r="AF54" s="567"/>
      <c r="AG54" s="567"/>
      <c r="AH54" s="567"/>
      <c r="AI54" s="513"/>
      <c r="AJ54" s="568"/>
      <c r="AK54" s="568"/>
      <c r="AL54" s="568"/>
      <c r="AM54" s="568"/>
      <c r="AN54" s="513"/>
      <c r="AO54" s="568"/>
      <c r="AP54" s="568"/>
      <c r="AQ54" s="568"/>
      <c r="AR54" s="565"/>
      <c r="AS54" s="566"/>
      <c r="AT54" s="566"/>
      <c r="AU54" s="566"/>
      <c r="AV54" s="566"/>
      <c r="AW54" s="566"/>
      <c r="AX54" s="566"/>
      <c r="AY54" s="566"/>
      <c r="AZ54" s="566"/>
      <c r="BA54" s="566"/>
      <c r="BB54" s="566"/>
      <c r="BC54" s="566"/>
      <c r="BD54" s="566"/>
      <c r="BE54" s="566"/>
      <c r="BF54" s="566"/>
      <c r="BG54" s="566"/>
      <c r="BH54" s="566"/>
      <c r="BI54" s="566"/>
      <c r="BJ54" s="566"/>
      <c r="BK54" s="566"/>
      <c r="BL54" s="566"/>
      <c r="BM54" s="566"/>
      <c r="BN54" s="643"/>
      <c r="BO54" s="643"/>
      <c r="BP54" s="643"/>
      <c r="BQ54" s="643"/>
      <c r="BR54" s="643"/>
      <c r="BS54" s="643"/>
      <c r="BT54" s="643"/>
      <c r="BU54" s="643"/>
      <c r="BV54" s="643"/>
      <c r="BW54" s="643"/>
      <c r="BX54" s="643">
        <f>BX52/'Acxiom Marketing Solutions'!BX17</f>
        <v>0.24763760243476918</v>
      </c>
      <c r="BY54" s="643">
        <f>BY52/'Acxiom Marketing Solutions'!BY17</f>
        <v>0.27363453716325337</v>
      </c>
      <c r="BZ54" s="643">
        <f>BZ52/'Acxiom Marketing Solutions'!BZ17</f>
        <v>0.29591679845369884</v>
      </c>
      <c r="CA54" s="643">
        <f>CA52/'Acxiom Marketing Solutions'!CA17</f>
        <v>0.29344699165960481</v>
      </c>
      <c r="CB54" s="643">
        <f>CB52/'Acxiom Marketing Solutions'!CB17</f>
        <v>0.27761321929660199</v>
      </c>
      <c r="CC54" s="643">
        <f>CC52/'Acxiom Marketing Solutions'!CC17</f>
        <v>0.29184287843047363</v>
      </c>
      <c r="CD54" s="643">
        <f>CD52/'Acxiom Marketing Solutions'!CD17</f>
        <v>0.29903578290806937</v>
      </c>
      <c r="CE54" s="643">
        <f>CE52/'Acxiom Marketing Solutions'!CE17</f>
        <v>0.30134281650071126</v>
      </c>
      <c r="CF54" s="643">
        <f>CF52/'Acxiom Marketing Solutions'!CF17</f>
        <v>0.27317400891797738</v>
      </c>
      <c r="CG54" s="643">
        <f>CG52/'Acxiom Marketing Solutions'!CG17</f>
        <v>0.29106201733818066</v>
      </c>
      <c r="CH54" s="643">
        <f>CH52/'Acxiom Marketing Solutions'!CH17</f>
        <v>0.28849497270549901</v>
      </c>
      <c r="CI54" s="643">
        <f>CI52/'Acxiom Marketing Solutions'!CI17</f>
        <v>0.27907423348412491</v>
      </c>
      <c r="CJ54" s="643"/>
      <c r="CK54" s="643"/>
      <c r="CL54" s="643"/>
      <c r="CM54" s="643"/>
      <c r="CN54" s="643"/>
      <c r="CO54" s="643"/>
      <c r="CP54" s="643"/>
      <c r="CQ54" s="643"/>
      <c r="CR54" s="643"/>
      <c r="CS54" s="643"/>
      <c r="CT54" s="643"/>
      <c r="CU54" s="643"/>
      <c r="CV54" s="643"/>
    </row>
    <row r="55" spans="5:100" ht="3.75" customHeight="1" x14ac:dyDescent="0.25">
      <c r="E55" s="702"/>
      <c r="F55" s="703"/>
      <c r="G55" s="703"/>
      <c r="H55" s="703"/>
      <c r="I55" s="703"/>
      <c r="J55" s="703"/>
      <c r="K55" s="703"/>
      <c r="L55" s="703"/>
      <c r="M55" s="703"/>
      <c r="N55" s="703"/>
      <c r="O55" s="549"/>
      <c r="P55" s="703"/>
      <c r="Q55" s="703"/>
      <c r="R55" s="703"/>
      <c r="S55" s="703"/>
      <c r="T55" s="549"/>
      <c r="U55" s="703"/>
      <c r="V55" s="703"/>
      <c r="W55" s="703"/>
      <c r="X55" s="703"/>
      <c r="Y55" s="549"/>
      <c r="Z55" s="704"/>
      <c r="AA55" s="704"/>
      <c r="AB55" s="704"/>
      <c r="AC55" s="704"/>
      <c r="AD55" s="549"/>
      <c r="AE55" s="704"/>
      <c r="AF55" s="704"/>
      <c r="AG55" s="704"/>
      <c r="AH55" s="704"/>
      <c r="AI55" s="636"/>
      <c r="AJ55" s="645"/>
      <c r="AK55" s="645"/>
      <c r="AL55" s="645"/>
      <c r="AM55" s="645"/>
      <c r="AN55" s="636"/>
      <c r="AO55" s="645"/>
      <c r="AP55" s="645"/>
      <c r="AQ55" s="645"/>
      <c r="AR55" s="703"/>
      <c r="AS55" s="549"/>
      <c r="AT55" s="549"/>
      <c r="AU55" s="549"/>
      <c r="AV55" s="549"/>
      <c r="AW55" s="549"/>
      <c r="AX55" s="549"/>
      <c r="AY55" s="549"/>
      <c r="AZ55" s="549"/>
      <c r="BA55" s="549"/>
      <c r="BB55" s="549"/>
      <c r="BC55" s="549"/>
      <c r="BD55" s="549"/>
      <c r="BE55" s="549"/>
      <c r="BF55" s="549"/>
      <c r="BG55" s="549"/>
      <c r="BH55" s="549"/>
      <c r="BI55" s="549"/>
      <c r="BJ55" s="549"/>
      <c r="BK55" s="549"/>
      <c r="BL55" s="549"/>
      <c r="BM55" s="643"/>
      <c r="BN55" s="702"/>
      <c r="BO55" s="702"/>
      <c r="BP55" s="702"/>
      <c r="BQ55" s="702"/>
      <c r="BR55" s="643"/>
      <c r="BS55" s="702"/>
      <c r="BT55" s="702"/>
      <c r="BU55" s="702"/>
      <c r="BV55" s="702"/>
      <c r="BW55" s="643"/>
      <c r="BX55" s="702"/>
      <c r="BY55" s="705"/>
      <c r="BZ55" s="705"/>
      <c r="CA55" s="705"/>
      <c r="CB55" s="643"/>
      <c r="CC55" s="705"/>
      <c r="CD55" s="705"/>
      <c r="CE55" s="705"/>
      <c r="CF55" s="705"/>
      <c r="CG55" s="643"/>
      <c r="CH55" s="705"/>
      <c r="CI55" s="705"/>
      <c r="CJ55" s="705"/>
      <c r="CK55" s="705"/>
      <c r="CL55" s="643"/>
      <c r="CM55" s="705"/>
      <c r="CN55" s="705"/>
      <c r="CO55" s="705"/>
      <c r="CP55" s="705"/>
      <c r="CQ55" s="643"/>
      <c r="CR55" s="705"/>
      <c r="CS55" s="705"/>
      <c r="CT55" s="705"/>
      <c r="CU55" s="705"/>
      <c r="CV55" s="643"/>
    </row>
    <row r="56" spans="5:100" ht="13.5" hidden="1" x14ac:dyDescent="0.25">
      <c r="E56" s="54" t="s">
        <v>606</v>
      </c>
      <c r="F56" s="150"/>
      <c r="G56" s="150"/>
      <c r="H56" s="150"/>
      <c r="I56" s="150"/>
      <c r="J56" s="150"/>
      <c r="O56" s="204"/>
      <c r="S56" s="191"/>
      <c r="T56" s="204"/>
      <c r="Y56" s="204"/>
      <c r="Z56" s="59"/>
      <c r="AA56" s="59"/>
      <c r="AB56" s="59"/>
      <c r="AC56" s="59"/>
      <c r="AD56" s="204"/>
      <c r="AE56" s="59"/>
      <c r="AF56" s="59"/>
      <c r="AG56" s="59"/>
      <c r="AH56" s="59"/>
      <c r="AI56" s="204"/>
      <c r="AJ56" s="59"/>
      <c r="AK56" s="59"/>
      <c r="AL56" s="59"/>
      <c r="AM56" s="59"/>
      <c r="AN56" s="204"/>
      <c r="AO56" s="59"/>
      <c r="AP56" s="59"/>
      <c r="AQ56" s="59"/>
      <c r="AR56" s="59"/>
      <c r="AS56" s="204"/>
      <c r="AT56" s="59"/>
      <c r="AU56" s="59"/>
      <c r="AV56" s="59"/>
      <c r="AW56" s="59"/>
      <c r="AX56" s="204"/>
      <c r="AY56" s="59"/>
      <c r="AZ56" s="59"/>
      <c r="BA56" s="59"/>
      <c r="BB56" s="59"/>
      <c r="BC56" s="204"/>
      <c r="BD56" s="59"/>
      <c r="BE56" s="59"/>
      <c r="BF56" s="59"/>
      <c r="BG56" s="59"/>
      <c r="BH56" s="204"/>
      <c r="BI56" s="439"/>
      <c r="BJ56" s="439"/>
      <c r="BK56" s="439"/>
      <c r="BL56" s="439"/>
      <c r="BM56" s="161"/>
      <c r="BN56" s="549"/>
      <c r="BO56" s="549"/>
      <c r="BP56" s="549"/>
      <c r="BQ56" s="549"/>
      <c r="BR56" s="161"/>
      <c r="BS56" s="549"/>
      <c r="BT56" s="549"/>
      <c r="BU56" s="549"/>
      <c r="BV56" s="549"/>
      <c r="BW56" s="161"/>
      <c r="BX56" s="549">
        <f>'Acxiom Marketing Solutions'!BX68-Connectivity!BX37</f>
        <v>269.15400000000005</v>
      </c>
      <c r="BY56" s="549">
        <f>'Acxiom Marketing Solutions'!BY68-Connectivity!BY37</f>
        <v>265.51</v>
      </c>
      <c r="BZ56" s="549">
        <f>'Acxiom Marketing Solutions'!BZ68-Connectivity!BZ37</f>
        <v>258.28200000000004</v>
      </c>
      <c r="CA56" s="549">
        <f>'Acxiom Marketing Solutions'!CA68-Connectivity!CA37</f>
        <v>252.12100000000001</v>
      </c>
      <c r="CB56" s="566">
        <f>SUM(BX56:CA56)</f>
        <v>1045.067</v>
      </c>
      <c r="CC56" s="549">
        <f>'Acxiom Marketing Solutions'!CC68-Connectivity!CC37</f>
        <v>236.80099999999999</v>
      </c>
      <c r="CD56" s="549">
        <f>'Acxiom Marketing Solutions'!CD68-Connectivity!CD37</f>
        <v>244.05500000000001</v>
      </c>
      <c r="CE56" s="549">
        <f>'Acxiom Marketing Solutions'!CE68-Connectivity!CE37</f>
        <v>247.37799999999999</v>
      </c>
      <c r="CF56" s="549">
        <f>'Acxiom Marketing Solutions'!CF68-Connectivity!CF37</f>
        <v>258.62799999999999</v>
      </c>
      <c r="CG56" s="566">
        <f>SUM(CC56:CF56)</f>
        <v>986.86199999999985</v>
      </c>
      <c r="CH56" s="549">
        <f>'Acxiom Marketing Solutions'!CH68-Connectivity!CH37</f>
        <v>150.30700000000002</v>
      </c>
      <c r="CI56" s="549">
        <f>'Acxiom Marketing Solutions'!CI68-Connectivity!CI37</f>
        <v>151.39619999999999</v>
      </c>
      <c r="CJ56" s="549"/>
      <c r="CK56" s="549"/>
      <c r="CL56" s="566"/>
      <c r="CM56" s="549"/>
      <c r="CN56" s="549"/>
      <c r="CO56" s="549"/>
      <c r="CP56" s="549"/>
      <c r="CQ56" s="566"/>
      <c r="CR56" s="549"/>
      <c r="CS56" s="549"/>
      <c r="CT56" s="549"/>
      <c r="CU56" s="549"/>
      <c r="CV56" s="566"/>
    </row>
    <row r="57" spans="5:100" ht="13.5" hidden="1" x14ac:dyDescent="0.25">
      <c r="E57" s="91" t="s">
        <v>2</v>
      </c>
      <c r="F57" s="150"/>
      <c r="G57" s="150"/>
      <c r="H57" s="150"/>
      <c r="I57" s="150"/>
      <c r="J57" s="150"/>
      <c r="O57" s="204"/>
      <c r="S57" s="191"/>
      <c r="T57" s="204"/>
      <c r="Y57" s="204"/>
      <c r="Z57" s="59"/>
      <c r="AA57" s="59"/>
      <c r="AB57" s="59"/>
      <c r="AC57" s="59"/>
      <c r="AD57" s="204"/>
      <c r="AE57" s="59"/>
      <c r="AF57" s="59"/>
      <c r="AG57" s="59"/>
      <c r="AH57" s="59"/>
      <c r="AI57" s="204"/>
      <c r="AJ57" s="59"/>
      <c r="AK57" s="59"/>
      <c r="AL57" s="59"/>
      <c r="AM57" s="59"/>
      <c r="AN57" s="204"/>
      <c r="AO57" s="59"/>
      <c r="AP57" s="59"/>
      <c r="AQ57" s="59"/>
      <c r="AR57" s="59"/>
      <c r="AS57" s="204"/>
      <c r="AT57" s="59"/>
      <c r="AU57" s="59"/>
      <c r="AV57" s="59"/>
      <c r="AW57" s="59"/>
      <c r="AX57" s="204"/>
      <c r="AY57" s="59"/>
      <c r="AZ57" s="59"/>
      <c r="BA57" s="59"/>
      <c r="BB57" s="59"/>
      <c r="BC57" s="204"/>
      <c r="BD57" s="59"/>
      <c r="BE57" s="59"/>
      <c r="BF57" s="59"/>
      <c r="BG57" s="59"/>
      <c r="BH57" s="204"/>
      <c r="BI57" s="183"/>
      <c r="BJ57" s="183"/>
      <c r="BK57" s="183"/>
      <c r="BL57" s="183"/>
      <c r="BM57" s="32"/>
      <c r="BN57" s="680"/>
      <c r="BO57" s="680"/>
      <c r="BP57" s="680"/>
      <c r="BQ57" s="680"/>
      <c r="BR57" s="32"/>
      <c r="BS57" s="680"/>
      <c r="BT57" s="680"/>
      <c r="BU57" s="680"/>
      <c r="BV57" s="680"/>
      <c r="BW57" s="32"/>
      <c r="BX57" s="680" t="e">
        <f t="shared" ref="BX57:CI57" si="11">BX56/BS56-1</f>
        <v>#DIV/0!</v>
      </c>
      <c r="BY57" s="680" t="e">
        <f t="shared" si="11"/>
        <v>#DIV/0!</v>
      </c>
      <c r="BZ57" s="680" t="e">
        <f t="shared" si="11"/>
        <v>#DIV/0!</v>
      </c>
      <c r="CA57" s="680" t="e">
        <f t="shared" si="11"/>
        <v>#DIV/0!</v>
      </c>
      <c r="CB57" s="641" t="e">
        <f t="shared" si="11"/>
        <v>#DIV/0!</v>
      </c>
      <c r="CC57" s="680">
        <f t="shared" si="11"/>
        <v>-0.12020256061585588</v>
      </c>
      <c r="CD57" s="680">
        <f t="shared" si="11"/>
        <v>-8.0806749274980216E-2</v>
      </c>
      <c r="CE57" s="680">
        <f t="shared" si="11"/>
        <v>-4.2217421268226363E-2</v>
      </c>
      <c r="CF57" s="680">
        <f t="shared" si="11"/>
        <v>2.5809036137410146E-2</v>
      </c>
      <c r="CG57" s="641">
        <f t="shared" si="11"/>
        <v>-5.5694993718106267E-2</v>
      </c>
      <c r="CH57" s="680">
        <f t="shared" si="11"/>
        <v>-0.3652602818400259</v>
      </c>
      <c r="CI57" s="680">
        <f t="shared" si="11"/>
        <v>-0.37966360041793867</v>
      </c>
      <c r="CJ57" s="680"/>
      <c r="CK57" s="680"/>
      <c r="CL57" s="641"/>
      <c r="CM57" s="680"/>
      <c r="CN57" s="680"/>
      <c r="CO57" s="680"/>
      <c r="CP57" s="680"/>
      <c r="CQ57" s="641"/>
      <c r="CR57" s="680"/>
      <c r="CS57" s="680"/>
      <c r="CT57" s="680"/>
      <c r="CU57" s="680"/>
      <c r="CV57" s="641"/>
    </row>
    <row r="58" spans="5:100" ht="13.5" hidden="1" x14ac:dyDescent="0.25">
      <c r="E58" s="174"/>
      <c r="F58" s="185"/>
      <c r="G58" s="185"/>
      <c r="H58" s="185"/>
      <c r="I58" s="185"/>
      <c r="J58" s="185"/>
      <c r="K58" s="122"/>
      <c r="L58" s="122"/>
      <c r="M58" s="122"/>
      <c r="N58" s="122"/>
      <c r="O58" s="161"/>
      <c r="P58" s="122"/>
      <c r="Q58" s="122"/>
      <c r="R58" s="122"/>
      <c r="S58" s="122"/>
      <c r="T58" s="161"/>
      <c r="U58" s="122"/>
      <c r="V58" s="122"/>
      <c r="W58" s="122"/>
      <c r="X58" s="122"/>
      <c r="Y58" s="161"/>
      <c r="Z58" s="128"/>
      <c r="AA58" s="128"/>
      <c r="AB58" s="128"/>
      <c r="AC58" s="128"/>
      <c r="AD58" s="161"/>
      <c r="AE58" s="128"/>
      <c r="AF58" s="128"/>
      <c r="AG58" s="128"/>
      <c r="AH58" s="128"/>
      <c r="AI58" s="140"/>
      <c r="AJ58" s="721"/>
      <c r="AK58" s="721"/>
      <c r="AL58" s="721"/>
      <c r="AM58" s="721"/>
      <c r="AN58" s="140"/>
      <c r="AO58" s="721"/>
      <c r="AP58" s="721"/>
      <c r="AQ58" s="721"/>
      <c r="AR58" s="726"/>
      <c r="AS58" s="161"/>
      <c r="AT58" s="197"/>
      <c r="AU58" s="197"/>
      <c r="AV58" s="197"/>
      <c r="AW58" s="197"/>
      <c r="AX58" s="161"/>
      <c r="AY58" s="157"/>
      <c r="AZ58" s="197"/>
      <c r="BA58" s="197"/>
      <c r="BB58" s="157"/>
      <c r="BC58" s="161"/>
      <c r="BD58" s="157"/>
      <c r="BE58" s="157"/>
      <c r="BF58" s="157"/>
      <c r="BG58" s="157"/>
      <c r="BH58" s="161"/>
      <c r="BI58" s="157"/>
      <c r="BJ58" s="157"/>
      <c r="BK58" s="157"/>
      <c r="BL58" s="157"/>
      <c r="BM58" s="161"/>
      <c r="BN58" s="549"/>
      <c r="BO58" s="549"/>
      <c r="BP58" s="549"/>
      <c r="BQ58" s="549"/>
      <c r="BR58" s="161"/>
      <c r="BS58" s="549"/>
      <c r="BT58" s="549"/>
      <c r="BU58" s="549"/>
      <c r="BV58" s="549"/>
      <c r="BW58" s="161"/>
      <c r="BX58" s="549"/>
      <c r="BY58" s="549"/>
      <c r="BZ58" s="549"/>
      <c r="CA58" s="549"/>
      <c r="CB58" s="566"/>
      <c r="CC58" s="549"/>
      <c r="CD58" s="549"/>
      <c r="CE58" s="549"/>
      <c r="CF58" s="549"/>
      <c r="CG58" s="566"/>
      <c r="CH58" s="549"/>
      <c r="CI58" s="549"/>
      <c r="CJ58" s="549"/>
      <c r="CK58" s="549"/>
      <c r="CL58" s="566"/>
      <c r="CM58" s="549"/>
      <c r="CN58" s="549"/>
      <c r="CO58" s="549"/>
      <c r="CP58" s="549"/>
      <c r="CQ58" s="566"/>
      <c r="CR58" s="549"/>
      <c r="CS58" s="549"/>
      <c r="CT58" s="549"/>
      <c r="CU58" s="549"/>
      <c r="CV58" s="566"/>
    </row>
    <row r="59" spans="5:100" ht="13.5" hidden="1" x14ac:dyDescent="0.25">
      <c r="E59" s="54" t="s">
        <v>604</v>
      </c>
      <c r="F59" s="150"/>
      <c r="G59" s="150"/>
      <c r="H59" s="150"/>
      <c r="I59" s="150"/>
      <c r="J59" s="150"/>
      <c r="O59" s="204"/>
      <c r="S59" s="191"/>
      <c r="T59" s="204"/>
      <c r="Y59" s="204"/>
      <c r="Z59" s="59"/>
      <c r="AA59" s="59"/>
      <c r="AB59" s="59"/>
      <c r="AC59" s="59"/>
      <c r="AD59" s="204"/>
      <c r="AE59" s="59"/>
      <c r="AF59" s="59"/>
      <c r="AG59" s="59"/>
      <c r="AH59" s="59"/>
      <c r="AI59" s="204"/>
      <c r="AJ59" s="59"/>
      <c r="AK59" s="59"/>
      <c r="AL59" s="59"/>
      <c r="AM59" s="59"/>
      <c r="AN59" s="204"/>
      <c r="AO59" s="59"/>
      <c r="AP59" s="59"/>
      <c r="AQ59" s="59"/>
      <c r="AR59" s="59"/>
      <c r="AS59" s="204"/>
      <c r="AT59" s="59"/>
      <c r="AU59" s="59"/>
      <c r="AV59" s="59"/>
      <c r="AW59" s="59"/>
      <c r="AX59" s="204"/>
      <c r="AY59" s="59"/>
      <c r="AZ59" s="59"/>
      <c r="BA59" s="59"/>
      <c r="BB59" s="59"/>
      <c r="BC59" s="204"/>
      <c r="BD59" s="59"/>
      <c r="BE59" s="59"/>
      <c r="BF59" s="59"/>
      <c r="BG59" s="59"/>
      <c r="BH59" s="204"/>
      <c r="BI59" s="439"/>
      <c r="BJ59" s="439"/>
      <c r="BK59" s="439"/>
      <c r="BL59" s="439"/>
      <c r="BM59" s="161"/>
      <c r="BN59" s="549"/>
      <c r="BO59" s="549"/>
      <c r="BP59" s="549"/>
      <c r="BQ59" s="549"/>
      <c r="BR59" s="161"/>
      <c r="BS59" s="549"/>
      <c r="BT59" s="549"/>
      <c r="BU59" s="549"/>
      <c r="BV59" s="549"/>
      <c r="BW59" s="161"/>
      <c r="BX59" s="549">
        <f>'Acxiom Marketing Solutions'!BX70-Connectivity!BX41</f>
        <v>22.262000000000004</v>
      </c>
      <c r="BY59" s="549">
        <f>'Acxiom Marketing Solutions'!BY70-Connectivity!BY41</f>
        <v>22.836000000000048</v>
      </c>
      <c r="BZ59" s="549">
        <f>'Acxiom Marketing Solutions'!BZ70-Connectivity!BZ41</f>
        <v>25.007000000000019</v>
      </c>
      <c r="CA59" s="549">
        <f>'Acxiom Marketing Solutions'!CA70-Connectivity!CA41</f>
        <v>21.516000000000027</v>
      </c>
      <c r="CB59" s="566">
        <f>SUM(BX59:CA59)</f>
        <v>91.621000000000095</v>
      </c>
      <c r="CC59" s="549">
        <f>'Acxiom Marketing Solutions'!CC70-Connectivity!CC41</f>
        <v>20.549999999999997</v>
      </c>
      <c r="CD59" s="549">
        <f>'Acxiom Marketing Solutions'!CD70-Connectivity!CD41</f>
        <v>21.214000000000027</v>
      </c>
      <c r="CE59" s="549">
        <f>'Acxiom Marketing Solutions'!CE70-Connectivity!CE41</f>
        <v>22.829000000000015</v>
      </c>
      <c r="CF59" s="549">
        <f>'Acxiom Marketing Solutions'!CF70-Connectivity!CF41</f>
        <v>24.896999999999984</v>
      </c>
      <c r="CG59" s="566">
        <f>SUM(CC59:CF59)</f>
        <v>89.490000000000038</v>
      </c>
      <c r="CH59" s="549">
        <f>'Acxiom Marketing Solutions'!CH70-Connectivity!CH41</f>
        <v>14.194999999999993</v>
      </c>
      <c r="CI59" s="549">
        <f>'Acxiom Marketing Solutions'!CI70-Connectivity!CI41</f>
        <v>15.027620000000013</v>
      </c>
      <c r="CJ59" s="549"/>
      <c r="CK59" s="549"/>
      <c r="CL59" s="566"/>
      <c r="CM59" s="549"/>
      <c r="CN59" s="549"/>
      <c r="CO59" s="549"/>
      <c r="CP59" s="549"/>
      <c r="CQ59" s="566"/>
      <c r="CR59" s="549"/>
      <c r="CS59" s="549"/>
      <c r="CT59" s="549"/>
      <c r="CU59" s="549"/>
      <c r="CV59" s="566"/>
    </row>
    <row r="60" spans="5:100" ht="13.5" hidden="1" x14ac:dyDescent="0.25">
      <c r="E60" s="91" t="s">
        <v>2</v>
      </c>
      <c r="F60" s="150"/>
      <c r="G60" s="150"/>
      <c r="H60" s="150"/>
      <c r="I60" s="150"/>
      <c r="J60" s="150"/>
      <c r="O60" s="204"/>
      <c r="S60" s="191"/>
      <c r="T60" s="204"/>
      <c r="Y60" s="204"/>
      <c r="Z60" s="59"/>
      <c r="AA60" s="59"/>
      <c r="AB60" s="59"/>
      <c r="AC60" s="59"/>
      <c r="AD60" s="204"/>
      <c r="AE60" s="59"/>
      <c r="AF60" s="59"/>
      <c r="AG60" s="59"/>
      <c r="AH60" s="59"/>
      <c r="AI60" s="204"/>
      <c r="AJ60" s="59"/>
      <c r="AK60" s="59"/>
      <c r="AL60" s="59"/>
      <c r="AM60" s="59"/>
      <c r="AN60" s="204"/>
      <c r="AO60" s="59"/>
      <c r="AP60" s="59"/>
      <c r="AQ60" s="59"/>
      <c r="AR60" s="59"/>
      <c r="AS60" s="204"/>
      <c r="AT60" s="59"/>
      <c r="AU60" s="59"/>
      <c r="AV60" s="59"/>
      <c r="AW60" s="59"/>
      <c r="AX60" s="204"/>
      <c r="AY60" s="59"/>
      <c r="AZ60" s="59"/>
      <c r="BA60" s="59"/>
      <c r="BB60" s="59"/>
      <c r="BC60" s="204"/>
      <c r="BD60" s="59"/>
      <c r="BE60" s="59"/>
      <c r="BF60" s="59"/>
      <c r="BG60" s="59"/>
      <c r="BH60" s="204"/>
      <c r="BI60" s="183"/>
      <c r="BJ60" s="183"/>
      <c r="BK60" s="183"/>
      <c r="BL60" s="183"/>
      <c r="BM60" s="32"/>
      <c r="BN60" s="680"/>
      <c r="BO60" s="680"/>
      <c r="BP60" s="680"/>
      <c r="BQ60" s="680"/>
      <c r="BR60" s="32"/>
      <c r="BS60" s="680"/>
      <c r="BT60" s="680"/>
      <c r="BU60" s="680"/>
      <c r="BV60" s="680"/>
      <c r="BW60" s="32"/>
      <c r="BX60" s="680" t="e">
        <f t="shared" ref="BX60:CI60" si="12">BX59/BS59-1</f>
        <v>#DIV/0!</v>
      </c>
      <c r="BY60" s="680" t="e">
        <f t="shared" si="12"/>
        <v>#DIV/0!</v>
      </c>
      <c r="BZ60" s="680" t="e">
        <f t="shared" si="12"/>
        <v>#DIV/0!</v>
      </c>
      <c r="CA60" s="680" t="e">
        <f t="shared" si="12"/>
        <v>#DIV/0!</v>
      </c>
      <c r="CB60" s="641" t="e">
        <f t="shared" si="12"/>
        <v>#DIV/0!</v>
      </c>
      <c r="CC60" s="680">
        <f t="shared" si="12"/>
        <v>-7.6902344802803224E-2</v>
      </c>
      <c r="CD60" s="680">
        <f t="shared" si="12"/>
        <v>-7.1028201086005383E-2</v>
      </c>
      <c r="CE60" s="680">
        <f t="shared" si="12"/>
        <v>-8.7095613228296176E-2</v>
      </c>
      <c r="CF60" s="680">
        <f t="shared" si="12"/>
        <v>0.15713887339653998</v>
      </c>
      <c r="CG60" s="641">
        <f t="shared" si="12"/>
        <v>-2.3258859868371395E-2</v>
      </c>
      <c r="CH60" s="680">
        <f t="shared" si="12"/>
        <v>-0.3092457420924577</v>
      </c>
      <c r="CI60" s="680">
        <f t="shared" si="12"/>
        <v>-0.29161779956632439</v>
      </c>
      <c r="CJ60" s="680"/>
      <c r="CK60" s="680"/>
      <c r="CL60" s="641"/>
      <c r="CM60" s="680"/>
      <c r="CN60" s="680"/>
      <c r="CO60" s="680"/>
      <c r="CP60" s="680"/>
      <c r="CQ60" s="641"/>
      <c r="CR60" s="680"/>
      <c r="CS60" s="680"/>
      <c r="CT60" s="680"/>
      <c r="CU60" s="680"/>
      <c r="CV60" s="641"/>
    </row>
    <row r="61" spans="5:100" ht="13.5" hidden="1" x14ac:dyDescent="0.25">
      <c r="E61" s="91"/>
      <c r="F61" s="150"/>
      <c r="G61" s="150"/>
      <c r="H61" s="150"/>
      <c r="I61" s="150"/>
      <c r="J61" s="150"/>
      <c r="O61" s="204"/>
      <c r="S61" s="191"/>
      <c r="T61" s="204"/>
      <c r="Y61" s="204"/>
      <c r="Z61" s="59"/>
      <c r="AA61" s="59"/>
      <c r="AB61" s="59"/>
      <c r="AC61" s="59"/>
      <c r="AD61" s="204"/>
      <c r="AE61" s="59"/>
      <c r="AF61" s="59"/>
      <c r="AG61" s="59"/>
      <c r="AH61" s="59"/>
      <c r="AI61" s="204"/>
      <c r="AJ61" s="59"/>
      <c r="AK61" s="59"/>
      <c r="AL61" s="59"/>
      <c r="AM61" s="59"/>
      <c r="AN61" s="204"/>
      <c r="AO61" s="59"/>
      <c r="AP61" s="59"/>
      <c r="AQ61" s="59"/>
      <c r="AR61" s="59"/>
      <c r="AS61" s="204"/>
      <c r="AT61" s="59"/>
      <c r="AU61" s="59"/>
      <c r="AV61" s="59"/>
      <c r="AW61" s="59"/>
      <c r="AX61" s="204"/>
      <c r="AY61" s="59"/>
      <c r="AZ61" s="59"/>
      <c r="BA61" s="59"/>
      <c r="BB61" s="59"/>
      <c r="BC61" s="204"/>
      <c r="BD61" s="59"/>
      <c r="BE61" s="59"/>
      <c r="BF61" s="59"/>
      <c r="BG61" s="59"/>
      <c r="BH61" s="204"/>
      <c r="BI61" s="183"/>
      <c r="BJ61" s="183"/>
      <c r="BK61" s="183"/>
      <c r="BL61" s="183"/>
      <c r="BM61" s="204"/>
      <c r="BN61" s="680"/>
      <c r="BO61" s="680"/>
      <c r="BP61" s="680"/>
      <c r="BQ61" s="680"/>
      <c r="BR61" s="32"/>
      <c r="BS61" s="680"/>
      <c r="BT61" s="680"/>
      <c r="BU61" s="680"/>
      <c r="BV61" s="680"/>
      <c r="BW61" s="32"/>
      <c r="BX61" s="680"/>
      <c r="BY61" s="680"/>
      <c r="BZ61" s="680"/>
      <c r="CA61" s="680"/>
      <c r="CB61" s="641"/>
      <c r="CC61" s="680"/>
      <c r="CD61" s="680"/>
      <c r="CE61" s="680"/>
      <c r="CF61" s="680"/>
      <c r="CG61" s="641"/>
      <c r="CH61" s="680"/>
      <c r="CI61" s="680"/>
      <c r="CJ61" s="680"/>
      <c r="CK61" s="680"/>
      <c r="CL61" s="641"/>
      <c r="CM61" s="680"/>
      <c r="CN61" s="680"/>
      <c r="CO61" s="680"/>
      <c r="CP61" s="680"/>
      <c r="CQ61" s="641"/>
      <c r="CR61" s="680"/>
      <c r="CS61" s="680"/>
      <c r="CT61" s="680"/>
      <c r="CU61" s="680"/>
      <c r="CV61" s="641"/>
    </row>
    <row r="62" spans="5:100" ht="13.5" hidden="1" x14ac:dyDescent="0.25">
      <c r="E62" s="642" t="s">
        <v>639</v>
      </c>
      <c r="F62" s="537"/>
      <c r="G62" s="537"/>
      <c r="H62" s="537"/>
      <c r="I62" s="537"/>
      <c r="J62" s="537"/>
      <c r="K62" s="537"/>
      <c r="L62" s="537"/>
      <c r="M62" s="537"/>
      <c r="N62" s="537"/>
      <c r="O62" s="538"/>
      <c r="P62" s="537"/>
      <c r="Q62" s="537"/>
      <c r="R62" s="537"/>
      <c r="S62" s="539"/>
      <c r="T62" s="538"/>
      <c r="U62" s="537"/>
      <c r="V62" s="537"/>
      <c r="W62" s="537"/>
      <c r="X62" s="537"/>
      <c r="Y62" s="538"/>
      <c r="Z62" s="538"/>
      <c r="AA62" s="538"/>
      <c r="AB62" s="538"/>
      <c r="AC62" s="538"/>
      <c r="AD62" s="538"/>
      <c r="AE62" s="538"/>
      <c r="AF62" s="538"/>
      <c r="AG62" s="538"/>
      <c r="AH62" s="538"/>
      <c r="AI62" s="538"/>
      <c r="AJ62" s="538"/>
      <c r="AK62" s="538"/>
      <c r="AL62" s="538"/>
      <c r="AM62" s="538"/>
      <c r="AN62" s="538"/>
      <c r="AO62" s="538"/>
      <c r="AP62" s="538"/>
      <c r="AQ62" s="538"/>
      <c r="AR62" s="538"/>
      <c r="AS62" s="538"/>
      <c r="AT62" s="538"/>
      <c r="AU62" s="538"/>
      <c r="AV62" s="538"/>
      <c r="AW62" s="538"/>
      <c r="AX62" s="538"/>
      <c r="AY62" s="538"/>
      <c r="AZ62" s="538"/>
      <c r="BA62" s="538"/>
      <c r="BB62" s="538"/>
      <c r="BC62" s="538"/>
      <c r="BD62" s="538"/>
      <c r="BE62" s="538"/>
      <c r="BF62" s="538"/>
      <c r="BG62" s="538"/>
      <c r="BH62" s="538"/>
      <c r="BI62" s="540"/>
      <c r="BJ62" s="540"/>
      <c r="BK62" s="540"/>
      <c r="BL62" s="540"/>
      <c r="BM62" s="540"/>
      <c r="BN62" s="707"/>
      <c r="BO62" s="707"/>
      <c r="BP62" s="707"/>
      <c r="BQ62" s="707"/>
      <c r="BR62" s="540"/>
      <c r="BS62" s="707"/>
      <c r="BT62" s="707"/>
      <c r="BU62" s="707"/>
      <c r="BV62" s="707"/>
      <c r="BW62" s="540"/>
      <c r="BX62" s="707">
        <f>'Acxiom Marketing Solutions'!BX17+'Marketing Services'!BX14</f>
        <v>291.416</v>
      </c>
      <c r="BY62" s="707">
        <f>'Acxiom Marketing Solutions'!BY17+'Marketing Services'!BY14</f>
        <v>288.346</v>
      </c>
      <c r="BZ62" s="707">
        <f>'Acxiom Marketing Solutions'!BZ17+'Marketing Services'!BZ14</f>
        <v>283.28900000000004</v>
      </c>
      <c r="CA62" s="707">
        <f>'Acxiom Marketing Solutions'!CA17+'Marketing Services'!CA14</f>
        <v>273.63700000000006</v>
      </c>
      <c r="CB62" s="540">
        <f>SUM(BX62:CA62)</f>
        <v>1136.6880000000001</v>
      </c>
      <c r="CC62" s="707">
        <f>'Acxiom Marketing Solutions'!CC17+'Marketing Services'!CC14</f>
        <v>257.351</v>
      </c>
      <c r="CD62" s="707">
        <f>'Acxiom Marketing Solutions'!CD17+'Marketing Services'!CD14</f>
        <v>265.26900000000001</v>
      </c>
      <c r="CE62" s="707">
        <f>'Acxiom Marketing Solutions'!CE17+'Marketing Services'!CE14</f>
        <v>270.20699999999999</v>
      </c>
      <c r="CF62" s="707">
        <f>'Acxiom Marketing Solutions'!CF17+'Marketing Services'!CF14</f>
        <v>283.52499999999998</v>
      </c>
      <c r="CG62" s="540">
        <f>SUM(CC62:CF62)</f>
        <v>1076.3519999999999</v>
      </c>
      <c r="CH62" s="707">
        <f>'Acxiom Marketing Solutions'!CH17+'Marketing Services'!CH14</f>
        <v>164.50200000000001</v>
      </c>
      <c r="CI62" s="707">
        <f>'Acxiom Marketing Solutions'!CI17+'Marketing Services'!CI14</f>
        <v>166.42382000000001</v>
      </c>
      <c r="CJ62" s="707"/>
      <c r="CK62" s="707"/>
      <c r="CL62" s="540"/>
      <c r="CM62" s="707"/>
      <c r="CN62" s="707"/>
      <c r="CO62" s="707"/>
      <c r="CP62" s="707"/>
      <c r="CQ62" s="540"/>
      <c r="CR62" s="707"/>
      <c r="CS62" s="707"/>
      <c r="CT62" s="707"/>
      <c r="CU62" s="707"/>
      <c r="CV62" s="540"/>
    </row>
    <row r="63" spans="5:100" ht="13.5" hidden="1" x14ac:dyDescent="0.25">
      <c r="E63" s="541" t="s">
        <v>2</v>
      </c>
      <c r="F63" s="524"/>
      <c r="G63" s="524"/>
      <c r="H63" s="524"/>
      <c r="I63" s="524"/>
      <c r="J63" s="524"/>
      <c r="K63" s="524"/>
      <c r="L63" s="524"/>
      <c r="M63" s="524"/>
      <c r="N63" s="524"/>
      <c r="O63" s="542"/>
      <c r="P63" s="524"/>
      <c r="Q63" s="524"/>
      <c r="R63" s="524"/>
      <c r="S63" s="539"/>
      <c r="T63" s="542"/>
      <c r="U63" s="524"/>
      <c r="V63" s="524"/>
      <c r="W63" s="524"/>
      <c r="X63" s="524"/>
      <c r="Y63" s="542"/>
      <c r="Z63" s="542"/>
      <c r="AA63" s="542"/>
      <c r="AB63" s="542"/>
      <c r="AC63" s="542"/>
      <c r="AD63" s="542"/>
      <c r="AE63" s="542"/>
      <c r="AF63" s="542"/>
      <c r="AG63" s="542"/>
      <c r="AH63" s="542"/>
      <c r="AI63" s="542"/>
      <c r="AJ63" s="542"/>
      <c r="AK63" s="542"/>
      <c r="AL63" s="542"/>
      <c r="AM63" s="542"/>
      <c r="AN63" s="542"/>
      <c r="AO63" s="542"/>
      <c r="AP63" s="542"/>
      <c r="AQ63" s="542"/>
      <c r="AR63" s="542"/>
      <c r="AS63" s="542"/>
      <c r="AT63" s="542"/>
      <c r="AU63" s="542"/>
      <c r="AV63" s="542"/>
      <c r="AW63" s="542"/>
      <c r="AX63" s="542"/>
      <c r="AY63" s="542"/>
      <c r="AZ63" s="542"/>
      <c r="BA63" s="542"/>
      <c r="BB63" s="542"/>
      <c r="BC63" s="542"/>
      <c r="BD63" s="542"/>
      <c r="BE63" s="542"/>
      <c r="BF63" s="542"/>
      <c r="BG63" s="542"/>
      <c r="BH63" s="542"/>
      <c r="BI63" s="641"/>
      <c r="BJ63" s="641"/>
      <c r="BK63" s="641"/>
      <c r="BL63" s="641"/>
      <c r="BM63" s="542"/>
      <c r="BN63" s="680"/>
      <c r="BO63" s="680"/>
      <c r="BP63" s="680"/>
      <c r="BQ63" s="680"/>
      <c r="BR63" s="641"/>
      <c r="BS63" s="680"/>
      <c r="BT63" s="680"/>
      <c r="BU63" s="680"/>
      <c r="BV63" s="680"/>
      <c r="BW63" s="641"/>
      <c r="BX63" s="680" t="e">
        <f t="shared" ref="BX63:CI63" si="13">BX62/BS62-1</f>
        <v>#DIV/0!</v>
      </c>
      <c r="BY63" s="680" t="e">
        <f t="shared" si="13"/>
        <v>#DIV/0!</v>
      </c>
      <c r="BZ63" s="680" t="e">
        <f t="shared" si="13"/>
        <v>#DIV/0!</v>
      </c>
      <c r="CA63" s="680" t="e">
        <f t="shared" si="13"/>
        <v>#DIV/0!</v>
      </c>
      <c r="CB63" s="641" t="e">
        <f t="shared" si="13"/>
        <v>#DIV/0!</v>
      </c>
      <c r="CC63" s="680">
        <f t="shared" si="13"/>
        <v>-0.11689474840091141</v>
      </c>
      <c r="CD63" s="680">
        <f t="shared" si="13"/>
        <v>-8.0032322279483648E-2</v>
      </c>
      <c r="CE63" s="680">
        <f t="shared" si="13"/>
        <v>-4.6178990359668215E-2</v>
      </c>
      <c r="CF63" s="680">
        <f t="shared" si="13"/>
        <v>3.6135464136794138E-2</v>
      </c>
      <c r="CG63" s="641">
        <f t="shared" si="13"/>
        <v>-5.3080528693889795E-2</v>
      </c>
      <c r="CH63" s="680">
        <f t="shared" si="13"/>
        <v>-0.36078740708215629</v>
      </c>
      <c r="CI63" s="680">
        <f t="shared" si="13"/>
        <v>-0.37262243232341508</v>
      </c>
      <c r="CJ63" s="680"/>
      <c r="CK63" s="680"/>
      <c r="CL63" s="641"/>
      <c r="CM63" s="680"/>
      <c r="CN63" s="680"/>
      <c r="CO63" s="680"/>
      <c r="CP63" s="680"/>
      <c r="CQ63" s="641"/>
      <c r="CR63" s="680"/>
      <c r="CS63" s="680"/>
      <c r="CT63" s="680"/>
      <c r="CU63" s="680"/>
      <c r="CV63" s="641"/>
    </row>
    <row r="64" spans="5:100" hidden="1" x14ac:dyDescent="0.25">
      <c r="BN64" s="700"/>
      <c r="BO64" s="700"/>
      <c r="BP64" s="700"/>
      <c r="BQ64" s="700"/>
      <c r="BS64" s="700"/>
      <c r="BT64" s="700"/>
      <c r="BU64" s="700"/>
      <c r="BV64" s="700"/>
      <c r="BX64" s="700"/>
      <c r="BY64" s="700"/>
      <c r="BZ64" s="700"/>
      <c r="CA64" s="700"/>
      <c r="CB64" s="574"/>
      <c r="CC64" s="700"/>
      <c r="CD64" s="700"/>
      <c r="CE64" s="700"/>
      <c r="CF64" s="700"/>
      <c r="CG64" s="574"/>
      <c r="CH64" s="700"/>
      <c r="CI64" s="700"/>
      <c r="CJ64" s="700"/>
      <c r="CK64" s="700"/>
      <c r="CL64" s="574"/>
      <c r="CM64" s="700"/>
      <c r="CN64" s="700"/>
      <c r="CO64" s="700"/>
      <c r="CP64" s="700"/>
      <c r="CQ64" s="574"/>
      <c r="CR64" s="700"/>
      <c r="CS64" s="700"/>
      <c r="CT64" s="700"/>
      <c r="CU64" s="700"/>
      <c r="CV64" s="574"/>
    </row>
    <row r="65" spans="5:100" hidden="1" x14ac:dyDescent="0.25">
      <c r="BN65" s="700"/>
      <c r="BO65" s="700"/>
      <c r="BP65" s="700"/>
      <c r="BQ65" s="700"/>
      <c r="BS65" s="700"/>
      <c r="BT65" s="700"/>
      <c r="BU65" s="700"/>
      <c r="BV65" s="700"/>
      <c r="BX65" s="700"/>
      <c r="BY65" s="700"/>
      <c r="BZ65" s="700"/>
      <c r="CA65" s="700"/>
      <c r="CB65" s="574"/>
      <c r="CC65" s="700"/>
      <c r="CD65" s="700"/>
      <c r="CE65" s="700"/>
      <c r="CF65" s="700"/>
      <c r="CG65" s="574"/>
      <c r="CH65" s="700"/>
      <c r="CI65" s="700"/>
      <c r="CJ65" s="700"/>
      <c r="CK65" s="700"/>
      <c r="CL65" s="574"/>
      <c r="CM65" s="700"/>
      <c r="CN65" s="700"/>
      <c r="CO65" s="700"/>
      <c r="CP65" s="700"/>
      <c r="CQ65" s="574"/>
      <c r="CR65" s="700"/>
      <c r="CS65" s="700"/>
      <c r="CT65" s="700"/>
      <c r="CU65" s="700"/>
      <c r="CV65" s="574"/>
    </row>
    <row r="66" spans="5:100" ht="13.5" hidden="1" x14ac:dyDescent="0.25">
      <c r="E66" s="298" t="s">
        <v>69</v>
      </c>
      <c r="F66" s="185"/>
      <c r="G66" s="185"/>
      <c r="H66" s="185"/>
      <c r="I66" s="185"/>
      <c r="J66" s="185"/>
      <c r="K66" s="185"/>
      <c r="L66" s="185"/>
      <c r="M66" s="185"/>
      <c r="N66" s="185"/>
      <c r="O66" s="161"/>
      <c r="P66" s="185"/>
      <c r="Q66" s="185"/>
      <c r="R66" s="185"/>
      <c r="S66" s="185"/>
      <c r="T66" s="161"/>
      <c r="U66" s="185"/>
      <c r="V66" s="185"/>
      <c r="W66" s="185"/>
      <c r="X66" s="185"/>
      <c r="Y66" s="161"/>
      <c r="Z66" s="443"/>
      <c r="AA66" s="443"/>
      <c r="AB66" s="443"/>
      <c r="AC66" s="443"/>
      <c r="AD66" s="161"/>
      <c r="AE66" s="443"/>
      <c r="AF66" s="443"/>
      <c r="AG66" s="443"/>
      <c r="AH66" s="443"/>
      <c r="AI66" s="140"/>
      <c r="AJ66" s="139"/>
      <c r="AK66" s="139"/>
      <c r="AL66" s="139"/>
      <c r="AM66" s="139"/>
      <c r="AN66" s="140"/>
      <c r="AO66" s="139"/>
      <c r="AP66" s="139"/>
      <c r="AQ66" s="139"/>
      <c r="AR66" s="185"/>
      <c r="AS66" s="161"/>
      <c r="AT66" s="298">
        <f>'Acxiom Marketing Solutions'!AT157+'Acxiom Marketing Solutions'!AT150+'Acxiom Marketing Solutions'!AT147</f>
        <v>259.17900000000003</v>
      </c>
      <c r="AU66" s="298">
        <f>'Acxiom Marketing Solutions'!AU157+'Acxiom Marketing Solutions'!AU150+'Acxiom Marketing Solutions'!AU147</f>
        <v>279.44499999999999</v>
      </c>
      <c r="AV66" s="298">
        <f>'Acxiom Marketing Solutions'!AV157+'Acxiom Marketing Solutions'!AV150+'Acxiom Marketing Solutions'!AV147</f>
        <v>287.90500000000003</v>
      </c>
      <c r="AW66" s="298">
        <f>'Acxiom Marketing Solutions'!AW157+'Acxiom Marketing Solutions'!AW150+'Acxiom Marketing Solutions'!AW147</f>
        <v>287.22500000000002</v>
      </c>
      <c r="AX66" s="203">
        <f>SUM(AT66:AW66)</f>
        <v>1113.7539999999999</v>
      </c>
      <c r="AY66" s="298">
        <f>'Acxiom Marketing Solutions'!AY157+'Acxiom Marketing Solutions'!AY150+'Acxiom Marketing Solutions'!AY147</f>
        <v>276.04399999999998</v>
      </c>
      <c r="AZ66" s="298">
        <f>'Acxiom Marketing Solutions'!AZ157+'Acxiom Marketing Solutions'!AZ150+'Acxiom Marketing Solutions'!AZ147</f>
        <v>286.43200000000002</v>
      </c>
      <c r="BA66" s="298">
        <f>'Acxiom Marketing Solutions'!BA157+'Acxiom Marketing Solutions'!BA150+'Acxiom Marketing Solutions'!BA147</f>
        <v>280.89300000000003</v>
      </c>
      <c r="BB66" s="298">
        <f>'Acxiom Marketing Solutions'!BB157+'Acxiom Marketing Solutions'!BB150+'Acxiom Marketing Solutions'!BB147</f>
        <v>287.255</v>
      </c>
      <c r="BC66" s="203">
        <f>SUM(AY66:BB66)</f>
        <v>1130.624</v>
      </c>
      <c r="BD66" s="298">
        <f>'Acxiom Marketing Solutions'!BD157+'Acxiom Marketing Solutions'!BD150+'Acxiom Marketing Solutions'!BD147</f>
        <v>271.65899999999999</v>
      </c>
      <c r="BE66" s="298">
        <f>'Acxiom Marketing Solutions'!BE157+'Acxiom Marketing Solutions'!BE150+'Acxiom Marketing Solutions'!BE147</f>
        <v>277.46699999999998</v>
      </c>
      <c r="BF66" s="298">
        <f>'Acxiom Marketing Solutions'!BF157+'Acxiom Marketing Solutions'!BF150+'Acxiom Marketing Solutions'!BF147</f>
        <v>273.10199999999998</v>
      </c>
      <c r="BG66" s="298">
        <f>'Acxiom Marketing Solutions'!BG157+'Acxiom Marketing Solutions'!BG150+'Acxiom Marketing Solutions'!BG147</f>
        <v>277.13099999999997</v>
      </c>
      <c r="BH66" s="203">
        <f>SUM(BD66:BG66)</f>
        <v>1099.3589999999999</v>
      </c>
      <c r="BI66" s="298"/>
      <c r="BJ66" s="298"/>
      <c r="BK66" s="298"/>
      <c r="BL66" s="298"/>
      <c r="BM66" s="203"/>
      <c r="BN66" s="707"/>
      <c r="BO66" s="707"/>
      <c r="BP66" s="707"/>
      <c r="BQ66" s="707"/>
      <c r="BR66" s="203"/>
      <c r="BS66" s="708"/>
      <c r="BT66" s="708"/>
      <c r="BU66" s="708"/>
      <c r="BV66" s="708"/>
      <c r="BW66" s="203"/>
      <c r="BX66" s="707">
        <f>Connectivity!BX45+'Marketing Services'!BX14+'Acxiom Marketing Solutions'!BX17</f>
        <v>322.75800000000004</v>
      </c>
      <c r="BY66" s="707">
        <f>Connectivity!BY45+'Marketing Services'!BY14+'Acxiom Marketing Solutions'!BY17</f>
        <v>321.40800000000002</v>
      </c>
      <c r="BZ66" s="707">
        <f>Connectivity!BZ45+'Marketing Services'!BZ14+'Acxiom Marketing Solutions'!BZ17</f>
        <v>322.02500000000003</v>
      </c>
      <c r="CA66" s="707">
        <f>Connectivity!CA45+'Marketing Services'!CA14+'Acxiom Marketing Solutions'!CA17</f>
        <v>317.84000000000003</v>
      </c>
      <c r="CB66" s="576">
        <f>SUM(BX66:CA66)</f>
        <v>1284.0309999999999</v>
      </c>
      <c r="CC66" s="707">
        <f>Connectivity!CC45+'Marketing Services'!CC14+'Acxiom Marketing Solutions'!CC17</f>
        <v>302.53699999999998</v>
      </c>
      <c r="CD66" s="707">
        <f>Connectivity!CD45+'Marketing Services'!CD14+'Acxiom Marketing Solutions'!CD17</f>
        <v>317.65300000000002</v>
      </c>
      <c r="CE66" s="707">
        <f>Connectivity!CE45+'Marketing Services'!CE14+'Acxiom Marketing Solutions'!CE17</f>
        <v>326.185</v>
      </c>
      <c r="CF66" s="707">
        <f>Connectivity!CF45+'Marketing Services'!CF14+'Acxiom Marketing Solutions'!CF17</f>
        <v>340.97799999999995</v>
      </c>
      <c r="CG66" s="576">
        <f>SUM(CC66:CF66)</f>
        <v>1287.3530000000001</v>
      </c>
      <c r="CH66" s="707">
        <f>Connectivity!CH45+'Marketing Services'!CH14+'Acxiom Marketing Solutions'!CH17</f>
        <v>164.50200000000001</v>
      </c>
      <c r="CI66" s="707">
        <f>Connectivity!CI45+'Marketing Services'!CI14+'Acxiom Marketing Solutions'!CI17</f>
        <v>166.42382000000001</v>
      </c>
      <c r="CJ66" s="707"/>
      <c r="CK66" s="707"/>
      <c r="CL66" s="576"/>
      <c r="CM66" s="707"/>
      <c r="CN66" s="707"/>
      <c r="CO66" s="707"/>
      <c r="CP66" s="707"/>
      <c r="CQ66" s="576"/>
      <c r="CR66" s="707"/>
      <c r="CS66" s="707"/>
      <c r="CT66" s="707"/>
      <c r="CU66" s="707"/>
      <c r="CV66" s="576"/>
    </row>
    <row r="67" spans="5:100" ht="13.5" hidden="1" x14ac:dyDescent="0.25">
      <c r="E67" s="356" t="s">
        <v>730</v>
      </c>
      <c r="F67" s="448"/>
      <c r="G67" s="448"/>
      <c r="H67" s="448"/>
      <c r="I67" s="448"/>
      <c r="J67" s="448"/>
      <c r="K67" s="448"/>
      <c r="L67" s="448"/>
      <c r="M67" s="448"/>
      <c r="N67" s="448"/>
      <c r="O67" s="449"/>
      <c r="P67" s="448"/>
      <c r="Q67" s="448"/>
      <c r="R67" s="448"/>
      <c r="S67" s="448"/>
      <c r="T67" s="449"/>
      <c r="U67" s="448"/>
      <c r="V67" s="448"/>
      <c r="W67" s="448"/>
      <c r="X67" s="448"/>
      <c r="Y67" s="449"/>
      <c r="Z67" s="455"/>
      <c r="AA67" s="455"/>
      <c r="AB67" s="455"/>
      <c r="AC67" s="455"/>
      <c r="AD67" s="449"/>
      <c r="AE67" s="455"/>
      <c r="AF67" s="455"/>
      <c r="AG67" s="455"/>
      <c r="AH67" s="455"/>
      <c r="AI67" s="370"/>
      <c r="AJ67" s="127"/>
      <c r="AK67" s="127"/>
      <c r="AL67" s="127"/>
      <c r="AM67" s="127"/>
      <c r="AN67" s="370"/>
      <c r="AO67" s="127"/>
      <c r="AP67" s="127"/>
      <c r="AQ67" s="127"/>
      <c r="AR67" s="448"/>
      <c r="AS67" s="449"/>
      <c r="AT67" s="449"/>
      <c r="AU67" s="449"/>
      <c r="AV67" s="449"/>
      <c r="AW67" s="449"/>
      <c r="AX67" s="449"/>
      <c r="AY67" s="32">
        <f t="shared" ref="AY67:BH67" si="14">(AY66-AT66)/ABS(AT66)</f>
        <v>6.5070858364296297E-2</v>
      </c>
      <c r="AZ67" s="32">
        <f t="shared" si="14"/>
        <v>2.5003131206498681E-2</v>
      </c>
      <c r="BA67" s="32">
        <f t="shared" si="14"/>
        <v>-2.4355256074052204E-2</v>
      </c>
      <c r="BB67" s="32">
        <f t="shared" si="14"/>
        <v>1.0444773261370951E-4</v>
      </c>
      <c r="BC67" s="32">
        <f t="shared" si="14"/>
        <v>1.5146971413795254E-2</v>
      </c>
      <c r="BD67" s="32">
        <f t="shared" si="14"/>
        <v>-1.5885148744403034E-2</v>
      </c>
      <c r="BE67" s="32">
        <f t="shared" si="14"/>
        <v>-3.1298877220422405E-2</v>
      </c>
      <c r="BF67" s="32">
        <f t="shared" si="14"/>
        <v>-2.7736540248422186E-2</v>
      </c>
      <c r="BG67" s="32">
        <f t="shared" si="14"/>
        <v>-3.5243947015717828E-2</v>
      </c>
      <c r="BH67" s="32">
        <f t="shared" si="14"/>
        <v>-2.7652871334767438E-2</v>
      </c>
      <c r="BI67" s="32"/>
      <c r="BJ67" s="32"/>
      <c r="BK67" s="32"/>
      <c r="BL67" s="32"/>
      <c r="BM67" s="32"/>
      <c r="BN67" s="680"/>
      <c r="BO67" s="680"/>
      <c r="BP67" s="680"/>
      <c r="BQ67" s="680"/>
      <c r="BR67" s="32"/>
      <c r="BS67" s="680"/>
      <c r="BT67" s="680"/>
      <c r="BU67" s="680"/>
      <c r="BV67" s="680"/>
      <c r="BW67" s="32"/>
      <c r="BX67" s="680" t="e">
        <f t="shared" ref="BX67:CI67" si="15">(BX66-BS66)/ABS(BS66)</f>
        <v>#DIV/0!</v>
      </c>
      <c r="BY67" s="680" t="e">
        <f t="shared" si="15"/>
        <v>#DIV/0!</v>
      </c>
      <c r="BZ67" s="680" t="e">
        <f t="shared" si="15"/>
        <v>#DIV/0!</v>
      </c>
      <c r="CA67" s="680" t="e">
        <f t="shared" si="15"/>
        <v>#DIV/0!</v>
      </c>
      <c r="CB67" s="641" t="e">
        <f t="shared" si="15"/>
        <v>#DIV/0!</v>
      </c>
      <c r="CC67" s="680">
        <f t="shared" si="15"/>
        <v>-6.2650654670062575E-2</v>
      </c>
      <c r="CD67" s="680">
        <f t="shared" si="15"/>
        <v>-1.1682969932297874E-2</v>
      </c>
      <c r="CE67" s="680">
        <f t="shared" si="15"/>
        <v>1.2918251688533399E-2</v>
      </c>
      <c r="CF67" s="680">
        <f t="shared" si="15"/>
        <v>7.2797634029700214E-2</v>
      </c>
      <c r="CG67" s="641">
        <f t="shared" si="15"/>
        <v>2.5871649516250907E-3</v>
      </c>
      <c r="CH67" s="680">
        <f t="shared" si="15"/>
        <v>-0.4562582427934434</v>
      </c>
      <c r="CI67" s="680">
        <f t="shared" si="15"/>
        <v>-0.47608295844836979</v>
      </c>
      <c r="CJ67" s="680"/>
      <c r="CK67" s="680"/>
      <c r="CL67" s="641"/>
      <c r="CM67" s="680"/>
      <c r="CN67" s="680"/>
      <c r="CO67" s="680"/>
      <c r="CP67" s="680"/>
      <c r="CQ67" s="641"/>
      <c r="CR67" s="680"/>
      <c r="CS67" s="680"/>
      <c r="CT67" s="680"/>
      <c r="CU67" s="680"/>
      <c r="CV67" s="641"/>
    </row>
    <row r="68" spans="5:100" ht="13.5" hidden="1" x14ac:dyDescent="0.25">
      <c r="E68" s="298" t="s">
        <v>459</v>
      </c>
      <c r="F68" s="185"/>
      <c r="G68" s="185"/>
      <c r="H68" s="185"/>
      <c r="I68" s="185"/>
      <c r="J68" s="185"/>
      <c r="K68" s="185"/>
      <c r="L68" s="185"/>
      <c r="M68" s="185"/>
      <c r="N68" s="185"/>
      <c r="O68" s="161"/>
      <c r="P68" s="185"/>
      <c r="Q68" s="185"/>
      <c r="R68" s="185"/>
      <c r="S68" s="185"/>
      <c r="T68" s="161"/>
      <c r="U68" s="185"/>
      <c r="V68" s="185"/>
      <c r="W68" s="185"/>
      <c r="X68" s="185"/>
      <c r="Y68" s="161"/>
      <c r="Z68" s="443"/>
      <c r="AA68" s="443"/>
      <c r="AB68" s="443"/>
      <c r="AC68" s="443"/>
      <c r="AD68" s="161"/>
      <c r="AE68" s="443"/>
      <c r="AF68" s="443"/>
      <c r="AG68" s="443"/>
      <c r="AH68" s="443"/>
      <c r="AI68" s="140"/>
      <c r="AJ68" s="139"/>
      <c r="AK68" s="139"/>
      <c r="AL68" s="139"/>
      <c r="AM68" s="139"/>
      <c r="AN68" s="140"/>
      <c r="AO68" s="139"/>
      <c r="AP68" s="139"/>
      <c r="AQ68" s="139"/>
      <c r="AR68" s="185"/>
      <c r="AS68" s="161"/>
      <c r="AT68" s="298"/>
      <c r="AU68" s="298"/>
      <c r="AV68" s="298">
        <f>'Acxiom Marketing Solutions'!AV143+'Acxiom Marketing Solutions'!AV153+'Acxiom Marketing Solutions'!AV150</f>
        <v>241.39400000000001</v>
      </c>
      <c r="AW68" s="298">
        <f>'Acxiom Marketing Solutions'!AW143+'Acxiom Marketing Solutions'!AW153+'Acxiom Marketing Solutions'!AW150</f>
        <v>241.55</v>
      </c>
      <c r="AX68" s="298"/>
      <c r="AY68" s="298">
        <f>'Acxiom Marketing Solutions'!AY143+'Acxiom Marketing Solutions'!AY153+'Acxiom Marketing Solutions'!AY150</f>
        <v>238.15000000000003</v>
      </c>
      <c r="AZ68" s="298">
        <f>'Acxiom Marketing Solutions'!AZ143+'Acxiom Marketing Solutions'!AZ153+'Acxiom Marketing Solutions'!AZ150</f>
        <v>244.41200000000003</v>
      </c>
      <c r="BA68" s="298">
        <f>'Acxiom Marketing Solutions'!BA143+'Acxiom Marketing Solutions'!BA153+'Acxiom Marketing Solutions'!BA150</f>
        <v>241.273</v>
      </c>
      <c r="BB68" s="298">
        <f>'Acxiom Marketing Solutions'!BB143+'Acxiom Marketing Solutions'!BB153+'Acxiom Marketing Solutions'!BB150</f>
        <v>246.09</v>
      </c>
      <c r="BC68" s="203">
        <f>SUM(AY68:BB68)</f>
        <v>969.92500000000007</v>
      </c>
      <c r="BD68" s="298">
        <f>'Acxiom Marketing Solutions'!BD143+'Acxiom Marketing Solutions'!BD153+'Acxiom Marketing Solutions'!BD150</f>
        <v>238.77699999999999</v>
      </c>
      <c r="BE68" s="298">
        <f>'Acxiom Marketing Solutions'!BE143+'Acxiom Marketing Solutions'!BE153+'Acxiom Marketing Solutions'!BE150</f>
        <v>240.82000000000002</v>
      </c>
      <c r="BF68" s="298">
        <f>'Acxiom Marketing Solutions'!BF143+'Acxiom Marketing Solutions'!BF153+'Acxiom Marketing Solutions'!BF150</f>
        <v>235.86599999999999</v>
      </c>
      <c r="BG68" s="298">
        <f>'Acxiom Marketing Solutions'!BG143+'Acxiom Marketing Solutions'!BG153+'Acxiom Marketing Solutions'!BG150</f>
        <v>233.50200000000001</v>
      </c>
      <c r="BH68" s="298">
        <f>'Acxiom Marketing Solutions'!BH143+'Acxiom Marketing Solutions'!BH153+'Acxiom Marketing Solutions'!BH150</f>
        <v>948.96500000000015</v>
      </c>
      <c r="BI68" s="298"/>
      <c r="BJ68" s="298"/>
      <c r="BK68" s="298"/>
      <c r="BL68" s="298"/>
      <c r="BM68" s="203"/>
      <c r="BN68" s="707"/>
      <c r="BO68" s="707"/>
      <c r="BP68" s="707"/>
      <c r="BQ68" s="707"/>
      <c r="BR68" s="203"/>
      <c r="BS68" s="707"/>
      <c r="BT68" s="707"/>
      <c r="BU68" s="707"/>
      <c r="BV68" s="707"/>
      <c r="BW68" s="203"/>
      <c r="BX68" s="707">
        <f>Connectivity!BX37+'Marketing Services'!BX8+'Acxiom Marketing Solutions'!BX11</f>
        <v>298.06100000000004</v>
      </c>
      <c r="BY68" s="707">
        <f>Connectivity!BY37+'Marketing Services'!BY8+'Acxiom Marketing Solutions'!BY11</f>
        <v>296.20799999999997</v>
      </c>
      <c r="BZ68" s="707">
        <f>Connectivity!BZ37+'Marketing Services'!BZ8+'Acxiom Marketing Solutions'!BZ11</f>
        <v>294.36700000000002</v>
      </c>
      <c r="CA68" s="707">
        <f>Connectivity!CA37+'Marketing Services'!CA8+'Acxiom Marketing Solutions'!CA11</f>
        <v>293.625</v>
      </c>
      <c r="CB68" s="576">
        <f>SUM(BX68:CA68)</f>
        <v>1182.261</v>
      </c>
      <c r="CC68" s="707">
        <f>Connectivity!CC37+'Marketing Services'!CC8+'Acxiom Marketing Solutions'!CC11</f>
        <v>278.31099999999998</v>
      </c>
      <c r="CD68" s="707">
        <f>Connectivity!CD37+'Marketing Services'!CD8+'Acxiom Marketing Solutions'!CD11</f>
        <v>292.28399999999999</v>
      </c>
      <c r="CE68" s="707">
        <f>Connectivity!CE37+'Marketing Services'!CE8+'Acxiom Marketing Solutions'!CE11</f>
        <v>298.06299999999999</v>
      </c>
      <c r="CF68" s="707">
        <f>Connectivity!CF37+'Marketing Services'!CF8+'Acxiom Marketing Solutions'!CF11</f>
        <v>310.52799999999996</v>
      </c>
      <c r="CG68" s="576">
        <f>SUM(CC68:CF68)</f>
        <v>1179.1859999999999</v>
      </c>
      <c r="CH68" s="707">
        <f>Connectivity!CH37+'Marketing Services'!CH8+'Acxiom Marketing Solutions'!CH11</f>
        <v>150.30700000000002</v>
      </c>
      <c r="CI68" s="707">
        <f>Connectivity!CI37+'Marketing Services'!CI8+'Acxiom Marketing Solutions'!CI11</f>
        <v>151.39619999999999</v>
      </c>
      <c r="CJ68" s="707"/>
      <c r="CK68" s="707"/>
      <c r="CL68" s="576"/>
      <c r="CM68" s="707"/>
      <c r="CN68" s="707"/>
      <c r="CO68" s="707"/>
      <c r="CP68" s="707"/>
      <c r="CQ68" s="576"/>
      <c r="CR68" s="707"/>
      <c r="CS68" s="707"/>
      <c r="CT68" s="707"/>
      <c r="CU68" s="707"/>
      <c r="CV68" s="576"/>
    </row>
    <row r="69" spans="5:100" ht="13.5" hidden="1" x14ac:dyDescent="0.25">
      <c r="E69" s="356" t="s">
        <v>2</v>
      </c>
      <c r="F69" s="448"/>
      <c r="G69" s="448"/>
      <c r="H69" s="448"/>
      <c r="I69" s="448"/>
      <c r="J69" s="448"/>
      <c r="K69" s="448"/>
      <c r="L69" s="448"/>
      <c r="M69" s="448"/>
      <c r="N69" s="448"/>
      <c r="O69" s="449"/>
      <c r="P69" s="448"/>
      <c r="Q69" s="448"/>
      <c r="R69" s="448"/>
      <c r="S69" s="448"/>
      <c r="T69" s="449"/>
      <c r="U69" s="448"/>
      <c r="V69" s="448"/>
      <c r="W69" s="448"/>
      <c r="X69" s="448"/>
      <c r="Y69" s="449"/>
      <c r="Z69" s="455"/>
      <c r="AA69" s="455"/>
      <c r="AB69" s="455"/>
      <c r="AC69" s="455"/>
      <c r="AD69" s="449"/>
      <c r="AE69" s="455"/>
      <c r="AF69" s="455"/>
      <c r="AG69" s="455"/>
      <c r="AH69" s="455"/>
      <c r="AI69" s="370"/>
      <c r="AJ69" s="127"/>
      <c r="AK69" s="127"/>
      <c r="AL69" s="127"/>
      <c r="AM69" s="127"/>
      <c r="AN69" s="370"/>
      <c r="AO69" s="127"/>
      <c r="AP69" s="127"/>
      <c r="AQ69" s="127"/>
      <c r="AR69" s="448"/>
      <c r="AS69" s="449"/>
      <c r="AT69" s="449"/>
      <c r="AU69" s="449"/>
      <c r="AV69" s="449"/>
      <c r="AW69" s="449"/>
      <c r="AX69" s="449"/>
      <c r="AY69" s="32"/>
      <c r="AZ69" s="32"/>
      <c r="BA69" s="32">
        <f>BA68/AV68-1</f>
        <v>-5.012552093258682E-4</v>
      </c>
      <c r="BB69" s="32"/>
      <c r="BC69" s="32"/>
      <c r="BD69" s="32">
        <f>BD68/AY68-1</f>
        <v>2.6327944572746009E-3</v>
      </c>
      <c r="BE69" s="32">
        <f>BE68/AZ68-1</f>
        <v>-1.4696496080388921E-2</v>
      </c>
      <c r="BF69" s="32">
        <f>BF68/BA68-1</f>
        <v>-2.2410298707273513E-2</v>
      </c>
      <c r="BG69" s="32">
        <f>BG68/BB68-1</f>
        <v>-5.1152017554553231E-2</v>
      </c>
      <c r="BH69" s="32"/>
      <c r="BI69" s="32"/>
      <c r="BJ69" s="32"/>
      <c r="BK69" s="32"/>
      <c r="BL69" s="32"/>
      <c r="BM69" s="32"/>
      <c r="BN69" s="680"/>
      <c r="BO69" s="680"/>
      <c r="BP69" s="680"/>
      <c r="BQ69" s="680"/>
      <c r="BR69" s="32"/>
      <c r="BS69" s="680"/>
      <c r="BT69" s="680"/>
      <c r="BU69" s="680"/>
      <c r="BV69" s="680"/>
      <c r="BW69" s="32"/>
      <c r="BX69" s="680" t="e">
        <f t="shared" ref="BX69:CI69" si="16">BX68/BS68-1</f>
        <v>#DIV/0!</v>
      </c>
      <c r="BY69" s="680" t="e">
        <f t="shared" si="16"/>
        <v>#DIV/0!</v>
      </c>
      <c r="BZ69" s="680" t="e">
        <f t="shared" si="16"/>
        <v>#DIV/0!</v>
      </c>
      <c r="CA69" s="680" t="e">
        <f t="shared" si="16"/>
        <v>#DIV/0!</v>
      </c>
      <c r="CB69" s="641" t="e">
        <f t="shared" si="16"/>
        <v>#DIV/0!</v>
      </c>
      <c r="CC69" s="680">
        <f t="shared" si="16"/>
        <v>-6.6261604168274424E-2</v>
      </c>
      <c r="CD69" s="680">
        <f t="shared" si="16"/>
        <v>-1.3247447739426321E-2</v>
      </c>
      <c r="CE69" s="680">
        <f t="shared" si="16"/>
        <v>1.2555755230715393E-2</v>
      </c>
      <c r="CF69" s="680">
        <f t="shared" si="16"/>
        <v>5.756662409535962E-2</v>
      </c>
      <c r="CG69" s="641">
        <f t="shared" si="16"/>
        <v>-2.6009485215193751E-3</v>
      </c>
      <c r="CH69" s="680">
        <f t="shared" si="16"/>
        <v>-0.45993151546291733</v>
      </c>
      <c r="CI69" s="680">
        <f t="shared" si="16"/>
        <v>-0.48202364823254096</v>
      </c>
      <c r="CJ69" s="680"/>
      <c r="CK69" s="680"/>
      <c r="CL69" s="641"/>
      <c r="CM69" s="680"/>
      <c r="CN69" s="680"/>
      <c r="CO69" s="680"/>
      <c r="CP69" s="680"/>
      <c r="CQ69" s="641"/>
      <c r="CR69" s="680"/>
      <c r="CS69" s="680"/>
      <c r="CT69" s="680"/>
      <c r="CU69" s="680"/>
      <c r="CV69" s="641"/>
    </row>
    <row r="70" spans="5:100" ht="13.5" hidden="1" x14ac:dyDescent="0.25">
      <c r="E70" s="298" t="s">
        <v>449</v>
      </c>
      <c r="F70" s="185"/>
      <c r="G70" s="185"/>
      <c r="H70" s="185"/>
      <c r="I70" s="185"/>
      <c r="J70" s="185"/>
      <c r="K70" s="185"/>
      <c r="L70" s="185"/>
      <c r="M70" s="185"/>
      <c r="N70" s="185"/>
      <c r="O70" s="161"/>
      <c r="P70" s="185"/>
      <c r="Q70" s="185"/>
      <c r="R70" s="185"/>
      <c r="S70" s="185"/>
      <c r="T70" s="161"/>
      <c r="U70" s="185"/>
      <c r="V70" s="185"/>
      <c r="W70" s="185"/>
      <c r="X70" s="185"/>
      <c r="Y70" s="161"/>
      <c r="Z70" s="443"/>
      <c r="AA70" s="443"/>
      <c r="AB70" s="443"/>
      <c r="AC70" s="443"/>
      <c r="AD70" s="161"/>
      <c r="AE70" s="443"/>
      <c r="AF70" s="443"/>
      <c r="AG70" s="443"/>
      <c r="AH70" s="443"/>
      <c r="AI70" s="140"/>
      <c r="AJ70" s="139"/>
      <c r="AK70" s="139"/>
      <c r="AL70" s="139"/>
      <c r="AM70" s="139"/>
      <c r="AN70" s="140"/>
      <c r="AO70" s="139"/>
      <c r="AP70" s="139"/>
      <c r="AQ70" s="139"/>
      <c r="AR70" s="185"/>
      <c r="AS70" s="161"/>
      <c r="AT70" s="298"/>
      <c r="AU70" s="298"/>
      <c r="AV70" s="298">
        <f>'Acxiom Marketing Solutions'!AV145+'Acxiom Marketing Solutions'!AV155</f>
        <v>46.511000000000017</v>
      </c>
      <c r="AW70" s="298">
        <f>'Acxiom Marketing Solutions'!AW145+'Acxiom Marketing Solutions'!AW155</f>
        <v>45.674999999999997</v>
      </c>
      <c r="AX70" s="298"/>
      <c r="AY70" s="298">
        <f>'Acxiom Marketing Solutions'!AY145+'Acxiom Marketing Solutions'!AY155</f>
        <v>37.893999999999998</v>
      </c>
      <c r="AZ70" s="298">
        <f>'Acxiom Marketing Solutions'!AZ145+'Acxiom Marketing Solutions'!AZ155</f>
        <v>42.019999999999989</v>
      </c>
      <c r="BA70" s="298">
        <f>'Acxiom Marketing Solutions'!BA145+'Acxiom Marketing Solutions'!BA155</f>
        <v>39.620000000000012</v>
      </c>
      <c r="BB70" s="298">
        <f>'Acxiom Marketing Solutions'!BB145+'Acxiom Marketing Solutions'!BB155</f>
        <v>41.164999999999992</v>
      </c>
      <c r="BC70" s="203">
        <f>SUM(AY70:BB70)</f>
        <v>160.69899999999998</v>
      </c>
      <c r="BD70" s="298">
        <f>'Acxiom Marketing Solutions'!BD145+'Acxiom Marketing Solutions'!BD155</f>
        <v>32.881999999999998</v>
      </c>
      <c r="BE70" s="298">
        <f>'Acxiom Marketing Solutions'!BE145+'Acxiom Marketing Solutions'!BE155</f>
        <v>36.646999999999991</v>
      </c>
      <c r="BF70" s="298">
        <f>'Acxiom Marketing Solutions'!BF145+'Acxiom Marketing Solutions'!BF155</f>
        <v>37.23599999999999</v>
      </c>
      <c r="BG70" s="298">
        <f>'Acxiom Marketing Solutions'!BG145+'Acxiom Marketing Solutions'!BG155</f>
        <v>43.628999999999976</v>
      </c>
      <c r="BH70" s="298">
        <f>'Acxiom Marketing Solutions'!BH145+'Acxiom Marketing Solutions'!BH155</f>
        <v>150.39399999999998</v>
      </c>
      <c r="BI70" s="298"/>
      <c r="BJ70" s="298"/>
      <c r="BK70" s="298"/>
      <c r="BL70" s="298"/>
      <c r="BM70" s="203"/>
      <c r="BN70" s="707"/>
      <c r="BO70" s="707"/>
      <c r="BP70" s="707"/>
      <c r="BQ70" s="707"/>
      <c r="BR70" s="203"/>
      <c r="BS70" s="707"/>
      <c r="BT70" s="707"/>
      <c r="BU70" s="707"/>
      <c r="BV70" s="707"/>
      <c r="BW70" s="203"/>
      <c r="BX70" s="707">
        <f>BX66-BX68</f>
        <v>24.697000000000003</v>
      </c>
      <c r="BY70" s="707">
        <f>BY66-BY68</f>
        <v>25.200000000000045</v>
      </c>
      <c r="BZ70" s="707">
        <f>BZ66-BZ68</f>
        <v>27.658000000000015</v>
      </c>
      <c r="CA70" s="707">
        <f>CA66-CA68</f>
        <v>24.215000000000032</v>
      </c>
      <c r="CB70" s="576">
        <f>SUM(BX70:CA70)</f>
        <v>101.7700000000001</v>
      </c>
      <c r="CC70" s="707">
        <f>CC66-CC68</f>
        <v>24.225999999999999</v>
      </c>
      <c r="CD70" s="707">
        <f>CD66-CD68</f>
        <v>25.369000000000028</v>
      </c>
      <c r="CE70" s="707">
        <f>CE66-CE68</f>
        <v>28.122000000000014</v>
      </c>
      <c r="CF70" s="707">
        <f>CF66-CF68</f>
        <v>30.449999999999989</v>
      </c>
      <c r="CG70" s="576">
        <f>SUM(CC70:CF70)</f>
        <v>108.16700000000003</v>
      </c>
      <c r="CH70" s="707">
        <f>CH66-CH68</f>
        <v>14.194999999999993</v>
      </c>
      <c r="CI70" s="707">
        <f>CI66-CI68</f>
        <v>15.027620000000013</v>
      </c>
      <c r="CJ70" s="707"/>
      <c r="CK70" s="707"/>
      <c r="CL70" s="576"/>
      <c r="CM70" s="707"/>
      <c r="CN70" s="707"/>
      <c r="CO70" s="707"/>
      <c r="CP70" s="707"/>
      <c r="CQ70" s="576"/>
      <c r="CR70" s="707"/>
      <c r="CS70" s="707"/>
      <c r="CT70" s="707"/>
      <c r="CU70" s="707"/>
      <c r="CV70" s="576"/>
    </row>
    <row r="71" spans="5:100" ht="13.5" hidden="1" x14ac:dyDescent="0.25">
      <c r="E71" s="356" t="s">
        <v>2</v>
      </c>
      <c r="F71" s="448"/>
      <c r="G71" s="448"/>
      <c r="H71" s="448"/>
      <c r="I71" s="448"/>
      <c r="J71" s="448"/>
      <c r="K71" s="448"/>
      <c r="L71" s="448"/>
      <c r="M71" s="448"/>
      <c r="N71" s="448"/>
      <c r="O71" s="449"/>
      <c r="P71" s="448"/>
      <c r="Q71" s="448"/>
      <c r="R71" s="448"/>
      <c r="S71" s="448"/>
      <c r="T71" s="449"/>
      <c r="U71" s="448"/>
      <c r="V71" s="448"/>
      <c r="W71" s="448"/>
      <c r="X71" s="448"/>
      <c r="Y71" s="449"/>
      <c r="Z71" s="455"/>
      <c r="AA71" s="455"/>
      <c r="AB71" s="455"/>
      <c r="AC71" s="455"/>
      <c r="AD71" s="449"/>
      <c r="AE71" s="455"/>
      <c r="AF71" s="455"/>
      <c r="AG71" s="455"/>
      <c r="AH71" s="455"/>
      <c r="AI71" s="370"/>
      <c r="AJ71" s="127"/>
      <c r="AK71" s="127"/>
      <c r="AL71" s="127"/>
      <c r="AM71" s="127"/>
      <c r="AN71" s="370"/>
      <c r="AO71" s="127"/>
      <c r="AP71" s="127"/>
      <c r="AQ71" s="127"/>
      <c r="AR71" s="448"/>
      <c r="AS71" s="449"/>
      <c r="AT71" s="449"/>
      <c r="AU71" s="449"/>
      <c r="AV71" s="449"/>
      <c r="AW71" s="449"/>
      <c r="AX71" s="449"/>
      <c r="AY71" s="32"/>
      <c r="AZ71" s="32"/>
      <c r="BA71" s="32">
        <f>BA70/AV70-1</f>
        <v>-0.14815850013975196</v>
      </c>
      <c r="BB71" s="32"/>
      <c r="BC71" s="32"/>
      <c r="BD71" s="32">
        <f>BD70/AY70-1</f>
        <v>-0.13226368290494539</v>
      </c>
      <c r="BE71" s="32">
        <f>BE70/AZ70-1</f>
        <v>-0.12786768205616372</v>
      </c>
      <c r="BF71" s="32">
        <f>BF70/BA70-1</f>
        <v>-6.0171630489652239E-2</v>
      </c>
      <c r="BG71" s="32">
        <f>BG70/BB70-1</f>
        <v>5.9856674359285433E-2</v>
      </c>
      <c r="BH71" s="32"/>
      <c r="BI71" s="32"/>
      <c r="BJ71" s="32"/>
      <c r="BK71" s="32"/>
      <c r="BL71" s="32"/>
      <c r="BM71" s="32"/>
      <c r="BN71" s="680"/>
      <c r="BO71" s="680"/>
      <c r="BP71" s="680"/>
      <c r="BQ71" s="680"/>
      <c r="BR71" s="32"/>
      <c r="BS71" s="680"/>
      <c r="BT71" s="680"/>
      <c r="BU71" s="680"/>
      <c r="BV71" s="680"/>
      <c r="BW71" s="32"/>
      <c r="BX71" s="680" t="e">
        <f t="shared" ref="BX71:CI71" si="17">BX70/BS70-1</f>
        <v>#DIV/0!</v>
      </c>
      <c r="BY71" s="680" t="e">
        <f t="shared" si="17"/>
        <v>#DIV/0!</v>
      </c>
      <c r="BZ71" s="680" t="e">
        <f t="shared" si="17"/>
        <v>#DIV/0!</v>
      </c>
      <c r="CA71" s="680" t="e">
        <f t="shared" si="17"/>
        <v>#DIV/0!</v>
      </c>
      <c r="CB71" s="641" t="e">
        <f t="shared" si="17"/>
        <v>#DIV/0!</v>
      </c>
      <c r="CC71" s="680">
        <f t="shared" si="17"/>
        <v>-1.9071142243997419E-2</v>
      </c>
      <c r="CD71" s="680">
        <f t="shared" si="17"/>
        <v>6.7063492063486052E-3</v>
      </c>
      <c r="CE71" s="680">
        <f t="shared" si="17"/>
        <v>1.6776339576252797E-2</v>
      </c>
      <c r="CF71" s="680">
        <f t="shared" si="17"/>
        <v>0.25748502994011768</v>
      </c>
      <c r="CG71" s="641">
        <f t="shared" si="17"/>
        <v>6.285742360223967E-2</v>
      </c>
      <c r="CH71" s="680">
        <f t="shared" si="17"/>
        <v>-0.41405927515892038</v>
      </c>
      <c r="CI71" s="680">
        <f t="shared" si="17"/>
        <v>-0.4076384563837756</v>
      </c>
      <c r="CJ71" s="680"/>
      <c r="CK71" s="680"/>
      <c r="CL71" s="641"/>
      <c r="CM71" s="680"/>
      <c r="CN71" s="680"/>
      <c r="CO71" s="680"/>
      <c r="CP71" s="680"/>
      <c r="CQ71" s="641"/>
      <c r="CR71" s="680"/>
      <c r="CS71" s="680"/>
      <c r="CT71" s="680"/>
      <c r="CU71" s="680"/>
      <c r="CV71" s="641"/>
    </row>
    <row r="72" spans="5:100" hidden="1" x14ac:dyDescent="0.25">
      <c r="BN72" s="700"/>
      <c r="BO72" s="700"/>
      <c r="BP72" s="700"/>
      <c r="BQ72" s="700"/>
      <c r="BS72" s="700"/>
      <c r="BT72" s="700"/>
      <c r="BU72" s="700"/>
      <c r="BV72" s="700"/>
      <c r="BX72" s="700"/>
      <c r="BY72" s="700"/>
      <c r="BZ72" s="700"/>
      <c r="CA72" s="700"/>
      <c r="CB72" s="574"/>
      <c r="CC72" s="700"/>
      <c r="CD72" s="700"/>
      <c r="CE72" s="700"/>
      <c r="CF72" s="700"/>
      <c r="CG72" s="574"/>
      <c r="CH72" s="700"/>
      <c r="CI72" s="700"/>
      <c r="CJ72" s="700"/>
      <c r="CK72" s="700"/>
      <c r="CL72" s="574"/>
      <c r="CM72" s="700"/>
      <c r="CN72" s="700"/>
      <c r="CO72" s="700"/>
      <c r="CP72" s="700"/>
      <c r="CQ72" s="574"/>
      <c r="CR72" s="700"/>
      <c r="CS72" s="700"/>
      <c r="CT72" s="700"/>
      <c r="CU72" s="700"/>
      <c r="CV72" s="574"/>
    </row>
    <row r="73" spans="5:100" hidden="1" x14ac:dyDescent="0.25">
      <c r="BN73" s="700"/>
      <c r="BO73" s="700"/>
      <c r="BP73" s="700"/>
      <c r="BQ73" s="700"/>
      <c r="BS73" s="700"/>
      <c r="BT73" s="700"/>
      <c r="BU73" s="700"/>
      <c r="BV73" s="700"/>
      <c r="BX73" s="700"/>
      <c r="BY73" s="700"/>
      <c r="BZ73" s="700"/>
      <c r="CA73" s="700"/>
      <c r="CB73" s="574"/>
      <c r="CC73" s="700"/>
      <c r="CD73" s="700"/>
      <c r="CE73" s="700"/>
      <c r="CF73" s="700"/>
      <c r="CG73" s="574"/>
      <c r="CH73" s="700"/>
      <c r="CI73" s="700"/>
      <c r="CJ73" s="700"/>
      <c r="CK73" s="700"/>
      <c r="CL73" s="574"/>
      <c r="CM73" s="700"/>
      <c r="CN73" s="700"/>
      <c r="CO73" s="700"/>
      <c r="CP73" s="700"/>
      <c r="CQ73" s="574"/>
      <c r="CR73" s="700"/>
      <c r="CS73" s="700"/>
      <c r="CT73" s="700"/>
      <c r="CU73" s="700"/>
      <c r="CV73" s="574"/>
    </row>
    <row r="74" spans="5:100" hidden="1" x14ac:dyDescent="0.25">
      <c r="E74" s="54" t="s">
        <v>669</v>
      </c>
      <c r="F74" s="542"/>
      <c r="G74" s="542"/>
      <c r="H74" s="542"/>
      <c r="I74" s="542"/>
      <c r="J74" s="542"/>
      <c r="O74" s="542"/>
      <c r="T74" s="542"/>
      <c r="Y74" s="542"/>
      <c r="Z74" s="59"/>
      <c r="AA74" s="59"/>
      <c r="AB74" s="59"/>
      <c r="AC74" s="59"/>
      <c r="AD74" s="542"/>
      <c r="AE74" s="59"/>
      <c r="AF74" s="59"/>
      <c r="AG74" s="59"/>
      <c r="AH74" s="59"/>
      <c r="AI74" s="542"/>
      <c r="AJ74" s="59"/>
      <c r="AK74" s="59"/>
      <c r="AL74" s="59"/>
      <c r="AM74" s="59"/>
      <c r="AN74" s="542"/>
      <c r="AO74" s="59"/>
      <c r="AP74" s="59"/>
      <c r="AQ74" s="59"/>
      <c r="AR74" s="59"/>
      <c r="AS74" s="542"/>
      <c r="AT74" s="59"/>
      <c r="AU74" s="59"/>
      <c r="AV74" s="59"/>
      <c r="AW74" s="59"/>
      <c r="AX74" s="542"/>
      <c r="BC74" s="542"/>
      <c r="BD74" s="59"/>
      <c r="BE74" s="59"/>
      <c r="BF74" s="59"/>
      <c r="BG74" s="59"/>
      <c r="BH74" s="542"/>
      <c r="BM74" s="542"/>
      <c r="BN74" s="635"/>
      <c r="BO74" s="635"/>
      <c r="BP74" s="635"/>
      <c r="BQ74" s="635"/>
      <c r="BR74" s="575"/>
      <c r="BS74" s="635"/>
      <c r="BT74" s="635"/>
      <c r="BU74" s="635"/>
      <c r="BV74" s="635"/>
      <c r="BW74" s="575"/>
      <c r="BX74" s="635">
        <f>'Acxiom Marketing Solutions'!BX52</f>
        <v>44.995999999999995</v>
      </c>
      <c r="BY74" s="635">
        <f>'Acxiom Marketing Solutions'!BY52</f>
        <v>49.984000000000002</v>
      </c>
      <c r="BZ74" s="635">
        <f>'Acxiom Marketing Solutions'!BZ52</f>
        <v>53.890000000000008</v>
      </c>
      <c r="CA74" s="635">
        <f>'Acxiom Marketing Solutions'!CA52</f>
        <v>52.634999999999998</v>
      </c>
      <c r="CB74" s="575">
        <f>SUM(BX74:CA74)</f>
        <v>201.505</v>
      </c>
      <c r="CC74" s="635">
        <f>'Acxiom Marketing Solutions'!CC52</f>
        <v>48.375000000000007</v>
      </c>
      <c r="CD74" s="635">
        <f>'Acxiom Marketing Solutions'!CD52</f>
        <v>51.202999999999996</v>
      </c>
      <c r="CE74" s="635">
        <f>'Acxiom Marketing Solutions'!CE52</f>
        <v>52.961000000000006</v>
      </c>
      <c r="CF74" s="635">
        <f>'Acxiom Marketing Solutions'!CF52</f>
        <v>50.419999999999995</v>
      </c>
      <c r="CG74" s="575">
        <f>SUM(CC74:CF74)</f>
        <v>202.959</v>
      </c>
      <c r="CH74" s="635">
        <f>'Acxiom Marketing Solutions'!CH52</f>
        <v>47.457999999999998</v>
      </c>
      <c r="CI74" s="635">
        <f>'Acxiom Marketing Solutions'!CI52</f>
        <v>46.44459999999998</v>
      </c>
      <c r="CJ74" s="635"/>
      <c r="CK74" s="635"/>
      <c r="CL74" s="575"/>
      <c r="CM74" s="635"/>
      <c r="CN74" s="635"/>
      <c r="CO74" s="635"/>
      <c r="CP74" s="635"/>
      <c r="CQ74" s="575"/>
      <c r="CR74" s="635"/>
      <c r="CS74" s="635"/>
      <c r="CT74" s="635"/>
      <c r="CU74" s="635"/>
      <c r="CV74" s="575"/>
    </row>
    <row r="75" spans="5:100" ht="13.5" hidden="1" x14ac:dyDescent="0.25">
      <c r="E75" s="365" t="s">
        <v>2</v>
      </c>
      <c r="F75" s="542"/>
      <c r="G75" s="542"/>
      <c r="H75" s="542"/>
      <c r="I75" s="542"/>
      <c r="J75" s="542"/>
      <c r="O75" s="542"/>
      <c r="T75" s="542"/>
      <c r="Y75" s="542"/>
      <c r="Z75" s="59"/>
      <c r="AA75" s="59"/>
      <c r="AB75" s="59"/>
      <c r="AC75" s="59"/>
      <c r="AD75" s="542"/>
      <c r="AE75" s="59"/>
      <c r="AF75" s="59"/>
      <c r="AG75" s="59"/>
      <c r="AH75" s="59"/>
      <c r="AI75" s="542"/>
      <c r="AJ75" s="59"/>
      <c r="AK75" s="59"/>
      <c r="AL75" s="59"/>
      <c r="AM75" s="59"/>
      <c r="AN75" s="542"/>
      <c r="AO75" s="59"/>
      <c r="AP75" s="59"/>
      <c r="AQ75" s="59"/>
      <c r="AR75" s="59"/>
      <c r="AS75" s="542"/>
      <c r="AT75" s="59"/>
      <c r="AU75" s="59"/>
      <c r="AV75" s="59"/>
      <c r="AW75" s="59"/>
      <c r="AX75" s="542"/>
      <c r="BC75" s="542"/>
      <c r="BD75" s="59"/>
      <c r="BE75" s="59"/>
      <c r="BF75" s="59"/>
      <c r="BG75" s="59"/>
      <c r="BH75" s="542"/>
      <c r="BM75" s="542"/>
      <c r="BN75" s="635"/>
      <c r="BO75" s="635"/>
      <c r="BP75" s="635"/>
      <c r="BQ75" s="635"/>
      <c r="BR75" s="575"/>
      <c r="BS75" s="680"/>
      <c r="BT75" s="680"/>
      <c r="BU75" s="680"/>
      <c r="BV75" s="680"/>
      <c r="BW75" s="641"/>
      <c r="BX75" s="680" t="e">
        <f t="shared" ref="BX75:CI75" si="18">(BX74-BS74)/ABS(BS74)</f>
        <v>#DIV/0!</v>
      </c>
      <c r="BY75" s="680" t="e">
        <f t="shared" si="18"/>
        <v>#DIV/0!</v>
      </c>
      <c r="BZ75" s="680" t="e">
        <f t="shared" si="18"/>
        <v>#DIV/0!</v>
      </c>
      <c r="CA75" s="680" t="e">
        <f t="shared" si="18"/>
        <v>#DIV/0!</v>
      </c>
      <c r="CB75" s="641" t="e">
        <f t="shared" si="18"/>
        <v>#DIV/0!</v>
      </c>
      <c r="CC75" s="680">
        <f t="shared" si="18"/>
        <v>7.5095564050138064E-2</v>
      </c>
      <c r="CD75" s="680">
        <f t="shared" si="18"/>
        <v>2.4387804097311019E-2</v>
      </c>
      <c r="CE75" s="680">
        <f t="shared" si="18"/>
        <v>-1.7238819818148114E-2</v>
      </c>
      <c r="CF75" s="680">
        <f t="shared" si="18"/>
        <v>-4.2082264652797637E-2</v>
      </c>
      <c r="CG75" s="641">
        <f t="shared" si="18"/>
        <v>7.2157018436267472E-3</v>
      </c>
      <c r="CH75" s="680">
        <f t="shared" si="18"/>
        <v>-1.8956072351421365E-2</v>
      </c>
      <c r="CI75" s="680">
        <f t="shared" si="18"/>
        <v>-9.2932054762416588E-2</v>
      </c>
      <c r="CJ75" s="680"/>
      <c r="CK75" s="680"/>
      <c r="CL75" s="641"/>
      <c r="CM75" s="680"/>
      <c r="CN75" s="680"/>
      <c r="CO75" s="680"/>
      <c r="CP75" s="680"/>
      <c r="CQ75" s="641"/>
      <c r="CR75" s="680"/>
      <c r="CS75" s="680"/>
      <c r="CT75" s="680"/>
      <c r="CU75" s="680"/>
      <c r="CV75" s="641"/>
    </row>
    <row r="76" spans="5:100" ht="13.5" hidden="1" x14ac:dyDescent="0.25">
      <c r="E76" s="365" t="s">
        <v>91</v>
      </c>
      <c r="F76" s="542"/>
      <c r="G76" s="542"/>
      <c r="H76" s="542"/>
      <c r="I76" s="542"/>
      <c r="J76" s="542"/>
      <c r="O76" s="542"/>
      <c r="T76" s="542"/>
      <c r="Y76" s="542"/>
      <c r="Z76" s="59"/>
      <c r="AA76" s="59"/>
      <c r="AB76" s="59"/>
      <c r="AC76" s="59"/>
      <c r="AD76" s="542"/>
      <c r="AE76" s="59"/>
      <c r="AF76" s="59"/>
      <c r="AG76" s="59"/>
      <c r="AH76" s="59"/>
      <c r="AI76" s="542"/>
      <c r="AJ76" s="59"/>
      <c r="AK76" s="59"/>
      <c r="AL76" s="59"/>
      <c r="AM76" s="59"/>
      <c r="AN76" s="542"/>
      <c r="AO76" s="59"/>
      <c r="AP76" s="59"/>
      <c r="AQ76" s="59"/>
      <c r="AR76" s="59"/>
      <c r="AS76" s="542"/>
      <c r="AT76" s="59"/>
      <c r="AU76" s="59"/>
      <c r="AV76" s="59"/>
      <c r="AW76" s="59"/>
      <c r="AX76" s="542"/>
      <c r="BC76" s="542"/>
      <c r="BD76" s="59"/>
      <c r="BE76" s="59"/>
      <c r="BF76" s="59"/>
      <c r="BG76" s="59"/>
      <c r="BH76" s="542"/>
      <c r="BM76" s="542"/>
      <c r="BN76" s="680"/>
      <c r="BO76" s="680"/>
      <c r="BP76" s="680"/>
      <c r="BQ76" s="680"/>
      <c r="BR76" s="641"/>
      <c r="BS76" s="680"/>
      <c r="BT76" s="680"/>
      <c r="BU76" s="680"/>
      <c r="BV76" s="680"/>
      <c r="BW76" s="641"/>
      <c r="BX76" s="680">
        <f>BX74/'Acxiom Marketing Solutions'!BX17</f>
        <v>0.24763760243476918</v>
      </c>
      <c r="BY76" s="680">
        <f>BY74/'Acxiom Marketing Solutions'!BY17</f>
        <v>0.27363453716325337</v>
      </c>
      <c r="BZ76" s="680">
        <f>BZ74/'Acxiom Marketing Solutions'!BZ17</f>
        <v>0.29591679845369884</v>
      </c>
      <c r="CA76" s="680">
        <f>CA74/'Acxiom Marketing Solutions'!CA17</f>
        <v>0.29344699165960481</v>
      </c>
      <c r="CB76" s="641">
        <f>CB74/'Acxiom Marketing Solutions'!CB17</f>
        <v>0.27761321929660199</v>
      </c>
      <c r="CC76" s="680">
        <f>CC74/'Acxiom Marketing Solutions'!CC17</f>
        <v>0.29184287843047363</v>
      </c>
      <c r="CD76" s="680">
        <f>CD74/'Acxiom Marketing Solutions'!CD17</f>
        <v>0.29903578290806937</v>
      </c>
      <c r="CE76" s="680">
        <f>CE74/'Acxiom Marketing Solutions'!CE17</f>
        <v>0.30134281650071126</v>
      </c>
      <c r="CF76" s="680">
        <f>CF74/'Acxiom Marketing Solutions'!CF17</f>
        <v>0.27317400891797738</v>
      </c>
      <c r="CG76" s="641">
        <f>CG74/'Acxiom Marketing Solutions'!CG17</f>
        <v>0.29106201733818066</v>
      </c>
      <c r="CH76" s="680">
        <f>CH74/'Acxiom Marketing Solutions'!CH17</f>
        <v>0.28849497270549901</v>
      </c>
      <c r="CI76" s="680">
        <f>CI74/'Acxiom Marketing Solutions'!CI17</f>
        <v>0.27907423348412491</v>
      </c>
      <c r="CJ76" s="680"/>
      <c r="CK76" s="680"/>
      <c r="CL76" s="641"/>
      <c r="CM76" s="680"/>
      <c r="CN76" s="680"/>
      <c r="CO76" s="680"/>
      <c r="CP76" s="680"/>
      <c r="CQ76" s="641"/>
      <c r="CR76" s="680"/>
      <c r="CS76" s="680"/>
      <c r="CT76" s="680"/>
      <c r="CU76" s="680"/>
      <c r="CV76" s="641"/>
    </row>
    <row r="77" spans="5:100" x14ac:dyDescent="0.25">
      <c r="E77" s="27" t="s">
        <v>426</v>
      </c>
      <c r="F77" s="542"/>
      <c r="G77" s="542"/>
      <c r="H77" s="542"/>
      <c r="I77" s="542"/>
      <c r="J77" s="542"/>
      <c r="O77" s="542"/>
      <c r="T77" s="542"/>
      <c r="Y77" s="542"/>
      <c r="Z77" s="59"/>
      <c r="AA77" s="59"/>
      <c r="AB77" s="59"/>
      <c r="AC77" s="59"/>
      <c r="AD77" s="542"/>
      <c r="AE77" s="59"/>
      <c r="AF77" s="59"/>
      <c r="AG77" s="59"/>
      <c r="AH77" s="59"/>
      <c r="AI77" s="542"/>
      <c r="AJ77" s="59"/>
      <c r="AK77" s="59"/>
      <c r="AL77" s="59"/>
      <c r="AM77" s="59"/>
      <c r="AN77" s="542"/>
      <c r="AO77" s="59"/>
      <c r="AP77" s="59"/>
      <c r="AQ77" s="59"/>
      <c r="AR77" s="59"/>
      <c r="AS77" s="542"/>
      <c r="AT77" s="59"/>
      <c r="AU77" s="59"/>
      <c r="AV77" s="59"/>
      <c r="AW77" s="59"/>
      <c r="AX77" s="542"/>
      <c r="BC77" s="542"/>
      <c r="BD77" s="59"/>
      <c r="BE77" s="59"/>
      <c r="BF77" s="59"/>
      <c r="BG77" s="59"/>
      <c r="BH77" s="542"/>
      <c r="BM77" s="542"/>
      <c r="BN77" s="635"/>
      <c r="BO77" s="635"/>
      <c r="BP77" s="635"/>
      <c r="BQ77" s="635"/>
      <c r="BR77" s="575"/>
      <c r="BS77" s="635"/>
      <c r="BT77" s="635"/>
      <c r="BU77" s="635"/>
      <c r="BV77" s="635"/>
      <c r="BW77" s="575"/>
      <c r="BX77" s="635">
        <v>13.136418000000001</v>
      </c>
      <c r="BY77" s="635">
        <v>13.04424</v>
      </c>
      <c r="BZ77" s="635">
        <v>11.402543999999999</v>
      </c>
      <c r="CA77" s="635">
        <v>11.730434999999996</v>
      </c>
      <c r="CB77" s="575">
        <v>49.313637</v>
      </c>
      <c r="CC77" s="635">
        <v>10.835531999999999</v>
      </c>
      <c r="CD77" s="635">
        <v>10.879315999999999</v>
      </c>
      <c r="CE77" s="635">
        <v>10.721216</v>
      </c>
      <c r="CF77" s="635">
        <v>11.196384</v>
      </c>
      <c r="CG77" s="575">
        <v>43.632447999999997</v>
      </c>
      <c r="CH77" s="635">
        <v>10.396105</v>
      </c>
      <c r="CI77" s="635">
        <v>10.084999999999999</v>
      </c>
      <c r="CJ77" s="635"/>
      <c r="CK77" s="635"/>
      <c r="CL77" s="575"/>
      <c r="CM77" s="635"/>
      <c r="CN77" s="635"/>
      <c r="CO77" s="635"/>
      <c r="CP77" s="635"/>
      <c r="CQ77" s="575"/>
      <c r="CR77" s="635"/>
      <c r="CS77" s="635"/>
      <c r="CT77" s="635"/>
      <c r="CU77" s="635"/>
      <c r="CV77" s="575"/>
    </row>
    <row r="78" spans="5:100" ht="13.5" x14ac:dyDescent="0.25">
      <c r="E78" s="365" t="s">
        <v>672</v>
      </c>
      <c r="F78" s="542"/>
      <c r="G78" s="542"/>
      <c r="H78" s="542"/>
      <c r="I78" s="542"/>
      <c r="J78" s="542"/>
      <c r="O78" s="542"/>
      <c r="T78" s="542"/>
      <c r="Y78" s="542"/>
      <c r="Z78" s="59"/>
      <c r="AA78" s="59"/>
      <c r="AB78" s="59"/>
      <c r="AC78" s="59"/>
      <c r="AD78" s="542"/>
      <c r="AE78" s="59"/>
      <c r="AF78" s="59"/>
      <c r="AG78" s="59"/>
      <c r="AH78" s="59"/>
      <c r="AI78" s="542"/>
      <c r="AJ78" s="59"/>
      <c r="AK78" s="59"/>
      <c r="AL78" s="59"/>
      <c r="AM78" s="59"/>
      <c r="AN78" s="542"/>
      <c r="AO78" s="59"/>
      <c r="AP78" s="59"/>
      <c r="AQ78" s="59"/>
      <c r="AR78" s="59"/>
      <c r="AS78" s="542"/>
      <c r="AT78" s="59"/>
      <c r="AU78" s="59"/>
      <c r="AV78" s="59"/>
      <c r="AW78" s="59"/>
      <c r="AX78" s="542"/>
      <c r="BC78" s="542"/>
      <c r="BD78" s="59"/>
      <c r="BE78" s="59"/>
      <c r="BF78" s="59"/>
      <c r="BG78" s="59"/>
      <c r="BH78" s="542"/>
      <c r="BM78" s="542"/>
      <c r="BN78" s="680"/>
      <c r="BO78" s="680"/>
      <c r="BP78" s="680"/>
      <c r="BQ78" s="680"/>
      <c r="BR78" s="641"/>
      <c r="BS78" s="680"/>
      <c r="BT78" s="680"/>
      <c r="BU78" s="680"/>
      <c r="BV78" s="680"/>
      <c r="BW78" s="641"/>
      <c r="BX78" s="680">
        <f>1-LiveRamp!BX75-Income!BX178</f>
        <v>0.78600000000000003</v>
      </c>
      <c r="BY78" s="680">
        <f>1-LiveRamp!BY75-Income!BY178</f>
        <v>0.79200000000000004</v>
      </c>
      <c r="BZ78" s="680">
        <f>1-LiveRamp!BZ75-Income!BZ178</f>
        <v>0.74399999999999999</v>
      </c>
      <c r="CA78" s="680">
        <f>1-LiveRamp!CA75-Income!CA178</f>
        <v>0.755</v>
      </c>
      <c r="CB78" s="641">
        <f>CB77/(Income!CB130-Income!CB117-Income!CB121)</f>
        <v>0.76997216063454399</v>
      </c>
      <c r="CC78" s="680">
        <f>1-LiveRamp!CC75-Income!CC178</f>
        <v>0.71550000000000002</v>
      </c>
      <c r="CD78" s="680">
        <f>1-LiveRamp!CD75-Income!CD178</f>
        <v>0.70700000000000007</v>
      </c>
      <c r="CE78" s="680">
        <f>1-LiveRamp!CE75-Income!CE178</f>
        <v>0.70400000000000007</v>
      </c>
      <c r="CF78" s="680">
        <f>1-LiveRamp!CF75-Income!CF178</f>
        <v>0.71360000000000001</v>
      </c>
      <c r="CG78" s="641">
        <f>CG77/(Income!CG130-Income!CG117-Income!CG121)</f>
        <v>2.9605406432351735</v>
      </c>
      <c r="CH78" s="680">
        <f>1-LiveRamp!CH75-Income!CH178</f>
        <v>0.67180000000000006</v>
      </c>
      <c r="CI78" s="680">
        <f>1-LiveRamp!CI75-Income!CI178</f>
        <v>0.30517042172154818</v>
      </c>
      <c r="CJ78" s="680"/>
      <c r="CK78" s="680"/>
      <c r="CL78" s="641"/>
      <c r="CM78" s="680"/>
      <c r="CN78" s="680"/>
      <c r="CO78" s="680"/>
      <c r="CP78" s="680"/>
      <c r="CQ78" s="641"/>
      <c r="CR78" s="680"/>
      <c r="CS78" s="680"/>
      <c r="CT78" s="680"/>
      <c r="CU78" s="680"/>
      <c r="CV78" s="641"/>
    </row>
    <row r="79" spans="5:100" ht="13.5" x14ac:dyDescent="0.25">
      <c r="E79" s="642" t="s">
        <v>757</v>
      </c>
      <c r="F79" s="542"/>
      <c r="G79" s="542"/>
      <c r="H79" s="542"/>
      <c r="I79" s="542"/>
      <c r="J79" s="542"/>
      <c r="K79" s="524"/>
      <c r="L79" s="524"/>
      <c r="M79" s="524"/>
      <c r="N79" s="524"/>
      <c r="O79" s="542"/>
      <c r="P79" s="524"/>
      <c r="Q79" s="524"/>
      <c r="R79" s="524"/>
      <c r="S79" s="524"/>
      <c r="T79" s="542"/>
      <c r="U79" s="524"/>
      <c r="V79" s="524"/>
      <c r="W79" s="524"/>
      <c r="X79" s="524"/>
      <c r="Y79" s="542"/>
      <c r="Z79" s="542"/>
      <c r="AA79" s="542"/>
      <c r="AB79" s="542"/>
      <c r="AC79" s="542"/>
      <c r="AD79" s="542"/>
      <c r="AE79" s="542"/>
      <c r="AF79" s="542"/>
      <c r="AG79" s="542"/>
      <c r="AH79" s="542"/>
      <c r="AI79" s="542"/>
      <c r="AJ79" s="542"/>
      <c r="AK79" s="542"/>
      <c r="AL79" s="542"/>
      <c r="AM79" s="542"/>
      <c r="AN79" s="542"/>
      <c r="AO79" s="542"/>
      <c r="AP79" s="542"/>
      <c r="AQ79" s="542"/>
      <c r="AR79" s="542"/>
      <c r="AS79" s="542"/>
      <c r="AT79" s="542"/>
      <c r="AU79" s="542"/>
      <c r="AV79" s="542"/>
      <c r="AW79" s="542"/>
      <c r="AX79" s="542"/>
      <c r="AY79" s="574"/>
      <c r="AZ79" s="574"/>
      <c r="BA79" s="574"/>
      <c r="BB79" s="574"/>
      <c r="BC79" s="542"/>
      <c r="BD79" s="542"/>
      <c r="BE79" s="542"/>
      <c r="BF79" s="542"/>
      <c r="BG79" s="542"/>
      <c r="BH79" s="542"/>
      <c r="BI79" s="574"/>
      <c r="BJ79" s="574"/>
      <c r="BK79" s="574"/>
      <c r="BL79" s="574"/>
      <c r="BM79" s="542"/>
      <c r="BN79" s="540"/>
      <c r="BO79" s="540"/>
      <c r="BP79" s="540"/>
      <c r="BQ79" s="540"/>
      <c r="BR79" s="540"/>
      <c r="BS79" s="540"/>
      <c r="BT79" s="540"/>
      <c r="BU79" s="540"/>
      <c r="BV79" s="540"/>
      <c r="BW79" s="540"/>
      <c r="BX79" s="540">
        <f t="shared" ref="BX79:CG79" si="19">BX74+BX77</f>
        <v>58.132417999999994</v>
      </c>
      <c r="BY79" s="540">
        <f t="shared" si="19"/>
        <v>63.028240000000004</v>
      </c>
      <c r="BZ79" s="540">
        <f t="shared" si="19"/>
        <v>65.292544000000007</v>
      </c>
      <c r="CA79" s="540">
        <f t="shared" si="19"/>
        <v>64.365434999999991</v>
      </c>
      <c r="CB79" s="540">
        <f t="shared" si="19"/>
        <v>250.818637</v>
      </c>
      <c r="CC79" s="540">
        <f t="shared" si="19"/>
        <v>59.210532000000008</v>
      </c>
      <c r="CD79" s="540">
        <f t="shared" si="19"/>
        <v>62.082315999999992</v>
      </c>
      <c r="CE79" s="540">
        <f t="shared" si="19"/>
        <v>63.682216000000004</v>
      </c>
      <c r="CF79" s="540">
        <f>CF74+CF77</f>
        <v>61.616383999999996</v>
      </c>
      <c r="CG79" s="540">
        <f t="shared" si="19"/>
        <v>246.59144800000001</v>
      </c>
      <c r="CH79" s="540">
        <f>CH74+CH77</f>
        <v>57.854104999999997</v>
      </c>
      <c r="CI79" s="540">
        <f>CI74+CI77</f>
        <v>56.529599999999981</v>
      </c>
      <c r="CJ79" s="540"/>
      <c r="CK79" s="540"/>
      <c r="CL79" s="540">
        <f>SUM(CH79:CK79)</f>
        <v>114.38370499999998</v>
      </c>
      <c r="CM79" s="540"/>
      <c r="CN79" s="540"/>
      <c r="CO79" s="540"/>
      <c r="CP79" s="540"/>
      <c r="CQ79" s="540"/>
      <c r="CR79" s="540"/>
      <c r="CS79" s="540"/>
      <c r="CT79" s="540"/>
      <c r="CU79" s="540"/>
      <c r="CV79" s="540"/>
    </row>
    <row r="80" spans="5:100" ht="13.5" x14ac:dyDescent="0.25">
      <c r="E80" s="643" t="s">
        <v>2</v>
      </c>
      <c r="F80" s="542"/>
      <c r="G80" s="542"/>
      <c r="H80" s="542"/>
      <c r="I80" s="542"/>
      <c r="J80" s="542"/>
      <c r="K80" s="524"/>
      <c r="L80" s="524"/>
      <c r="M80" s="524"/>
      <c r="N80" s="524"/>
      <c r="O80" s="542"/>
      <c r="P80" s="524"/>
      <c r="Q80" s="524"/>
      <c r="R80" s="524"/>
      <c r="S80" s="524"/>
      <c r="T80" s="542"/>
      <c r="U80" s="524"/>
      <c r="V80" s="524"/>
      <c r="W80" s="524"/>
      <c r="X80" s="524"/>
      <c r="Y80" s="542"/>
      <c r="Z80" s="542"/>
      <c r="AA80" s="542"/>
      <c r="AB80" s="542"/>
      <c r="AC80" s="542"/>
      <c r="AD80" s="542"/>
      <c r="AE80" s="542"/>
      <c r="AF80" s="542"/>
      <c r="AG80" s="542"/>
      <c r="AH80" s="542"/>
      <c r="AI80" s="542"/>
      <c r="AJ80" s="542"/>
      <c r="AK80" s="542"/>
      <c r="AL80" s="542"/>
      <c r="AM80" s="542"/>
      <c r="AN80" s="542"/>
      <c r="AO80" s="542"/>
      <c r="AP80" s="542"/>
      <c r="AQ80" s="542"/>
      <c r="AR80" s="542"/>
      <c r="AS80" s="542"/>
      <c r="AT80" s="542"/>
      <c r="AU80" s="542"/>
      <c r="AV80" s="542"/>
      <c r="AW80" s="542"/>
      <c r="AX80" s="542"/>
      <c r="AY80" s="574"/>
      <c r="AZ80" s="574"/>
      <c r="BA80" s="574"/>
      <c r="BB80" s="574"/>
      <c r="BC80" s="542"/>
      <c r="BD80" s="542"/>
      <c r="BE80" s="542"/>
      <c r="BF80" s="542"/>
      <c r="BG80" s="542"/>
      <c r="BH80" s="542"/>
      <c r="BI80" s="574"/>
      <c r="BJ80" s="574"/>
      <c r="BK80" s="574"/>
      <c r="BL80" s="574"/>
      <c r="BM80" s="542"/>
      <c r="BN80" s="540"/>
      <c r="BO80" s="540"/>
      <c r="BP80" s="540"/>
      <c r="BQ80" s="540"/>
      <c r="BR80" s="540"/>
      <c r="BS80" s="641"/>
      <c r="BT80" s="641"/>
      <c r="BU80" s="641"/>
      <c r="BV80" s="641"/>
      <c r="BW80" s="641"/>
      <c r="BX80" s="580" t="s">
        <v>490</v>
      </c>
      <c r="BY80" s="580" t="s">
        <v>490</v>
      </c>
      <c r="BZ80" s="580" t="s">
        <v>490</v>
      </c>
      <c r="CA80" s="580" t="s">
        <v>490</v>
      </c>
      <c r="CB80" s="580" t="s">
        <v>490</v>
      </c>
      <c r="CC80" s="641">
        <f t="shared" ref="CC80:CI80" si="20">(CC79-BX79)/ABS(BX79)</f>
        <v>1.8545831002591596E-2</v>
      </c>
      <c r="CD80" s="641">
        <f t="shared" si="20"/>
        <v>-1.5007939298321072E-2</v>
      </c>
      <c r="CE80" s="641">
        <f t="shared" si="20"/>
        <v>-2.4663275488239551E-2</v>
      </c>
      <c r="CF80" s="641">
        <f>(CF79-CA79)/ABS(CA79)</f>
        <v>-4.2710050821531689E-2</v>
      </c>
      <c r="CG80" s="641">
        <f t="shared" si="20"/>
        <v>-1.6853568182016641E-2</v>
      </c>
      <c r="CH80" s="641">
        <f t="shared" si="20"/>
        <v>-2.2908542689668968E-2</v>
      </c>
      <c r="CI80" s="641">
        <f t="shared" si="20"/>
        <v>-8.9441186440274101E-2</v>
      </c>
      <c r="CJ80" s="641"/>
      <c r="CK80" s="641"/>
      <c r="CL80" s="641"/>
      <c r="CM80" s="641"/>
      <c r="CN80" s="641"/>
      <c r="CO80" s="641"/>
      <c r="CP80" s="641"/>
      <c r="CQ80" s="641"/>
      <c r="CR80" s="641"/>
      <c r="CS80" s="641"/>
      <c r="CT80" s="641"/>
      <c r="CU80" s="641"/>
      <c r="CV80" s="641"/>
    </row>
    <row r="81" spans="5:100" ht="13.5" x14ac:dyDescent="0.25">
      <c r="E81" s="643" t="s">
        <v>91</v>
      </c>
      <c r="F81" s="542"/>
      <c r="G81" s="542"/>
      <c r="H81" s="542"/>
      <c r="I81" s="542"/>
      <c r="J81" s="542"/>
      <c r="K81" s="524"/>
      <c r="L81" s="524"/>
      <c r="M81" s="524"/>
      <c r="N81" s="524"/>
      <c r="O81" s="542"/>
      <c r="P81" s="524"/>
      <c r="Q81" s="524"/>
      <c r="R81" s="524"/>
      <c r="S81" s="524"/>
      <c r="T81" s="542"/>
      <c r="U81" s="524"/>
      <c r="V81" s="524"/>
      <c r="W81" s="524"/>
      <c r="X81" s="524"/>
      <c r="Y81" s="542"/>
      <c r="Z81" s="542"/>
      <c r="AA81" s="542"/>
      <c r="AB81" s="542"/>
      <c r="AC81" s="542"/>
      <c r="AD81" s="542"/>
      <c r="AE81" s="542"/>
      <c r="AF81" s="542"/>
      <c r="AG81" s="542"/>
      <c r="AH81" s="542"/>
      <c r="AI81" s="542"/>
      <c r="AJ81" s="542"/>
      <c r="AK81" s="542"/>
      <c r="AL81" s="542"/>
      <c r="AM81" s="542"/>
      <c r="AN81" s="542"/>
      <c r="AO81" s="542"/>
      <c r="AP81" s="542"/>
      <c r="AQ81" s="542"/>
      <c r="AR81" s="542"/>
      <c r="AS81" s="542"/>
      <c r="AT81" s="542"/>
      <c r="AU81" s="542"/>
      <c r="AV81" s="542"/>
      <c r="AW81" s="542"/>
      <c r="AX81" s="542"/>
      <c r="AY81" s="574"/>
      <c r="AZ81" s="574"/>
      <c r="BA81" s="574"/>
      <c r="BB81" s="574"/>
      <c r="BC81" s="542"/>
      <c r="BD81" s="542"/>
      <c r="BE81" s="542"/>
      <c r="BF81" s="542"/>
      <c r="BG81" s="542"/>
      <c r="BH81" s="542"/>
      <c r="BI81" s="574"/>
      <c r="BJ81" s="574"/>
      <c r="BK81" s="574"/>
      <c r="BL81" s="574"/>
      <c r="BM81" s="542"/>
      <c r="BN81" s="540"/>
      <c r="BO81" s="540"/>
      <c r="BP81" s="540"/>
      <c r="BQ81" s="540"/>
      <c r="BR81" s="641"/>
      <c r="BS81" s="641"/>
      <c r="BT81" s="641"/>
      <c r="BU81" s="641"/>
      <c r="BV81" s="641"/>
      <c r="BW81" s="641"/>
      <c r="BX81" s="641">
        <f>BX79/'Acxiom Marketing Solutions'!BX17</f>
        <v>0.31993449678317676</v>
      </c>
      <c r="BY81" s="641">
        <f>BY79/'Acxiom Marketing Solutions'!BY17</f>
        <v>0.34504447984583969</v>
      </c>
      <c r="BZ81" s="641">
        <f>BZ79/'Acxiom Marketing Solutions'!BZ17</f>
        <v>0.35852960815322438</v>
      </c>
      <c r="CA81" s="641">
        <f>CA79/'Acxiom Marketing Solutions'!CA17</f>
        <v>0.35884569711431236</v>
      </c>
      <c r="CB81" s="641">
        <f>CB79/'Acxiom Marketing Solutions'!CB17</f>
        <v>0.34555256334659595</v>
      </c>
      <c r="CC81" s="641">
        <f>CC79/'Acxiom Marketing Solutions'!CC17</f>
        <v>0.35721285978872697</v>
      </c>
      <c r="CD81" s="641">
        <f>CD79/'Acxiom Marketing Solutions'!CD17</f>
        <v>0.36257316895115832</v>
      </c>
      <c r="CE81" s="641">
        <f>CE79/'Acxiom Marketing Solutions'!CE17</f>
        <v>0.36234546799431011</v>
      </c>
      <c r="CF81" s="641">
        <f>CF79/'Acxiom Marketing Solutions'!CF17</f>
        <v>0.33383567299304878</v>
      </c>
      <c r="CG81" s="641">
        <f>CG79/'Acxiom Marketing Solutions'!CG17</f>
        <v>0.35363499186152414</v>
      </c>
      <c r="CH81" s="641">
        <f>CH79/'Acxiom Marketing Solutions'!CH17</f>
        <v>0.35169241103451626</v>
      </c>
      <c r="CI81" s="641">
        <f>CI79/'Acxiom Marketing Solutions'!CI17</f>
        <v>0.33967253005008524</v>
      </c>
      <c r="CJ81" s="641"/>
      <c r="CK81" s="641"/>
      <c r="CL81" s="641"/>
      <c r="CM81" s="641"/>
      <c r="CN81" s="641"/>
      <c r="CO81" s="641"/>
      <c r="CP81" s="641"/>
      <c r="CQ81" s="641"/>
      <c r="CR81" s="641"/>
      <c r="CS81" s="641"/>
      <c r="CT81" s="641"/>
      <c r="CU81" s="641"/>
      <c r="CV81" s="641"/>
    </row>
    <row r="83" spans="5:100" x14ac:dyDescent="0.25">
      <c r="E83" s="717" t="s">
        <v>19</v>
      </c>
      <c r="CC83" s="114">
        <f t="shared" ref="CC83:CK83" si="21">(CC79-BX79)/(CC17-BX17)</f>
        <v>-6.7618790767687689E-2</v>
      </c>
      <c r="CD83" s="114">
        <f t="shared" si="21"/>
        <v>8.2685664335665418E-2</v>
      </c>
      <c r="CE83" s="114">
        <f t="shared" si="21"/>
        <v>0.2531166299905685</v>
      </c>
      <c r="CF83" s="114">
        <f t="shared" si="21"/>
        <v>-0.52835883144340245</v>
      </c>
      <c r="CG83" s="114">
        <f t="shared" si="21"/>
        <v>0.14809897347860934</v>
      </c>
      <c r="CH83" s="114">
        <f t="shared" si="21"/>
        <v>1.0808183266932641</v>
      </c>
      <c r="CI83" s="114">
        <f t="shared" si="21"/>
        <v>1.1560499502413013</v>
      </c>
      <c r="CJ83" s="114">
        <f t="shared" si="21"/>
        <v>0.36234546799431011</v>
      </c>
      <c r="CK83" s="114">
        <f t="shared" si="21"/>
        <v>0.33383567299304878</v>
      </c>
      <c r="CL83" s="721"/>
      <c r="CQ83" s="721"/>
      <c r="CV83" s="721"/>
    </row>
    <row r="85" spans="5:100" x14ac:dyDescent="0.25">
      <c r="E85" s="717" t="s">
        <v>769</v>
      </c>
      <c r="BX85" s="718">
        <f t="shared" ref="BX85:CQ85" si="22">BX39-BX17</f>
        <v>-103.30000000000001</v>
      </c>
      <c r="BY85" s="718">
        <f t="shared" si="22"/>
        <v>-100.803</v>
      </c>
      <c r="BZ85" s="718">
        <f t="shared" si="22"/>
        <v>-93.809000000000026</v>
      </c>
      <c r="CA85" s="718">
        <f t="shared" si="22"/>
        <v>-94.137</v>
      </c>
      <c r="CB85" s="718">
        <f t="shared" si="22"/>
        <v>-392.04900000000009</v>
      </c>
      <c r="CC85" s="718">
        <f t="shared" si="22"/>
        <v>-87.893000000000001</v>
      </c>
      <c r="CD85" s="718">
        <f t="shared" si="22"/>
        <v>-89.399000000000001</v>
      </c>
      <c r="CE85" s="718">
        <f t="shared" si="22"/>
        <v>-89.768999999999991</v>
      </c>
      <c r="CF85" s="718">
        <f t="shared" si="22"/>
        <v>-95.503999999999991</v>
      </c>
      <c r="CG85" s="718">
        <f t="shared" si="22"/>
        <v>-362.56499999999983</v>
      </c>
      <c r="CH85" s="718">
        <f t="shared" si="22"/>
        <v>-91.328000000000003</v>
      </c>
      <c r="CI85" s="718">
        <f t="shared" si="22"/>
        <v>-91.161581400000017</v>
      </c>
      <c r="CJ85" s="718">
        <f t="shared" si="22"/>
        <v>0</v>
      </c>
      <c r="CK85" s="718">
        <f t="shared" si="22"/>
        <v>0</v>
      </c>
      <c r="CL85" s="718">
        <f t="shared" si="22"/>
        <v>-182.48958140000005</v>
      </c>
      <c r="CM85" s="718">
        <f t="shared" si="22"/>
        <v>0</v>
      </c>
      <c r="CN85" s="718">
        <f t="shared" si="22"/>
        <v>0</v>
      </c>
      <c r="CO85" s="718">
        <f t="shared" si="22"/>
        <v>0</v>
      </c>
      <c r="CP85" s="718">
        <f t="shared" si="22"/>
        <v>0</v>
      </c>
      <c r="CQ85" s="718">
        <f t="shared" si="22"/>
        <v>0</v>
      </c>
      <c r="CR85" s="718">
        <f t="shared" ref="CR85:CV85" si="23">CR39-CR17</f>
        <v>0</v>
      </c>
      <c r="CS85" s="718">
        <f t="shared" si="23"/>
        <v>0</v>
      </c>
      <c r="CT85" s="718">
        <f t="shared" si="23"/>
        <v>0</v>
      </c>
      <c r="CU85" s="718">
        <f t="shared" si="23"/>
        <v>0</v>
      </c>
      <c r="CV85" s="718">
        <f t="shared" si="23"/>
        <v>0</v>
      </c>
    </row>
    <row r="86" spans="5:100" x14ac:dyDescent="0.25">
      <c r="CG86" s="355"/>
      <c r="CL86" s="355"/>
    </row>
    <row r="87" spans="5:100" x14ac:dyDescent="0.25">
      <c r="E87" s="717" t="s">
        <v>770</v>
      </c>
      <c r="BX87" s="718">
        <f t="shared" ref="BX87:CQ87" si="24">BX52-BX39</f>
        <v>-33.404999999999987</v>
      </c>
      <c r="BY87" s="718">
        <f t="shared" si="24"/>
        <v>-31.880000000000003</v>
      </c>
      <c r="BZ87" s="718">
        <f t="shared" si="24"/>
        <v>-34.41299999999999</v>
      </c>
      <c r="CA87" s="718">
        <f t="shared" si="24"/>
        <v>-32.596000000000025</v>
      </c>
      <c r="CB87" s="718">
        <f t="shared" si="24"/>
        <v>-132.29399999999998</v>
      </c>
      <c r="CC87" s="718">
        <f t="shared" si="24"/>
        <v>-29.488999999999969</v>
      </c>
      <c r="CD87" s="718">
        <f t="shared" si="24"/>
        <v>-30.625000000000007</v>
      </c>
      <c r="CE87" s="718">
        <f t="shared" si="24"/>
        <v>-33.020000000000003</v>
      </c>
      <c r="CF87" s="718">
        <f t="shared" si="24"/>
        <v>-38.646999999999984</v>
      </c>
      <c r="CG87" s="718">
        <f t="shared" si="24"/>
        <v>-131.78100000000001</v>
      </c>
      <c r="CH87" s="718">
        <f t="shared" si="24"/>
        <v>-25.716000000000008</v>
      </c>
      <c r="CI87" s="718">
        <f t="shared" si="24"/>
        <v>-28.817638600000009</v>
      </c>
      <c r="CJ87" s="718">
        <f t="shared" si="24"/>
        <v>0</v>
      </c>
      <c r="CK87" s="718">
        <f t="shared" si="24"/>
        <v>0</v>
      </c>
      <c r="CL87" s="718">
        <f t="shared" si="24"/>
        <v>-54.533638600000018</v>
      </c>
      <c r="CM87" s="718">
        <f t="shared" si="24"/>
        <v>0</v>
      </c>
      <c r="CN87" s="718">
        <f t="shared" si="24"/>
        <v>0</v>
      </c>
      <c r="CO87" s="718">
        <f t="shared" si="24"/>
        <v>0</v>
      </c>
      <c r="CP87" s="718">
        <f t="shared" si="24"/>
        <v>0</v>
      </c>
      <c r="CQ87" s="718">
        <f t="shared" si="24"/>
        <v>0</v>
      </c>
      <c r="CR87" s="718">
        <f t="shared" ref="CR87:CV87" si="25">CR52-CR39</f>
        <v>0</v>
      </c>
      <c r="CS87" s="718">
        <f t="shared" si="25"/>
        <v>0</v>
      </c>
      <c r="CT87" s="718">
        <f t="shared" si="25"/>
        <v>0</v>
      </c>
      <c r="CU87" s="718">
        <f t="shared" si="25"/>
        <v>0</v>
      </c>
      <c r="CV87" s="718">
        <f t="shared" si="25"/>
        <v>0</v>
      </c>
    </row>
    <row r="108" spans="5:95" hidden="1" x14ac:dyDescent="0.25">
      <c r="E108" s="54" t="s">
        <v>644</v>
      </c>
      <c r="F108" s="566"/>
      <c r="G108" s="566"/>
      <c r="H108" s="566"/>
      <c r="I108" s="566"/>
      <c r="J108" s="566"/>
      <c r="K108" s="122"/>
      <c r="L108" s="122"/>
      <c r="M108" s="122"/>
      <c r="N108" s="122"/>
      <c r="O108" s="566"/>
      <c r="P108" s="122"/>
      <c r="Q108" s="122"/>
      <c r="R108" s="122"/>
      <c r="S108" s="122"/>
      <c r="T108" s="566"/>
      <c r="U108" s="122"/>
      <c r="V108" s="122"/>
      <c r="W108" s="122"/>
      <c r="X108" s="122"/>
      <c r="Y108" s="566"/>
      <c r="Z108" s="128"/>
      <c r="AA108" s="128"/>
      <c r="AB108" s="128"/>
      <c r="AC108" s="128"/>
      <c r="AD108" s="566"/>
      <c r="AE108" s="128"/>
      <c r="AF108" s="128"/>
      <c r="AG108" s="128"/>
      <c r="AH108" s="128"/>
      <c r="AI108" s="513"/>
      <c r="AJ108" s="721"/>
      <c r="AK108" s="721"/>
      <c r="AL108" s="721"/>
      <c r="AM108" s="721"/>
      <c r="AN108" s="513"/>
      <c r="AO108" s="721"/>
      <c r="AP108" s="721"/>
      <c r="AQ108" s="721"/>
      <c r="AR108" s="726"/>
      <c r="AS108" s="566"/>
      <c r="AT108" s="417">
        <v>5.7000000000000002E-2</v>
      </c>
      <c r="AU108" s="417">
        <v>-7.8E-2</v>
      </c>
      <c r="AV108" s="417">
        <v>3.64</v>
      </c>
      <c r="AW108" s="417">
        <v>-87.893000000000001</v>
      </c>
      <c r="AX108" s="568">
        <f>SUM(AT108:AW108)</f>
        <v>-84.274000000000001</v>
      </c>
      <c r="AY108" s="417">
        <v>-0.24399999999999999</v>
      </c>
      <c r="AZ108" s="417">
        <v>-2.4649999999999999</v>
      </c>
      <c r="BA108" s="417">
        <v>-15.132</v>
      </c>
      <c r="BB108" s="417">
        <v>-12.6</v>
      </c>
      <c r="BC108" s="568">
        <f>SUM(AY108:BB108)</f>
        <v>-30.441000000000003</v>
      </c>
      <c r="BD108" s="417">
        <v>-0.16</v>
      </c>
      <c r="BE108" s="417">
        <v>-3.2000000000000001E-2</v>
      </c>
      <c r="BF108" s="417">
        <v>0.126</v>
      </c>
      <c r="BG108" s="417">
        <v>-1.944</v>
      </c>
      <c r="BH108" s="568">
        <f>SUM(BD108:BG108)</f>
        <v>-2.0099999999999998</v>
      </c>
      <c r="BI108" s="417">
        <v>0</v>
      </c>
      <c r="BJ108" s="417">
        <v>-8.5730000000000004</v>
      </c>
      <c r="BK108" s="417">
        <v>-9.5540000000000003</v>
      </c>
      <c r="BL108" s="417">
        <v>-46.81</v>
      </c>
      <c r="BM108" s="513">
        <v>-158.00700000000001</v>
      </c>
      <c r="BN108" s="417"/>
      <c r="BO108" s="417"/>
      <c r="BP108" s="417"/>
      <c r="BQ108" s="417"/>
      <c r="BR108" s="568"/>
      <c r="BS108" s="417"/>
      <c r="BT108" s="417"/>
      <c r="BU108" s="721"/>
      <c r="BV108" s="721"/>
      <c r="BW108" s="568"/>
      <c r="BX108" s="721"/>
      <c r="BY108" s="721"/>
      <c r="BZ108" s="721"/>
      <c r="CA108" s="721"/>
      <c r="CB108" s="568"/>
      <c r="CC108" s="721"/>
      <c r="CD108" s="721"/>
      <c r="CE108" s="721"/>
      <c r="CF108" s="721"/>
      <c r="CG108" s="568"/>
      <c r="CH108" s="721"/>
      <c r="CI108" s="721"/>
      <c r="CJ108" s="721"/>
      <c r="CK108" s="721"/>
      <c r="CL108" s="568"/>
      <c r="CM108" s="721"/>
      <c r="CN108" s="721"/>
      <c r="CO108" s="721"/>
      <c r="CP108" s="721"/>
      <c r="CQ108" s="568"/>
    </row>
    <row r="109" spans="5:95" hidden="1" x14ac:dyDescent="0.25">
      <c r="E109" s="54"/>
      <c r="F109" s="566"/>
      <c r="G109" s="566"/>
      <c r="H109" s="566"/>
      <c r="I109" s="566"/>
      <c r="J109" s="566"/>
      <c r="K109" s="122"/>
      <c r="L109" s="122"/>
      <c r="M109" s="122"/>
      <c r="N109" s="122"/>
      <c r="O109" s="566"/>
      <c r="P109" s="122"/>
      <c r="Q109" s="122"/>
      <c r="R109" s="122"/>
      <c r="S109" s="122"/>
      <c r="T109" s="566"/>
      <c r="U109" s="122"/>
      <c r="V109" s="122"/>
      <c r="W109" s="122"/>
      <c r="X109" s="122"/>
      <c r="Y109" s="566"/>
      <c r="Z109" s="128"/>
      <c r="AA109" s="128"/>
      <c r="AB109" s="128"/>
      <c r="AC109" s="128"/>
      <c r="AD109" s="566"/>
      <c r="AE109" s="128"/>
      <c r="AF109" s="128"/>
      <c r="AG109" s="128"/>
      <c r="AH109" s="128"/>
      <c r="AI109" s="513"/>
      <c r="AJ109" s="721"/>
      <c r="AK109" s="721"/>
      <c r="AL109" s="721"/>
      <c r="AM109" s="721"/>
      <c r="AN109" s="513"/>
      <c r="AO109" s="721"/>
      <c r="AP109" s="721"/>
      <c r="AQ109" s="721"/>
      <c r="AR109" s="726"/>
      <c r="AS109" s="566"/>
      <c r="AT109" s="417"/>
      <c r="AU109" s="417"/>
      <c r="AV109" s="417"/>
      <c r="AW109" s="417"/>
      <c r="AX109" s="568"/>
      <c r="AY109" s="417"/>
      <c r="AZ109" s="417"/>
      <c r="BA109" s="417"/>
      <c r="BB109" s="417"/>
      <c r="BC109" s="568"/>
      <c r="BD109" s="417"/>
      <c r="BE109" s="417"/>
      <c r="BF109" s="417"/>
      <c r="BG109" s="417"/>
      <c r="BH109" s="568"/>
      <c r="BI109" s="417"/>
      <c r="BJ109" s="417"/>
      <c r="BK109" s="417"/>
      <c r="BL109" s="417"/>
      <c r="BM109" s="513"/>
      <c r="BN109" s="417"/>
      <c r="BO109" s="417"/>
      <c r="BP109" s="417"/>
      <c r="BQ109" s="417"/>
      <c r="BR109" s="568"/>
      <c r="BS109" s="417"/>
      <c r="BT109" s="417"/>
      <c r="BU109" s="721"/>
      <c r="BV109" s="721"/>
      <c r="BW109" s="568"/>
      <c r="BX109" s="721"/>
      <c r="BY109" s="721"/>
      <c r="BZ109" s="721"/>
      <c r="CA109" s="721"/>
      <c r="CB109" s="568"/>
      <c r="CC109" s="721"/>
      <c r="CD109" s="721"/>
      <c r="CE109" s="721"/>
      <c r="CF109" s="721"/>
      <c r="CG109" s="568"/>
      <c r="CH109" s="721"/>
      <c r="CI109" s="721"/>
      <c r="CJ109" s="721"/>
      <c r="CK109" s="721"/>
      <c r="CL109" s="568"/>
      <c r="CM109" s="721"/>
      <c r="CN109" s="721"/>
      <c r="CO109" s="721"/>
      <c r="CP109" s="721"/>
      <c r="CQ109" s="568"/>
    </row>
    <row r="110" spans="5:95" ht="13.5" hidden="1" x14ac:dyDescent="0.25">
      <c r="E110" s="365" t="s">
        <v>645</v>
      </c>
      <c r="F110" s="566"/>
      <c r="G110" s="566"/>
      <c r="H110" s="566"/>
      <c r="I110" s="566"/>
      <c r="J110" s="566"/>
      <c r="K110" s="122"/>
      <c r="L110" s="122"/>
      <c r="M110" s="122"/>
      <c r="N110" s="122"/>
      <c r="O110" s="566"/>
      <c r="P110" s="122"/>
      <c r="Q110" s="122"/>
      <c r="R110" s="122"/>
      <c r="S110" s="122"/>
      <c r="T110" s="566"/>
      <c r="U110" s="122"/>
      <c r="V110" s="122"/>
      <c r="W110" s="122"/>
      <c r="X110" s="122"/>
      <c r="Y110" s="566"/>
      <c r="Z110" s="128"/>
      <c r="AA110" s="128"/>
      <c r="AB110" s="128"/>
      <c r="AC110" s="128"/>
      <c r="AD110" s="566"/>
      <c r="AE110" s="128"/>
      <c r="AF110" s="128"/>
      <c r="AG110" s="128"/>
      <c r="AH110" s="128"/>
      <c r="AI110" s="513"/>
      <c r="AJ110" s="721"/>
      <c r="AK110" s="721"/>
      <c r="AL110" s="721"/>
      <c r="AM110" s="721"/>
      <c r="AN110" s="513"/>
      <c r="AO110" s="721"/>
      <c r="AP110" s="721"/>
      <c r="AQ110" s="721"/>
      <c r="AR110" s="726"/>
      <c r="AS110" s="566"/>
      <c r="AT110" s="417"/>
      <c r="AU110" s="417"/>
      <c r="AV110" s="417"/>
      <c r="AW110" s="417"/>
      <c r="AX110" s="568"/>
      <c r="AY110" s="417"/>
      <c r="AZ110" s="417"/>
      <c r="BA110" s="417"/>
      <c r="BB110" s="417"/>
      <c r="BC110" s="568"/>
      <c r="BD110" s="417"/>
      <c r="BE110" s="417"/>
      <c r="BF110" s="417"/>
      <c r="BG110" s="417"/>
      <c r="BH110" s="568"/>
      <c r="BI110" s="417"/>
      <c r="BJ110" s="417"/>
      <c r="BK110" s="417"/>
      <c r="BL110" s="417"/>
      <c r="BM110" s="513"/>
      <c r="BN110" s="417"/>
      <c r="BO110" s="417"/>
      <c r="BP110" s="417"/>
      <c r="BQ110" s="417"/>
      <c r="BR110" s="568"/>
      <c r="BS110" s="417"/>
      <c r="BT110" s="417"/>
      <c r="BU110" s="721"/>
      <c r="BV110" s="721"/>
      <c r="BW110" s="568"/>
      <c r="BX110" s="721"/>
      <c r="BY110" s="721"/>
      <c r="BZ110" s="721"/>
      <c r="CA110" s="721"/>
      <c r="CB110" s="568"/>
      <c r="CC110" s="721"/>
      <c r="CD110" s="721"/>
      <c r="CE110" s="721"/>
      <c r="CF110" s="721"/>
      <c r="CG110" s="568"/>
      <c r="CH110" s="721"/>
      <c r="CI110" s="721"/>
      <c r="CJ110" s="721"/>
      <c r="CK110" s="721"/>
      <c r="CL110" s="568"/>
      <c r="CM110" s="721"/>
      <c r="CN110" s="721"/>
      <c r="CO110" s="721"/>
      <c r="CP110" s="721"/>
      <c r="CQ110" s="568"/>
    </row>
    <row r="111" spans="5:95" hidden="1" x14ac:dyDescent="0.25">
      <c r="E111" s="54" t="s">
        <v>649</v>
      </c>
      <c r="F111" s="566"/>
      <c r="G111" s="566"/>
      <c r="H111" s="566"/>
      <c r="I111" s="566"/>
      <c r="J111" s="566"/>
      <c r="K111" s="122"/>
      <c r="L111" s="122"/>
      <c r="M111" s="122"/>
      <c r="N111" s="122"/>
      <c r="O111" s="566"/>
      <c r="P111" s="122"/>
      <c r="Q111" s="122"/>
      <c r="R111" s="122"/>
      <c r="S111" s="122"/>
      <c r="T111" s="566"/>
      <c r="U111" s="122"/>
      <c r="V111" s="122"/>
      <c r="W111" s="122"/>
      <c r="X111" s="122"/>
      <c r="Y111" s="566"/>
      <c r="Z111" s="128"/>
      <c r="AA111" s="128"/>
      <c r="AB111" s="128"/>
      <c r="AC111" s="128"/>
      <c r="AD111" s="566"/>
      <c r="AE111" s="128"/>
      <c r="AF111" s="128"/>
      <c r="AG111" s="128"/>
      <c r="AH111" s="128"/>
      <c r="AI111" s="513"/>
      <c r="AJ111" s="721"/>
      <c r="AK111" s="721"/>
      <c r="AL111" s="721"/>
      <c r="AM111" s="721"/>
      <c r="AN111" s="513"/>
      <c r="AO111" s="721"/>
      <c r="AP111" s="721"/>
      <c r="AQ111" s="721"/>
      <c r="AR111" s="726"/>
      <c r="AS111" s="566"/>
      <c r="AT111" s="417"/>
      <c r="AU111" s="417"/>
      <c r="AV111" s="417"/>
      <c r="AW111" s="417"/>
      <c r="AX111" s="568"/>
      <c r="AY111" s="417"/>
      <c r="AZ111" s="417"/>
      <c r="BA111" s="417"/>
      <c r="BB111" s="417"/>
      <c r="BC111" s="568"/>
      <c r="BD111" s="417"/>
      <c r="BE111" s="417"/>
      <c r="BF111" s="417"/>
      <c r="BG111" s="417"/>
      <c r="BH111" s="568"/>
      <c r="BI111" s="417"/>
      <c r="BJ111" s="417"/>
      <c r="BK111" s="417"/>
      <c r="BL111" s="417"/>
      <c r="BM111" s="513"/>
      <c r="BN111" s="417"/>
      <c r="BO111" s="417"/>
      <c r="BP111" s="417"/>
      <c r="BQ111" s="417"/>
      <c r="BR111" s="568"/>
      <c r="BS111" s="417"/>
      <c r="BT111" s="417"/>
      <c r="BU111" s="721"/>
      <c r="BV111" s="721"/>
      <c r="BW111" s="568"/>
      <c r="BX111" s="721"/>
      <c r="BY111" s="721"/>
      <c r="BZ111" s="721"/>
      <c r="CA111" s="721"/>
      <c r="CB111" s="568"/>
      <c r="CC111" s="721"/>
      <c r="CD111" s="721"/>
      <c r="CE111" s="721"/>
      <c r="CF111" s="721"/>
      <c r="CG111" s="568"/>
      <c r="CH111" s="721"/>
      <c r="CI111" s="721"/>
      <c r="CJ111" s="721"/>
      <c r="CK111" s="721"/>
      <c r="CL111" s="568"/>
      <c r="CM111" s="721"/>
      <c r="CN111" s="721"/>
      <c r="CO111" s="721"/>
      <c r="CP111" s="721"/>
      <c r="CQ111" s="568"/>
    </row>
    <row r="112" spans="5:95" ht="13.5" hidden="1" x14ac:dyDescent="0.25">
      <c r="E112" s="365" t="s">
        <v>650</v>
      </c>
      <c r="F112" s="566"/>
      <c r="G112" s="566"/>
      <c r="H112" s="566"/>
      <c r="I112" s="566"/>
      <c r="J112" s="566"/>
      <c r="K112" s="122"/>
      <c r="L112" s="122"/>
      <c r="M112" s="122"/>
      <c r="N112" s="122"/>
      <c r="O112" s="566"/>
      <c r="P112" s="122"/>
      <c r="Q112" s="122"/>
      <c r="R112" s="122"/>
      <c r="S112" s="122"/>
      <c r="T112" s="566"/>
      <c r="U112" s="122"/>
      <c r="V112" s="122"/>
      <c r="W112" s="122"/>
      <c r="X112" s="122"/>
      <c r="Y112" s="566"/>
      <c r="Z112" s="128"/>
      <c r="AA112" s="128"/>
      <c r="AB112" s="128"/>
      <c r="AC112" s="128"/>
      <c r="AD112" s="566"/>
      <c r="AE112" s="128"/>
      <c r="AF112" s="128"/>
      <c r="AG112" s="128"/>
      <c r="AH112" s="128"/>
      <c r="AI112" s="513"/>
      <c r="AJ112" s="721"/>
      <c r="AK112" s="721"/>
      <c r="AL112" s="721"/>
      <c r="AM112" s="721"/>
      <c r="AN112" s="513"/>
      <c r="AO112" s="721"/>
      <c r="AP112" s="721"/>
      <c r="AQ112" s="721"/>
      <c r="AR112" s="726"/>
      <c r="AS112" s="566"/>
      <c r="AT112" s="417"/>
      <c r="AU112" s="417"/>
      <c r="AV112" s="417"/>
      <c r="AW112" s="417"/>
      <c r="AX112" s="568"/>
      <c r="AY112" s="417"/>
      <c r="AZ112" s="417"/>
      <c r="BA112" s="417"/>
      <c r="BB112" s="417"/>
      <c r="BC112" s="568"/>
      <c r="BD112" s="417"/>
      <c r="BE112" s="417"/>
      <c r="BF112" s="417"/>
      <c r="BG112" s="417"/>
      <c r="BH112" s="568"/>
      <c r="BI112" s="417"/>
      <c r="BJ112" s="417"/>
      <c r="BK112" s="417"/>
      <c r="BL112" s="417"/>
      <c r="BM112" s="513"/>
      <c r="BN112" s="417"/>
      <c r="BO112" s="183"/>
      <c r="BP112" s="417"/>
      <c r="BQ112" s="417"/>
      <c r="BR112" s="568"/>
      <c r="BS112" s="417"/>
      <c r="BT112" s="183"/>
      <c r="BU112" s="721"/>
      <c r="BV112" s="721"/>
      <c r="BW112" s="568"/>
      <c r="BX112" s="721"/>
      <c r="BY112" s="721"/>
      <c r="BZ112" s="721"/>
      <c r="CA112" s="721"/>
      <c r="CB112" s="568"/>
      <c r="CC112" s="721"/>
      <c r="CD112" s="721"/>
      <c r="CE112" s="721"/>
      <c r="CF112" s="721"/>
      <c r="CG112" s="568"/>
      <c r="CH112" s="721"/>
      <c r="CI112" s="721"/>
      <c r="CJ112" s="721"/>
      <c r="CK112" s="721"/>
      <c r="CL112" s="568"/>
      <c r="CM112" s="721"/>
      <c r="CN112" s="721"/>
      <c r="CO112" s="721"/>
      <c r="CP112" s="721"/>
      <c r="CQ112" s="568"/>
    </row>
    <row r="113" spans="5:95" hidden="1" x14ac:dyDescent="0.25">
      <c r="E113" s="54" t="s">
        <v>651</v>
      </c>
      <c r="F113" s="566"/>
      <c r="G113" s="566"/>
      <c r="H113" s="566"/>
      <c r="I113" s="566"/>
      <c r="J113" s="566"/>
      <c r="K113" s="122"/>
      <c r="L113" s="122"/>
      <c r="M113" s="122"/>
      <c r="N113" s="122"/>
      <c r="O113" s="566"/>
      <c r="P113" s="122"/>
      <c r="Q113" s="122"/>
      <c r="R113" s="122"/>
      <c r="S113" s="122"/>
      <c r="T113" s="566"/>
      <c r="U113" s="122"/>
      <c r="V113" s="122"/>
      <c r="W113" s="122"/>
      <c r="X113" s="122"/>
      <c r="Y113" s="566"/>
      <c r="Z113" s="128"/>
      <c r="AA113" s="128"/>
      <c r="AB113" s="128"/>
      <c r="AC113" s="128"/>
      <c r="AD113" s="566"/>
      <c r="AE113" s="128"/>
      <c r="AF113" s="128"/>
      <c r="AG113" s="128"/>
      <c r="AH113" s="128"/>
      <c r="AI113" s="513"/>
      <c r="AJ113" s="721"/>
      <c r="AK113" s="721"/>
      <c r="AL113" s="721"/>
      <c r="AM113" s="721"/>
      <c r="AN113" s="513"/>
      <c r="AO113" s="721"/>
      <c r="AP113" s="721"/>
      <c r="AQ113" s="721"/>
      <c r="AR113" s="726"/>
      <c r="AS113" s="566"/>
      <c r="AT113" s="417"/>
      <c r="AU113" s="417"/>
      <c r="AV113" s="417"/>
      <c r="AW113" s="417"/>
      <c r="AX113" s="568"/>
      <c r="AY113" s="417"/>
      <c r="AZ113" s="417"/>
      <c r="BA113" s="417"/>
      <c r="BB113" s="417"/>
      <c r="BC113" s="568"/>
      <c r="BD113" s="417"/>
      <c r="BE113" s="417"/>
      <c r="BF113" s="417"/>
      <c r="BG113" s="417"/>
      <c r="BH113" s="568"/>
      <c r="BI113" s="417"/>
      <c r="BJ113" s="417"/>
      <c r="BK113" s="417"/>
      <c r="BL113" s="417"/>
      <c r="BM113" s="513"/>
      <c r="BN113" s="417"/>
      <c r="BO113" s="721"/>
      <c r="BP113" s="417"/>
      <c r="BQ113" s="417"/>
      <c r="BR113" s="568"/>
      <c r="BS113" s="417"/>
      <c r="BT113" s="721"/>
      <c r="BU113" s="721"/>
      <c r="BV113" s="721"/>
      <c r="BW113" s="568"/>
      <c r="BX113" s="721"/>
      <c r="BY113" s="721"/>
      <c r="BZ113" s="721"/>
      <c r="CA113" s="721"/>
      <c r="CB113" s="568"/>
      <c r="CC113" s="721"/>
      <c r="CD113" s="721"/>
      <c r="CE113" s="721"/>
      <c r="CF113" s="721"/>
      <c r="CG113" s="568"/>
      <c r="CH113" s="721"/>
      <c r="CI113" s="721"/>
      <c r="CJ113" s="721"/>
      <c r="CK113" s="721"/>
      <c r="CL113" s="568"/>
      <c r="CM113" s="721"/>
      <c r="CN113" s="721"/>
      <c r="CO113" s="721"/>
      <c r="CP113" s="721"/>
      <c r="CQ113" s="568"/>
    </row>
    <row r="114" spans="5:95" ht="13.5" hidden="1" x14ac:dyDescent="0.25">
      <c r="E114" s="365" t="s">
        <v>650</v>
      </c>
      <c r="F114" s="566"/>
      <c r="G114" s="566"/>
      <c r="H114" s="566"/>
      <c r="I114" s="566"/>
      <c r="J114" s="566"/>
      <c r="K114" s="122"/>
      <c r="L114" s="122"/>
      <c r="M114" s="122"/>
      <c r="N114" s="122"/>
      <c r="O114" s="566"/>
      <c r="P114" s="122"/>
      <c r="Q114" s="122"/>
      <c r="R114" s="122"/>
      <c r="S114" s="122"/>
      <c r="T114" s="566"/>
      <c r="U114" s="122"/>
      <c r="V114" s="122"/>
      <c r="W114" s="122"/>
      <c r="X114" s="122"/>
      <c r="Y114" s="566"/>
      <c r="Z114" s="128"/>
      <c r="AA114" s="128"/>
      <c r="AB114" s="128"/>
      <c r="AC114" s="128"/>
      <c r="AD114" s="566"/>
      <c r="AE114" s="128"/>
      <c r="AF114" s="128"/>
      <c r="AG114" s="128"/>
      <c r="AH114" s="128"/>
      <c r="AI114" s="513"/>
      <c r="AJ114" s="721"/>
      <c r="AK114" s="721"/>
      <c r="AL114" s="721"/>
      <c r="AM114" s="721"/>
      <c r="AN114" s="513"/>
      <c r="AO114" s="721"/>
      <c r="AP114" s="721"/>
      <c r="AQ114" s="721"/>
      <c r="AR114" s="726"/>
      <c r="AS114" s="566"/>
      <c r="AT114" s="417"/>
      <c r="AU114" s="417"/>
      <c r="AV114" s="417"/>
      <c r="AW114" s="417"/>
      <c r="AX114" s="568"/>
      <c r="AY114" s="417"/>
      <c r="AZ114" s="417"/>
      <c r="BA114" s="417"/>
      <c r="BB114" s="417"/>
      <c r="BC114" s="568"/>
      <c r="BD114" s="417"/>
      <c r="BE114" s="417"/>
      <c r="BF114" s="417"/>
      <c r="BG114" s="417"/>
      <c r="BH114" s="568"/>
      <c r="BI114" s="417"/>
      <c r="BJ114" s="417"/>
      <c r="BK114" s="417"/>
      <c r="BL114" s="417"/>
      <c r="BM114" s="513"/>
      <c r="BN114" s="417"/>
      <c r="BO114" s="183"/>
      <c r="BP114" s="417"/>
      <c r="BQ114" s="417"/>
      <c r="BR114" s="568"/>
      <c r="BS114" s="417"/>
      <c r="BT114" s="183"/>
      <c r="BU114" s="721"/>
      <c r="BV114" s="721"/>
      <c r="BW114" s="568"/>
      <c r="BX114" s="721"/>
      <c r="BY114" s="721"/>
      <c r="BZ114" s="721"/>
      <c r="CA114" s="721"/>
      <c r="CB114" s="568"/>
      <c r="CC114" s="721"/>
      <c r="CD114" s="721"/>
      <c r="CE114" s="721"/>
      <c r="CF114" s="721"/>
      <c r="CG114" s="568"/>
      <c r="CH114" s="721"/>
      <c r="CI114" s="721"/>
      <c r="CJ114" s="721"/>
      <c r="CK114" s="721"/>
      <c r="CL114" s="568"/>
      <c r="CM114" s="721"/>
      <c r="CN114" s="721"/>
      <c r="CO114" s="721"/>
      <c r="CP114" s="721"/>
      <c r="CQ114" s="568"/>
    </row>
    <row r="115" spans="5:95" hidden="1" x14ac:dyDescent="0.25">
      <c r="E115" s="54" t="s">
        <v>608</v>
      </c>
      <c r="F115" s="566"/>
      <c r="G115" s="566"/>
      <c r="H115" s="566"/>
      <c r="I115" s="566"/>
      <c r="J115" s="566"/>
      <c r="K115" s="122"/>
      <c r="L115" s="122"/>
      <c r="M115" s="122"/>
      <c r="N115" s="122"/>
      <c r="O115" s="566"/>
      <c r="P115" s="122"/>
      <c r="Q115" s="122"/>
      <c r="R115" s="122"/>
      <c r="S115" s="122"/>
      <c r="T115" s="566"/>
      <c r="U115" s="122"/>
      <c r="V115" s="122"/>
      <c r="W115" s="122"/>
      <c r="X115" s="122"/>
      <c r="Y115" s="566"/>
      <c r="Z115" s="128"/>
      <c r="AA115" s="128"/>
      <c r="AB115" s="128"/>
      <c r="AC115" s="128"/>
      <c r="AD115" s="566"/>
      <c r="AE115" s="128"/>
      <c r="AF115" s="128"/>
      <c r="AG115" s="128"/>
      <c r="AH115" s="128"/>
      <c r="AI115" s="513"/>
      <c r="AJ115" s="721"/>
      <c r="AK115" s="721"/>
      <c r="AL115" s="721"/>
      <c r="AM115" s="721"/>
      <c r="AN115" s="513"/>
      <c r="AO115" s="721"/>
      <c r="AP115" s="721"/>
      <c r="AQ115" s="721"/>
      <c r="AR115" s="726"/>
      <c r="AS115" s="566"/>
      <c r="AT115" s="417"/>
      <c r="AU115" s="417"/>
      <c r="AV115" s="417"/>
      <c r="AW115" s="417"/>
      <c r="AX115" s="568"/>
      <c r="AY115" s="417"/>
      <c r="AZ115" s="417"/>
      <c r="BA115" s="417"/>
      <c r="BB115" s="417"/>
      <c r="BC115" s="568"/>
      <c r="BD115" s="417"/>
      <c r="BE115" s="417"/>
      <c r="BF115" s="417"/>
      <c r="BG115" s="417"/>
      <c r="BH115" s="568"/>
      <c r="BI115" s="417"/>
      <c r="BJ115" s="417"/>
      <c r="BK115" s="417"/>
      <c r="BL115" s="417"/>
      <c r="BM115" s="513"/>
      <c r="BN115" s="417"/>
      <c r="BO115" s="417"/>
      <c r="BP115" s="417"/>
      <c r="BQ115" s="417"/>
      <c r="BR115" s="568"/>
      <c r="BS115" s="417"/>
      <c r="BT115" s="417"/>
      <c r="BU115" s="721"/>
      <c r="BV115" s="721"/>
      <c r="BW115" s="568"/>
      <c r="BX115" s="721"/>
      <c r="BY115" s="721"/>
      <c r="BZ115" s="721"/>
      <c r="CA115" s="721"/>
      <c r="CB115" s="568"/>
      <c r="CC115" s="721"/>
      <c r="CD115" s="721"/>
      <c r="CE115" s="721"/>
      <c r="CF115" s="721"/>
      <c r="CG115" s="568"/>
      <c r="CH115" s="721"/>
      <c r="CI115" s="721"/>
      <c r="CJ115" s="721"/>
      <c r="CK115" s="721"/>
      <c r="CL115" s="568"/>
      <c r="CM115" s="721"/>
      <c r="CN115" s="721"/>
      <c r="CO115" s="721"/>
      <c r="CP115" s="721"/>
      <c r="CQ115" s="568"/>
    </row>
    <row r="116" spans="5:95" ht="13.5" hidden="1" x14ac:dyDescent="0.25">
      <c r="E116" s="365" t="s">
        <v>91</v>
      </c>
      <c r="F116" s="566"/>
      <c r="G116" s="566"/>
      <c r="H116" s="566"/>
      <c r="I116" s="566"/>
      <c r="J116" s="566"/>
      <c r="K116" s="122"/>
      <c r="L116" s="122"/>
      <c r="M116" s="122"/>
      <c r="N116" s="122"/>
      <c r="O116" s="566"/>
      <c r="P116" s="122"/>
      <c r="Q116" s="122"/>
      <c r="R116" s="122"/>
      <c r="S116" s="122"/>
      <c r="T116" s="566"/>
      <c r="U116" s="122"/>
      <c r="V116" s="122"/>
      <c r="W116" s="122"/>
      <c r="X116" s="122"/>
      <c r="Y116" s="566"/>
      <c r="Z116" s="128"/>
      <c r="AA116" s="128"/>
      <c r="AB116" s="128"/>
      <c r="AC116" s="128"/>
      <c r="AD116" s="566"/>
      <c r="AE116" s="128"/>
      <c r="AF116" s="128"/>
      <c r="AG116" s="128"/>
      <c r="AH116" s="128"/>
      <c r="AI116" s="513"/>
      <c r="AJ116" s="721"/>
      <c r="AK116" s="721"/>
      <c r="AL116" s="721"/>
      <c r="AM116" s="721"/>
      <c r="AN116" s="513"/>
      <c r="AO116" s="721"/>
      <c r="AP116" s="721"/>
      <c r="AQ116" s="721"/>
      <c r="AR116" s="726"/>
      <c r="AS116" s="566"/>
      <c r="AT116" s="417"/>
      <c r="AU116" s="417"/>
      <c r="AV116" s="417"/>
      <c r="AW116" s="417"/>
      <c r="AX116" s="568"/>
      <c r="AY116" s="417"/>
      <c r="AZ116" s="417"/>
      <c r="BA116" s="417"/>
      <c r="BB116" s="417"/>
      <c r="BC116" s="568"/>
      <c r="BD116" s="417"/>
      <c r="BE116" s="417"/>
      <c r="BF116" s="417"/>
      <c r="BG116" s="417"/>
      <c r="BH116" s="568"/>
      <c r="BI116" s="417"/>
      <c r="BJ116" s="417"/>
      <c r="BK116" s="417"/>
      <c r="BL116" s="417"/>
      <c r="BM116" s="513"/>
      <c r="BN116" s="363"/>
      <c r="BO116" s="363"/>
      <c r="BP116" s="363"/>
      <c r="BQ116" s="363"/>
      <c r="BR116" s="568"/>
      <c r="BS116" s="363"/>
      <c r="BT116" s="363"/>
      <c r="BU116" s="721"/>
      <c r="BV116" s="721"/>
      <c r="BW116" s="568"/>
      <c r="BX116" s="721"/>
      <c r="BY116" s="721"/>
      <c r="BZ116" s="721"/>
      <c r="CA116" s="721"/>
      <c r="CB116" s="568"/>
      <c r="CC116" s="721"/>
      <c r="CD116" s="721"/>
      <c r="CE116" s="721"/>
      <c r="CF116" s="721"/>
      <c r="CG116" s="568"/>
      <c r="CH116" s="721"/>
      <c r="CI116" s="721"/>
      <c r="CJ116" s="721"/>
      <c r="CK116" s="721"/>
      <c r="CL116" s="568"/>
      <c r="CM116" s="721"/>
      <c r="CN116" s="721"/>
      <c r="CO116" s="721"/>
      <c r="CP116" s="721"/>
      <c r="CQ116" s="568"/>
    </row>
    <row r="117" spans="5:95" hidden="1" x14ac:dyDescent="0.25">
      <c r="E117" s="54" t="s">
        <v>609</v>
      </c>
      <c r="F117" s="566"/>
      <c r="G117" s="566"/>
      <c r="H117" s="566"/>
      <c r="I117" s="566"/>
      <c r="J117" s="566"/>
      <c r="K117" s="122"/>
      <c r="L117" s="122"/>
      <c r="M117" s="122"/>
      <c r="N117" s="122"/>
      <c r="O117" s="566"/>
      <c r="P117" s="122"/>
      <c r="Q117" s="122"/>
      <c r="R117" s="122"/>
      <c r="S117" s="122"/>
      <c r="T117" s="566"/>
      <c r="U117" s="122"/>
      <c r="V117" s="122"/>
      <c r="W117" s="122"/>
      <c r="X117" s="122"/>
      <c r="Y117" s="566"/>
      <c r="Z117" s="128"/>
      <c r="AA117" s="128"/>
      <c r="AB117" s="128"/>
      <c r="AC117" s="128"/>
      <c r="AD117" s="566"/>
      <c r="AE117" s="128"/>
      <c r="AF117" s="128"/>
      <c r="AG117" s="128"/>
      <c r="AH117" s="128"/>
      <c r="AI117" s="513"/>
      <c r="AJ117" s="721"/>
      <c r="AK117" s="721"/>
      <c r="AL117" s="721"/>
      <c r="AM117" s="721"/>
      <c r="AN117" s="513"/>
      <c r="AO117" s="721"/>
      <c r="AP117" s="721"/>
      <c r="AQ117" s="721"/>
      <c r="AR117" s="726"/>
      <c r="AS117" s="566"/>
      <c r="AT117" s="417"/>
      <c r="AU117" s="417"/>
      <c r="AV117" s="417"/>
      <c r="AW117" s="417"/>
      <c r="AX117" s="568"/>
      <c r="AY117" s="417"/>
      <c r="AZ117" s="417"/>
      <c r="BA117" s="417"/>
      <c r="BB117" s="417"/>
      <c r="BC117" s="568"/>
      <c r="BD117" s="417"/>
      <c r="BE117" s="417"/>
      <c r="BF117" s="417"/>
      <c r="BG117" s="417"/>
      <c r="BH117" s="568"/>
      <c r="BI117" s="417"/>
      <c r="BJ117" s="417"/>
      <c r="BK117" s="417"/>
      <c r="BL117" s="417"/>
      <c r="BM117" s="513"/>
      <c r="BN117" s="417"/>
      <c r="BO117" s="417"/>
      <c r="BP117" s="417"/>
      <c r="BQ117" s="417"/>
      <c r="BR117" s="568"/>
      <c r="BS117" s="417"/>
      <c r="BT117" s="417"/>
      <c r="BU117" s="721"/>
      <c r="BV117" s="721"/>
      <c r="BW117" s="568"/>
      <c r="BX117" s="721"/>
      <c r="BY117" s="721"/>
      <c r="BZ117" s="721"/>
      <c r="CA117" s="721"/>
      <c r="CB117" s="568"/>
      <c r="CC117" s="721"/>
      <c r="CD117" s="721"/>
      <c r="CE117" s="721"/>
      <c r="CF117" s="721"/>
      <c r="CG117" s="568"/>
      <c r="CH117" s="721"/>
      <c r="CI117" s="721"/>
      <c r="CJ117" s="721"/>
      <c r="CK117" s="721"/>
      <c r="CL117" s="568"/>
      <c r="CM117" s="721"/>
      <c r="CN117" s="721"/>
      <c r="CO117" s="721"/>
      <c r="CP117" s="721"/>
      <c r="CQ117" s="568"/>
    </row>
    <row r="118" spans="5:95" ht="13.5" hidden="1" x14ac:dyDescent="0.25">
      <c r="E118" s="365" t="s">
        <v>91</v>
      </c>
      <c r="F118" s="566"/>
      <c r="G118" s="566"/>
      <c r="H118" s="566"/>
      <c r="I118" s="566"/>
      <c r="J118" s="566"/>
      <c r="K118" s="122"/>
      <c r="L118" s="122"/>
      <c r="M118" s="122"/>
      <c r="N118" s="122"/>
      <c r="O118" s="566"/>
      <c r="P118" s="122"/>
      <c r="Q118" s="122"/>
      <c r="R118" s="122"/>
      <c r="S118" s="122"/>
      <c r="T118" s="566"/>
      <c r="U118" s="122"/>
      <c r="V118" s="122"/>
      <c r="W118" s="122"/>
      <c r="X118" s="122"/>
      <c r="Y118" s="566"/>
      <c r="Z118" s="128"/>
      <c r="AA118" s="128"/>
      <c r="AB118" s="128"/>
      <c r="AC118" s="128"/>
      <c r="AD118" s="566"/>
      <c r="AE118" s="128"/>
      <c r="AF118" s="128"/>
      <c r="AG118" s="128"/>
      <c r="AH118" s="128"/>
      <c r="AI118" s="513"/>
      <c r="AJ118" s="721"/>
      <c r="AK118" s="721"/>
      <c r="AL118" s="721"/>
      <c r="AM118" s="721"/>
      <c r="AN118" s="513"/>
      <c r="AO118" s="721"/>
      <c r="AP118" s="721"/>
      <c r="AQ118" s="721"/>
      <c r="AR118" s="726"/>
      <c r="AS118" s="566"/>
      <c r="AT118" s="417"/>
      <c r="AU118" s="417"/>
      <c r="AV118" s="417"/>
      <c r="AW118" s="417"/>
      <c r="AX118" s="568"/>
      <c r="AY118" s="417"/>
      <c r="AZ118" s="417"/>
      <c r="BA118" s="417"/>
      <c r="BB118" s="417"/>
      <c r="BC118" s="568"/>
      <c r="BD118" s="417"/>
      <c r="BE118" s="417"/>
      <c r="BF118" s="417"/>
      <c r="BG118" s="417"/>
      <c r="BH118" s="568"/>
      <c r="BI118" s="417"/>
      <c r="BJ118" s="417"/>
      <c r="BK118" s="417"/>
      <c r="BL118" s="417"/>
      <c r="BM118" s="513"/>
      <c r="BN118" s="183"/>
      <c r="BO118" s="183"/>
      <c r="BP118" s="183"/>
      <c r="BQ118" s="183"/>
      <c r="BR118" s="568"/>
      <c r="BS118" s="183"/>
      <c r="BT118" s="183"/>
      <c r="BU118" s="721"/>
      <c r="BV118" s="721"/>
      <c r="BW118" s="568"/>
      <c r="BX118" s="721"/>
      <c r="BY118" s="721"/>
      <c r="BZ118" s="721"/>
      <c r="CA118" s="721"/>
      <c r="CB118" s="568"/>
      <c r="CC118" s="721"/>
      <c r="CD118" s="721"/>
      <c r="CE118" s="721"/>
      <c r="CF118" s="721"/>
      <c r="CG118" s="568"/>
      <c r="CH118" s="721"/>
      <c r="CI118" s="721"/>
      <c r="CJ118" s="721"/>
      <c r="CK118" s="721"/>
      <c r="CL118" s="568"/>
      <c r="CM118" s="721"/>
      <c r="CN118" s="721"/>
      <c r="CO118" s="721"/>
      <c r="CP118" s="721"/>
      <c r="CQ118" s="568"/>
    </row>
    <row r="119" spans="5:95" ht="13.5" hidden="1" x14ac:dyDescent="0.25">
      <c r="E119" s="444" t="s">
        <v>646</v>
      </c>
      <c r="F119" s="566"/>
      <c r="G119" s="566"/>
      <c r="H119" s="566"/>
      <c r="I119" s="566"/>
      <c r="J119" s="566"/>
      <c r="K119" s="122"/>
      <c r="L119" s="122"/>
      <c r="M119" s="122"/>
      <c r="N119" s="122"/>
      <c r="O119" s="566"/>
      <c r="P119" s="122"/>
      <c r="Q119" s="122"/>
      <c r="R119" s="122"/>
      <c r="S119" s="122"/>
      <c r="T119" s="566"/>
      <c r="U119" s="122"/>
      <c r="V119" s="122"/>
      <c r="W119" s="122"/>
      <c r="X119" s="122"/>
      <c r="Y119" s="566"/>
      <c r="Z119" s="128"/>
      <c r="AA119" s="128"/>
      <c r="AB119" s="128"/>
      <c r="AC119" s="128"/>
      <c r="AD119" s="566"/>
      <c r="AE119" s="128"/>
      <c r="AF119" s="128"/>
      <c r="AG119" s="128"/>
      <c r="AH119" s="128"/>
      <c r="AI119" s="513"/>
      <c r="AJ119" s="721"/>
      <c r="AK119" s="721"/>
      <c r="AL119" s="721"/>
      <c r="AM119" s="721"/>
      <c r="AN119" s="513"/>
      <c r="AO119" s="721"/>
      <c r="AP119" s="721"/>
      <c r="AQ119" s="721"/>
      <c r="AR119" s="726"/>
      <c r="AS119" s="566"/>
      <c r="AT119" s="417"/>
      <c r="AU119" s="417"/>
      <c r="AV119" s="417"/>
      <c r="AW119" s="417"/>
      <c r="AX119" s="568"/>
      <c r="AY119" s="417"/>
      <c r="AZ119" s="417"/>
      <c r="BA119" s="417"/>
      <c r="BB119" s="417"/>
      <c r="BC119" s="568"/>
      <c r="BD119" s="417"/>
      <c r="BE119" s="417"/>
      <c r="BF119" s="417"/>
      <c r="BG119" s="417"/>
      <c r="BH119" s="568"/>
      <c r="BI119" s="417"/>
      <c r="BJ119" s="417"/>
      <c r="BK119" s="417"/>
      <c r="BL119" s="417"/>
      <c r="BM119" s="513"/>
      <c r="BN119" s="87"/>
      <c r="BO119" s="87"/>
      <c r="BP119" s="87"/>
      <c r="BQ119" s="87"/>
      <c r="BR119" s="568"/>
      <c r="BS119" s="87"/>
      <c r="BT119" s="87"/>
      <c r="BU119" s="721"/>
      <c r="BV119" s="721"/>
      <c r="BW119" s="568"/>
      <c r="BX119" s="721"/>
      <c r="BY119" s="721"/>
      <c r="BZ119" s="721"/>
      <c r="CA119" s="721"/>
      <c r="CB119" s="568"/>
      <c r="CC119" s="721"/>
      <c r="CD119" s="721"/>
      <c r="CE119" s="721"/>
      <c r="CF119" s="721"/>
      <c r="CG119" s="568"/>
      <c r="CH119" s="721"/>
      <c r="CI119" s="721"/>
      <c r="CJ119" s="721"/>
      <c r="CK119" s="721"/>
      <c r="CL119" s="568"/>
      <c r="CM119" s="721"/>
      <c r="CN119" s="721"/>
      <c r="CO119" s="721"/>
      <c r="CP119" s="721"/>
      <c r="CQ119" s="568"/>
    </row>
    <row r="120" spans="5:95" ht="13.5" hidden="1" x14ac:dyDescent="0.25">
      <c r="E120" s="365" t="s">
        <v>91</v>
      </c>
      <c r="F120" s="566"/>
      <c r="G120" s="566"/>
      <c r="H120" s="566"/>
      <c r="I120" s="566"/>
      <c r="J120" s="566"/>
      <c r="K120" s="122"/>
      <c r="L120" s="122"/>
      <c r="M120" s="122"/>
      <c r="N120" s="122"/>
      <c r="O120" s="566"/>
      <c r="P120" s="122"/>
      <c r="Q120" s="122"/>
      <c r="R120" s="122"/>
      <c r="S120" s="122"/>
      <c r="T120" s="566"/>
      <c r="U120" s="122"/>
      <c r="V120" s="122"/>
      <c r="W120" s="122"/>
      <c r="X120" s="122"/>
      <c r="Y120" s="566"/>
      <c r="Z120" s="128"/>
      <c r="AA120" s="128"/>
      <c r="AB120" s="128"/>
      <c r="AC120" s="128"/>
      <c r="AD120" s="566"/>
      <c r="AE120" s="128"/>
      <c r="AF120" s="128"/>
      <c r="AG120" s="128"/>
      <c r="AH120" s="128"/>
      <c r="AI120" s="513"/>
      <c r="AJ120" s="721"/>
      <c r="AK120" s="721"/>
      <c r="AL120" s="721"/>
      <c r="AM120" s="721"/>
      <c r="AN120" s="513"/>
      <c r="AO120" s="721"/>
      <c r="AP120" s="721"/>
      <c r="AQ120" s="721"/>
      <c r="AR120" s="726"/>
      <c r="AS120" s="566"/>
      <c r="AT120" s="417"/>
      <c r="AU120" s="417"/>
      <c r="AV120" s="417"/>
      <c r="AW120" s="417"/>
      <c r="AX120" s="568"/>
      <c r="AY120" s="417"/>
      <c r="AZ120" s="417"/>
      <c r="BA120" s="417"/>
      <c r="BB120" s="417"/>
      <c r="BC120" s="568"/>
      <c r="BD120" s="417"/>
      <c r="BE120" s="417"/>
      <c r="BF120" s="417"/>
      <c r="BG120" s="417"/>
      <c r="BH120" s="568"/>
      <c r="BI120" s="417"/>
      <c r="BJ120" s="417"/>
      <c r="BK120" s="417"/>
      <c r="BL120" s="417"/>
      <c r="BM120" s="513"/>
      <c r="BN120" s="365"/>
      <c r="BO120" s="365"/>
      <c r="BP120" s="365"/>
      <c r="BQ120" s="365"/>
      <c r="BR120" s="568"/>
      <c r="BS120" s="365"/>
      <c r="BT120" s="365"/>
      <c r="BU120" s="721"/>
      <c r="BV120" s="721"/>
      <c r="BW120" s="568"/>
      <c r="BX120" s="721"/>
      <c r="BY120" s="721"/>
      <c r="BZ120" s="721"/>
      <c r="CA120" s="721"/>
      <c r="CB120" s="568"/>
      <c r="CC120" s="721"/>
      <c r="CD120" s="721"/>
      <c r="CE120" s="721"/>
      <c r="CF120" s="721"/>
      <c r="CG120" s="568"/>
      <c r="CH120" s="721"/>
      <c r="CI120" s="721"/>
      <c r="CJ120" s="721"/>
      <c r="CK120" s="721"/>
      <c r="CL120" s="568"/>
      <c r="CM120" s="721"/>
      <c r="CN120" s="721"/>
      <c r="CO120" s="721"/>
      <c r="CP120" s="721"/>
      <c r="CQ120" s="568"/>
    </row>
    <row r="121" spans="5:95" ht="13.5" hidden="1" x14ac:dyDescent="0.25">
      <c r="E121" s="444"/>
      <c r="F121" s="566"/>
      <c r="G121" s="566"/>
      <c r="H121" s="566"/>
      <c r="I121" s="566"/>
      <c r="J121" s="566"/>
      <c r="K121" s="122"/>
      <c r="L121" s="122"/>
      <c r="M121" s="122"/>
      <c r="N121" s="122"/>
      <c r="O121" s="566"/>
      <c r="P121" s="122"/>
      <c r="Q121" s="122"/>
      <c r="R121" s="122"/>
      <c r="S121" s="122"/>
      <c r="T121" s="566"/>
      <c r="U121" s="122"/>
      <c r="V121" s="122"/>
      <c r="W121" s="122"/>
      <c r="X121" s="122"/>
      <c r="Y121" s="566"/>
      <c r="Z121" s="128"/>
      <c r="AA121" s="128"/>
      <c r="AB121" s="128"/>
      <c r="AC121" s="128"/>
      <c r="AD121" s="566"/>
      <c r="AE121" s="128"/>
      <c r="AF121" s="128"/>
      <c r="AG121" s="128"/>
      <c r="AH121" s="128"/>
      <c r="AI121" s="513"/>
      <c r="AJ121" s="721"/>
      <c r="AK121" s="721"/>
      <c r="AL121" s="721"/>
      <c r="AM121" s="721"/>
      <c r="AN121" s="513"/>
      <c r="AO121" s="721"/>
      <c r="AP121" s="721"/>
      <c r="AQ121" s="721"/>
      <c r="AR121" s="726"/>
      <c r="AS121" s="566"/>
      <c r="AT121" s="417"/>
      <c r="AU121" s="417"/>
      <c r="AV121" s="417"/>
      <c r="AW121" s="417"/>
      <c r="AX121" s="568"/>
      <c r="AY121" s="417"/>
      <c r="AZ121" s="417"/>
      <c r="BA121" s="417"/>
      <c r="BB121" s="417"/>
      <c r="BC121" s="568"/>
      <c r="BD121" s="417"/>
      <c r="BE121" s="417"/>
      <c r="BF121" s="417"/>
      <c r="BG121" s="417"/>
      <c r="BH121" s="568"/>
      <c r="BI121" s="417"/>
      <c r="BJ121" s="417"/>
      <c r="BK121" s="417"/>
      <c r="BL121" s="417"/>
      <c r="BM121" s="513"/>
      <c r="BN121" s="459"/>
      <c r="BO121" s="459"/>
      <c r="BP121" s="459"/>
      <c r="BQ121" s="459"/>
      <c r="BR121" s="568"/>
      <c r="BS121" s="459"/>
      <c r="BT121" s="459"/>
      <c r="BU121" s="721"/>
      <c r="BV121" s="721"/>
      <c r="BW121" s="568"/>
      <c r="BX121" s="721"/>
      <c r="BY121" s="721"/>
      <c r="BZ121" s="721"/>
      <c r="CA121" s="721"/>
      <c r="CB121" s="568"/>
      <c r="CC121" s="721"/>
      <c r="CD121" s="721"/>
      <c r="CE121" s="721"/>
      <c r="CF121" s="721"/>
      <c r="CG121" s="568"/>
      <c r="CH121" s="721"/>
      <c r="CI121" s="721"/>
      <c r="CJ121" s="721"/>
      <c r="CK121" s="721"/>
      <c r="CL121" s="568"/>
      <c r="CM121" s="721"/>
      <c r="CN121" s="721"/>
      <c r="CO121" s="721"/>
      <c r="CP121" s="721"/>
      <c r="CQ121" s="568"/>
    </row>
    <row r="122" spans="5:95" hidden="1" x14ac:dyDescent="0.25">
      <c r="E122" s="54" t="s">
        <v>647</v>
      </c>
      <c r="F122" s="566"/>
      <c r="G122" s="566"/>
      <c r="H122" s="566"/>
      <c r="I122" s="566"/>
      <c r="J122" s="566"/>
      <c r="K122" s="122"/>
      <c r="L122" s="122"/>
      <c r="M122" s="122"/>
      <c r="N122" s="122"/>
      <c r="O122" s="566"/>
      <c r="P122" s="122"/>
      <c r="Q122" s="122"/>
      <c r="R122" s="122"/>
      <c r="S122" s="122"/>
      <c r="T122" s="566"/>
      <c r="U122" s="122"/>
      <c r="V122" s="122"/>
      <c r="W122" s="122"/>
      <c r="X122" s="122"/>
      <c r="Y122" s="566"/>
      <c r="Z122" s="128"/>
      <c r="AA122" s="128"/>
      <c r="AB122" s="128"/>
      <c r="AC122" s="128"/>
      <c r="AD122" s="566"/>
      <c r="AE122" s="128"/>
      <c r="AF122" s="128"/>
      <c r="AG122" s="128"/>
      <c r="AH122" s="128"/>
      <c r="AI122" s="513"/>
      <c r="AJ122" s="721"/>
      <c r="AK122" s="721"/>
      <c r="AL122" s="721"/>
      <c r="AM122" s="721"/>
      <c r="AN122" s="513"/>
      <c r="AO122" s="721"/>
      <c r="AP122" s="721"/>
      <c r="AQ122" s="721"/>
      <c r="AR122" s="726"/>
      <c r="AS122" s="566"/>
      <c r="AT122" s="417"/>
      <c r="AU122" s="417"/>
      <c r="AV122" s="417"/>
      <c r="AW122" s="417"/>
      <c r="AX122" s="568"/>
      <c r="AY122" s="417"/>
      <c r="AZ122" s="417"/>
      <c r="BA122" s="417"/>
      <c r="BB122" s="417"/>
      <c r="BC122" s="568"/>
      <c r="BD122" s="417"/>
      <c r="BE122" s="417"/>
      <c r="BF122" s="417"/>
      <c r="BG122" s="417"/>
      <c r="BH122" s="568"/>
      <c r="BI122" s="417"/>
      <c r="BJ122" s="417"/>
      <c r="BK122" s="417"/>
      <c r="BL122" s="417"/>
      <c r="BM122" s="513"/>
      <c r="BN122" s="417"/>
      <c r="BO122" s="417"/>
      <c r="BP122" s="417"/>
      <c r="BQ122" s="417"/>
      <c r="BR122" s="568"/>
      <c r="BS122" s="417"/>
      <c r="BT122" s="417"/>
      <c r="BU122" s="721"/>
      <c r="BV122" s="721"/>
      <c r="BW122" s="568"/>
      <c r="BX122" s="721"/>
      <c r="BY122" s="721"/>
      <c r="BZ122" s="721"/>
      <c r="CA122" s="721"/>
      <c r="CB122" s="568"/>
      <c r="CC122" s="721"/>
      <c r="CD122" s="721"/>
      <c r="CE122" s="721"/>
      <c r="CF122" s="721"/>
      <c r="CG122" s="568"/>
      <c r="CH122" s="721"/>
      <c r="CI122" s="721"/>
      <c r="CJ122" s="721"/>
      <c r="CK122" s="721"/>
      <c r="CL122" s="568"/>
      <c r="CM122" s="721"/>
      <c r="CN122" s="721"/>
      <c r="CO122" s="721"/>
      <c r="CP122" s="721"/>
      <c r="CQ122" s="568"/>
    </row>
    <row r="123" spans="5:95" hidden="1" x14ac:dyDescent="0.25">
      <c r="E123" s="54"/>
      <c r="F123" s="566"/>
      <c r="G123" s="566"/>
      <c r="H123" s="566"/>
      <c r="I123" s="566"/>
      <c r="J123" s="566"/>
      <c r="K123" s="122"/>
      <c r="L123" s="122"/>
      <c r="M123" s="122"/>
      <c r="N123" s="122"/>
      <c r="O123" s="566"/>
      <c r="P123" s="122"/>
      <c r="Q123" s="122"/>
      <c r="R123" s="122"/>
      <c r="S123" s="122"/>
      <c r="T123" s="566"/>
      <c r="U123" s="122"/>
      <c r="V123" s="122"/>
      <c r="W123" s="122"/>
      <c r="X123" s="122"/>
      <c r="Y123" s="566"/>
      <c r="Z123" s="128"/>
      <c r="AA123" s="128"/>
      <c r="AB123" s="128"/>
      <c r="AC123" s="128"/>
      <c r="AD123" s="566"/>
      <c r="AE123" s="128"/>
      <c r="AF123" s="128"/>
      <c r="AG123" s="128"/>
      <c r="AH123" s="128"/>
      <c r="AI123" s="513"/>
      <c r="AJ123" s="721"/>
      <c r="AK123" s="721"/>
      <c r="AL123" s="721"/>
      <c r="AM123" s="721"/>
      <c r="AN123" s="513"/>
      <c r="AO123" s="721"/>
      <c r="AP123" s="721"/>
      <c r="AQ123" s="721"/>
      <c r="AR123" s="726"/>
      <c r="AS123" s="566"/>
      <c r="AT123" s="439"/>
      <c r="AU123" s="439"/>
      <c r="AV123" s="439"/>
      <c r="AW123" s="439"/>
      <c r="AX123" s="568"/>
      <c r="AY123" s="439"/>
      <c r="AZ123" s="439"/>
      <c r="BA123" s="439"/>
      <c r="BB123" s="408"/>
      <c r="BC123" s="568"/>
      <c r="BD123" s="408"/>
      <c r="BE123" s="408"/>
      <c r="BF123" s="408"/>
      <c r="BG123" s="408"/>
      <c r="BH123" s="568"/>
      <c r="BI123" s="439"/>
      <c r="BJ123" s="439"/>
      <c r="BK123" s="439"/>
      <c r="BL123" s="439"/>
      <c r="BM123" s="568"/>
      <c r="BN123" s="439"/>
      <c r="BO123" s="439"/>
      <c r="BP123" s="439"/>
      <c r="BQ123" s="439"/>
      <c r="BR123" s="568"/>
      <c r="BS123" s="439"/>
      <c r="BT123" s="439"/>
      <c r="BU123" s="439"/>
      <c r="BV123" s="439"/>
      <c r="BW123" s="568"/>
      <c r="BX123" s="439"/>
      <c r="BY123" s="439"/>
      <c r="BZ123" s="439"/>
      <c r="CA123" s="439"/>
      <c r="CB123" s="568"/>
      <c r="CC123" s="439"/>
      <c r="CD123" s="439"/>
      <c r="CE123" s="439"/>
      <c r="CF123" s="439"/>
      <c r="CG123" s="568"/>
      <c r="CH123" s="439"/>
      <c r="CI123" s="439"/>
      <c r="CJ123" s="439"/>
      <c r="CK123" s="439"/>
      <c r="CL123" s="568"/>
      <c r="CM123" s="439"/>
      <c r="CN123" s="439"/>
      <c r="CO123" s="439"/>
      <c r="CP123" s="439"/>
      <c r="CQ123" s="568"/>
    </row>
    <row r="124" spans="5:95" ht="13.5" hidden="1" x14ac:dyDescent="0.25">
      <c r="E124" s="54"/>
      <c r="F124" s="566"/>
      <c r="G124" s="566"/>
      <c r="H124" s="566"/>
      <c r="I124" s="566"/>
      <c r="J124" s="566"/>
      <c r="K124" s="122"/>
      <c r="L124" s="122"/>
      <c r="M124" s="122"/>
      <c r="N124" s="122"/>
      <c r="O124" s="566"/>
      <c r="P124" s="122"/>
      <c r="Q124" s="122"/>
      <c r="R124" s="122"/>
      <c r="S124" s="122"/>
      <c r="T124" s="566"/>
      <c r="U124" s="122"/>
      <c r="V124" s="122"/>
      <c r="W124" s="122"/>
      <c r="X124" s="122"/>
      <c r="Y124" s="566"/>
      <c r="Z124" s="128"/>
      <c r="AA124" s="128"/>
      <c r="AB124" s="128"/>
      <c r="AC124" s="128"/>
      <c r="AD124" s="566"/>
      <c r="AE124" s="128"/>
      <c r="AF124" s="128"/>
      <c r="AG124" s="128"/>
      <c r="AH124" s="128"/>
      <c r="AI124" s="513"/>
      <c r="AJ124" s="721"/>
      <c r="AK124" s="721"/>
      <c r="AL124" s="721"/>
      <c r="AM124" s="721"/>
      <c r="AN124" s="513"/>
      <c r="AO124" s="721"/>
      <c r="AP124" s="721"/>
      <c r="AQ124" s="721"/>
      <c r="AR124" s="726"/>
      <c r="AS124" s="566"/>
      <c r="AT124" s="442"/>
      <c r="AU124" s="442"/>
      <c r="AV124" s="442"/>
      <c r="AW124" s="442"/>
      <c r="AX124" s="566"/>
      <c r="AY124" s="442"/>
      <c r="AZ124" s="442"/>
      <c r="BA124" s="442"/>
      <c r="BB124" s="439"/>
      <c r="BC124" s="566"/>
      <c r="BD124" s="439"/>
      <c r="BE124" s="439"/>
      <c r="BF124" s="439"/>
      <c r="BG124" s="439"/>
      <c r="BH124" s="566"/>
      <c r="BI124" s="439"/>
      <c r="BJ124" s="439"/>
      <c r="BK124" s="439"/>
      <c r="BL124" s="439"/>
      <c r="BM124" s="566"/>
      <c r="BN124" s="504"/>
      <c r="BO124" s="504"/>
      <c r="BP124" s="504"/>
      <c r="BQ124" s="504"/>
      <c r="BR124" s="566"/>
      <c r="BS124" s="157"/>
      <c r="BT124" s="157"/>
      <c r="BU124" s="157"/>
      <c r="BV124" s="157"/>
      <c r="BW124" s="566"/>
      <c r="BX124" s="157"/>
      <c r="BY124" s="157"/>
      <c r="BZ124" s="157"/>
      <c r="CA124" s="157"/>
      <c r="CB124" s="566"/>
      <c r="CC124" s="157"/>
      <c r="CD124" s="157"/>
      <c r="CE124" s="157"/>
      <c r="CF124" s="157"/>
      <c r="CG124" s="566"/>
      <c r="CH124" s="157"/>
      <c r="CI124" s="157"/>
      <c r="CJ124" s="157"/>
      <c r="CK124" s="157"/>
      <c r="CL124" s="566"/>
      <c r="CM124" s="157"/>
      <c r="CN124" s="157"/>
      <c r="CO124" s="157"/>
      <c r="CP124" s="157"/>
      <c r="CQ124" s="566"/>
    </row>
    <row r="125" spans="5:95" ht="13.5" hidden="1" x14ac:dyDescent="0.25">
      <c r="E125" s="462" t="s">
        <v>314</v>
      </c>
      <c r="F125" s="644"/>
      <c r="G125" s="644"/>
      <c r="H125" s="644"/>
      <c r="I125" s="644"/>
      <c r="J125" s="644"/>
      <c r="K125" s="461"/>
      <c r="L125" s="461"/>
      <c r="M125" s="461"/>
      <c r="N125" s="461"/>
      <c r="O125" s="644"/>
      <c r="P125" s="461"/>
      <c r="Q125" s="461"/>
      <c r="R125" s="461"/>
      <c r="S125" s="461"/>
      <c r="T125" s="644"/>
      <c r="U125" s="461"/>
      <c r="V125" s="461"/>
      <c r="W125" s="461"/>
      <c r="X125" s="461"/>
      <c r="Y125" s="644"/>
      <c r="Z125" s="461"/>
      <c r="AA125" s="461"/>
      <c r="AB125" s="461"/>
      <c r="AC125" s="461"/>
      <c r="AD125" s="644"/>
      <c r="AE125" s="461"/>
      <c r="AF125" s="461"/>
      <c r="AG125" s="461"/>
      <c r="AH125" s="461"/>
      <c r="AI125" s="644"/>
      <c r="AJ125" s="463"/>
      <c r="AK125" s="463"/>
      <c r="AL125" s="463"/>
      <c r="AM125" s="463"/>
      <c r="AN125" s="644"/>
      <c r="AO125" s="463"/>
      <c r="AP125" s="463"/>
      <c r="AQ125" s="463"/>
      <c r="AR125" s="463"/>
      <c r="AS125" s="644"/>
      <c r="AT125" s="463"/>
      <c r="AU125" s="463"/>
      <c r="AV125" s="463" t="e">
        <f>#REF!-Income!AV57</f>
        <v>#REF!</v>
      </c>
      <c r="AW125" s="463"/>
      <c r="AX125" s="644"/>
      <c r="AY125" s="463" t="e">
        <f>#REF!-Income!AY57</f>
        <v>#REF!</v>
      </c>
      <c r="AZ125" s="463" t="e">
        <f>#REF!-Income!AZ57</f>
        <v>#REF!</v>
      </c>
      <c r="BA125" s="463" t="e">
        <f>#REF!-Income!BA57</f>
        <v>#REF!</v>
      </c>
      <c r="BB125" s="463" t="e">
        <f>#REF!-Income!BB57</f>
        <v>#REF!</v>
      </c>
      <c r="BC125" s="644" t="e">
        <f>#REF!-Income!BC57</f>
        <v>#REF!</v>
      </c>
      <c r="BD125" s="463" t="e">
        <f>#REF!-Income!BD57</f>
        <v>#REF!</v>
      </c>
      <c r="BE125" s="463" t="e">
        <f>#REF!-Income!BE57</f>
        <v>#REF!</v>
      </c>
      <c r="BF125" s="463" t="e">
        <f>#REF!-Income!BF57</f>
        <v>#REF!</v>
      </c>
      <c r="BG125" s="463" t="e">
        <f>#REF!-Income!BG57</f>
        <v>#REF!</v>
      </c>
      <c r="BH125" s="644" t="e">
        <f>#REF!-Income!BH57</f>
        <v>#REF!</v>
      </c>
      <c r="BI125" s="463" t="e">
        <f>#REF!-Income!BI57</f>
        <v>#REF!</v>
      </c>
      <c r="BJ125" s="463" t="e">
        <f>#REF!-Income!BJ57</f>
        <v>#REF!</v>
      </c>
      <c r="BK125" s="463" t="e">
        <f>#REF!-Income!BK57</f>
        <v>#REF!</v>
      </c>
      <c r="BL125" s="463" t="e">
        <f>#REF!-Income!BL57</f>
        <v>#REF!</v>
      </c>
      <c r="BM125" s="644"/>
      <c r="BN125" s="463"/>
      <c r="BO125" s="463"/>
      <c r="BP125" s="463"/>
      <c r="BQ125" s="463"/>
      <c r="BR125" s="644"/>
      <c r="BS125" s="463"/>
      <c r="BT125" s="463"/>
      <c r="BU125" s="463"/>
      <c r="BV125" s="463"/>
      <c r="BW125" s="644"/>
      <c r="BX125" s="463"/>
      <c r="BY125" s="463"/>
      <c r="BZ125" s="463"/>
      <c r="CA125" s="463"/>
      <c r="CB125" s="644"/>
      <c r="CC125" s="463" t="e">
        <f>#REF!-Income!CC57</f>
        <v>#REF!</v>
      </c>
      <c r="CD125" s="463" t="e">
        <f>#REF!-Income!CD57</f>
        <v>#REF!</v>
      </c>
      <c r="CE125" s="463" t="e">
        <f>#REF!-Income!CE57</f>
        <v>#REF!</v>
      </c>
      <c r="CF125" s="463" t="e">
        <f>#REF!-Income!CF57</f>
        <v>#REF!</v>
      </c>
      <c r="CG125" s="644"/>
      <c r="CH125" s="463" t="e">
        <f>#REF!-Income!CH57</f>
        <v>#REF!</v>
      </c>
      <c r="CI125" s="463" t="e">
        <f>#REF!-Income!CI57</f>
        <v>#REF!</v>
      </c>
      <c r="CJ125" s="463" t="e">
        <f>#REF!-Income!CJ57</f>
        <v>#REF!</v>
      </c>
      <c r="CK125" s="463" t="e">
        <f>#REF!-Income!CK57</f>
        <v>#REF!</v>
      </c>
      <c r="CL125" s="644"/>
      <c r="CM125" s="463" t="e">
        <f>#REF!-Income!CM57</f>
        <v>#REF!</v>
      </c>
      <c r="CN125" s="463" t="e">
        <f>#REF!-Income!CN57</f>
        <v>#REF!</v>
      </c>
      <c r="CO125" s="463" t="e">
        <f>#REF!-Income!CO57</f>
        <v>#REF!</v>
      </c>
      <c r="CP125" s="463" t="e">
        <f>#REF!-Income!CP57</f>
        <v>#REF!</v>
      </c>
      <c r="CQ125" s="644"/>
    </row>
    <row r="126" spans="5:95" hidden="1" x14ac:dyDescent="0.25">
      <c r="E126" s="54"/>
      <c r="F126" s="566"/>
      <c r="G126" s="566"/>
      <c r="H126" s="566"/>
      <c r="I126" s="566"/>
      <c r="J126" s="566"/>
      <c r="K126" s="122"/>
      <c r="L126" s="122"/>
      <c r="M126" s="122"/>
      <c r="N126" s="122"/>
      <c r="O126" s="566"/>
      <c r="P126" s="122"/>
      <c r="Q126" s="122"/>
      <c r="R126" s="122"/>
      <c r="S126" s="122"/>
      <c r="T126" s="566"/>
      <c r="U126" s="122"/>
      <c r="V126" s="122"/>
      <c r="W126" s="122"/>
      <c r="X126" s="122"/>
      <c r="Y126" s="566"/>
      <c r="Z126" s="128"/>
      <c r="AA126" s="128"/>
      <c r="AB126" s="128"/>
      <c r="AC126" s="128"/>
      <c r="AD126" s="566"/>
      <c r="AE126" s="128"/>
      <c r="AF126" s="128"/>
      <c r="AG126" s="128"/>
      <c r="AH126" s="128"/>
      <c r="AI126" s="513"/>
      <c r="AJ126" s="721"/>
      <c r="AK126" s="721"/>
      <c r="AL126" s="721"/>
      <c r="AM126" s="721"/>
      <c r="AN126" s="513"/>
      <c r="AO126" s="721"/>
      <c r="AP126" s="721"/>
      <c r="AQ126" s="721"/>
      <c r="AR126" s="726"/>
      <c r="AS126" s="566"/>
      <c r="AT126" s="439"/>
      <c r="AU126" s="439"/>
      <c r="AV126" s="439"/>
      <c r="AW126" s="439"/>
      <c r="AX126" s="568"/>
      <c r="AY126" s="439"/>
      <c r="AZ126" s="439"/>
      <c r="BA126" s="439"/>
      <c r="BB126" s="408"/>
      <c r="BC126" s="568"/>
      <c r="BD126" s="408"/>
      <c r="BE126" s="408"/>
      <c r="BF126" s="408"/>
      <c r="BG126" s="408"/>
      <c r="BH126" s="568"/>
      <c r="BI126" s="408"/>
      <c r="BJ126" s="408"/>
      <c r="BK126" s="408"/>
      <c r="BL126" s="408"/>
      <c r="BM126" s="568"/>
      <c r="BN126" s="408"/>
      <c r="BO126" s="408"/>
      <c r="BP126" s="408"/>
      <c r="BQ126" s="408"/>
      <c r="BR126" s="568"/>
      <c r="BS126" s="408"/>
      <c r="BT126" s="408"/>
      <c r="BU126" s="408"/>
      <c r="BV126" s="408"/>
      <c r="BW126" s="568"/>
      <c r="BX126" s="408"/>
      <c r="BY126" s="408"/>
      <c r="BZ126" s="408"/>
      <c r="CA126" s="408"/>
      <c r="CB126" s="568"/>
      <c r="CC126" s="408"/>
      <c r="CD126" s="408"/>
      <c r="CE126" s="408"/>
      <c r="CF126" s="408"/>
      <c r="CG126" s="568"/>
      <c r="CH126" s="408"/>
      <c r="CI126" s="408"/>
      <c r="CJ126" s="408"/>
      <c r="CK126" s="408"/>
      <c r="CL126" s="568"/>
      <c r="CM126" s="408"/>
      <c r="CN126" s="408"/>
      <c r="CO126" s="408"/>
      <c r="CP126" s="408"/>
      <c r="CQ126" s="568"/>
    </row>
    <row r="127" spans="5:95" ht="13.5" hidden="1" x14ac:dyDescent="0.25">
      <c r="E127" s="190" t="s">
        <v>641</v>
      </c>
      <c r="F127" s="542"/>
      <c r="G127" s="542"/>
      <c r="H127" s="542"/>
      <c r="I127" s="542"/>
      <c r="J127" s="542"/>
      <c r="O127" s="542"/>
      <c r="S127" s="191"/>
      <c r="T127" s="542"/>
      <c r="Y127" s="542"/>
      <c r="Z127" s="59"/>
      <c r="AA127" s="59"/>
      <c r="AB127" s="59"/>
      <c r="AC127" s="59"/>
      <c r="AD127" s="542"/>
      <c r="AE127" s="59"/>
      <c r="AF127" s="59"/>
      <c r="AG127" s="59"/>
      <c r="AH127" s="59"/>
      <c r="AI127" s="542"/>
      <c r="AJ127" s="59"/>
      <c r="AK127" s="59"/>
      <c r="AL127" s="59"/>
      <c r="AM127" s="59"/>
      <c r="AN127" s="542"/>
      <c r="AO127" s="59"/>
      <c r="AP127" s="59"/>
      <c r="AQ127" s="59"/>
      <c r="AR127" s="59"/>
      <c r="AS127" s="542"/>
      <c r="AT127" s="59"/>
      <c r="AU127" s="59"/>
      <c r="AV127" s="59"/>
      <c r="AW127" s="59"/>
      <c r="AX127" s="542"/>
      <c r="AY127" s="59"/>
      <c r="AZ127" s="59"/>
      <c r="BA127" s="59"/>
      <c r="BB127" s="59"/>
      <c r="BC127" s="542"/>
      <c r="BD127" s="59"/>
      <c r="BE127" s="59"/>
      <c r="BF127" s="59"/>
      <c r="BG127" s="59"/>
      <c r="BH127" s="542"/>
      <c r="BI127" s="439"/>
      <c r="BJ127" s="439"/>
      <c r="BK127" s="183"/>
      <c r="BL127" s="183"/>
      <c r="BM127" s="542"/>
      <c r="BN127" s="439"/>
      <c r="BO127" s="183"/>
      <c r="BP127" s="183"/>
      <c r="BQ127" s="183"/>
      <c r="BR127" s="641"/>
      <c r="BS127" s="183"/>
      <c r="BT127" s="183"/>
      <c r="BU127" s="183"/>
      <c r="BV127" s="183"/>
      <c r="BW127" s="641"/>
      <c r="BX127" s="183"/>
      <c r="BY127" s="183"/>
      <c r="BZ127" s="183"/>
      <c r="CA127" s="183"/>
      <c r="CB127" s="641"/>
      <c r="CC127" s="183"/>
      <c r="CD127" s="183"/>
      <c r="CE127" s="183"/>
      <c r="CF127" s="183"/>
      <c r="CG127" s="641"/>
      <c r="CH127" s="183"/>
      <c r="CI127" s="183"/>
      <c r="CJ127" s="183"/>
      <c r="CK127" s="183"/>
      <c r="CL127" s="641"/>
      <c r="CM127" s="183"/>
      <c r="CN127" s="183"/>
      <c r="CO127" s="183"/>
      <c r="CP127" s="183"/>
      <c r="CQ127" s="641"/>
    </row>
    <row r="128" spans="5:95" ht="13.5" hidden="1" x14ac:dyDescent="0.25">
      <c r="E128" s="721" t="s">
        <v>571</v>
      </c>
      <c r="F128" s="542"/>
      <c r="G128" s="542"/>
      <c r="H128" s="542"/>
      <c r="I128" s="542"/>
      <c r="J128" s="542"/>
      <c r="O128" s="542"/>
      <c r="S128" s="191"/>
      <c r="T128" s="542"/>
      <c r="Y128" s="542"/>
      <c r="Z128" s="59"/>
      <c r="AA128" s="59"/>
      <c r="AB128" s="59"/>
      <c r="AC128" s="59"/>
      <c r="AD128" s="542"/>
      <c r="AE128" s="59"/>
      <c r="AF128" s="59"/>
      <c r="AG128" s="59"/>
      <c r="AH128" s="59"/>
      <c r="AI128" s="542"/>
      <c r="AJ128" s="59"/>
      <c r="AK128" s="59"/>
      <c r="AL128" s="59"/>
      <c r="AM128" s="59"/>
      <c r="AN128" s="542"/>
      <c r="AO128" s="59"/>
      <c r="AP128" s="59"/>
      <c r="AQ128" s="59"/>
      <c r="AR128" s="59"/>
      <c r="AS128" s="542"/>
      <c r="AT128" s="59"/>
      <c r="AU128" s="59"/>
      <c r="AV128" s="59"/>
      <c r="AW128" s="59"/>
      <c r="AX128" s="542"/>
      <c r="AY128" s="59"/>
      <c r="AZ128" s="59"/>
      <c r="BA128" s="59"/>
      <c r="BB128" s="59"/>
      <c r="BC128" s="542">
        <f>BC130-BC129</f>
        <v>317.08717948717953</v>
      </c>
      <c r="BD128" s="439">
        <f>BD130-BD129</f>
        <v>85.083555263216269</v>
      </c>
      <c r="BE128" s="439">
        <f>BE130-BE129</f>
        <v>82.285675506014471</v>
      </c>
      <c r="BF128" s="439">
        <f>BF130-BF129</f>
        <v>83.559234752868704</v>
      </c>
      <c r="BG128" s="439">
        <f>BH128-BF128-BE128-BD128</f>
        <v>78.558713965080088</v>
      </c>
      <c r="BH128" s="566">
        <f>BH130-BH129</f>
        <v>329.4871794871795</v>
      </c>
      <c r="BI128" s="439">
        <f>BI130-BI129</f>
        <v>83.381843381843368</v>
      </c>
      <c r="BJ128" s="439">
        <f>BJ130-BJ129</f>
        <v>86.467387387387376</v>
      </c>
      <c r="BK128" s="439">
        <f>BK130-BK129</f>
        <v>90.512994505494504</v>
      </c>
      <c r="BL128" s="439">
        <f>BM128-BK128-BJ128-BI128</f>
        <v>80.065954212454272</v>
      </c>
      <c r="BM128" s="566">
        <f>BM130-BM129</f>
        <v>340.42817948717953</v>
      </c>
      <c r="BN128" s="439">
        <f>BN130-BN129</f>
        <v>80.447843381843356</v>
      </c>
      <c r="BO128" s="439">
        <f>BO130-BO129</f>
        <v>83.615387387387386</v>
      </c>
      <c r="BP128" s="439">
        <f>BP130-BP129</f>
        <v>85.195494505494509</v>
      </c>
      <c r="BQ128" s="439">
        <f>BQ130-BQ129</f>
        <v>76.051201465201586</v>
      </c>
      <c r="BR128" s="566">
        <f>SUM(BN128:BQ128)</f>
        <v>325.30992673992682</v>
      </c>
      <c r="BS128" s="439"/>
      <c r="BT128" s="439"/>
      <c r="BU128" s="439"/>
      <c r="BV128" s="439"/>
      <c r="BW128" s="566"/>
      <c r="BX128" s="439"/>
      <c r="BY128" s="439"/>
      <c r="BZ128" s="439"/>
      <c r="CA128" s="439"/>
      <c r="CB128" s="566"/>
      <c r="CC128" s="183"/>
      <c r="CD128" s="183"/>
      <c r="CE128" s="183"/>
      <c r="CF128" s="183"/>
      <c r="CG128" s="641"/>
      <c r="CH128" s="183"/>
      <c r="CI128" s="183"/>
      <c r="CJ128" s="183"/>
      <c r="CK128" s="183"/>
      <c r="CL128" s="641"/>
      <c r="CM128" s="183"/>
      <c r="CN128" s="183"/>
      <c r="CO128" s="183"/>
      <c r="CP128" s="183"/>
      <c r="CQ128" s="641"/>
    </row>
    <row r="129" spans="5:95" ht="13.5" hidden="1" x14ac:dyDescent="0.25">
      <c r="E129" s="721" t="s">
        <v>584</v>
      </c>
      <c r="F129" s="542"/>
      <c r="G129" s="542"/>
      <c r="H129" s="542"/>
      <c r="I129" s="542"/>
      <c r="J129" s="542"/>
      <c r="O129" s="542"/>
      <c r="S129" s="191"/>
      <c r="T129" s="542"/>
      <c r="Y129" s="542"/>
      <c r="Z129" s="59"/>
      <c r="AA129" s="59"/>
      <c r="AB129" s="59"/>
      <c r="AC129" s="59"/>
      <c r="AD129" s="542"/>
      <c r="AE129" s="59"/>
      <c r="AF129" s="59"/>
      <c r="AG129" s="59"/>
      <c r="AH129" s="59"/>
      <c r="AI129" s="542"/>
      <c r="AJ129" s="59"/>
      <c r="AK129" s="59"/>
      <c r="AL129" s="59"/>
      <c r="AM129" s="59"/>
      <c r="AN129" s="542"/>
      <c r="AO129" s="59"/>
      <c r="AP129" s="59"/>
      <c r="AQ129" s="59"/>
      <c r="AR129" s="59"/>
      <c r="AS129" s="542"/>
      <c r="AT129" s="59"/>
      <c r="AU129" s="59"/>
      <c r="AV129" s="59"/>
      <c r="AW129" s="59"/>
      <c r="AX129" s="542"/>
      <c r="AY129" s="59"/>
      <c r="AZ129" s="59"/>
      <c r="BA129" s="59"/>
      <c r="BB129" s="59"/>
      <c r="BC129" s="582"/>
      <c r="BD129" s="527"/>
      <c r="BE129" s="527"/>
      <c r="BF129" s="527"/>
      <c r="BG129" s="523"/>
      <c r="BH129" s="582"/>
      <c r="BI129" s="527">
        <f>Connectivity!BI45</f>
        <v>0</v>
      </c>
      <c r="BJ129" s="527">
        <f>Connectivity!BJ45</f>
        <v>0.91999999999999993</v>
      </c>
      <c r="BK129" s="527">
        <f>Connectivity!BK45</f>
        <v>3.9925000000000002</v>
      </c>
      <c r="BL129" s="527">
        <f>Connectivity!BL45</f>
        <v>9.8465000000000007</v>
      </c>
      <c r="BM129" s="577">
        <f>Connectivity!BM45</f>
        <v>14.759</v>
      </c>
      <c r="BN129" s="527">
        <f>Connectivity!BN45</f>
        <v>4.3339999999999996</v>
      </c>
      <c r="BO129" s="527">
        <f>Connectivity!BO45</f>
        <v>13.472</v>
      </c>
      <c r="BP129" s="527">
        <f>Connectivity!BP45</f>
        <v>17.91</v>
      </c>
      <c r="BQ129" s="527">
        <f>Connectivity!BQ45</f>
        <v>19.256</v>
      </c>
      <c r="BR129" s="577">
        <f>Connectivity!BR45</f>
        <v>54.971999999999994</v>
      </c>
      <c r="BS129" s="527"/>
      <c r="BT129" s="527"/>
      <c r="BU129" s="527"/>
      <c r="BV129" s="527"/>
      <c r="BW129" s="577"/>
      <c r="BX129" s="527"/>
      <c r="BY129" s="527"/>
      <c r="BZ129" s="527"/>
      <c r="CA129" s="527"/>
      <c r="CB129" s="577"/>
      <c r="CC129" s="183"/>
      <c r="CD129" s="183"/>
      <c r="CE129" s="183"/>
      <c r="CF129" s="183"/>
      <c r="CG129" s="641"/>
      <c r="CH129" s="183"/>
      <c r="CI129" s="183"/>
      <c r="CJ129" s="183"/>
      <c r="CK129" s="183"/>
      <c r="CL129" s="641"/>
      <c r="CM129" s="183"/>
      <c r="CN129" s="183"/>
      <c r="CO129" s="183"/>
      <c r="CP129" s="183"/>
      <c r="CQ129" s="641"/>
    </row>
    <row r="130" spans="5:95" ht="13.5" hidden="1" x14ac:dyDescent="0.25">
      <c r="E130" s="721" t="s">
        <v>575</v>
      </c>
      <c r="F130" s="542"/>
      <c r="G130" s="542"/>
      <c r="H130" s="542"/>
      <c r="I130" s="542"/>
      <c r="J130" s="542"/>
      <c r="O130" s="542"/>
      <c r="S130" s="191"/>
      <c r="T130" s="542"/>
      <c r="Y130" s="542"/>
      <c r="Z130" s="59"/>
      <c r="AA130" s="59"/>
      <c r="AB130" s="59"/>
      <c r="AC130" s="59"/>
      <c r="AD130" s="542"/>
      <c r="AE130" s="59"/>
      <c r="AF130" s="59"/>
      <c r="AG130" s="59"/>
      <c r="AH130" s="59"/>
      <c r="AI130" s="542"/>
      <c r="AJ130" s="59"/>
      <c r="AK130" s="59"/>
      <c r="AL130" s="59"/>
      <c r="AM130" s="59"/>
      <c r="AN130" s="542"/>
      <c r="AO130" s="59"/>
      <c r="AP130" s="59"/>
      <c r="AQ130" s="59"/>
      <c r="AR130" s="59"/>
      <c r="AS130" s="542"/>
      <c r="AT130" s="59"/>
      <c r="AU130" s="59"/>
      <c r="AV130" s="59"/>
      <c r="AW130" s="59"/>
      <c r="AX130" s="542"/>
      <c r="AY130" s="59"/>
      <c r="AZ130" s="59"/>
      <c r="BA130" s="59"/>
      <c r="BB130" s="59"/>
      <c r="BC130" s="542">
        <f>BH130-12.4</f>
        <v>317.08717948717953</v>
      </c>
      <c r="BD130" s="528">
        <f>(BI130+BJ130)-BE130-3.4</f>
        <v>85.083555263216269</v>
      </c>
      <c r="BE130" s="439">
        <f>BJ130/(1+BJ131)</f>
        <v>82.285675506014471</v>
      </c>
      <c r="BF130" s="439">
        <f>BK130/(1+BK131)</f>
        <v>83.559234752868704</v>
      </c>
      <c r="BG130" s="439">
        <f>BH130-BF130-BE130-BD130</f>
        <v>78.558713965080088</v>
      </c>
      <c r="BH130" s="566">
        <f>25.7/BM131</f>
        <v>329.4871794871795</v>
      </c>
      <c r="BI130" s="439">
        <f>(11.1/0.065)-BJ130</f>
        <v>83.381843381843368</v>
      </c>
      <c r="BJ130" s="439">
        <f>9.7/BO131</f>
        <v>87.387387387387378</v>
      </c>
      <c r="BK130" s="439">
        <f>8.6/BP131</f>
        <v>94.505494505494511</v>
      </c>
      <c r="BL130" s="439">
        <f>BM130-BK130-BJ130-BI130</f>
        <v>89.912454212454321</v>
      </c>
      <c r="BM130" s="566">
        <f>BH130*(1+BM131)</f>
        <v>355.18717948717955</v>
      </c>
      <c r="BN130" s="439">
        <f>((BI130+BJ130)*1.065)-BO130</f>
        <v>84.781843381843359</v>
      </c>
      <c r="BO130" s="439">
        <f>BJ130*(1+BO131)</f>
        <v>97.08738738738738</v>
      </c>
      <c r="BP130" s="439">
        <f>BK130*(1+BP131)</f>
        <v>103.10549450549451</v>
      </c>
      <c r="BQ130" s="439">
        <f>BL130*(1+BQ131)</f>
        <v>95.307201465201587</v>
      </c>
      <c r="BR130" s="566">
        <f>SUM(BN130:BQ130)</f>
        <v>380.2819267399268</v>
      </c>
      <c r="BS130" s="439"/>
      <c r="BT130" s="439"/>
      <c r="BU130" s="439"/>
      <c r="BV130" s="439"/>
      <c r="BW130" s="566"/>
      <c r="BX130" s="439"/>
      <c r="BY130" s="439"/>
      <c r="BZ130" s="439"/>
      <c r="CA130" s="439"/>
      <c r="CB130" s="566"/>
      <c r="CC130" s="183"/>
      <c r="CD130" s="183"/>
      <c r="CE130" s="183"/>
      <c r="CF130" s="183"/>
      <c r="CG130" s="641"/>
      <c r="CH130" s="183"/>
      <c r="CI130" s="183"/>
      <c r="CJ130" s="183"/>
      <c r="CK130" s="183"/>
      <c r="CL130" s="641"/>
      <c r="CM130" s="183"/>
      <c r="CN130" s="183"/>
      <c r="CO130" s="183"/>
      <c r="CP130" s="183"/>
      <c r="CQ130" s="641"/>
    </row>
    <row r="131" spans="5:95" ht="13.5" hidden="1" x14ac:dyDescent="0.25">
      <c r="E131" s="91" t="s">
        <v>2</v>
      </c>
      <c r="F131" s="542"/>
      <c r="G131" s="542"/>
      <c r="H131" s="542"/>
      <c r="I131" s="542"/>
      <c r="J131" s="542"/>
      <c r="O131" s="542"/>
      <c r="S131" s="191"/>
      <c r="T131" s="542"/>
      <c r="Y131" s="542"/>
      <c r="Z131" s="59"/>
      <c r="AA131" s="59"/>
      <c r="AB131" s="59"/>
      <c r="AC131" s="59"/>
      <c r="AD131" s="542"/>
      <c r="AE131" s="59"/>
      <c r="AF131" s="59"/>
      <c r="AG131" s="59"/>
      <c r="AH131" s="59"/>
      <c r="AI131" s="542"/>
      <c r="AJ131" s="59"/>
      <c r="AK131" s="59"/>
      <c r="AL131" s="59"/>
      <c r="AM131" s="59"/>
      <c r="AN131" s="542"/>
      <c r="AO131" s="59"/>
      <c r="AP131" s="59"/>
      <c r="AQ131" s="59"/>
      <c r="AR131" s="59"/>
      <c r="AS131" s="542"/>
      <c r="AT131" s="59"/>
      <c r="AU131" s="59"/>
      <c r="AV131" s="59"/>
      <c r="AW131" s="59"/>
      <c r="AX131" s="542"/>
      <c r="AY131" s="59"/>
      <c r="AZ131" s="59"/>
      <c r="BA131" s="59"/>
      <c r="BB131" s="59"/>
      <c r="BC131" s="542"/>
      <c r="BD131" s="183"/>
      <c r="BE131" s="183"/>
      <c r="BF131" s="183"/>
      <c r="BG131" s="363"/>
      <c r="BH131" s="522">
        <v>3.7999999999999999E-2</v>
      </c>
      <c r="BI131" s="363">
        <f>(BI130-BD130)/ABS(BD130)</f>
        <v>-2.000047924782233E-2</v>
      </c>
      <c r="BJ131" s="456">
        <v>6.2E-2</v>
      </c>
      <c r="BK131" s="456">
        <v>0.13100000000000001</v>
      </c>
      <c r="BL131" s="363">
        <f>(BL130-BG130)/ABS(BG130)</f>
        <v>0.1445255360521947</v>
      </c>
      <c r="BM131" s="522">
        <v>7.8E-2</v>
      </c>
      <c r="BN131" s="183">
        <f>BN130/BI130-1</f>
        <v>1.6790226063829738E-2</v>
      </c>
      <c r="BO131" s="456">
        <v>0.111</v>
      </c>
      <c r="BP131" s="456">
        <v>9.0999999999999998E-2</v>
      </c>
      <c r="BQ131" s="727">
        <v>0.06</v>
      </c>
      <c r="BR131" s="641">
        <f>(BR130-BM130)/ABS(BM130)</f>
        <v>7.0652176379167556E-2</v>
      </c>
      <c r="BS131" s="727"/>
      <c r="BT131" s="727"/>
      <c r="BU131" s="727"/>
      <c r="BV131" s="727"/>
      <c r="BW131" s="641"/>
      <c r="BX131" s="183"/>
      <c r="BY131" s="183"/>
      <c r="BZ131" s="183"/>
      <c r="CA131" s="183"/>
      <c r="CB131" s="641"/>
      <c r="CC131" s="183"/>
      <c r="CD131" s="183"/>
      <c r="CE131" s="183"/>
      <c r="CF131" s="183"/>
      <c r="CG131" s="641"/>
      <c r="CH131" s="183"/>
      <c r="CI131" s="183"/>
      <c r="CJ131" s="183"/>
      <c r="CK131" s="183"/>
      <c r="CL131" s="641"/>
      <c r="CM131" s="183"/>
      <c r="CN131" s="183"/>
      <c r="CO131" s="183"/>
      <c r="CP131" s="183"/>
      <c r="CQ131" s="641"/>
    </row>
    <row r="132" spans="5:95" ht="13.5" hidden="1" x14ac:dyDescent="0.25">
      <c r="E132" s="721" t="s">
        <v>574</v>
      </c>
      <c r="F132" s="542"/>
      <c r="G132" s="542"/>
      <c r="H132" s="542"/>
      <c r="I132" s="542"/>
      <c r="J132" s="542"/>
      <c r="O132" s="542"/>
      <c r="S132" s="191"/>
      <c r="T132" s="542"/>
      <c r="Y132" s="542"/>
      <c r="Z132" s="59"/>
      <c r="AA132" s="59"/>
      <c r="AB132" s="59"/>
      <c r="AC132" s="59"/>
      <c r="AD132" s="542"/>
      <c r="AE132" s="59"/>
      <c r="AF132" s="59"/>
      <c r="AG132" s="59"/>
      <c r="AH132" s="59"/>
      <c r="AI132" s="542"/>
      <c r="AJ132" s="59"/>
      <c r="AK132" s="59"/>
      <c r="AL132" s="59"/>
      <c r="AM132" s="59"/>
      <c r="AN132" s="542"/>
      <c r="AO132" s="59"/>
      <c r="AP132" s="59"/>
      <c r="AQ132" s="59"/>
      <c r="AR132" s="59"/>
      <c r="AS132" s="542"/>
      <c r="AT132" s="59"/>
      <c r="AU132" s="59"/>
      <c r="AV132" s="59"/>
      <c r="AW132" s="59"/>
      <c r="AX132" s="542"/>
      <c r="AY132" s="59"/>
      <c r="AZ132" s="59"/>
      <c r="BA132" s="59"/>
      <c r="BB132" s="59"/>
      <c r="BC132" s="524">
        <v>222</v>
      </c>
      <c r="BD132" s="439">
        <f>BI132/(1+BI133)</f>
        <v>48.763497039359109</v>
      </c>
      <c r="BE132" s="439">
        <f>BJ132/(1+BJ133)</f>
        <v>57.678019786493572</v>
      </c>
      <c r="BF132" s="439">
        <f>BK132/(1+BK133)</f>
        <v>52.102178160503662</v>
      </c>
      <c r="BG132" s="439">
        <f>BH132-BF132-BE132-BD132</f>
        <v>53.956305013643671</v>
      </c>
      <c r="BH132" s="566">
        <f>3.4/BM133</f>
        <v>212.5</v>
      </c>
      <c r="BI132" s="439">
        <f>-0.7/BN133</f>
        <v>46.666666666666664</v>
      </c>
      <c r="BJ132" s="439">
        <f>-5.9/BO133</f>
        <v>55.140186915887853</v>
      </c>
      <c r="BK132" s="439">
        <f>-7.2/BP133</f>
        <v>55.384615384615387</v>
      </c>
      <c r="BL132" s="439">
        <f>BM132-BK132-BJ132-BI132</f>
        <v>58.708531032830102</v>
      </c>
      <c r="BM132" s="566">
        <f>BH132*(1+BM133)</f>
        <v>215.9</v>
      </c>
      <c r="BN132" s="439">
        <f>BI132*(1+BN133)</f>
        <v>45.966666666666661</v>
      </c>
      <c r="BO132" s="439">
        <f>BJ132*(1+BO133)</f>
        <v>49.240186915887854</v>
      </c>
      <c r="BP132" s="439">
        <f>BK132*(1+BP133)</f>
        <v>48.184615384615384</v>
      </c>
      <c r="BQ132" s="439">
        <f>BL132*(1+BQ133)</f>
        <v>52.837677929547091</v>
      </c>
      <c r="BR132" s="566">
        <f>SUM(BN132:BQ132)</f>
        <v>196.22914689671697</v>
      </c>
      <c r="BS132" s="439"/>
      <c r="BT132" s="439"/>
      <c r="BU132" s="439"/>
      <c r="BV132" s="439"/>
      <c r="BW132" s="566"/>
      <c r="BX132" s="439"/>
      <c r="BY132" s="439"/>
      <c r="BZ132" s="439"/>
      <c r="CA132" s="439"/>
      <c r="CB132" s="566"/>
      <c r="CC132" s="183"/>
      <c r="CD132" s="183"/>
      <c r="CE132" s="183"/>
      <c r="CF132" s="183"/>
      <c r="CG132" s="641"/>
      <c r="CH132" s="183"/>
      <c r="CI132" s="183"/>
      <c r="CJ132" s="183"/>
      <c r="CK132" s="183"/>
      <c r="CL132" s="641"/>
      <c r="CM132" s="183"/>
      <c r="CN132" s="183"/>
      <c r="CO132" s="183"/>
      <c r="CP132" s="183"/>
      <c r="CQ132" s="641"/>
    </row>
    <row r="133" spans="5:95" ht="13.5" hidden="1" x14ac:dyDescent="0.25">
      <c r="E133" s="91" t="s">
        <v>2</v>
      </c>
      <c r="F133" s="542"/>
      <c r="G133" s="542"/>
      <c r="H133" s="542"/>
      <c r="I133" s="542"/>
      <c r="J133" s="542"/>
      <c r="O133" s="542"/>
      <c r="S133" s="191"/>
      <c r="T133" s="542"/>
      <c r="Y133" s="542"/>
      <c r="Z133" s="59"/>
      <c r="AA133" s="59"/>
      <c r="AB133" s="59"/>
      <c r="AC133" s="59"/>
      <c r="AD133" s="542"/>
      <c r="AE133" s="59"/>
      <c r="AF133" s="59"/>
      <c r="AG133" s="59"/>
      <c r="AH133" s="59"/>
      <c r="AI133" s="542"/>
      <c r="AJ133" s="59"/>
      <c r="AK133" s="59"/>
      <c r="AL133" s="59"/>
      <c r="AM133" s="59"/>
      <c r="AN133" s="542"/>
      <c r="AO133" s="59"/>
      <c r="AP133" s="59"/>
      <c r="AQ133" s="59"/>
      <c r="AR133" s="59"/>
      <c r="AS133" s="542"/>
      <c r="AT133" s="59"/>
      <c r="AU133" s="59"/>
      <c r="AV133" s="59"/>
      <c r="AW133" s="59"/>
      <c r="AX133" s="542"/>
      <c r="AY133" s="59"/>
      <c r="AZ133" s="59"/>
      <c r="BA133" s="59"/>
      <c r="BB133" s="59"/>
      <c r="BC133" s="542"/>
      <c r="BD133" s="526"/>
      <c r="BE133" s="526"/>
      <c r="BF133" s="526"/>
      <c r="BG133" s="59"/>
      <c r="BH133" s="641">
        <f>BH132/BC132-1</f>
        <v>-4.27927927927928E-2</v>
      </c>
      <c r="BI133" s="456">
        <v>-4.2999999999999997E-2</v>
      </c>
      <c r="BJ133" s="456">
        <v>-4.3999999999999997E-2</v>
      </c>
      <c r="BK133" s="456">
        <v>6.3E-2</v>
      </c>
      <c r="BL133" s="363">
        <f>(BL132-BG132)/ABS(BG132)</f>
        <v>8.8075453239148935E-2</v>
      </c>
      <c r="BM133" s="522">
        <v>1.6E-2</v>
      </c>
      <c r="BN133" s="456">
        <v>-1.4999999999999999E-2</v>
      </c>
      <c r="BO133" s="456">
        <v>-0.107</v>
      </c>
      <c r="BP133" s="456">
        <v>-0.13</v>
      </c>
      <c r="BQ133" s="727">
        <v>-0.1</v>
      </c>
      <c r="BR133" s="641">
        <f>(BR132-BM132)/ABS(BM132)</f>
        <v>-9.1110945360273435E-2</v>
      </c>
      <c r="BS133" s="727"/>
      <c r="BT133" s="727"/>
      <c r="BU133" s="727"/>
      <c r="BV133" s="727"/>
      <c r="BW133" s="641"/>
      <c r="BX133" s="183"/>
      <c r="BY133" s="183"/>
      <c r="BZ133" s="183"/>
      <c r="CA133" s="183"/>
      <c r="CB133" s="641"/>
      <c r="CC133" s="183"/>
      <c r="CD133" s="183"/>
      <c r="CE133" s="183"/>
      <c r="CF133" s="183"/>
      <c r="CG133" s="641"/>
      <c r="CH133" s="183"/>
      <c r="CI133" s="183"/>
      <c r="CJ133" s="183"/>
      <c r="CK133" s="183"/>
      <c r="CL133" s="641"/>
      <c r="CM133" s="183"/>
      <c r="CN133" s="183"/>
      <c r="CO133" s="183"/>
      <c r="CP133" s="183"/>
      <c r="CQ133" s="641"/>
    </row>
    <row r="134" spans="5:95" ht="13.5" hidden="1" x14ac:dyDescent="0.25">
      <c r="E134" s="721" t="s">
        <v>573</v>
      </c>
      <c r="F134" s="542"/>
      <c r="G134" s="542"/>
      <c r="H134" s="542"/>
      <c r="I134" s="542"/>
      <c r="J134" s="542"/>
      <c r="O134" s="542"/>
      <c r="S134" s="191"/>
      <c r="T134" s="542"/>
      <c r="Y134" s="542"/>
      <c r="Z134" s="59"/>
      <c r="AA134" s="59"/>
      <c r="AB134" s="59"/>
      <c r="AC134" s="59"/>
      <c r="AD134" s="542"/>
      <c r="AE134" s="59"/>
      <c r="AF134" s="59"/>
      <c r="AG134" s="59"/>
      <c r="AH134" s="59"/>
      <c r="AI134" s="542"/>
      <c r="AJ134" s="59"/>
      <c r="AK134" s="59"/>
      <c r="AL134" s="59"/>
      <c r="AM134" s="59"/>
      <c r="AN134" s="542"/>
      <c r="AO134" s="59"/>
      <c r="AP134" s="59"/>
      <c r="AQ134" s="59"/>
      <c r="AR134" s="59"/>
      <c r="AS134" s="542"/>
      <c r="AT134" s="59"/>
      <c r="AU134" s="59"/>
      <c r="AV134" s="59"/>
      <c r="AW134" s="59"/>
      <c r="AX134" s="542"/>
      <c r="AY134" s="59"/>
      <c r="AZ134" s="59"/>
      <c r="BA134" s="59"/>
      <c r="BB134" s="59"/>
      <c r="BC134" s="542">
        <f>(16.4/0.047)-BC132</f>
        <v>126.93617021276594</v>
      </c>
      <c r="BD134" s="528">
        <f>(BI134+BJ134)-4.4-BE134</f>
        <v>24.218633139909734</v>
      </c>
      <c r="BE134" s="439">
        <f>BJ134/(1+BJ135)</f>
        <v>28.207607994842036</v>
      </c>
      <c r="BF134" s="439">
        <f>BK134/(1+BK135)</f>
        <v>29.995895298538091</v>
      </c>
      <c r="BG134" s="439">
        <f>BH134-BF134-BE134-BD134</f>
        <v>39.636687096121911</v>
      </c>
      <c r="BH134" s="566">
        <f>-8.3/BM135</f>
        <v>122.05882352941177</v>
      </c>
      <c r="BI134" s="439">
        <f>-1.3/BN135</f>
        <v>27.659574468085108</v>
      </c>
      <c r="BJ134" s="439">
        <f>-0.7/BO135</f>
        <v>29.166666666666664</v>
      </c>
      <c r="BK134" s="439">
        <f>-1.9/BP135</f>
        <v>27.536231884057969</v>
      </c>
      <c r="BL134" s="439">
        <f>BM134-BK134-BJ134-BI134</f>
        <v>29.396350510602016</v>
      </c>
      <c r="BM134" s="566">
        <f>BH134*(1+BM135)</f>
        <v>113.75882352941176</v>
      </c>
      <c r="BN134" s="439">
        <f>BI134*(1+BN135)</f>
        <v>26.359574468085107</v>
      </c>
      <c r="BO134" s="439">
        <f>BJ134*(1+BO135)</f>
        <v>28.466666666666665</v>
      </c>
      <c r="BP134" s="439">
        <f>BK134*(1+BP135)</f>
        <v>25.63623188405797</v>
      </c>
      <c r="BQ134" s="439">
        <f>BL134*(1+BQ135)</f>
        <v>24.986897934011711</v>
      </c>
      <c r="BR134" s="566">
        <f>SUM(BN134:BQ134)</f>
        <v>105.44937095282144</v>
      </c>
      <c r="BS134" s="439"/>
      <c r="BT134" s="439"/>
      <c r="BU134" s="439"/>
      <c r="BV134" s="439"/>
      <c r="BW134" s="566"/>
      <c r="BX134" s="439"/>
      <c r="BY134" s="439"/>
      <c r="BZ134" s="439"/>
      <c r="CA134" s="439"/>
      <c r="CB134" s="566"/>
      <c r="CC134" s="183"/>
      <c r="CD134" s="183"/>
      <c r="CE134" s="183"/>
      <c r="CF134" s="183"/>
      <c r="CG134" s="641"/>
      <c r="CH134" s="183"/>
      <c r="CI134" s="183"/>
      <c r="CJ134" s="183"/>
      <c r="CK134" s="183"/>
      <c r="CL134" s="641"/>
      <c r="CM134" s="183"/>
      <c r="CN134" s="183"/>
      <c r="CO134" s="183"/>
      <c r="CP134" s="183"/>
      <c r="CQ134" s="641"/>
    </row>
    <row r="135" spans="5:95" ht="13.5" hidden="1" x14ac:dyDescent="0.25">
      <c r="E135" s="91" t="s">
        <v>2</v>
      </c>
      <c r="F135" s="542"/>
      <c r="G135" s="542"/>
      <c r="H135" s="542"/>
      <c r="I135" s="542"/>
      <c r="J135" s="542"/>
      <c r="O135" s="542"/>
      <c r="S135" s="191"/>
      <c r="T135" s="542"/>
      <c r="Y135" s="542"/>
      <c r="Z135" s="59"/>
      <c r="AA135" s="59"/>
      <c r="AB135" s="59"/>
      <c r="AC135" s="59"/>
      <c r="AD135" s="542"/>
      <c r="AE135" s="59"/>
      <c r="AF135" s="59"/>
      <c r="AG135" s="59"/>
      <c r="AH135" s="59"/>
      <c r="AI135" s="542"/>
      <c r="AJ135" s="59"/>
      <c r="AK135" s="59"/>
      <c r="AL135" s="59"/>
      <c r="AM135" s="59"/>
      <c r="AN135" s="542"/>
      <c r="AO135" s="59"/>
      <c r="AP135" s="59"/>
      <c r="AQ135" s="59"/>
      <c r="AR135" s="59"/>
      <c r="AS135" s="542"/>
      <c r="AT135" s="59"/>
      <c r="AU135" s="59"/>
      <c r="AV135" s="59"/>
      <c r="AW135" s="59"/>
      <c r="AX135" s="542"/>
      <c r="AY135" s="59"/>
      <c r="AZ135" s="59"/>
      <c r="BA135" s="59"/>
      <c r="BB135" s="59"/>
      <c r="BC135" s="542"/>
      <c r="BD135" s="183"/>
      <c r="BE135" s="183"/>
      <c r="BF135" s="183"/>
      <c r="BG135" s="59"/>
      <c r="BH135" s="641">
        <f>BH134/BC134-1</f>
        <v>-3.8423616177949427E-2</v>
      </c>
      <c r="BI135" s="363">
        <f>(BI134-BD134)/ABS(BD134)</f>
        <v>0.14207826297616558</v>
      </c>
      <c r="BJ135" s="456">
        <v>3.4000000000000002E-2</v>
      </c>
      <c r="BK135" s="456">
        <v>-8.2000000000000003E-2</v>
      </c>
      <c r="BL135" s="363">
        <f>(BL134-BG134)/ABS(BG134)</f>
        <v>-0.25835500733667066</v>
      </c>
      <c r="BM135" s="522">
        <v>-6.8000000000000005E-2</v>
      </c>
      <c r="BN135" s="456">
        <v>-4.7E-2</v>
      </c>
      <c r="BO135" s="456">
        <v>-2.4E-2</v>
      </c>
      <c r="BP135" s="456">
        <v>-6.9000000000000006E-2</v>
      </c>
      <c r="BQ135" s="727">
        <v>-0.15</v>
      </c>
      <c r="BR135" s="641">
        <f>(BR134-BM134)/ABS(BM134)</f>
        <v>-7.3044466519486734E-2</v>
      </c>
      <c r="BS135" s="727"/>
      <c r="BT135" s="727"/>
      <c r="BU135" s="727"/>
      <c r="BV135" s="727"/>
      <c r="BW135" s="641"/>
      <c r="BX135" s="183"/>
      <c r="BY135" s="183"/>
      <c r="BZ135" s="183"/>
      <c r="CA135" s="183"/>
      <c r="CB135" s="641"/>
      <c r="CC135" s="183"/>
      <c r="CD135" s="183"/>
      <c r="CE135" s="183"/>
      <c r="CF135" s="183"/>
      <c r="CG135" s="641"/>
      <c r="CH135" s="183"/>
      <c r="CI135" s="183"/>
      <c r="CJ135" s="183"/>
      <c r="CK135" s="183"/>
      <c r="CL135" s="641"/>
      <c r="CM135" s="183"/>
      <c r="CN135" s="183"/>
      <c r="CO135" s="183"/>
      <c r="CP135" s="183"/>
      <c r="CQ135" s="641"/>
    </row>
    <row r="136" spans="5:95" ht="13.5" hidden="1" x14ac:dyDescent="0.25">
      <c r="E136" s="721" t="s">
        <v>576</v>
      </c>
      <c r="F136" s="542"/>
      <c r="G136" s="542"/>
      <c r="H136" s="542"/>
      <c r="I136" s="542"/>
      <c r="J136" s="542"/>
      <c r="O136" s="542"/>
      <c r="S136" s="191"/>
      <c r="T136" s="542"/>
      <c r="Y136" s="542"/>
      <c r="Z136" s="59"/>
      <c r="AA136" s="59"/>
      <c r="AB136" s="59"/>
      <c r="AC136" s="59"/>
      <c r="AD136" s="542"/>
      <c r="AE136" s="59"/>
      <c r="AF136" s="59"/>
      <c r="AG136" s="59"/>
      <c r="AH136" s="59"/>
      <c r="AI136" s="542"/>
      <c r="AJ136" s="59"/>
      <c r="AK136" s="59"/>
      <c r="AL136" s="59"/>
      <c r="AM136" s="59"/>
      <c r="AN136" s="542"/>
      <c r="AO136" s="59"/>
      <c r="AP136" s="59"/>
      <c r="AQ136" s="59"/>
      <c r="AR136" s="59"/>
      <c r="AS136" s="542"/>
      <c r="AT136" s="59"/>
      <c r="AU136" s="59"/>
      <c r="AV136" s="59"/>
      <c r="AW136" s="59"/>
      <c r="AX136" s="542"/>
      <c r="AY136" s="59"/>
      <c r="AZ136" s="59"/>
      <c r="BA136" s="59"/>
      <c r="BB136" s="59"/>
      <c r="BC136" s="542">
        <f>-6.7/BH137</f>
        <v>82.716049382716051</v>
      </c>
      <c r="BD136" s="439">
        <f>BI136/(1+BI137)</f>
        <v>18.171926006528835</v>
      </c>
      <c r="BE136" s="439">
        <f>BJ136/(1+BJ137)</f>
        <v>19.159757541977285</v>
      </c>
      <c r="BF136" s="439">
        <f>BK136/(1+BK137)</f>
        <v>18.58867684027901</v>
      </c>
      <c r="BG136" s="439">
        <f>BH136-BF136-BE136-BD136</f>
        <v>19.837215368790623</v>
      </c>
      <c r="BH136" s="566">
        <f>-5/BM137</f>
        <v>75.757575757575751</v>
      </c>
      <c r="BI136" s="528">
        <v>16.7</v>
      </c>
      <c r="BJ136" s="439">
        <f>1.1/BO137</f>
        <v>17.741935483870968</v>
      </c>
      <c r="BK136" s="439">
        <f>2.1/BP137</f>
        <v>17.213114754098363</v>
      </c>
      <c r="BL136" s="439">
        <f>BM136-BK136-BJ136-BI136</f>
        <v>19.10252551960642</v>
      </c>
      <c r="BM136" s="566">
        <f>BH136*(1+BM137)</f>
        <v>70.757575757575751</v>
      </c>
      <c r="BN136" s="439">
        <f>BI136*(1+BN137)</f>
        <v>16.750099999999996</v>
      </c>
      <c r="BO136" s="439">
        <f>BJ136*(1+BO137)</f>
        <v>18.841935483870969</v>
      </c>
      <c r="BP136" s="439">
        <f>BK136*(1+BP137)</f>
        <v>19.313114754098361</v>
      </c>
      <c r="BQ136" s="439">
        <f>BL136*(1+BQ137)</f>
        <v>19.866626540390676</v>
      </c>
      <c r="BR136" s="566">
        <f>SUM(BN136:BQ136)</f>
        <v>74.771776778359992</v>
      </c>
      <c r="BS136" s="439"/>
      <c r="BT136" s="439"/>
      <c r="BU136" s="439"/>
      <c r="BV136" s="439"/>
      <c r="BW136" s="566"/>
      <c r="BX136" s="439"/>
      <c r="BY136" s="439"/>
      <c r="BZ136" s="439"/>
      <c r="CA136" s="439"/>
      <c r="CB136" s="566"/>
      <c r="CC136" s="183"/>
      <c r="CD136" s="183"/>
      <c r="CE136" s="183"/>
      <c r="CF136" s="183"/>
      <c r="CG136" s="641"/>
      <c r="CH136" s="183"/>
      <c r="CI136" s="183"/>
      <c r="CJ136" s="183"/>
      <c r="CK136" s="183"/>
      <c r="CL136" s="641"/>
      <c r="CM136" s="183"/>
      <c r="CN136" s="183"/>
      <c r="CO136" s="183"/>
      <c r="CP136" s="183"/>
      <c r="CQ136" s="641"/>
    </row>
    <row r="137" spans="5:95" ht="13.5" hidden="1" x14ac:dyDescent="0.3">
      <c r="E137" s="91" t="s">
        <v>2</v>
      </c>
      <c r="F137" s="542"/>
      <c r="G137" s="542"/>
      <c r="H137" s="542"/>
      <c r="I137" s="542"/>
      <c r="J137" s="542"/>
      <c r="O137" s="542"/>
      <c r="S137" s="191"/>
      <c r="T137" s="542"/>
      <c r="Y137" s="542"/>
      <c r="Z137" s="59"/>
      <c r="AA137" s="59"/>
      <c r="AB137" s="59"/>
      <c r="AC137" s="59"/>
      <c r="AD137" s="542"/>
      <c r="AE137" s="59"/>
      <c r="AF137" s="59"/>
      <c r="AG137" s="59"/>
      <c r="AH137" s="59"/>
      <c r="AI137" s="542"/>
      <c r="AJ137" s="59"/>
      <c r="AK137" s="59"/>
      <c r="AL137" s="59"/>
      <c r="AM137" s="59"/>
      <c r="AN137" s="542"/>
      <c r="AO137" s="59"/>
      <c r="AP137" s="59"/>
      <c r="AQ137" s="59"/>
      <c r="AR137" s="59"/>
      <c r="AS137" s="542"/>
      <c r="AT137" s="59"/>
      <c r="AU137" s="59"/>
      <c r="AV137" s="59"/>
      <c r="AW137" s="59"/>
      <c r="AX137" s="542"/>
      <c r="AY137" s="59"/>
      <c r="AZ137" s="59"/>
      <c r="BA137" s="59"/>
      <c r="BB137" s="59"/>
      <c r="BC137" s="542"/>
      <c r="BD137" s="526"/>
      <c r="BE137" s="526"/>
      <c r="BF137" s="526"/>
      <c r="BG137" s="59"/>
      <c r="BH137" s="522">
        <v>-8.1000000000000003E-2</v>
      </c>
      <c r="BI137" s="456">
        <v>-8.1000000000000003E-2</v>
      </c>
      <c r="BJ137" s="456">
        <v>-7.3999999999999996E-2</v>
      </c>
      <c r="BK137" s="456">
        <v>-7.3999999999999996E-2</v>
      </c>
      <c r="BL137" s="363">
        <f>(BL136-BG136)/ABS(BG136)</f>
        <v>-3.7035936522626649E-2</v>
      </c>
      <c r="BM137" s="522">
        <v>-6.6000000000000003E-2</v>
      </c>
      <c r="BN137" s="515">
        <v>3.0000000000000001E-3</v>
      </c>
      <c r="BO137" s="456">
        <v>6.2E-2</v>
      </c>
      <c r="BP137" s="456">
        <v>0.122</v>
      </c>
      <c r="BQ137" s="727">
        <v>0.04</v>
      </c>
      <c r="BR137" s="641">
        <f>(BR136-BM136)/ABS(BM136)</f>
        <v>5.6731748901875802E-2</v>
      </c>
      <c r="BS137" s="727"/>
      <c r="BT137" s="727"/>
      <c r="BU137" s="727"/>
      <c r="BV137" s="727"/>
      <c r="BW137" s="641"/>
      <c r="BX137" s="183"/>
      <c r="BY137" s="183"/>
      <c r="BZ137" s="183"/>
      <c r="CA137" s="183"/>
      <c r="CB137" s="641"/>
      <c r="CC137" s="183"/>
      <c r="CD137" s="183"/>
      <c r="CE137" s="183"/>
      <c r="CF137" s="183"/>
      <c r="CG137" s="641"/>
      <c r="CH137" s="183"/>
      <c r="CI137" s="183"/>
      <c r="CJ137" s="183"/>
      <c r="CK137" s="183"/>
      <c r="CL137" s="641"/>
      <c r="CM137" s="183"/>
      <c r="CN137" s="183"/>
      <c r="CO137" s="183"/>
      <c r="CP137" s="183"/>
      <c r="CQ137" s="641"/>
    </row>
    <row r="138" spans="5:95" ht="13.5" hidden="1" x14ac:dyDescent="0.25">
      <c r="E138" s="721" t="s">
        <v>114</v>
      </c>
      <c r="F138" s="542"/>
      <c r="G138" s="542"/>
      <c r="H138" s="542"/>
      <c r="I138" s="542"/>
      <c r="J138" s="542"/>
      <c r="O138" s="542"/>
      <c r="S138" s="191"/>
      <c r="T138" s="542"/>
      <c r="Y138" s="542"/>
      <c r="Z138" s="59"/>
      <c r="AA138" s="59"/>
      <c r="AB138" s="59"/>
      <c r="AC138" s="59"/>
      <c r="AD138" s="542"/>
      <c r="AE138" s="59"/>
      <c r="AF138" s="59"/>
      <c r="AG138" s="59"/>
      <c r="AH138" s="59"/>
      <c r="AI138" s="542"/>
      <c r="AJ138" s="59"/>
      <c r="AK138" s="59"/>
      <c r="AL138" s="59"/>
      <c r="AM138" s="59"/>
      <c r="AN138" s="542"/>
      <c r="AO138" s="59"/>
      <c r="AP138" s="59"/>
      <c r="AQ138" s="59"/>
      <c r="AR138" s="59"/>
      <c r="AS138" s="542"/>
      <c r="AT138" s="59"/>
      <c r="AU138" s="59"/>
      <c r="AV138" s="59"/>
      <c r="AW138" s="59"/>
      <c r="AX138" s="542"/>
      <c r="AY138" s="59"/>
      <c r="AZ138" s="59"/>
      <c r="BA138" s="59"/>
      <c r="BB138" s="59"/>
      <c r="BC138" s="542">
        <f>BC147-BC136-BC134-BC132-BC130</f>
        <v>22.974600917338478</v>
      </c>
      <c r="BD138" s="439">
        <f>BD147-BD136-BD134-BD132-BD130</f>
        <v>16.244388550986059</v>
      </c>
      <c r="BE138" s="439">
        <f>BE147-BE136-BE134-BE132-BE130</f>
        <v>11.270939170672634</v>
      </c>
      <c r="BF138" s="439">
        <f>BF147-BF136-BF134-BF132-BF130</f>
        <v>10.900014947810504</v>
      </c>
      <c r="BG138" s="439">
        <f>BH138-BF138-BE138-BD138</f>
        <v>10.521078556363847</v>
      </c>
      <c r="BH138" s="566">
        <f>BH147-BH136-BH134-BH132-BH130</f>
        <v>48.936421225833044</v>
      </c>
      <c r="BI138" s="439">
        <f>BI147-BI136-BI134-BI132-BI130</f>
        <v>13.384915483404882</v>
      </c>
      <c r="BJ138" s="439">
        <f>BJ147-BJ136-BJ134-BJ132-BJ130</f>
        <v>11.515823546187136</v>
      </c>
      <c r="BK138" s="439">
        <f>BK147-BK136-BK134-BK132-BK130</f>
        <v>12.022543471733769</v>
      </c>
      <c r="BL138" s="439">
        <f>BM138-BK138-BJ138-BI138</f>
        <v>12.6261387245072</v>
      </c>
      <c r="BM138" s="566">
        <f>BM147-BM136-BM134-BM132-BM130</f>
        <v>49.549421225832987</v>
      </c>
      <c r="BN138" s="439">
        <f>BN147-BN136-BN134-BN132-BN130</f>
        <v>12.824815483404862</v>
      </c>
      <c r="BO138" s="439">
        <f>BO147-BO136-BO134-BO132-BO130</f>
        <v>10.611823546187125</v>
      </c>
      <c r="BP138" s="439">
        <f>BP147-BP136-BP134-BP132-BP130</f>
        <v>12.006543471733792</v>
      </c>
      <c r="BQ138" s="439">
        <f>BQ147-BQ136-BQ134-BQ132-BQ130</f>
        <v>12.735596130848933</v>
      </c>
      <c r="BR138" s="566">
        <f>SUM(BN138:BQ138)</f>
        <v>48.178778632174712</v>
      </c>
      <c r="BS138" s="439"/>
      <c r="BT138" s="439"/>
      <c r="BU138" s="439"/>
      <c r="BV138" s="439"/>
      <c r="BW138" s="566"/>
      <c r="BX138" s="439"/>
      <c r="BY138" s="439"/>
      <c r="BZ138" s="439"/>
      <c r="CA138" s="439"/>
      <c r="CB138" s="566"/>
      <c r="CC138" s="183"/>
      <c r="CD138" s="183"/>
      <c r="CE138" s="183"/>
      <c r="CF138" s="183"/>
      <c r="CG138" s="641"/>
      <c r="CH138" s="183"/>
      <c r="CI138" s="183"/>
      <c r="CJ138" s="183"/>
      <c r="CK138" s="183"/>
      <c r="CL138" s="641"/>
      <c r="CM138" s="183"/>
      <c r="CN138" s="183"/>
      <c r="CO138" s="183"/>
      <c r="CP138" s="183"/>
      <c r="CQ138" s="641"/>
    </row>
    <row r="139" spans="5:95" ht="13.5" hidden="1" x14ac:dyDescent="0.25">
      <c r="E139" s="91" t="s">
        <v>2</v>
      </c>
      <c r="F139" s="542"/>
      <c r="G139" s="542"/>
      <c r="H139" s="542"/>
      <c r="I139" s="542"/>
      <c r="J139" s="542"/>
      <c r="O139" s="542"/>
      <c r="S139" s="191"/>
      <c r="T139" s="542"/>
      <c r="Y139" s="542"/>
      <c r="Z139" s="59"/>
      <c r="AA139" s="59"/>
      <c r="AB139" s="59"/>
      <c r="AC139" s="59"/>
      <c r="AD139" s="542"/>
      <c r="AE139" s="59"/>
      <c r="AF139" s="59"/>
      <c r="AG139" s="59"/>
      <c r="AH139" s="59"/>
      <c r="AI139" s="542"/>
      <c r="AJ139" s="59"/>
      <c r="AK139" s="59"/>
      <c r="AL139" s="59"/>
      <c r="AM139" s="59"/>
      <c r="AN139" s="542"/>
      <c r="AO139" s="59"/>
      <c r="AP139" s="59"/>
      <c r="AQ139" s="59"/>
      <c r="AR139" s="59"/>
      <c r="AS139" s="542"/>
      <c r="AT139" s="59"/>
      <c r="AU139" s="59"/>
      <c r="AV139" s="59"/>
      <c r="AW139" s="59"/>
      <c r="AX139" s="542"/>
      <c r="AY139" s="59"/>
      <c r="AZ139" s="59"/>
      <c r="BA139" s="59"/>
      <c r="BB139" s="59"/>
      <c r="BC139" s="641"/>
      <c r="BD139" s="59"/>
      <c r="BE139" s="59"/>
      <c r="BF139" s="59"/>
      <c r="BG139" s="59"/>
      <c r="BH139" s="641">
        <f t="shared" ref="BH139:BR139" si="26">(BH138-BC138)/ABS(BC138)</f>
        <v>1.1300226890514427</v>
      </c>
      <c r="BI139" s="363">
        <f t="shared" si="26"/>
        <v>-0.17602835949202922</v>
      </c>
      <c r="BJ139" s="363">
        <f t="shared" si="26"/>
        <v>2.1727060345751798E-2</v>
      </c>
      <c r="BK139" s="363">
        <f t="shared" si="26"/>
        <v>0.10298412702165588</v>
      </c>
      <c r="BL139" s="363">
        <f t="shared" si="26"/>
        <v>0.2000802633366969</v>
      </c>
      <c r="BM139" s="641">
        <f t="shared" si="26"/>
        <v>1.252645748595008E-2</v>
      </c>
      <c r="BN139" s="363">
        <f t="shared" si="26"/>
        <v>-4.1845613496361088E-2</v>
      </c>
      <c r="BO139" s="363">
        <f t="shared" si="26"/>
        <v>-7.8500681811794787E-2</v>
      </c>
      <c r="BP139" s="363">
        <f t="shared" si="26"/>
        <v>-1.3308331999459647E-3</v>
      </c>
      <c r="BQ139" s="363">
        <f t="shared" si="26"/>
        <v>8.6691116524228399E-3</v>
      </c>
      <c r="BR139" s="641">
        <f t="shared" si="26"/>
        <v>-2.7662131257018181E-2</v>
      </c>
      <c r="BS139" s="363"/>
      <c r="BT139" s="363"/>
      <c r="BU139" s="363"/>
      <c r="BV139" s="363"/>
      <c r="BW139" s="641"/>
      <c r="BX139" s="363"/>
      <c r="BY139" s="363"/>
      <c r="BZ139" s="363"/>
      <c r="CA139" s="363"/>
      <c r="CB139" s="641"/>
      <c r="CC139" s="183"/>
      <c r="CD139" s="183"/>
      <c r="CE139" s="183"/>
      <c r="CF139" s="183"/>
      <c r="CG139" s="641"/>
      <c r="CH139" s="183"/>
      <c r="CI139" s="183"/>
      <c r="CJ139" s="183"/>
      <c r="CK139" s="183"/>
      <c r="CL139" s="641"/>
      <c r="CM139" s="183"/>
      <c r="CN139" s="183"/>
      <c r="CO139" s="183"/>
      <c r="CP139" s="183"/>
      <c r="CQ139" s="641"/>
    </row>
    <row r="140" spans="5:95" ht="13.5" hidden="1" x14ac:dyDescent="0.25">
      <c r="E140" s="298" t="s">
        <v>572</v>
      </c>
      <c r="F140" s="566"/>
      <c r="G140" s="566"/>
      <c r="H140" s="566"/>
      <c r="I140" s="566"/>
      <c r="J140" s="566"/>
      <c r="K140" s="185"/>
      <c r="L140" s="185"/>
      <c r="M140" s="185"/>
      <c r="N140" s="185"/>
      <c r="O140" s="566"/>
      <c r="P140" s="185"/>
      <c r="Q140" s="185"/>
      <c r="R140" s="185"/>
      <c r="S140" s="185"/>
      <c r="T140" s="566"/>
      <c r="U140" s="185"/>
      <c r="V140" s="185"/>
      <c r="W140" s="185"/>
      <c r="X140" s="185"/>
      <c r="Y140" s="566"/>
      <c r="Z140" s="443"/>
      <c r="AA140" s="443"/>
      <c r="AB140" s="443"/>
      <c r="AC140" s="443"/>
      <c r="AD140" s="566"/>
      <c r="AE140" s="443"/>
      <c r="AF140" s="443"/>
      <c r="AG140" s="443"/>
      <c r="AH140" s="443"/>
      <c r="AI140" s="513"/>
      <c r="AJ140" s="139"/>
      <c r="AK140" s="139"/>
      <c r="AL140" s="139"/>
      <c r="AM140" s="139"/>
      <c r="AN140" s="513"/>
      <c r="AO140" s="139"/>
      <c r="AP140" s="139"/>
      <c r="AQ140" s="139"/>
      <c r="AR140" s="185"/>
      <c r="AS140" s="566"/>
      <c r="AT140" s="298"/>
      <c r="AU140" s="298"/>
      <c r="AV140" s="298"/>
      <c r="AW140" s="298"/>
      <c r="AX140" s="576"/>
      <c r="AY140" s="298"/>
      <c r="AZ140" s="298"/>
      <c r="BA140" s="298"/>
      <c r="BB140" s="298"/>
      <c r="BC140" s="576">
        <f t="shared" ref="BC140:BQ140" si="27">SUM(BC136,BC134,BC132,BC130,BC138)</f>
        <v>771.71399999999994</v>
      </c>
      <c r="BD140" s="203">
        <f t="shared" si="27"/>
        <v>192.48200000000003</v>
      </c>
      <c r="BE140" s="203">
        <f t="shared" si="27"/>
        <v>198.60200000000003</v>
      </c>
      <c r="BF140" s="203">
        <f t="shared" si="27"/>
        <v>195.14599999999996</v>
      </c>
      <c r="BG140" s="203">
        <f t="shared" si="27"/>
        <v>202.51000000000013</v>
      </c>
      <c r="BH140" s="576">
        <f t="shared" si="27"/>
        <v>788.74</v>
      </c>
      <c r="BI140" s="203">
        <f t="shared" si="27"/>
        <v>187.79300000000001</v>
      </c>
      <c r="BJ140" s="203">
        <f t="shared" si="27"/>
        <v>200.952</v>
      </c>
      <c r="BK140" s="203">
        <f t="shared" si="27"/>
        <v>206.66200000000001</v>
      </c>
      <c r="BL140" s="203">
        <f t="shared" si="27"/>
        <v>209.74600000000007</v>
      </c>
      <c r="BM140" s="576">
        <f t="shared" si="27"/>
        <v>805.15300000000002</v>
      </c>
      <c r="BN140" s="203">
        <f t="shared" si="27"/>
        <v>186.68299999999999</v>
      </c>
      <c r="BO140" s="203">
        <f t="shared" si="27"/>
        <v>204.24799999999999</v>
      </c>
      <c r="BP140" s="203">
        <f t="shared" si="27"/>
        <v>208.24599999999998</v>
      </c>
      <c r="BQ140" s="203">
        <f t="shared" si="27"/>
        <v>205.73400000000001</v>
      </c>
      <c r="BR140" s="576">
        <f>SUM(BN140:BQ140)</f>
        <v>804.91099999999994</v>
      </c>
      <c r="BS140" s="203"/>
      <c r="BT140" s="203"/>
      <c r="BU140" s="203"/>
      <c r="BV140" s="203"/>
      <c r="BW140" s="576"/>
      <c r="BX140" s="203"/>
      <c r="BY140" s="203"/>
      <c r="BZ140" s="203"/>
      <c r="CA140" s="203"/>
      <c r="CB140" s="576"/>
      <c r="CC140" s="183"/>
      <c r="CD140" s="183"/>
      <c r="CE140" s="183"/>
      <c r="CF140" s="183"/>
      <c r="CG140" s="641"/>
      <c r="CH140" s="183"/>
      <c r="CI140" s="183"/>
      <c r="CJ140" s="183"/>
      <c r="CK140" s="183"/>
      <c r="CL140" s="641"/>
      <c r="CM140" s="183"/>
      <c r="CN140" s="183"/>
      <c r="CO140" s="183"/>
      <c r="CP140" s="183"/>
      <c r="CQ140" s="641"/>
    </row>
    <row r="141" spans="5:95" ht="13.5" hidden="1" x14ac:dyDescent="0.25">
      <c r="E141" s="356" t="s">
        <v>2</v>
      </c>
      <c r="F141" s="569"/>
      <c r="G141" s="569"/>
      <c r="H141" s="569"/>
      <c r="I141" s="569"/>
      <c r="J141" s="569"/>
      <c r="K141" s="448"/>
      <c r="L141" s="448"/>
      <c r="M141" s="448"/>
      <c r="N141" s="448"/>
      <c r="O141" s="569"/>
      <c r="P141" s="448"/>
      <c r="Q141" s="448"/>
      <c r="R141" s="448"/>
      <c r="S141" s="448"/>
      <c r="T141" s="569"/>
      <c r="U141" s="448"/>
      <c r="V141" s="448"/>
      <c r="W141" s="448"/>
      <c r="X141" s="448"/>
      <c r="Y141" s="569"/>
      <c r="Z141" s="455"/>
      <c r="AA141" s="455"/>
      <c r="AB141" s="455"/>
      <c r="AC141" s="455"/>
      <c r="AD141" s="569"/>
      <c r="AE141" s="455"/>
      <c r="AF141" s="455"/>
      <c r="AG141" s="455"/>
      <c r="AH141" s="455"/>
      <c r="AI141" s="570"/>
      <c r="AJ141" s="127"/>
      <c r="AK141" s="127"/>
      <c r="AL141" s="127"/>
      <c r="AM141" s="127"/>
      <c r="AN141" s="570"/>
      <c r="AO141" s="127"/>
      <c r="AP141" s="127"/>
      <c r="AQ141" s="127"/>
      <c r="AR141" s="448"/>
      <c r="AS141" s="569"/>
      <c r="AT141" s="449"/>
      <c r="AU141" s="449"/>
      <c r="AV141" s="449"/>
      <c r="AW141" s="449"/>
      <c r="AX141" s="569"/>
      <c r="AY141" s="32"/>
      <c r="AZ141" s="32"/>
      <c r="BA141" s="32"/>
      <c r="BB141" s="32"/>
      <c r="BC141" s="641"/>
      <c r="BD141" s="32"/>
      <c r="BE141" s="32"/>
      <c r="BF141" s="32"/>
      <c r="BG141" s="32"/>
      <c r="BH141" s="641">
        <f>(BH140-BC140)/ABS(BC140)</f>
        <v>2.2062577587033626E-2</v>
      </c>
      <c r="BI141" s="32"/>
      <c r="BJ141" s="32"/>
      <c r="BK141" s="32"/>
      <c r="BL141" s="32"/>
      <c r="BM141" s="641">
        <f t="shared" ref="BM141:BR141" si="28">(BM140-BH140)/ABS(BH140)</f>
        <v>2.0809138626163261E-2</v>
      </c>
      <c r="BN141" s="32">
        <f t="shared" si="28"/>
        <v>-5.9107634469869139E-3</v>
      </c>
      <c r="BO141" s="32">
        <f t="shared" si="28"/>
        <v>1.6401926828297265E-2</v>
      </c>
      <c r="BP141" s="32">
        <f t="shared" si="28"/>
        <v>7.6646892026592927E-3</v>
      </c>
      <c r="BQ141" s="32">
        <f t="shared" si="28"/>
        <v>-1.9127897552277784E-2</v>
      </c>
      <c r="BR141" s="641">
        <f t="shared" si="28"/>
        <v>-3.0056399218542995E-4</v>
      </c>
      <c r="BS141" s="32"/>
      <c r="BT141" s="32"/>
      <c r="BU141" s="32"/>
      <c r="BV141" s="32"/>
      <c r="BW141" s="641"/>
      <c r="BX141" s="32"/>
      <c r="BY141" s="32"/>
      <c r="BZ141" s="32"/>
      <c r="CA141" s="32"/>
      <c r="CB141" s="641"/>
      <c r="CC141" s="32"/>
      <c r="CD141" s="32"/>
      <c r="CE141" s="32"/>
      <c r="CF141" s="32"/>
      <c r="CG141" s="641"/>
      <c r="CH141" s="32"/>
      <c r="CI141" s="32"/>
      <c r="CJ141" s="32"/>
      <c r="CK141" s="32"/>
      <c r="CL141" s="641"/>
      <c r="CM141" s="32"/>
      <c r="CN141" s="32"/>
      <c r="CO141" s="32"/>
      <c r="CP141" s="32"/>
      <c r="CQ141" s="641"/>
    </row>
    <row r="142" spans="5:95" ht="13.5" hidden="1" x14ac:dyDescent="0.25">
      <c r="E142" s="91"/>
      <c r="F142" s="542"/>
      <c r="G142" s="542"/>
      <c r="H142" s="542"/>
      <c r="I142" s="542"/>
      <c r="J142" s="542"/>
      <c r="O142" s="542"/>
      <c r="S142" s="191"/>
      <c r="T142" s="542"/>
      <c r="Y142" s="542"/>
      <c r="Z142" s="59"/>
      <c r="AA142" s="59"/>
      <c r="AB142" s="59"/>
      <c r="AC142" s="59"/>
      <c r="AD142" s="542"/>
      <c r="AE142" s="59"/>
      <c r="AF142" s="59"/>
      <c r="AG142" s="59"/>
      <c r="AH142" s="59"/>
      <c r="AI142" s="542"/>
      <c r="AJ142" s="59"/>
      <c r="AK142" s="59"/>
      <c r="AL142" s="59"/>
      <c r="AM142" s="59"/>
      <c r="AN142" s="542"/>
      <c r="AO142" s="59"/>
      <c r="AP142" s="59"/>
      <c r="AQ142" s="59"/>
      <c r="AR142" s="59"/>
      <c r="AS142" s="542"/>
      <c r="AT142" s="59"/>
      <c r="AU142" s="59"/>
      <c r="AV142" s="59"/>
      <c r="AW142" s="59"/>
      <c r="AX142" s="542"/>
      <c r="AY142" s="59"/>
      <c r="AZ142" s="59"/>
      <c r="BA142" s="59"/>
      <c r="BB142" s="59"/>
      <c r="BC142" s="542"/>
      <c r="BD142" s="59"/>
      <c r="BE142" s="59"/>
      <c r="BF142" s="59"/>
      <c r="BG142" s="59"/>
      <c r="BH142" s="542"/>
      <c r="BI142" s="183"/>
      <c r="BJ142" s="183"/>
      <c r="BK142" s="183"/>
      <c r="BL142" s="183"/>
      <c r="BM142" s="542"/>
      <c r="BN142" s="183"/>
      <c r="BO142" s="183"/>
      <c r="BP142" s="183"/>
      <c r="BQ142" s="183"/>
      <c r="BR142" s="641"/>
      <c r="BS142" s="183"/>
      <c r="BT142" s="183"/>
      <c r="BU142" s="183"/>
      <c r="BV142" s="183"/>
      <c r="BW142" s="641"/>
      <c r="BX142" s="183"/>
      <c r="BY142" s="183"/>
      <c r="BZ142" s="183"/>
      <c r="CA142" s="183"/>
      <c r="CB142" s="641"/>
      <c r="CC142" s="183"/>
      <c r="CD142" s="183"/>
      <c r="CE142" s="183"/>
      <c r="CF142" s="183"/>
      <c r="CG142" s="641"/>
      <c r="CH142" s="183"/>
      <c r="CI142" s="183"/>
      <c r="CJ142" s="183"/>
      <c r="CK142" s="183"/>
      <c r="CL142" s="641"/>
      <c r="CM142" s="183"/>
      <c r="CN142" s="183"/>
      <c r="CO142" s="183"/>
      <c r="CP142" s="183"/>
      <c r="CQ142" s="641"/>
    </row>
    <row r="143" spans="5:95" hidden="1" x14ac:dyDescent="0.25">
      <c r="E143" s="54" t="s">
        <v>634</v>
      </c>
      <c r="F143" s="566"/>
      <c r="G143" s="566"/>
      <c r="H143" s="566"/>
      <c r="I143" s="566"/>
      <c r="J143" s="566"/>
      <c r="K143" s="122"/>
      <c r="L143" s="122"/>
      <c r="M143" s="122"/>
      <c r="N143" s="122"/>
      <c r="O143" s="566"/>
      <c r="P143" s="122"/>
      <c r="Q143" s="122"/>
      <c r="R143" s="122"/>
      <c r="S143" s="122"/>
      <c r="T143" s="566"/>
      <c r="U143" s="122"/>
      <c r="V143" s="122"/>
      <c r="W143" s="122"/>
      <c r="X143" s="122"/>
      <c r="Y143" s="566"/>
      <c r="Z143" s="128"/>
      <c r="AA143" s="128"/>
      <c r="AB143" s="128"/>
      <c r="AC143" s="128"/>
      <c r="AD143" s="566"/>
      <c r="AE143" s="128"/>
      <c r="AF143" s="128"/>
      <c r="AG143" s="128"/>
      <c r="AH143" s="128"/>
      <c r="AI143" s="513"/>
      <c r="AJ143" s="721"/>
      <c r="AK143" s="721"/>
      <c r="AL143" s="721"/>
      <c r="AM143" s="721"/>
      <c r="AN143" s="513"/>
      <c r="AO143" s="721"/>
      <c r="AP143" s="721"/>
      <c r="AQ143" s="721"/>
      <c r="AR143" s="726"/>
      <c r="AS143" s="566"/>
      <c r="AT143" s="439"/>
      <c r="AU143" s="439"/>
      <c r="AV143" s="417">
        <v>152.1</v>
      </c>
      <c r="AW143" s="417">
        <v>157</v>
      </c>
      <c r="AX143" s="566"/>
      <c r="AY143" s="417">
        <v>155.80000000000001</v>
      </c>
      <c r="AZ143" s="417">
        <v>162.30000000000001</v>
      </c>
      <c r="BA143" s="417">
        <v>154.5</v>
      </c>
      <c r="BB143" s="417">
        <v>168.8</v>
      </c>
      <c r="BC143" s="566">
        <f>SUM(AY143:BB143)</f>
        <v>641.40000000000009</v>
      </c>
      <c r="BD143" s="417">
        <v>166.5</v>
      </c>
      <c r="BE143" s="721">
        <v>169.8</v>
      </c>
      <c r="BF143" s="417">
        <v>165.35</v>
      </c>
      <c r="BG143" s="726">
        <v>168.3</v>
      </c>
      <c r="BH143" s="566">
        <f>SUM(BD143:BG143)</f>
        <v>669.95</v>
      </c>
      <c r="BI143" s="417">
        <v>163.4</v>
      </c>
      <c r="BJ143" s="417">
        <v>172.74</v>
      </c>
      <c r="BK143" s="417">
        <v>175.05</v>
      </c>
      <c r="BL143" s="417">
        <v>181.3</v>
      </c>
      <c r="BM143" s="566">
        <f>SUM(BI143:BL143)</f>
        <v>692.49</v>
      </c>
      <c r="BN143" s="417">
        <v>163</v>
      </c>
      <c r="BO143" s="417">
        <v>177.4</v>
      </c>
      <c r="BP143" s="417">
        <v>183.6</v>
      </c>
      <c r="BQ143" s="417">
        <v>185.3</v>
      </c>
      <c r="BR143" s="566">
        <f>SUM(BN143:BQ143)</f>
        <v>709.3</v>
      </c>
      <c r="BS143" s="417"/>
      <c r="BT143" s="417"/>
      <c r="BU143" s="439"/>
      <c r="BV143" s="439"/>
      <c r="BW143" s="566"/>
      <c r="BX143" s="439"/>
      <c r="BY143" s="439"/>
      <c r="BZ143" s="439"/>
      <c r="CA143" s="439"/>
      <c r="CB143" s="566"/>
      <c r="CC143" s="439"/>
      <c r="CD143" s="439"/>
      <c r="CE143" s="439"/>
      <c r="CF143" s="439"/>
      <c r="CG143" s="566"/>
      <c r="CH143" s="439"/>
      <c r="CI143" s="439"/>
      <c r="CJ143" s="439"/>
      <c r="CK143" s="439"/>
      <c r="CL143" s="566"/>
      <c r="CM143" s="439"/>
      <c r="CN143" s="439"/>
      <c r="CO143" s="439"/>
      <c r="CP143" s="439"/>
      <c r="CQ143" s="566"/>
    </row>
    <row r="144" spans="5:95" ht="13.5" hidden="1" x14ac:dyDescent="0.25">
      <c r="E144" s="91" t="s">
        <v>2</v>
      </c>
      <c r="F144" s="569"/>
      <c r="G144" s="569"/>
      <c r="H144" s="569"/>
      <c r="I144" s="569"/>
      <c r="J144" s="569"/>
      <c r="K144" s="126"/>
      <c r="L144" s="126"/>
      <c r="M144" s="126"/>
      <c r="N144" s="126"/>
      <c r="O144" s="569"/>
      <c r="P144" s="126"/>
      <c r="Q144" s="126"/>
      <c r="R144" s="126"/>
      <c r="S144" s="126"/>
      <c r="T144" s="569"/>
      <c r="U144" s="126"/>
      <c r="V144" s="126"/>
      <c r="W144" s="126"/>
      <c r="X144" s="126"/>
      <c r="Y144" s="569"/>
      <c r="Z144" s="450"/>
      <c r="AA144" s="450"/>
      <c r="AB144" s="450"/>
      <c r="AC144" s="450"/>
      <c r="AD144" s="569"/>
      <c r="AE144" s="450"/>
      <c r="AF144" s="450"/>
      <c r="AG144" s="450"/>
      <c r="AH144" s="450"/>
      <c r="AI144" s="570"/>
      <c r="AJ144" s="91"/>
      <c r="AK144" s="91"/>
      <c r="AL144" s="91"/>
      <c r="AM144" s="91"/>
      <c r="AN144" s="570"/>
      <c r="AO144" s="91"/>
      <c r="AP144" s="91"/>
      <c r="AQ144" s="91"/>
      <c r="AR144" s="451"/>
      <c r="AS144" s="569"/>
      <c r="AT144" s="452"/>
      <c r="AU144" s="452"/>
      <c r="AV144" s="452"/>
      <c r="AW144" s="452"/>
      <c r="AX144" s="569"/>
      <c r="AY144" s="183"/>
      <c r="AZ144" s="183"/>
      <c r="BA144" s="183">
        <f>BA143/AV143-1</f>
        <v>1.5779092702169706E-2</v>
      </c>
      <c r="BB144" s="183">
        <f>BB143/AW143-1</f>
        <v>7.5159235668789792E-2</v>
      </c>
      <c r="BC144" s="641"/>
      <c r="BD144" s="183">
        <f t="shared" ref="BD144:BR144" si="29">BD143/AY143-1</f>
        <v>6.8677792041078156E-2</v>
      </c>
      <c r="BE144" s="183">
        <f t="shared" si="29"/>
        <v>4.621072088724576E-2</v>
      </c>
      <c r="BF144" s="183">
        <f t="shared" si="29"/>
        <v>7.0226537216828477E-2</v>
      </c>
      <c r="BG144" s="183">
        <f t="shared" si="29"/>
        <v>-2.962085308056861E-3</v>
      </c>
      <c r="BH144" s="641">
        <f t="shared" si="29"/>
        <v>4.4512004989086362E-2</v>
      </c>
      <c r="BI144" s="183">
        <f t="shared" si="29"/>
        <v>-1.8618618618618576E-2</v>
      </c>
      <c r="BJ144" s="183">
        <f t="shared" si="29"/>
        <v>1.7314487632508868E-2</v>
      </c>
      <c r="BK144" s="183">
        <f t="shared" si="29"/>
        <v>5.8663441185364373E-2</v>
      </c>
      <c r="BL144" s="183">
        <f t="shared" si="29"/>
        <v>7.7243018419488996E-2</v>
      </c>
      <c r="BM144" s="641">
        <f t="shared" si="29"/>
        <v>3.3644301813568145E-2</v>
      </c>
      <c r="BN144" s="183">
        <f t="shared" si="29"/>
        <v>-2.4479804161566809E-3</v>
      </c>
      <c r="BO144" s="183">
        <f t="shared" si="29"/>
        <v>2.6976959592451166E-2</v>
      </c>
      <c r="BP144" s="183">
        <f t="shared" si="29"/>
        <v>4.8843187660668308E-2</v>
      </c>
      <c r="BQ144" s="183">
        <f t="shared" si="29"/>
        <v>2.2062879205736241E-2</v>
      </c>
      <c r="BR144" s="641">
        <f t="shared" si="29"/>
        <v>2.4274718768501957E-2</v>
      </c>
      <c r="BS144" s="183"/>
      <c r="BT144" s="183"/>
      <c r="BU144" s="183"/>
      <c r="BV144" s="183"/>
      <c r="BW144" s="641"/>
      <c r="BX144" s="183"/>
      <c r="BY144" s="183"/>
      <c r="BZ144" s="183"/>
      <c r="CA144" s="183"/>
      <c r="CB144" s="641"/>
      <c r="CC144" s="183"/>
      <c r="CD144" s="183"/>
      <c r="CE144" s="183"/>
      <c r="CF144" s="183"/>
      <c r="CG144" s="641"/>
      <c r="CH144" s="183"/>
      <c r="CI144" s="183"/>
      <c r="CJ144" s="183"/>
      <c r="CK144" s="183"/>
      <c r="CL144" s="641"/>
      <c r="CM144" s="183"/>
      <c r="CN144" s="183"/>
      <c r="CO144" s="183"/>
      <c r="CP144" s="183"/>
      <c r="CQ144" s="641"/>
    </row>
    <row r="145" spans="5:95" hidden="1" x14ac:dyDescent="0.25">
      <c r="E145" s="54" t="s">
        <v>605</v>
      </c>
      <c r="F145" s="566"/>
      <c r="G145" s="566"/>
      <c r="H145" s="566"/>
      <c r="I145" s="566"/>
      <c r="J145" s="566"/>
      <c r="K145" s="122"/>
      <c r="L145" s="122"/>
      <c r="M145" s="122"/>
      <c r="N145" s="122"/>
      <c r="O145" s="566"/>
      <c r="P145" s="122"/>
      <c r="Q145" s="122"/>
      <c r="R145" s="122"/>
      <c r="S145" s="122"/>
      <c r="T145" s="566"/>
      <c r="U145" s="122"/>
      <c r="V145" s="122"/>
      <c r="W145" s="122"/>
      <c r="X145" s="122"/>
      <c r="Y145" s="566"/>
      <c r="Z145" s="128"/>
      <c r="AA145" s="128"/>
      <c r="AB145" s="128"/>
      <c r="AC145" s="128"/>
      <c r="AD145" s="566"/>
      <c r="AE145" s="128"/>
      <c r="AF145" s="128"/>
      <c r="AG145" s="128"/>
      <c r="AH145" s="128"/>
      <c r="AI145" s="513"/>
      <c r="AJ145" s="721"/>
      <c r="AK145" s="721"/>
      <c r="AL145" s="721"/>
      <c r="AM145" s="721"/>
      <c r="AN145" s="513"/>
      <c r="AO145" s="721"/>
      <c r="AP145" s="721"/>
      <c r="AQ145" s="721"/>
      <c r="AR145" s="726"/>
      <c r="AS145" s="566"/>
      <c r="AT145" s="439"/>
      <c r="AU145" s="439"/>
      <c r="AV145" s="721">
        <f>AV147-AV143</f>
        <v>36.563000000000017</v>
      </c>
      <c r="AW145" s="721">
        <f>AW147-AW143</f>
        <v>35.905000000000001</v>
      </c>
      <c r="AX145" s="566"/>
      <c r="AY145" s="721">
        <f>AY147-AY143</f>
        <v>29.195999999999998</v>
      </c>
      <c r="AZ145" s="721">
        <f>AZ147-AZ143</f>
        <v>33.556999999999988</v>
      </c>
      <c r="BA145" s="721">
        <f>BA147-BA143</f>
        <v>32.961000000000013</v>
      </c>
      <c r="BB145" s="721">
        <f>BB147-BB143</f>
        <v>34.599999999999994</v>
      </c>
      <c r="BC145" s="566">
        <f>SUM(AY145:BB145)</f>
        <v>130.31399999999999</v>
      </c>
      <c r="BD145" s="721">
        <f>BD147-BD143</f>
        <v>25.981999999999999</v>
      </c>
      <c r="BE145" s="721">
        <f>BE147-BE143</f>
        <v>28.801999999999992</v>
      </c>
      <c r="BF145" s="721">
        <f>BF147-BF143</f>
        <v>29.795999999999992</v>
      </c>
      <c r="BG145" s="721">
        <f>BG147-BG143</f>
        <v>34.20999999999998</v>
      </c>
      <c r="BH145" s="566">
        <f>SUM(BD145:BG145)</f>
        <v>118.78999999999996</v>
      </c>
      <c r="BI145" s="721">
        <f>BI147-BI143</f>
        <v>24.393000000000001</v>
      </c>
      <c r="BJ145" s="721">
        <f>BJ147-BJ143</f>
        <v>28.211999999999989</v>
      </c>
      <c r="BK145" s="721">
        <f>BK147-BK143</f>
        <v>31.611999999999995</v>
      </c>
      <c r="BL145" s="721">
        <f>BL147-BL143</f>
        <v>28.445999999999998</v>
      </c>
      <c r="BM145" s="566">
        <f>SUM(BI145:BL145)</f>
        <v>112.66299999999998</v>
      </c>
      <c r="BN145" s="721">
        <f>BN147-BN143</f>
        <v>23.682999999999993</v>
      </c>
      <c r="BO145" s="721">
        <f>BO147-BO143</f>
        <v>26.847999999999985</v>
      </c>
      <c r="BP145" s="721">
        <f>BP147-BP143</f>
        <v>24.646000000000015</v>
      </c>
      <c r="BQ145" s="721">
        <f>BQ147-BQ143</f>
        <v>20.433999999999997</v>
      </c>
      <c r="BR145" s="566">
        <f>SUM(BN145:BQ145)</f>
        <v>95.61099999999999</v>
      </c>
      <c r="BS145" s="721"/>
      <c r="BT145" s="721"/>
      <c r="BU145" s="721"/>
      <c r="BV145" s="721"/>
      <c r="BW145" s="566"/>
      <c r="BX145" s="721"/>
      <c r="BY145" s="721"/>
      <c r="BZ145" s="721"/>
      <c r="CA145" s="721"/>
      <c r="CB145" s="566"/>
      <c r="CC145" s="721"/>
      <c r="CD145" s="721"/>
      <c r="CE145" s="721"/>
      <c r="CF145" s="721"/>
      <c r="CG145" s="566"/>
      <c r="CH145" s="721"/>
      <c r="CI145" s="721"/>
      <c r="CJ145" s="721"/>
      <c r="CK145" s="721"/>
      <c r="CL145" s="566"/>
      <c r="CM145" s="721"/>
      <c r="CN145" s="721"/>
      <c r="CO145" s="721"/>
      <c r="CP145" s="721"/>
      <c r="CQ145" s="566"/>
    </row>
    <row r="146" spans="5:95" ht="13.5" hidden="1" x14ac:dyDescent="0.25">
      <c r="E146" s="91" t="s">
        <v>2</v>
      </c>
      <c r="F146" s="569"/>
      <c r="G146" s="569"/>
      <c r="H146" s="569"/>
      <c r="I146" s="569"/>
      <c r="J146" s="569"/>
      <c r="K146" s="126"/>
      <c r="L146" s="126"/>
      <c r="M146" s="126"/>
      <c r="N146" s="126"/>
      <c r="O146" s="569"/>
      <c r="P146" s="126"/>
      <c r="Q146" s="126"/>
      <c r="R146" s="126"/>
      <c r="S146" s="126"/>
      <c r="T146" s="569"/>
      <c r="U146" s="126"/>
      <c r="V146" s="126"/>
      <c r="W146" s="126"/>
      <c r="X146" s="126"/>
      <c r="Y146" s="569"/>
      <c r="Z146" s="450"/>
      <c r="AA146" s="450"/>
      <c r="AB146" s="450"/>
      <c r="AC146" s="450"/>
      <c r="AD146" s="569"/>
      <c r="AE146" s="450"/>
      <c r="AF146" s="450"/>
      <c r="AG146" s="450"/>
      <c r="AH146" s="450"/>
      <c r="AI146" s="570"/>
      <c r="AJ146" s="91"/>
      <c r="AK146" s="91"/>
      <c r="AL146" s="91"/>
      <c r="AM146" s="91"/>
      <c r="AN146" s="570"/>
      <c r="AO146" s="91"/>
      <c r="AP146" s="91"/>
      <c r="AQ146" s="91"/>
      <c r="AR146" s="451"/>
      <c r="AS146" s="569"/>
      <c r="AT146" s="452"/>
      <c r="AU146" s="452"/>
      <c r="AV146" s="452"/>
      <c r="AW146" s="452"/>
      <c r="AX146" s="569"/>
      <c r="AY146" s="183"/>
      <c r="AZ146" s="183"/>
      <c r="BA146" s="183">
        <f>BA145/AV145-1</f>
        <v>-9.8514892104039631E-2</v>
      </c>
      <c r="BB146" s="183">
        <f>BB145/AW145-1</f>
        <v>-3.6345912825511917E-2</v>
      </c>
      <c r="BC146" s="641"/>
      <c r="BD146" s="183">
        <f t="shared" ref="BD146:BR146" si="30">BD145/AY145-1</f>
        <v>-0.1100835730922044</v>
      </c>
      <c r="BE146" s="183">
        <f t="shared" si="30"/>
        <v>-0.14169919837887768</v>
      </c>
      <c r="BF146" s="183">
        <f t="shared" si="30"/>
        <v>-9.6022572130700534E-2</v>
      </c>
      <c r="BG146" s="183">
        <f t="shared" si="30"/>
        <v>-1.1271676300578459E-2</v>
      </c>
      <c r="BH146" s="641">
        <f t="shared" si="30"/>
        <v>-8.8432555212793917E-2</v>
      </c>
      <c r="BI146" s="183">
        <f t="shared" si="30"/>
        <v>-6.1157724578554284E-2</v>
      </c>
      <c r="BJ146" s="183">
        <f t="shared" si="30"/>
        <v>-2.0484688563294329E-2</v>
      </c>
      <c r="BK146" s="183">
        <f t="shared" si="30"/>
        <v>6.0947778225265203E-2</v>
      </c>
      <c r="BL146" s="183">
        <f t="shared" si="30"/>
        <v>-0.16848874598070696</v>
      </c>
      <c r="BM146" s="641">
        <f t="shared" si="30"/>
        <v>-5.1578415691556412E-2</v>
      </c>
      <c r="BN146" s="183">
        <f t="shared" si="30"/>
        <v>-2.9106710941663949E-2</v>
      </c>
      <c r="BO146" s="183">
        <f t="shared" si="30"/>
        <v>-4.8348220615341164E-2</v>
      </c>
      <c r="BP146" s="183">
        <f t="shared" si="30"/>
        <v>-0.22035935720612365</v>
      </c>
      <c r="BQ146" s="183">
        <f t="shared" si="30"/>
        <v>-0.28165647191169241</v>
      </c>
      <c r="BR146" s="641">
        <f t="shared" si="30"/>
        <v>-0.15135403814917048</v>
      </c>
      <c r="BS146" s="183"/>
      <c r="BT146" s="183"/>
      <c r="BU146" s="183"/>
      <c r="BV146" s="183"/>
      <c r="BW146" s="641"/>
      <c r="BX146" s="183"/>
      <c r="BY146" s="183"/>
      <c r="BZ146" s="183"/>
      <c r="CA146" s="183"/>
      <c r="CB146" s="641"/>
      <c r="CC146" s="183"/>
      <c r="CD146" s="183"/>
      <c r="CE146" s="183"/>
      <c r="CF146" s="183"/>
      <c r="CG146" s="641"/>
      <c r="CH146" s="183"/>
      <c r="CI146" s="183"/>
      <c r="CJ146" s="183"/>
      <c r="CK146" s="183"/>
      <c r="CL146" s="641"/>
      <c r="CM146" s="183"/>
      <c r="CN146" s="183"/>
      <c r="CO146" s="183"/>
      <c r="CP146" s="183"/>
      <c r="CQ146" s="641"/>
    </row>
    <row r="147" spans="5:95" ht="13.5" hidden="1" x14ac:dyDescent="0.25">
      <c r="E147" s="87" t="s">
        <v>607</v>
      </c>
      <c r="F147" s="566"/>
      <c r="G147" s="566"/>
      <c r="H147" s="566"/>
      <c r="I147" s="566"/>
      <c r="J147" s="566"/>
      <c r="K147" s="122"/>
      <c r="L147" s="122"/>
      <c r="M147" s="122"/>
      <c r="N147" s="122"/>
      <c r="O147" s="566"/>
      <c r="P147" s="122"/>
      <c r="Q147" s="122"/>
      <c r="R147" s="122"/>
      <c r="S147" s="122"/>
      <c r="T147" s="566"/>
      <c r="U147" s="122"/>
      <c r="V147" s="122"/>
      <c r="W147" s="122"/>
      <c r="X147" s="122"/>
      <c r="Y147" s="566"/>
      <c r="Z147" s="128"/>
      <c r="AA147" s="128"/>
      <c r="AB147" s="128"/>
      <c r="AC147" s="128"/>
      <c r="AD147" s="566"/>
      <c r="AE147" s="128"/>
      <c r="AF147" s="128"/>
      <c r="AG147" s="128"/>
      <c r="AH147" s="128"/>
      <c r="AI147" s="513"/>
      <c r="AJ147" s="721"/>
      <c r="AK147" s="721"/>
      <c r="AL147" s="721"/>
      <c r="AM147" s="721"/>
      <c r="AN147" s="513"/>
      <c r="AO147" s="721"/>
      <c r="AP147" s="721"/>
      <c r="AQ147" s="721"/>
      <c r="AR147" s="726"/>
      <c r="AS147" s="566"/>
      <c r="AT147" s="371">
        <v>168.62200000000001</v>
      </c>
      <c r="AU147" s="371">
        <v>185.91499999999999</v>
      </c>
      <c r="AV147" s="371">
        <v>188.66300000000001</v>
      </c>
      <c r="AW147" s="371">
        <v>192.905</v>
      </c>
      <c r="AX147" s="576">
        <f>SUM(AT147:AW147)</f>
        <v>736.10500000000002</v>
      </c>
      <c r="AY147" s="371">
        <v>184.99600000000001</v>
      </c>
      <c r="AZ147" s="371">
        <v>195.857</v>
      </c>
      <c r="BA147" s="371">
        <v>187.46100000000001</v>
      </c>
      <c r="BB147" s="371">
        <v>203.4</v>
      </c>
      <c r="BC147" s="576">
        <f>SUM(AY147:BB147)</f>
        <v>771.71400000000006</v>
      </c>
      <c r="BD147" s="371">
        <v>192.482</v>
      </c>
      <c r="BE147" s="371">
        <v>198.602</v>
      </c>
      <c r="BF147" s="371">
        <v>195.14599999999999</v>
      </c>
      <c r="BG147" s="371">
        <v>202.51</v>
      </c>
      <c r="BH147" s="576">
        <f>SUM(BD147:BG147)</f>
        <v>788.74</v>
      </c>
      <c r="BI147" s="371">
        <v>187.79300000000001</v>
      </c>
      <c r="BJ147" s="371">
        <v>200.952</v>
      </c>
      <c r="BK147" s="371">
        <v>206.66200000000001</v>
      </c>
      <c r="BL147" s="371">
        <v>209.74600000000001</v>
      </c>
      <c r="BM147" s="576">
        <f>SUM(BI147:BL147)</f>
        <v>805.15300000000002</v>
      </c>
      <c r="BN147" s="371">
        <v>186.68299999999999</v>
      </c>
      <c r="BO147" s="371">
        <v>204.24799999999999</v>
      </c>
      <c r="BP147" s="371">
        <v>208.24600000000001</v>
      </c>
      <c r="BQ147" s="371">
        <v>205.73400000000001</v>
      </c>
      <c r="BR147" s="576">
        <f>SUM(BN147:BQ147)</f>
        <v>804.91100000000006</v>
      </c>
      <c r="BS147" s="371"/>
      <c r="BT147" s="371"/>
      <c r="BU147" s="197"/>
      <c r="BV147" s="197"/>
      <c r="BW147" s="576"/>
      <c r="BX147" s="197"/>
      <c r="BY147" s="197"/>
      <c r="BZ147" s="197"/>
      <c r="CA147" s="197"/>
      <c r="CB147" s="576"/>
      <c r="CC147" s="197"/>
      <c r="CD147" s="197"/>
      <c r="CE147" s="197"/>
      <c r="CF147" s="197"/>
      <c r="CG147" s="576"/>
      <c r="CH147" s="197"/>
      <c r="CI147" s="197"/>
      <c r="CJ147" s="197"/>
      <c r="CK147" s="197"/>
      <c r="CL147" s="576"/>
      <c r="CM147" s="197"/>
      <c r="CN147" s="197"/>
      <c r="CO147" s="197"/>
      <c r="CP147" s="197"/>
      <c r="CQ147" s="576"/>
    </row>
    <row r="148" spans="5:95" ht="13.5" hidden="1" x14ac:dyDescent="0.25">
      <c r="E148" s="91" t="s">
        <v>2</v>
      </c>
      <c r="F148" s="569"/>
      <c r="G148" s="569"/>
      <c r="H148" s="569"/>
      <c r="I148" s="569"/>
      <c r="J148" s="569"/>
      <c r="K148" s="126"/>
      <c r="L148" s="126"/>
      <c r="M148" s="126"/>
      <c r="N148" s="126"/>
      <c r="O148" s="569"/>
      <c r="P148" s="126"/>
      <c r="Q148" s="126"/>
      <c r="R148" s="126"/>
      <c r="S148" s="126"/>
      <c r="T148" s="569"/>
      <c r="U148" s="126"/>
      <c r="V148" s="126"/>
      <c r="W148" s="126"/>
      <c r="X148" s="126"/>
      <c r="Y148" s="569"/>
      <c r="Z148" s="450"/>
      <c r="AA148" s="450"/>
      <c r="AB148" s="450"/>
      <c r="AC148" s="450"/>
      <c r="AD148" s="569"/>
      <c r="AE148" s="450"/>
      <c r="AF148" s="450"/>
      <c r="AG148" s="450"/>
      <c r="AH148" s="450"/>
      <c r="AI148" s="570"/>
      <c r="AJ148" s="91"/>
      <c r="AK148" s="91"/>
      <c r="AL148" s="91"/>
      <c r="AM148" s="91"/>
      <c r="AN148" s="570"/>
      <c r="AO148" s="91"/>
      <c r="AP148" s="91"/>
      <c r="AQ148" s="91"/>
      <c r="AR148" s="451"/>
      <c r="AS148" s="569"/>
      <c r="AT148" s="452"/>
      <c r="AU148" s="452"/>
      <c r="AV148" s="452"/>
      <c r="AW148" s="452"/>
      <c r="AX148" s="569"/>
      <c r="AY148" s="183">
        <f t="shared" ref="AY148:BR148" si="31">AY147/AT147-1</f>
        <v>9.710476687502223E-2</v>
      </c>
      <c r="AZ148" s="183">
        <f t="shared" si="31"/>
        <v>5.3476050883468185E-2</v>
      </c>
      <c r="BA148" s="183">
        <f t="shared" si="31"/>
        <v>-6.3711485558906045E-3</v>
      </c>
      <c r="BB148" s="183">
        <f t="shared" si="31"/>
        <v>5.440501801404829E-2</v>
      </c>
      <c r="BC148" s="641">
        <f t="shared" si="31"/>
        <v>4.8374892168916217E-2</v>
      </c>
      <c r="BD148" s="183">
        <f t="shared" si="31"/>
        <v>4.046573979977941E-2</v>
      </c>
      <c r="BE148" s="183">
        <f t="shared" si="31"/>
        <v>1.4015327509356412E-2</v>
      </c>
      <c r="BF148" s="183">
        <f t="shared" si="31"/>
        <v>4.0995193666949259E-2</v>
      </c>
      <c r="BG148" s="183">
        <f t="shared" si="31"/>
        <v>-4.3756145526058221E-3</v>
      </c>
      <c r="BH148" s="641">
        <f t="shared" si="31"/>
        <v>2.2062577587033561E-2</v>
      </c>
      <c r="BI148" s="183">
        <f t="shared" si="31"/>
        <v>-2.4360719443896062E-2</v>
      </c>
      <c r="BJ148" s="183">
        <f t="shared" si="31"/>
        <v>1.1832710647425415E-2</v>
      </c>
      <c r="BK148" s="183">
        <f t="shared" si="31"/>
        <v>5.9012226743053953E-2</v>
      </c>
      <c r="BL148" s="183">
        <f t="shared" si="31"/>
        <v>3.5731568811416814E-2</v>
      </c>
      <c r="BM148" s="641">
        <f t="shared" si="31"/>
        <v>2.0809138626163293E-2</v>
      </c>
      <c r="BN148" s="183">
        <f t="shared" si="31"/>
        <v>-5.910763446986933E-3</v>
      </c>
      <c r="BO148" s="183">
        <f t="shared" si="31"/>
        <v>1.6401926828297331E-2</v>
      </c>
      <c r="BP148" s="183">
        <f t="shared" si="31"/>
        <v>7.6646892026595026E-3</v>
      </c>
      <c r="BQ148" s="183">
        <f t="shared" si="31"/>
        <v>-1.9127897552277506E-2</v>
      </c>
      <c r="BR148" s="641">
        <f t="shared" si="31"/>
        <v>-3.0056399218525431E-4</v>
      </c>
      <c r="BS148" s="183"/>
      <c r="BT148" s="183"/>
      <c r="BU148" s="183"/>
      <c r="BV148" s="183"/>
      <c r="BW148" s="641"/>
      <c r="BX148" s="183"/>
      <c r="BY148" s="183"/>
      <c r="BZ148" s="183"/>
      <c r="CA148" s="183"/>
      <c r="CB148" s="641"/>
      <c r="CC148" s="183"/>
      <c r="CD148" s="183"/>
      <c r="CE148" s="183"/>
      <c r="CF148" s="183"/>
      <c r="CG148" s="641"/>
      <c r="CH148" s="183"/>
      <c r="CI148" s="183"/>
      <c r="CJ148" s="183"/>
      <c r="CK148" s="183"/>
      <c r="CL148" s="641"/>
      <c r="CM148" s="183"/>
      <c r="CN148" s="183"/>
      <c r="CO148" s="183"/>
      <c r="CP148" s="183"/>
      <c r="CQ148" s="641"/>
    </row>
    <row r="149" spans="5:95" ht="13.5" hidden="1" x14ac:dyDescent="0.25">
      <c r="E149" s="721"/>
      <c r="F149" s="566"/>
      <c r="G149" s="566"/>
      <c r="H149" s="566"/>
      <c r="I149" s="566"/>
      <c r="J149" s="566"/>
      <c r="K149" s="122"/>
      <c r="L149" s="122"/>
      <c r="M149" s="122"/>
      <c r="N149" s="122"/>
      <c r="O149" s="566"/>
      <c r="P149" s="122"/>
      <c r="Q149" s="122"/>
      <c r="R149" s="122"/>
      <c r="S149" s="122"/>
      <c r="T149" s="566"/>
      <c r="U149" s="122"/>
      <c r="V149" s="122"/>
      <c r="W149" s="122"/>
      <c r="X149" s="122"/>
      <c r="Y149" s="566"/>
      <c r="Z149" s="128"/>
      <c r="AA149" s="128"/>
      <c r="AB149" s="128"/>
      <c r="AC149" s="128"/>
      <c r="AD149" s="566"/>
      <c r="AE149" s="128"/>
      <c r="AF149" s="128"/>
      <c r="AG149" s="128"/>
      <c r="AH149" s="128"/>
      <c r="AI149" s="513"/>
      <c r="AJ149" s="721"/>
      <c r="AK149" s="721"/>
      <c r="AL149" s="721"/>
      <c r="AM149" s="721"/>
      <c r="AN149" s="513"/>
      <c r="AO149" s="721"/>
      <c r="AP149" s="721"/>
      <c r="AQ149" s="721"/>
      <c r="AR149" s="726"/>
      <c r="AS149" s="566"/>
      <c r="AT149" s="371"/>
      <c r="AU149" s="371"/>
      <c r="AV149" s="371"/>
      <c r="AW149" s="371"/>
      <c r="AX149" s="566"/>
      <c r="AY149" s="724"/>
      <c r="AZ149" s="371"/>
      <c r="BA149" s="371"/>
      <c r="BB149" s="724"/>
      <c r="BC149" s="566"/>
      <c r="BD149" s="724"/>
      <c r="BE149" s="724"/>
      <c r="BF149" s="724"/>
      <c r="BG149" s="724"/>
      <c r="BH149" s="566"/>
      <c r="BI149" s="157"/>
      <c r="BJ149" s="157"/>
      <c r="BK149" s="157"/>
      <c r="BL149" s="157"/>
      <c r="BM149" s="566"/>
      <c r="BN149" s="157"/>
      <c r="BO149" s="157"/>
      <c r="BP149" s="157"/>
      <c r="BQ149" s="157"/>
      <c r="BR149" s="566"/>
      <c r="BS149" s="157"/>
      <c r="BT149" s="157"/>
      <c r="BU149" s="157"/>
      <c r="BV149" s="157"/>
      <c r="BW149" s="566"/>
      <c r="BX149" s="157"/>
      <c r="BY149" s="157"/>
      <c r="BZ149" s="157"/>
      <c r="CA149" s="157"/>
      <c r="CB149" s="566"/>
      <c r="CC149" s="157"/>
      <c r="CD149" s="157"/>
      <c r="CE149" s="157"/>
      <c r="CF149" s="157"/>
      <c r="CG149" s="566"/>
      <c r="CH149" s="157"/>
      <c r="CI149" s="157"/>
      <c r="CJ149" s="157"/>
      <c r="CK149" s="157"/>
      <c r="CL149" s="566"/>
      <c r="CM149" s="157"/>
      <c r="CN149" s="157"/>
      <c r="CO149" s="157"/>
      <c r="CP149" s="157"/>
      <c r="CQ149" s="566"/>
    </row>
    <row r="150" spans="5:95" ht="13.5" hidden="1" x14ac:dyDescent="0.25">
      <c r="E150" s="87" t="s">
        <v>456</v>
      </c>
      <c r="F150" s="566"/>
      <c r="G150" s="566"/>
      <c r="H150" s="566"/>
      <c r="I150" s="566"/>
      <c r="J150" s="566"/>
      <c r="K150" s="122"/>
      <c r="L150" s="122"/>
      <c r="M150" s="122"/>
      <c r="N150" s="122"/>
      <c r="O150" s="566"/>
      <c r="P150" s="122"/>
      <c r="Q150" s="122"/>
      <c r="R150" s="122"/>
      <c r="S150" s="122"/>
      <c r="T150" s="566"/>
      <c r="U150" s="122"/>
      <c r="V150" s="122"/>
      <c r="W150" s="122"/>
      <c r="X150" s="122"/>
      <c r="Y150" s="566"/>
      <c r="Z150" s="128"/>
      <c r="AA150" s="128"/>
      <c r="AB150" s="128"/>
      <c r="AC150" s="128"/>
      <c r="AD150" s="566"/>
      <c r="AE150" s="128"/>
      <c r="AF150" s="128"/>
      <c r="AG150" s="128"/>
      <c r="AH150" s="128"/>
      <c r="AI150" s="513"/>
      <c r="AJ150" s="721"/>
      <c r="AK150" s="721"/>
      <c r="AL150" s="721"/>
      <c r="AM150" s="721"/>
      <c r="AN150" s="513"/>
      <c r="AO150" s="721"/>
      <c r="AP150" s="721"/>
      <c r="AQ150" s="721"/>
      <c r="AR150" s="726"/>
      <c r="AS150" s="566"/>
      <c r="AT150" s="371">
        <v>73.138000000000005</v>
      </c>
      <c r="AU150" s="371">
        <v>75.748999999999995</v>
      </c>
      <c r="AV150" s="371">
        <v>78.994</v>
      </c>
      <c r="AW150" s="371">
        <v>74.75</v>
      </c>
      <c r="AX150" s="576">
        <f>SUM(AT150:AW150)</f>
        <v>302.63099999999997</v>
      </c>
      <c r="AY150" s="371">
        <v>73.05</v>
      </c>
      <c r="AZ150" s="371">
        <v>73.712000000000003</v>
      </c>
      <c r="BA150" s="371">
        <v>77.173000000000002</v>
      </c>
      <c r="BB150" s="371">
        <v>67.59</v>
      </c>
      <c r="BC150" s="576">
        <f>SUM(AY150:BB150)</f>
        <v>291.52499999999998</v>
      </c>
      <c r="BD150" s="371">
        <v>70.290000000000006</v>
      </c>
      <c r="BE150" s="371">
        <v>70.061000000000007</v>
      </c>
      <c r="BF150" s="371">
        <v>69.915999999999997</v>
      </c>
      <c r="BG150" s="371">
        <v>65.201999999999998</v>
      </c>
      <c r="BH150" s="576">
        <f>SUM(BD150:BG150)</f>
        <v>275.46899999999999</v>
      </c>
      <c r="BI150" s="371">
        <v>69.385000000000005</v>
      </c>
      <c r="BJ150" s="371">
        <v>66.825000000000003</v>
      </c>
      <c r="BK150" s="371">
        <v>62.098999999999997</v>
      </c>
      <c r="BL150" s="371">
        <v>58.816000000000003</v>
      </c>
      <c r="BM150" s="576">
        <f>SUM(BI150:BL150)</f>
        <v>257.125</v>
      </c>
      <c r="BN150" s="371">
        <v>55.531999999999996</v>
      </c>
      <c r="BO150" s="371">
        <v>55.789000000000001</v>
      </c>
      <c r="BP150" s="371">
        <v>52.194000000000003</v>
      </c>
      <c r="BQ150" s="371">
        <v>51.633000000000003</v>
      </c>
      <c r="BR150" s="576">
        <f>SUM(BN150:BQ150)</f>
        <v>215.148</v>
      </c>
      <c r="BS150" s="442"/>
      <c r="BT150" s="442"/>
      <c r="BU150" s="442"/>
      <c r="BV150" s="442"/>
      <c r="BW150" s="576"/>
      <c r="BX150" s="197"/>
      <c r="BY150" s="197"/>
      <c r="BZ150" s="197"/>
      <c r="CA150" s="197"/>
      <c r="CB150" s="576"/>
      <c r="CC150" s="197"/>
      <c r="CD150" s="197"/>
      <c r="CE150" s="197"/>
      <c r="CF150" s="197"/>
      <c r="CG150" s="576"/>
      <c r="CH150" s="197"/>
      <c r="CI150" s="197"/>
      <c r="CJ150" s="197"/>
      <c r="CK150" s="197"/>
      <c r="CL150" s="576"/>
      <c r="CM150" s="197"/>
      <c r="CN150" s="197"/>
      <c r="CO150" s="197"/>
      <c r="CP150" s="197"/>
      <c r="CQ150" s="576"/>
    </row>
    <row r="151" spans="5:95" ht="13.5" hidden="1" x14ac:dyDescent="0.25">
      <c r="E151" s="91" t="s">
        <v>2</v>
      </c>
      <c r="F151" s="569"/>
      <c r="G151" s="569"/>
      <c r="H151" s="569"/>
      <c r="I151" s="569"/>
      <c r="J151" s="569"/>
      <c r="K151" s="126"/>
      <c r="L151" s="126"/>
      <c r="M151" s="126"/>
      <c r="N151" s="126"/>
      <c r="O151" s="569"/>
      <c r="P151" s="126"/>
      <c r="Q151" s="126"/>
      <c r="R151" s="126"/>
      <c r="S151" s="126"/>
      <c r="T151" s="569"/>
      <c r="U151" s="126"/>
      <c r="V151" s="126"/>
      <c r="W151" s="126"/>
      <c r="X151" s="126"/>
      <c r="Y151" s="569"/>
      <c r="Z151" s="450"/>
      <c r="AA151" s="450"/>
      <c r="AB151" s="450"/>
      <c r="AC151" s="450"/>
      <c r="AD151" s="569"/>
      <c r="AE151" s="450"/>
      <c r="AF151" s="450"/>
      <c r="AG151" s="450"/>
      <c r="AH151" s="450"/>
      <c r="AI151" s="570"/>
      <c r="AJ151" s="91"/>
      <c r="AK151" s="91"/>
      <c r="AL151" s="91"/>
      <c r="AM151" s="91"/>
      <c r="AN151" s="570"/>
      <c r="AO151" s="91"/>
      <c r="AP151" s="91"/>
      <c r="AQ151" s="91"/>
      <c r="AR151" s="451"/>
      <c r="AS151" s="569"/>
      <c r="AT151" s="452"/>
      <c r="AU151" s="452"/>
      <c r="AV151" s="452"/>
      <c r="AW151" s="452"/>
      <c r="AX151" s="569"/>
      <c r="AY151" s="183">
        <f t="shared" ref="AY151:BR151" si="32">AY150/AT150-1</f>
        <v>-1.2032049003255496E-3</v>
      </c>
      <c r="AZ151" s="183">
        <f t="shared" si="32"/>
        <v>-2.6891444111473262E-2</v>
      </c>
      <c r="BA151" s="183">
        <f t="shared" si="32"/>
        <v>-2.3052383725346237E-2</v>
      </c>
      <c r="BB151" s="183">
        <f t="shared" si="32"/>
        <v>-9.5785953177257466E-2</v>
      </c>
      <c r="BC151" s="641">
        <f t="shared" si="32"/>
        <v>-3.6698157161692002E-2</v>
      </c>
      <c r="BD151" s="183">
        <f t="shared" si="32"/>
        <v>-3.7782340862422825E-2</v>
      </c>
      <c r="BE151" s="183">
        <f t="shared" si="32"/>
        <v>-4.9530605600173638E-2</v>
      </c>
      <c r="BF151" s="183">
        <f t="shared" si="32"/>
        <v>-9.4035478729607602E-2</v>
      </c>
      <c r="BG151" s="183">
        <f t="shared" si="32"/>
        <v>-3.5330670217487925E-2</v>
      </c>
      <c r="BH151" s="641">
        <f t="shared" si="32"/>
        <v>-5.507589400565982E-2</v>
      </c>
      <c r="BI151" s="183">
        <f t="shared" si="32"/>
        <v>-1.2875231185090374E-2</v>
      </c>
      <c r="BJ151" s="183">
        <f t="shared" si="32"/>
        <v>-4.618832160545816E-2</v>
      </c>
      <c r="BK151" s="183">
        <f t="shared" si="32"/>
        <v>-0.1118055952857715</v>
      </c>
      <c r="BL151" s="183">
        <f t="shared" si="32"/>
        <v>-9.7941780926965372E-2</v>
      </c>
      <c r="BM151" s="641">
        <f t="shared" si="32"/>
        <v>-6.6591885112299409E-2</v>
      </c>
      <c r="BN151" s="183">
        <f t="shared" si="32"/>
        <v>-0.19965410391294958</v>
      </c>
      <c r="BO151" s="183">
        <f t="shared" si="32"/>
        <v>-0.16514777403666292</v>
      </c>
      <c r="BP151" s="183">
        <f t="shared" si="32"/>
        <v>-0.1595033736453082</v>
      </c>
      <c r="BQ151" s="183">
        <f t="shared" si="32"/>
        <v>-0.12212663220892273</v>
      </c>
      <c r="BR151" s="641">
        <f t="shared" si="32"/>
        <v>-0.16325522605736509</v>
      </c>
      <c r="BS151" s="529"/>
      <c r="BT151" s="529"/>
      <c r="BU151" s="529"/>
      <c r="BV151" s="529"/>
      <c r="BW151" s="641"/>
      <c r="BX151" s="352"/>
      <c r="BY151" s="352"/>
      <c r="BZ151" s="352"/>
      <c r="CA151" s="352"/>
      <c r="CB151" s="641"/>
      <c r="CC151" s="352"/>
      <c r="CD151" s="352"/>
      <c r="CE151" s="352"/>
      <c r="CF151" s="352"/>
      <c r="CG151" s="641"/>
      <c r="CH151" s="352"/>
      <c r="CI151" s="352"/>
      <c r="CJ151" s="352"/>
      <c r="CK151" s="352"/>
      <c r="CL151" s="641"/>
      <c r="CM151" s="352"/>
      <c r="CN151" s="352"/>
      <c r="CO151" s="352"/>
      <c r="CP151" s="352"/>
      <c r="CQ151" s="641"/>
    </row>
    <row r="152" spans="5:95" ht="13.5" hidden="1" x14ac:dyDescent="0.25">
      <c r="E152" s="721"/>
      <c r="F152" s="566"/>
      <c r="G152" s="566"/>
      <c r="H152" s="566"/>
      <c r="I152" s="566"/>
      <c r="J152" s="566"/>
      <c r="K152" s="122"/>
      <c r="L152" s="122"/>
      <c r="M152" s="122"/>
      <c r="N152" s="122"/>
      <c r="O152" s="566"/>
      <c r="P152" s="122"/>
      <c r="Q152" s="122"/>
      <c r="R152" s="122"/>
      <c r="S152" s="122"/>
      <c r="T152" s="566"/>
      <c r="U152" s="122"/>
      <c r="V152" s="122"/>
      <c r="W152" s="122"/>
      <c r="X152" s="122"/>
      <c r="Y152" s="566"/>
      <c r="Z152" s="128"/>
      <c r="AA152" s="128"/>
      <c r="AB152" s="128"/>
      <c r="AC152" s="128"/>
      <c r="AD152" s="566"/>
      <c r="AE152" s="128"/>
      <c r="AF152" s="128"/>
      <c r="AG152" s="128"/>
      <c r="AH152" s="128"/>
      <c r="AI152" s="513"/>
      <c r="AJ152" s="721"/>
      <c r="AK152" s="721"/>
      <c r="AL152" s="721"/>
      <c r="AM152" s="721"/>
      <c r="AN152" s="513"/>
      <c r="AO152" s="721"/>
      <c r="AP152" s="721"/>
      <c r="AQ152" s="721"/>
      <c r="AR152" s="726"/>
      <c r="AS152" s="566"/>
      <c r="AT152" s="371"/>
      <c r="AU152" s="371"/>
      <c r="AV152" s="371"/>
      <c r="AW152" s="371"/>
      <c r="AX152" s="566"/>
      <c r="AY152" s="724"/>
      <c r="AZ152" s="371"/>
      <c r="BA152" s="371"/>
      <c r="BB152" s="724"/>
      <c r="BC152" s="566"/>
      <c r="BD152" s="724"/>
      <c r="BE152" s="724"/>
      <c r="BF152" s="724"/>
      <c r="BG152" s="724"/>
      <c r="BH152" s="566"/>
      <c r="BI152" s="157"/>
      <c r="BJ152" s="157"/>
      <c r="BK152" s="157"/>
      <c r="BL152" s="157"/>
      <c r="BM152" s="566"/>
      <c r="BN152" s="157"/>
      <c r="BO152" s="157"/>
      <c r="BP152" s="157"/>
      <c r="BQ152" s="157"/>
      <c r="BR152" s="566"/>
      <c r="BS152" s="439"/>
      <c r="BT152" s="439"/>
      <c r="BU152" s="439"/>
      <c r="BV152" s="439"/>
      <c r="BW152" s="566"/>
      <c r="BX152" s="157"/>
      <c r="BY152" s="157"/>
      <c r="BZ152" s="157"/>
      <c r="CA152" s="157"/>
      <c r="CB152" s="566"/>
      <c r="CC152" s="157"/>
      <c r="CD152" s="157"/>
      <c r="CE152" s="157"/>
      <c r="CF152" s="157"/>
      <c r="CG152" s="566"/>
      <c r="CH152" s="157"/>
      <c r="CI152" s="157"/>
      <c r="CJ152" s="157"/>
      <c r="CK152" s="157"/>
      <c r="CL152" s="566"/>
      <c r="CM152" s="157"/>
      <c r="CN152" s="157"/>
      <c r="CO152" s="157"/>
      <c r="CP152" s="157"/>
      <c r="CQ152" s="566"/>
    </row>
    <row r="153" spans="5:95" hidden="1" x14ac:dyDescent="0.25">
      <c r="E153" s="54" t="s">
        <v>515</v>
      </c>
      <c r="F153" s="566"/>
      <c r="G153" s="566"/>
      <c r="H153" s="566"/>
      <c r="I153" s="566"/>
      <c r="J153" s="566"/>
      <c r="K153" s="122"/>
      <c r="L153" s="122"/>
      <c r="M153" s="122"/>
      <c r="N153" s="122"/>
      <c r="O153" s="566"/>
      <c r="P153" s="122"/>
      <c r="Q153" s="122"/>
      <c r="R153" s="122"/>
      <c r="S153" s="122"/>
      <c r="T153" s="566"/>
      <c r="U153" s="122"/>
      <c r="V153" s="122"/>
      <c r="W153" s="122"/>
      <c r="X153" s="122"/>
      <c r="Y153" s="566"/>
      <c r="Z153" s="128"/>
      <c r="AA153" s="128"/>
      <c r="AB153" s="128"/>
      <c r="AC153" s="128"/>
      <c r="AD153" s="566"/>
      <c r="AE153" s="128"/>
      <c r="AF153" s="128"/>
      <c r="AG153" s="128"/>
      <c r="AH153" s="128"/>
      <c r="AI153" s="513"/>
      <c r="AJ153" s="721"/>
      <c r="AK153" s="721"/>
      <c r="AL153" s="721"/>
      <c r="AM153" s="721"/>
      <c r="AN153" s="513"/>
      <c r="AO153" s="721"/>
      <c r="AP153" s="721"/>
      <c r="AQ153" s="721"/>
      <c r="AR153" s="726"/>
      <c r="AS153" s="566"/>
      <c r="AT153" s="439"/>
      <c r="AU153" s="439"/>
      <c r="AV153" s="417">
        <v>10.3</v>
      </c>
      <c r="AW153" s="417">
        <v>9.8000000000000007</v>
      </c>
      <c r="AX153" s="566"/>
      <c r="AY153" s="417">
        <v>9.3000000000000007</v>
      </c>
      <c r="AZ153" s="417">
        <v>8.4</v>
      </c>
      <c r="BA153" s="417">
        <v>9.6</v>
      </c>
      <c r="BB153" s="417">
        <v>9.6999999999999993</v>
      </c>
      <c r="BC153" s="566">
        <f>SUM(AY153:BB153)</f>
        <v>37</v>
      </c>
      <c r="BD153" s="417">
        <f>BD157-BD155</f>
        <v>1.9870000000000001</v>
      </c>
      <c r="BE153" s="721">
        <f>BE157-BE155</f>
        <v>0.95900000000000052</v>
      </c>
      <c r="BF153" s="417">
        <v>0.6</v>
      </c>
      <c r="BG153" s="726">
        <v>0</v>
      </c>
      <c r="BH153" s="566">
        <f>SUM(BD153:BG153)</f>
        <v>3.5460000000000007</v>
      </c>
      <c r="BI153" s="417">
        <v>0</v>
      </c>
      <c r="BJ153" s="417">
        <v>0</v>
      </c>
      <c r="BK153" s="417">
        <v>0</v>
      </c>
      <c r="BL153" s="417">
        <v>0</v>
      </c>
      <c r="BM153" s="566">
        <f>SUM(BI153:BL153)</f>
        <v>0</v>
      </c>
      <c r="BN153" s="408"/>
      <c r="BO153" s="408"/>
      <c r="BP153" s="408"/>
      <c r="BQ153" s="408"/>
      <c r="BR153" s="566"/>
      <c r="BS153" s="439"/>
      <c r="BT153" s="439"/>
      <c r="BU153" s="439"/>
      <c r="BV153" s="439"/>
      <c r="BW153" s="566"/>
      <c r="BX153" s="439"/>
      <c r="BY153" s="439"/>
      <c r="BZ153" s="439"/>
      <c r="CA153" s="439"/>
      <c r="CB153" s="566"/>
      <c r="CC153" s="439"/>
      <c r="CD153" s="439"/>
      <c r="CE153" s="439"/>
      <c r="CF153" s="439"/>
      <c r="CG153" s="566"/>
      <c r="CH153" s="439"/>
      <c r="CI153" s="439"/>
      <c r="CJ153" s="439"/>
      <c r="CK153" s="439"/>
      <c r="CL153" s="566"/>
      <c r="CM153" s="439"/>
      <c r="CN153" s="439"/>
      <c r="CO153" s="439"/>
      <c r="CP153" s="439"/>
      <c r="CQ153" s="566"/>
    </row>
    <row r="154" spans="5:95" ht="13.5" hidden="1" x14ac:dyDescent="0.25">
      <c r="E154" s="91" t="s">
        <v>2</v>
      </c>
      <c r="F154" s="569"/>
      <c r="G154" s="569"/>
      <c r="H154" s="569"/>
      <c r="I154" s="569"/>
      <c r="J154" s="569"/>
      <c r="K154" s="126"/>
      <c r="L154" s="126"/>
      <c r="M154" s="126"/>
      <c r="N154" s="126"/>
      <c r="O154" s="569"/>
      <c r="P154" s="126"/>
      <c r="Q154" s="126"/>
      <c r="R154" s="126"/>
      <c r="S154" s="126"/>
      <c r="T154" s="569"/>
      <c r="U154" s="126"/>
      <c r="V154" s="126"/>
      <c r="W154" s="126"/>
      <c r="X154" s="126"/>
      <c r="Y154" s="569"/>
      <c r="Z154" s="450"/>
      <c r="AA154" s="450"/>
      <c r="AB154" s="450"/>
      <c r="AC154" s="450"/>
      <c r="AD154" s="569"/>
      <c r="AE154" s="450"/>
      <c r="AF154" s="450"/>
      <c r="AG154" s="450"/>
      <c r="AH154" s="450"/>
      <c r="AI154" s="570"/>
      <c r="AJ154" s="91"/>
      <c r="AK154" s="91"/>
      <c r="AL154" s="91"/>
      <c r="AM154" s="91"/>
      <c r="AN154" s="570"/>
      <c r="AO154" s="91"/>
      <c r="AP154" s="91"/>
      <c r="AQ154" s="91"/>
      <c r="AR154" s="451"/>
      <c r="AS154" s="569"/>
      <c r="AT154" s="454"/>
      <c r="AU154" s="454"/>
      <c r="AV154" s="454"/>
      <c r="AW154" s="454"/>
      <c r="AX154" s="569"/>
      <c r="AY154" s="183"/>
      <c r="AZ154" s="183"/>
      <c r="BA154" s="183">
        <f>BA153/AV153-1</f>
        <v>-6.796116504854377E-2</v>
      </c>
      <c r="BB154" s="183">
        <f>BB153/AW153-1</f>
        <v>-1.0204081632653184E-2</v>
      </c>
      <c r="BC154" s="641"/>
      <c r="BD154" s="183">
        <f>BD153/AY153-1</f>
        <v>-0.78634408602150541</v>
      </c>
      <c r="BE154" s="183">
        <f>BE153/AZ153-1</f>
        <v>-0.88583333333333325</v>
      </c>
      <c r="BF154" s="183">
        <f>BF153/BA153-1</f>
        <v>-0.9375</v>
      </c>
      <c r="BG154" s="183">
        <f>BG153/BB153-1</f>
        <v>-1</v>
      </c>
      <c r="BH154" s="641">
        <f>BH153/BC153-1</f>
        <v>-0.90416216216216216</v>
      </c>
      <c r="BI154" s="475" t="s">
        <v>490</v>
      </c>
      <c r="BJ154" s="475" t="s">
        <v>490</v>
      </c>
      <c r="BK154" s="475" t="s">
        <v>490</v>
      </c>
      <c r="BL154" s="475" t="s">
        <v>490</v>
      </c>
      <c r="BM154" s="641">
        <f>BM153/BH153-1</f>
        <v>-1</v>
      </c>
      <c r="BN154" s="475"/>
      <c r="BO154" s="475"/>
      <c r="BP154" s="475"/>
      <c r="BQ154" s="475"/>
      <c r="BR154" s="580"/>
      <c r="BS154" s="476"/>
      <c r="BT154" s="476"/>
      <c r="BU154" s="476"/>
      <c r="BV154" s="476"/>
      <c r="BW154" s="580"/>
      <c r="BX154" s="352"/>
      <c r="BY154" s="352"/>
      <c r="BZ154" s="352"/>
      <c r="CA154" s="352"/>
      <c r="CB154" s="641"/>
      <c r="CC154" s="352"/>
      <c r="CD154" s="352"/>
      <c r="CE154" s="352"/>
      <c r="CF154" s="352"/>
      <c r="CG154" s="641"/>
      <c r="CH154" s="352"/>
      <c r="CI154" s="352"/>
      <c r="CJ154" s="352"/>
      <c r="CK154" s="352"/>
      <c r="CL154" s="641"/>
      <c r="CM154" s="352"/>
      <c r="CN154" s="352"/>
      <c r="CO154" s="352"/>
      <c r="CP154" s="352"/>
      <c r="CQ154" s="641"/>
    </row>
    <row r="155" spans="5:95" hidden="1" x14ac:dyDescent="0.25">
      <c r="E155" s="54" t="s">
        <v>499</v>
      </c>
      <c r="F155" s="566"/>
      <c r="G155" s="566"/>
      <c r="H155" s="566"/>
      <c r="I155" s="566"/>
      <c r="J155" s="566"/>
      <c r="K155" s="122"/>
      <c r="L155" s="122"/>
      <c r="M155" s="122"/>
      <c r="N155" s="122"/>
      <c r="O155" s="566"/>
      <c r="P155" s="122"/>
      <c r="Q155" s="122"/>
      <c r="R155" s="122"/>
      <c r="S155" s="122"/>
      <c r="T155" s="566"/>
      <c r="U155" s="122"/>
      <c r="V155" s="122"/>
      <c r="W155" s="122"/>
      <c r="X155" s="122"/>
      <c r="Y155" s="566"/>
      <c r="Z155" s="128"/>
      <c r="AA155" s="128"/>
      <c r="AB155" s="128"/>
      <c r="AC155" s="128"/>
      <c r="AD155" s="566"/>
      <c r="AE155" s="128"/>
      <c r="AF155" s="128"/>
      <c r="AG155" s="128"/>
      <c r="AH155" s="128"/>
      <c r="AI155" s="513"/>
      <c r="AJ155" s="721"/>
      <c r="AK155" s="721"/>
      <c r="AL155" s="721"/>
      <c r="AM155" s="721"/>
      <c r="AN155" s="513"/>
      <c r="AO155" s="721"/>
      <c r="AP155" s="721"/>
      <c r="AQ155" s="721"/>
      <c r="AR155" s="726"/>
      <c r="AS155" s="566"/>
      <c r="AT155" s="439"/>
      <c r="AU155" s="439"/>
      <c r="AV155" s="721">
        <f>AV157-AV153</f>
        <v>9.9480000000000004</v>
      </c>
      <c r="AW155" s="721">
        <f>AW157-AW153</f>
        <v>9.77</v>
      </c>
      <c r="AX155" s="566"/>
      <c r="AY155" s="721">
        <f>AY157-AY153</f>
        <v>8.6980000000000004</v>
      </c>
      <c r="AZ155" s="721">
        <f>AZ157-AZ153</f>
        <v>8.4629999999999992</v>
      </c>
      <c r="BA155" s="721">
        <f>BA157-BA153</f>
        <v>6.6590000000000007</v>
      </c>
      <c r="BB155" s="721">
        <f>BB157-BB153</f>
        <v>6.5650000000000013</v>
      </c>
      <c r="BC155" s="566">
        <f>SUM(AY155:BB155)</f>
        <v>30.385000000000002</v>
      </c>
      <c r="BD155" s="721">
        <v>6.9</v>
      </c>
      <c r="BE155" s="721">
        <v>7.8449999999999998</v>
      </c>
      <c r="BF155" s="721">
        <f>BF157-BF153</f>
        <v>7.4399999999999995</v>
      </c>
      <c r="BG155" s="721">
        <f>BG157-BG153</f>
        <v>9.4190000000000005</v>
      </c>
      <c r="BH155" s="566">
        <f>SUM(BD155:BG155)</f>
        <v>31.604000000000003</v>
      </c>
      <c r="BI155" s="721">
        <f>BI157-BI153</f>
        <v>9.0150000000000006</v>
      </c>
      <c r="BJ155" s="721">
        <f>BJ157-BJ153</f>
        <v>8.4939999999999998</v>
      </c>
      <c r="BK155" s="721">
        <f>BK157-BK153</f>
        <v>9.1120000000000001</v>
      </c>
      <c r="BL155" s="721">
        <f>BL157-BL153</f>
        <v>8.6460000000000008</v>
      </c>
      <c r="BM155" s="566">
        <f>SUM(BI155:BL155)</f>
        <v>35.267000000000003</v>
      </c>
      <c r="BN155" s="439"/>
      <c r="BO155" s="408"/>
      <c r="BP155" s="408"/>
      <c r="BQ155" s="408"/>
      <c r="BR155" s="566"/>
      <c r="BS155" s="408"/>
      <c r="BT155" s="439"/>
      <c r="BU155" s="439"/>
      <c r="BV155" s="439"/>
      <c r="BW155" s="566"/>
      <c r="BX155" s="439"/>
      <c r="BY155" s="439"/>
      <c r="BZ155" s="439"/>
      <c r="CA155" s="439"/>
      <c r="CB155" s="566"/>
      <c r="CC155" s="439"/>
      <c r="CD155" s="439"/>
      <c r="CE155" s="439"/>
      <c r="CF155" s="439"/>
      <c r="CG155" s="566"/>
      <c r="CH155" s="439"/>
      <c r="CI155" s="439"/>
      <c r="CJ155" s="439"/>
      <c r="CK155" s="439"/>
      <c r="CL155" s="566"/>
      <c r="CM155" s="439"/>
      <c r="CN155" s="439"/>
      <c r="CO155" s="439"/>
      <c r="CP155" s="439"/>
      <c r="CQ155" s="566"/>
    </row>
    <row r="156" spans="5:95" ht="13.5" hidden="1" x14ac:dyDescent="0.25">
      <c r="E156" s="91" t="s">
        <v>2</v>
      </c>
      <c r="F156" s="569"/>
      <c r="G156" s="569"/>
      <c r="H156" s="569"/>
      <c r="I156" s="569"/>
      <c r="J156" s="569"/>
      <c r="K156" s="126"/>
      <c r="L156" s="126"/>
      <c r="M156" s="126"/>
      <c r="N156" s="126"/>
      <c r="O156" s="569"/>
      <c r="P156" s="126"/>
      <c r="Q156" s="126"/>
      <c r="R156" s="126"/>
      <c r="S156" s="126"/>
      <c r="T156" s="569"/>
      <c r="U156" s="126"/>
      <c r="V156" s="126"/>
      <c r="W156" s="126"/>
      <c r="X156" s="126"/>
      <c r="Y156" s="569"/>
      <c r="Z156" s="450"/>
      <c r="AA156" s="450"/>
      <c r="AB156" s="450"/>
      <c r="AC156" s="450"/>
      <c r="AD156" s="569"/>
      <c r="AE156" s="450"/>
      <c r="AF156" s="450"/>
      <c r="AG156" s="450"/>
      <c r="AH156" s="450"/>
      <c r="AI156" s="570"/>
      <c r="AJ156" s="91"/>
      <c r="AK156" s="91"/>
      <c r="AL156" s="91"/>
      <c r="AM156" s="91"/>
      <c r="AN156" s="570"/>
      <c r="AO156" s="91"/>
      <c r="AP156" s="91"/>
      <c r="AQ156" s="91"/>
      <c r="AR156" s="451"/>
      <c r="AS156" s="569"/>
      <c r="AT156" s="452"/>
      <c r="AU156" s="452"/>
      <c r="AV156" s="452"/>
      <c r="AW156" s="452"/>
      <c r="AX156" s="569"/>
      <c r="AY156" s="183"/>
      <c r="AZ156" s="183"/>
      <c r="BA156" s="183">
        <f>BA155/AV155-1</f>
        <v>-0.33061921994370724</v>
      </c>
      <c r="BB156" s="183">
        <f>BB155/AW155-1</f>
        <v>-0.32804503582395073</v>
      </c>
      <c r="BC156" s="641"/>
      <c r="BD156" s="183">
        <f t="shared" ref="BD156:BM156" si="33">BD155/AY155-1</f>
        <v>-0.20671418716946421</v>
      </c>
      <c r="BE156" s="183">
        <f t="shared" si="33"/>
        <v>-7.3023750443105273E-2</v>
      </c>
      <c r="BF156" s="183">
        <f t="shared" si="33"/>
        <v>0.11728487760925055</v>
      </c>
      <c r="BG156" s="183">
        <f t="shared" si="33"/>
        <v>0.43472962680883454</v>
      </c>
      <c r="BH156" s="641">
        <f t="shared" si="33"/>
        <v>4.0118479512917693E-2</v>
      </c>
      <c r="BI156" s="183">
        <f t="shared" si="33"/>
        <v>0.3065217391304349</v>
      </c>
      <c r="BJ156" s="183">
        <f t="shared" si="33"/>
        <v>8.2727852135118018E-2</v>
      </c>
      <c r="BK156" s="183">
        <f t="shared" si="33"/>
        <v>0.22473118279569904</v>
      </c>
      <c r="BL156" s="183">
        <f t="shared" si="33"/>
        <v>-8.2068160101921639E-2</v>
      </c>
      <c r="BM156" s="641">
        <f t="shared" si="33"/>
        <v>0.11590305024680414</v>
      </c>
      <c r="BN156" s="727"/>
      <c r="BO156" s="475"/>
      <c r="BP156" s="475"/>
      <c r="BQ156" s="475"/>
      <c r="BR156" s="580"/>
      <c r="BS156" s="476"/>
      <c r="BT156" s="476"/>
      <c r="BU156" s="476"/>
      <c r="BV156" s="476"/>
      <c r="BW156" s="580"/>
      <c r="BX156" s="352"/>
      <c r="BY156" s="352"/>
      <c r="BZ156" s="352"/>
      <c r="CA156" s="352"/>
      <c r="CB156" s="641"/>
      <c r="CC156" s="352"/>
      <c r="CD156" s="352"/>
      <c r="CE156" s="352"/>
      <c r="CF156" s="352"/>
      <c r="CG156" s="641"/>
      <c r="CH156" s="352"/>
      <c r="CI156" s="352"/>
      <c r="CJ156" s="352"/>
      <c r="CK156" s="352"/>
      <c r="CL156" s="641"/>
      <c r="CM156" s="352"/>
      <c r="CN156" s="352"/>
      <c r="CO156" s="352"/>
      <c r="CP156" s="352"/>
      <c r="CQ156" s="641"/>
    </row>
    <row r="157" spans="5:95" ht="13.5" hidden="1" x14ac:dyDescent="0.25">
      <c r="E157" s="87" t="s">
        <v>278</v>
      </c>
      <c r="F157" s="566"/>
      <c r="G157" s="566"/>
      <c r="H157" s="566"/>
      <c r="I157" s="566"/>
      <c r="J157" s="566"/>
      <c r="K157" s="122"/>
      <c r="L157" s="122"/>
      <c r="M157" s="122"/>
      <c r="N157" s="122"/>
      <c r="O157" s="566"/>
      <c r="P157" s="122"/>
      <c r="Q157" s="122"/>
      <c r="R157" s="122"/>
      <c r="S157" s="122"/>
      <c r="T157" s="566"/>
      <c r="U157" s="122"/>
      <c r="V157" s="122"/>
      <c r="W157" s="122"/>
      <c r="X157" s="122"/>
      <c r="Y157" s="566"/>
      <c r="Z157" s="128"/>
      <c r="AA157" s="128"/>
      <c r="AB157" s="128"/>
      <c r="AC157" s="128"/>
      <c r="AD157" s="566"/>
      <c r="AE157" s="128"/>
      <c r="AF157" s="128"/>
      <c r="AG157" s="128"/>
      <c r="AH157" s="128"/>
      <c r="AI157" s="513"/>
      <c r="AJ157" s="721"/>
      <c r="AK157" s="721"/>
      <c r="AL157" s="721"/>
      <c r="AM157" s="721"/>
      <c r="AN157" s="513"/>
      <c r="AO157" s="721"/>
      <c r="AP157" s="721"/>
      <c r="AQ157" s="721"/>
      <c r="AR157" s="726"/>
      <c r="AS157" s="566"/>
      <c r="AT157" s="371">
        <v>17.419</v>
      </c>
      <c r="AU157" s="371">
        <v>17.780999999999999</v>
      </c>
      <c r="AV157" s="371">
        <v>20.248000000000001</v>
      </c>
      <c r="AW157" s="371">
        <v>19.57</v>
      </c>
      <c r="AX157" s="576">
        <f>SUM(AT157:AW157)</f>
        <v>75.018000000000001</v>
      </c>
      <c r="AY157" s="371">
        <v>17.998000000000001</v>
      </c>
      <c r="AZ157" s="371">
        <v>16.863</v>
      </c>
      <c r="BA157" s="371">
        <v>16.259</v>
      </c>
      <c r="BB157" s="371">
        <v>16.265000000000001</v>
      </c>
      <c r="BC157" s="576">
        <f>SUM(AY157:BB157)</f>
        <v>67.385000000000005</v>
      </c>
      <c r="BD157" s="371">
        <v>8.8870000000000005</v>
      </c>
      <c r="BE157" s="371">
        <v>8.8040000000000003</v>
      </c>
      <c r="BF157" s="371">
        <v>8.0399999999999991</v>
      </c>
      <c r="BG157" s="371">
        <v>9.4190000000000005</v>
      </c>
      <c r="BH157" s="576">
        <f>BH153+BH155</f>
        <v>35.150000000000006</v>
      </c>
      <c r="BI157" s="371">
        <v>9.0150000000000006</v>
      </c>
      <c r="BJ157" s="371">
        <v>8.4939999999999998</v>
      </c>
      <c r="BK157" s="371">
        <v>9.1120000000000001</v>
      </c>
      <c r="BL157" s="371">
        <v>8.6460000000000008</v>
      </c>
      <c r="BM157" s="576">
        <f>BM153+BM155</f>
        <v>35.267000000000003</v>
      </c>
      <c r="BN157" s="197"/>
      <c r="BO157" s="197"/>
      <c r="BP157" s="197"/>
      <c r="BQ157" s="197"/>
      <c r="BR157" s="576"/>
      <c r="BS157" s="197"/>
      <c r="BT157" s="197"/>
      <c r="BU157" s="197"/>
      <c r="BV157" s="197"/>
      <c r="BW157" s="576"/>
      <c r="BX157" s="197"/>
      <c r="BY157" s="197"/>
      <c r="BZ157" s="197"/>
      <c r="CA157" s="197"/>
      <c r="CB157" s="576"/>
      <c r="CC157" s="197"/>
      <c r="CD157" s="197"/>
      <c r="CE157" s="197"/>
      <c r="CF157" s="197"/>
      <c r="CG157" s="576"/>
      <c r="CH157" s="197"/>
      <c r="CI157" s="197"/>
      <c r="CJ157" s="197"/>
      <c r="CK157" s="197"/>
      <c r="CL157" s="576"/>
      <c r="CM157" s="197"/>
      <c r="CN157" s="197"/>
      <c r="CO157" s="197"/>
      <c r="CP157" s="197"/>
      <c r="CQ157" s="576"/>
    </row>
    <row r="158" spans="5:95" ht="13.5" hidden="1" x14ac:dyDescent="0.25">
      <c r="E158" s="91" t="s">
        <v>2</v>
      </c>
      <c r="F158" s="569"/>
      <c r="G158" s="569"/>
      <c r="H158" s="569"/>
      <c r="I158" s="569"/>
      <c r="J158" s="569"/>
      <c r="K158" s="126"/>
      <c r="L158" s="126"/>
      <c r="M158" s="126"/>
      <c r="N158" s="126"/>
      <c r="O158" s="569"/>
      <c r="P158" s="126"/>
      <c r="Q158" s="126"/>
      <c r="R158" s="126"/>
      <c r="S158" s="126"/>
      <c r="T158" s="569"/>
      <c r="U158" s="126"/>
      <c r="V158" s="126"/>
      <c r="W158" s="126"/>
      <c r="X158" s="126"/>
      <c r="Y158" s="569"/>
      <c r="Z158" s="450"/>
      <c r="AA158" s="450"/>
      <c r="AB158" s="450"/>
      <c r="AC158" s="450"/>
      <c r="AD158" s="569"/>
      <c r="AE158" s="450"/>
      <c r="AF158" s="450"/>
      <c r="AG158" s="450"/>
      <c r="AH158" s="450"/>
      <c r="AI158" s="570"/>
      <c r="AJ158" s="91"/>
      <c r="AK158" s="91"/>
      <c r="AL158" s="91"/>
      <c r="AM158" s="91"/>
      <c r="AN158" s="570"/>
      <c r="AO158" s="91"/>
      <c r="AP158" s="91"/>
      <c r="AQ158" s="91"/>
      <c r="AR158" s="451"/>
      <c r="AS158" s="569"/>
      <c r="AT158" s="454"/>
      <c r="AU158" s="454"/>
      <c r="AV158" s="454"/>
      <c r="AW158" s="454"/>
      <c r="AX158" s="569"/>
      <c r="AY158" s="183">
        <f t="shared" ref="AY158:BF158" si="34">AY157/AT157-1</f>
        <v>3.323956599115907E-2</v>
      </c>
      <c r="AZ158" s="183">
        <f t="shared" si="34"/>
        <v>-5.1628142399190113E-2</v>
      </c>
      <c r="BA158" s="183">
        <f t="shared" si="34"/>
        <v>-0.19700711181351249</v>
      </c>
      <c r="BB158" s="183">
        <f t="shared" si="34"/>
        <v>-0.16888094021461419</v>
      </c>
      <c r="BC158" s="641">
        <f t="shared" si="34"/>
        <v>-0.10174891359407068</v>
      </c>
      <c r="BD158" s="183">
        <f t="shared" si="34"/>
        <v>-0.50622291365707306</v>
      </c>
      <c r="BE158" s="183">
        <f t="shared" si="34"/>
        <v>-0.47791021763624497</v>
      </c>
      <c r="BF158" s="183">
        <f t="shared" si="34"/>
        <v>-0.50550464358201619</v>
      </c>
      <c r="BG158" s="475" t="s">
        <v>490</v>
      </c>
      <c r="BH158" s="580" t="s">
        <v>490</v>
      </c>
      <c r="BI158" s="476" t="s">
        <v>490</v>
      </c>
      <c r="BJ158" s="476" t="s">
        <v>490</v>
      </c>
      <c r="BK158" s="476" t="s">
        <v>490</v>
      </c>
      <c r="BL158" s="352">
        <f>BL157/BG157-1</f>
        <v>-8.2068160101921639E-2</v>
      </c>
      <c r="BM158" s="641">
        <f>BM157/BH157-1</f>
        <v>3.328591749644394E-3</v>
      </c>
      <c r="BN158" s="352"/>
      <c r="BO158" s="475"/>
      <c r="BP158" s="475"/>
      <c r="BQ158" s="475"/>
      <c r="BR158" s="641"/>
      <c r="BS158" s="475"/>
      <c r="BT158" s="475"/>
      <c r="BU158" s="475"/>
      <c r="BV158" s="475"/>
      <c r="BW158" s="580"/>
      <c r="BX158" s="352"/>
      <c r="BY158" s="352"/>
      <c r="BZ158" s="352"/>
      <c r="CA158" s="352"/>
      <c r="CB158" s="641"/>
      <c r="CC158" s="352"/>
      <c r="CD158" s="352"/>
      <c r="CE158" s="352"/>
      <c r="CF158" s="352"/>
      <c r="CG158" s="641"/>
      <c r="CH158" s="352"/>
      <c r="CI158" s="352"/>
      <c r="CJ158" s="352"/>
      <c r="CK158" s="352"/>
      <c r="CL158" s="641"/>
      <c r="CM158" s="352"/>
      <c r="CN158" s="352"/>
      <c r="CO158" s="352"/>
      <c r="CP158" s="352"/>
      <c r="CQ158" s="641"/>
    </row>
    <row r="159" spans="5:95" ht="13.5" hidden="1" x14ac:dyDescent="0.25">
      <c r="E159" s="91"/>
      <c r="F159" s="566"/>
      <c r="G159" s="566"/>
      <c r="H159" s="566"/>
      <c r="I159" s="566"/>
      <c r="J159" s="566"/>
      <c r="K159" s="122"/>
      <c r="L159" s="122"/>
      <c r="M159" s="122"/>
      <c r="N159" s="122"/>
      <c r="O159" s="566"/>
      <c r="P159" s="122"/>
      <c r="Q159" s="122"/>
      <c r="R159" s="122"/>
      <c r="S159" s="122"/>
      <c r="T159" s="566"/>
      <c r="U159" s="122"/>
      <c r="V159" s="122"/>
      <c r="W159" s="122"/>
      <c r="X159" s="122"/>
      <c r="Y159" s="566"/>
      <c r="Z159" s="128"/>
      <c r="AA159" s="128"/>
      <c r="AB159" s="128"/>
      <c r="AC159" s="128"/>
      <c r="AD159" s="566"/>
      <c r="AE159" s="128"/>
      <c r="AF159" s="128"/>
      <c r="AG159" s="128"/>
      <c r="AH159" s="128"/>
      <c r="AI159" s="513"/>
      <c r="AJ159" s="721"/>
      <c r="AK159" s="721"/>
      <c r="AL159" s="721"/>
      <c r="AM159" s="721"/>
      <c r="AN159" s="513"/>
      <c r="AO159" s="721"/>
      <c r="AP159" s="721"/>
      <c r="AQ159" s="721"/>
      <c r="AR159" s="726"/>
      <c r="AS159" s="566"/>
      <c r="AT159" s="197"/>
      <c r="AU159" s="197"/>
      <c r="AV159" s="197"/>
      <c r="AW159" s="197"/>
      <c r="AX159" s="566"/>
      <c r="AY159" s="157"/>
      <c r="AZ159" s="197"/>
      <c r="BA159" s="197"/>
      <c r="BB159" s="157"/>
      <c r="BC159" s="566"/>
      <c r="BD159" s="157"/>
      <c r="BE159" s="157"/>
      <c r="BF159" s="157"/>
      <c r="BG159" s="157"/>
      <c r="BH159" s="566"/>
      <c r="BI159" s="157"/>
      <c r="BJ159" s="157"/>
      <c r="BK159" s="157"/>
      <c r="BL159" s="157"/>
      <c r="BM159" s="566"/>
      <c r="BN159" s="157"/>
      <c r="BO159" s="157"/>
      <c r="BP159" s="157"/>
      <c r="BQ159" s="157"/>
      <c r="BR159" s="566"/>
      <c r="BS159" s="157"/>
      <c r="BT159" s="157"/>
      <c r="BU159" s="157"/>
      <c r="BV159" s="157"/>
      <c r="BW159" s="566"/>
      <c r="BX159" s="157"/>
      <c r="BY159" s="157"/>
      <c r="BZ159" s="157"/>
      <c r="CA159" s="157"/>
      <c r="CB159" s="566"/>
      <c r="CC159" s="157"/>
      <c r="CD159" s="157"/>
      <c r="CE159" s="157"/>
      <c r="CF159" s="157"/>
      <c r="CG159" s="566"/>
      <c r="CH159" s="157"/>
      <c r="CI159" s="157"/>
      <c r="CJ159" s="157"/>
      <c r="CK159" s="157"/>
      <c r="CL159" s="566"/>
      <c r="CM159" s="157"/>
      <c r="CN159" s="157"/>
      <c r="CO159" s="157"/>
      <c r="CP159" s="157"/>
      <c r="CQ159" s="566"/>
    </row>
    <row r="160" spans="5:95" ht="13.5" hidden="1" x14ac:dyDescent="0.25">
      <c r="E160" s="444" t="s">
        <v>448</v>
      </c>
      <c r="F160" s="540"/>
      <c r="G160" s="540"/>
      <c r="H160" s="540"/>
      <c r="I160" s="540"/>
      <c r="J160" s="540"/>
      <c r="K160" s="173"/>
      <c r="L160" s="173"/>
      <c r="M160" s="173"/>
      <c r="N160" s="173"/>
      <c r="O160" s="540"/>
      <c r="P160" s="173"/>
      <c r="Q160" s="173"/>
      <c r="R160" s="173"/>
      <c r="S160" s="173"/>
      <c r="T160" s="540"/>
      <c r="U160" s="173"/>
      <c r="V160" s="173"/>
      <c r="W160" s="173"/>
      <c r="X160" s="173"/>
      <c r="Y160" s="540"/>
      <c r="Z160" s="457"/>
      <c r="AA160" s="457"/>
      <c r="AB160" s="457"/>
      <c r="AC160" s="457"/>
      <c r="AD160" s="540"/>
      <c r="AE160" s="457"/>
      <c r="AF160" s="457"/>
      <c r="AG160" s="457"/>
      <c r="AH160" s="457"/>
      <c r="AI160" s="545"/>
      <c r="AJ160" s="87"/>
      <c r="AK160" s="87"/>
      <c r="AL160" s="87"/>
      <c r="AM160" s="87"/>
      <c r="AN160" s="545"/>
      <c r="AO160" s="87"/>
      <c r="AP160" s="87"/>
      <c r="AQ160" s="87"/>
      <c r="AR160" s="458"/>
      <c r="AS160" s="540"/>
      <c r="AT160" s="460">
        <v>5.835</v>
      </c>
      <c r="AU160" s="460">
        <v>4.55</v>
      </c>
      <c r="AV160" s="460">
        <v>8.5879999999999992</v>
      </c>
      <c r="AW160" s="460">
        <v>5.4939999999999998</v>
      </c>
      <c r="AX160" s="642">
        <f>SUM(AT160:AW160)</f>
        <v>24.466999999999999</v>
      </c>
      <c r="AY160" s="460">
        <v>4.2469999999999999</v>
      </c>
      <c r="AZ160" s="460">
        <v>5.0910000000000002</v>
      </c>
      <c r="BA160" s="460">
        <v>9.7949999999999999</v>
      </c>
      <c r="BB160" s="460">
        <v>5.8550000000000004</v>
      </c>
      <c r="BC160" s="642">
        <f>SUM(AY160:BB160)</f>
        <v>24.988000000000003</v>
      </c>
      <c r="BD160" s="460">
        <v>8.8309999999999995</v>
      </c>
      <c r="BE160" s="460">
        <v>8.52</v>
      </c>
      <c r="BF160" s="460">
        <v>9.6219999999999999</v>
      </c>
      <c r="BG160" s="460">
        <v>2.3570000000000002</v>
      </c>
      <c r="BH160" s="642">
        <f>SUM(BD160:BG160)</f>
        <v>29.33</v>
      </c>
      <c r="BI160" s="460">
        <v>10.760999999999999</v>
      </c>
      <c r="BJ160" s="460">
        <v>11.967000000000001</v>
      </c>
      <c r="BK160" s="460">
        <v>6.3159999999999998</v>
      </c>
      <c r="BL160" s="460">
        <v>3.8029999999999999</v>
      </c>
      <c r="BM160" s="642">
        <f>SUM(BI160:BL160)</f>
        <v>32.847000000000001</v>
      </c>
      <c r="BN160" s="460">
        <v>4.7389999999999999</v>
      </c>
      <c r="BO160" s="460">
        <v>4.13</v>
      </c>
      <c r="BP160" s="460">
        <v>3.78</v>
      </c>
      <c r="BQ160" s="460">
        <v>5.4560000000000004</v>
      </c>
      <c r="BR160" s="642">
        <f>SUM(BN160:BQ160)</f>
        <v>18.105</v>
      </c>
      <c r="BS160" s="442"/>
      <c r="BT160" s="442"/>
      <c r="BU160" s="442"/>
      <c r="BV160" s="442"/>
      <c r="BW160" s="642"/>
      <c r="BX160" s="442"/>
      <c r="BY160" s="442"/>
      <c r="BZ160" s="442"/>
      <c r="CA160" s="442"/>
      <c r="CB160" s="642"/>
      <c r="CC160" s="442"/>
      <c r="CD160" s="442"/>
      <c r="CE160" s="442"/>
      <c r="CF160" s="442"/>
      <c r="CG160" s="642"/>
      <c r="CH160" s="442"/>
      <c r="CI160" s="442"/>
      <c r="CJ160" s="442"/>
      <c r="CK160" s="442"/>
      <c r="CL160" s="642"/>
      <c r="CM160" s="442"/>
      <c r="CN160" s="442"/>
      <c r="CO160" s="442"/>
      <c r="CP160" s="442"/>
      <c r="CQ160" s="642"/>
    </row>
    <row r="161" spans="5:95" ht="13.5" hidden="1" x14ac:dyDescent="0.25">
      <c r="E161" s="365" t="s">
        <v>91</v>
      </c>
      <c r="F161" s="569"/>
      <c r="G161" s="569"/>
      <c r="H161" s="569"/>
      <c r="I161" s="569"/>
      <c r="J161" s="569"/>
      <c r="K161" s="126"/>
      <c r="L161" s="126"/>
      <c r="M161" s="126"/>
      <c r="N161" s="126"/>
      <c r="O161" s="569"/>
      <c r="P161" s="126"/>
      <c r="Q161" s="126"/>
      <c r="R161" s="126"/>
      <c r="S161" s="126"/>
      <c r="T161" s="569"/>
      <c r="U161" s="126"/>
      <c r="V161" s="126"/>
      <c r="W161" s="126"/>
      <c r="X161" s="126"/>
      <c r="Y161" s="569"/>
      <c r="Z161" s="450"/>
      <c r="AA161" s="450"/>
      <c r="AB161" s="450"/>
      <c r="AC161" s="450"/>
      <c r="AD161" s="569"/>
      <c r="AE161" s="450"/>
      <c r="AF161" s="450"/>
      <c r="AG161" s="450"/>
      <c r="AH161" s="450"/>
      <c r="AI161" s="570"/>
      <c r="AJ161" s="91"/>
      <c r="AK161" s="91"/>
      <c r="AL161" s="91"/>
      <c r="AM161" s="91"/>
      <c r="AN161" s="570"/>
      <c r="AO161" s="91"/>
      <c r="AP161" s="91"/>
      <c r="AQ161" s="91"/>
      <c r="AR161" s="451"/>
      <c r="AS161" s="569"/>
      <c r="AT161" s="365">
        <f t="shared" ref="AT161:BR161" si="35">AT160/AT150</f>
        <v>7.9780688561349775E-2</v>
      </c>
      <c r="AU161" s="365">
        <f t="shared" si="35"/>
        <v>6.0066799561710384E-2</v>
      </c>
      <c r="AV161" s="365">
        <f t="shared" si="35"/>
        <v>0.10871711775577891</v>
      </c>
      <c r="AW161" s="365">
        <f t="shared" si="35"/>
        <v>7.3498327759197318E-2</v>
      </c>
      <c r="AX161" s="643">
        <f t="shared" si="35"/>
        <v>8.0847632925906465E-2</v>
      </c>
      <c r="AY161" s="365">
        <f t="shared" si="35"/>
        <v>5.8138261464750172E-2</v>
      </c>
      <c r="AZ161" s="365">
        <f t="shared" si="35"/>
        <v>6.9066095072715439E-2</v>
      </c>
      <c r="BA161" s="365">
        <f t="shared" si="35"/>
        <v>0.12692262838039209</v>
      </c>
      <c r="BB161" s="365">
        <f t="shared" si="35"/>
        <v>8.6625240420180508E-2</v>
      </c>
      <c r="BC161" s="643">
        <f t="shared" si="35"/>
        <v>8.5714775748220576E-2</v>
      </c>
      <c r="BD161" s="365">
        <f t="shared" si="35"/>
        <v>0.12563664817185943</v>
      </c>
      <c r="BE161" s="365">
        <f t="shared" si="35"/>
        <v>0.12160831275602688</v>
      </c>
      <c r="BF161" s="365">
        <f t="shared" si="35"/>
        <v>0.13762228960466846</v>
      </c>
      <c r="BG161" s="365">
        <f t="shared" si="35"/>
        <v>3.614919787736573E-2</v>
      </c>
      <c r="BH161" s="643">
        <f t="shared" si="35"/>
        <v>0.10647296065982016</v>
      </c>
      <c r="BI161" s="365">
        <f t="shared" si="35"/>
        <v>0.15509115803127474</v>
      </c>
      <c r="BJ161" s="365">
        <f t="shared" si="35"/>
        <v>0.17907968574635241</v>
      </c>
      <c r="BK161" s="365">
        <f t="shared" si="35"/>
        <v>0.10170856213465596</v>
      </c>
      <c r="BL161" s="365">
        <f t="shared" si="35"/>
        <v>6.4659276387377576E-2</v>
      </c>
      <c r="BM161" s="643">
        <f t="shared" si="35"/>
        <v>0.12774720466699077</v>
      </c>
      <c r="BN161" s="365">
        <f t="shared" si="35"/>
        <v>8.5338183389757266E-2</v>
      </c>
      <c r="BO161" s="365">
        <f t="shared" si="35"/>
        <v>7.4028930434315007E-2</v>
      </c>
      <c r="BP161" s="365">
        <f t="shared" si="35"/>
        <v>7.2422117484768359E-2</v>
      </c>
      <c r="BQ161" s="365">
        <f t="shared" si="35"/>
        <v>0.10566885518951058</v>
      </c>
      <c r="BR161" s="643">
        <f t="shared" si="35"/>
        <v>8.4151374867533046E-2</v>
      </c>
      <c r="BS161" s="529"/>
      <c r="BT161" s="529"/>
      <c r="BU161" s="529"/>
      <c r="BV161" s="529"/>
      <c r="BW161" s="643"/>
      <c r="BX161" s="183"/>
      <c r="BY161" s="183"/>
      <c r="BZ161" s="183"/>
      <c r="CA161" s="183"/>
      <c r="CB161" s="643"/>
      <c r="CC161" s="183"/>
      <c r="CD161" s="183"/>
      <c r="CE161" s="183"/>
      <c r="CF161" s="183"/>
      <c r="CG161" s="643"/>
      <c r="CH161" s="183"/>
      <c r="CI161" s="183"/>
      <c r="CJ161" s="183"/>
      <c r="CK161" s="183"/>
      <c r="CL161" s="643"/>
      <c r="CM161" s="183"/>
      <c r="CN161" s="183"/>
      <c r="CO161" s="183"/>
      <c r="CP161" s="183"/>
      <c r="CQ161" s="643"/>
    </row>
    <row r="162" spans="5:95" hidden="1" x14ac:dyDescent="0.25">
      <c r="E162" s="54"/>
      <c r="F162" s="566"/>
      <c r="G162" s="566"/>
      <c r="H162" s="566"/>
      <c r="I162" s="566"/>
      <c r="J162" s="566"/>
      <c r="K162" s="122"/>
      <c r="L162" s="122"/>
      <c r="M162" s="122"/>
      <c r="N162" s="122"/>
      <c r="O162" s="566"/>
      <c r="P162" s="122"/>
      <c r="Q162" s="122"/>
      <c r="R162" s="122"/>
      <c r="S162" s="122"/>
      <c r="T162" s="566"/>
      <c r="U162" s="122"/>
      <c r="V162" s="122"/>
      <c r="W162" s="122"/>
      <c r="X162" s="122"/>
      <c r="Y162" s="566"/>
      <c r="Z162" s="128"/>
      <c r="AA162" s="128"/>
      <c r="AB162" s="128"/>
      <c r="AC162" s="128"/>
      <c r="AD162" s="566"/>
      <c r="AE162" s="128"/>
      <c r="AF162" s="128"/>
      <c r="AG162" s="128"/>
      <c r="AH162" s="128"/>
      <c r="AI162" s="513"/>
      <c r="AJ162" s="721"/>
      <c r="AK162" s="721"/>
      <c r="AL162" s="721"/>
      <c r="AM162" s="721"/>
      <c r="AN162" s="513"/>
      <c r="AO162" s="721"/>
      <c r="AP162" s="721"/>
      <c r="AQ162" s="721"/>
      <c r="AR162" s="726"/>
      <c r="AS162" s="566"/>
      <c r="AT162" s="439"/>
      <c r="AU162" s="439"/>
      <c r="AV162" s="439"/>
      <c r="AW162" s="439"/>
      <c r="AX162" s="568"/>
      <c r="AY162" s="439"/>
      <c r="AZ162" s="439"/>
      <c r="BA162" s="439"/>
      <c r="BB162" s="408"/>
      <c r="BC162" s="568"/>
      <c r="BD162" s="408"/>
      <c r="BE162" s="408"/>
      <c r="BF162" s="408"/>
      <c r="BG162" s="408"/>
      <c r="BH162" s="568"/>
      <c r="BI162" s="408"/>
      <c r="BJ162" s="408"/>
      <c r="BK162" s="408"/>
      <c r="BL162" s="408"/>
      <c r="BM162" s="568"/>
      <c r="BN162" s="408"/>
      <c r="BO162" s="408"/>
      <c r="BP162" s="408"/>
      <c r="BQ162" s="408"/>
      <c r="BR162" s="568"/>
      <c r="BS162" s="408"/>
      <c r="BT162" s="408"/>
      <c r="BU162" s="408"/>
      <c r="BV162" s="408"/>
      <c r="BW162" s="568"/>
      <c r="BX162" s="408"/>
      <c r="BY162" s="408"/>
      <c r="BZ162" s="408"/>
      <c r="CA162" s="408"/>
      <c r="CB162" s="568"/>
      <c r="CC162" s="408"/>
      <c r="CD162" s="408"/>
      <c r="CE162" s="408"/>
      <c r="CF162" s="408"/>
      <c r="CG162" s="568"/>
      <c r="CH162" s="408"/>
      <c r="CI162" s="408"/>
      <c r="CJ162" s="408"/>
      <c r="CK162" s="408"/>
      <c r="CL162" s="568"/>
      <c r="CM162" s="408"/>
      <c r="CN162" s="408"/>
      <c r="CO162" s="408"/>
      <c r="CP162" s="408"/>
      <c r="CQ162" s="568"/>
    </row>
    <row r="163" spans="5:95" hidden="1" x14ac:dyDescent="0.25">
      <c r="E163" s="54" t="s">
        <v>498</v>
      </c>
      <c r="F163" s="566"/>
      <c r="G163" s="566"/>
      <c r="H163" s="566"/>
      <c r="I163" s="566"/>
      <c r="J163" s="566"/>
      <c r="K163" s="122"/>
      <c r="L163" s="122"/>
      <c r="M163" s="122"/>
      <c r="N163" s="122"/>
      <c r="O163" s="566"/>
      <c r="P163" s="122"/>
      <c r="Q163" s="122"/>
      <c r="R163" s="122"/>
      <c r="S163" s="122"/>
      <c r="T163" s="566"/>
      <c r="U163" s="122"/>
      <c r="V163" s="122"/>
      <c r="W163" s="122"/>
      <c r="X163" s="122"/>
      <c r="Y163" s="566"/>
      <c r="Z163" s="128"/>
      <c r="AA163" s="128"/>
      <c r="AB163" s="128"/>
      <c r="AC163" s="128"/>
      <c r="AD163" s="566"/>
      <c r="AE163" s="128"/>
      <c r="AF163" s="128"/>
      <c r="AG163" s="128"/>
      <c r="AH163" s="128"/>
      <c r="AI163" s="513"/>
      <c r="AJ163" s="721"/>
      <c r="AK163" s="721"/>
      <c r="AL163" s="721"/>
      <c r="AM163" s="721"/>
      <c r="AN163" s="513"/>
      <c r="AO163" s="721"/>
      <c r="AP163" s="721"/>
      <c r="AQ163" s="721"/>
      <c r="AR163" s="726"/>
      <c r="AS163" s="566"/>
      <c r="AT163" s="439"/>
      <c r="AU163" s="439"/>
      <c r="AV163" s="439">
        <f>AV164*AV153</f>
        <v>0.65920000000000001</v>
      </c>
      <c r="AW163" s="439">
        <f>AW164*AW153</f>
        <v>-0.61740000000000006</v>
      </c>
      <c r="AX163" s="568"/>
      <c r="AY163" s="439">
        <f>AY164*AY153</f>
        <v>0.23250000000000004</v>
      </c>
      <c r="AZ163" s="439">
        <f>AZ164*AZ153</f>
        <v>-3.4356</v>
      </c>
      <c r="BA163" s="439">
        <f>BA164*BA153</f>
        <v>-0.23039999999999999</v>
      </c>
      <c r="BB163" s="439">
        <f>BB164*BB153</f>
        <v>-0.61109999999999998</v>
      </c>
      <c r="BC163" s="566">
        <f>SUM(AY163:BB163)</f>
        <v>-4.0446</v>
      </c>
      <c r="BD163" s="439">
        <f>BD164*BD153</f>
        <v>-2.3009460000000002</v>
      </c>
      <c r="BE163" s="439">
        <f>BE164*BE153</f>
        <v>-1.1575130000000007</v>
      </c>
      <c r="BF163" s="439">
        <f>BF164*BF153</f>
        <v>-0.72</v>
      </c>
      <c r="BG163" s="439">
        <f>BG164*BG153</f>
        <v>0</v>
      </c>
      <c r="BH163" s="566">
        <f>SUM(BD163:BG163)</f>
        <v>-4.178459000000001</v>
      </c>
      <c r="BI163" s="439">
        <f>BI164*BI153</f>
        <v>0</v>
      </c>
      <c r="BJ163" s="439">
        <f>BJ164*BJ153</f>
        <v>0</v>
      </c>
      <c r="BK163" s="439">
        <f>BK164*BK153</f>
        <v>0</v>
      </c>
      <c r="BL163" s="439">
        <f>BL164*BL153</f>
        <v>0</v>
      </c>
      <c r="BM163" s="566">
        <f>SUM(BI163:BL163)</f>
        <v>0</v>
      </c>
      <c r="BN163" s="439"/>
      <c r="BO163" s="439"/>
      <c r="BP163" s="439"/>
      <c r="BQ163" s="439"/>
      <c r="BR163" s="566"/>
      <c r="BS163" s="439"/>
      <c r="BT163" s="439"/>
      <c r="BU163" s="439"/>
      <c r="BV163" s="439"/>
      <c r="BW163" s="566"/>
      <c r="BX163" s="439"/>
      <c r="BY163" s="439"/>
      <c r="BZ163" s="439"/>
      <c r="CA163" s="439"/>
      <c r="CB163" s="566"/>
      <c r="CC163" s="439"/>
      <c r="CD163" s="439"/>
      <c r="CE163" s="439"/>
      <c r="CF163" s="439"/>
      <c r="CG163" s="566"/>
      <c r="CH163" s="439"/>
      <c r="CI163" s="439"/>
      <c r="CJ163" s="439"/>
      <c r="CK163" s="439"/>
      <c r="CL163" s="566"/>
      <c r="CM163" s="439"/>
      <c r="CN163" s="439"/>
      <c r="CO163" s="439"/>
      <c r="CP163" s="439"/>
      <c r="CQ163" s="566"/>
    </row>
    <row r="164" spans="5:95" ht="13.5" hidden="1" x14ac:dyDescent="0.25">
      <c r="E164" s="365" t="s">
        <v>457</v>
      </c>
      <c r="F164" s="569"/>
      <c r="G164" s="569"/>
      <c r="H164" s="569"/>
      <c r="I164" s="569"/>
      <c r="J164" s="569"/>
      <c r="K164" s="126"/>
      <c r="L164" s="126"/>
      <c r="M164" s="126"/>
      <c r="N164" s="126"/>
      <c r="O164" s="569"/>
      <c r="P164" s="126"/>
      <c r="Q164" s="126"/>
      <c r="R164" s="126"/>
      <c r="S164" s="126"/>
      <c r="T164" s="569"/>
      <c r="U164" s="126"/>
      <c r="V164" s="126"/>
      <c r="W164" s="126"/>
      <c r="X164" s="126"/>
      <c r="Y164" s="569"/>
      <c r="Z164" s="450"/>
      <c r="AA164" s="450"/>
      <c r="AB164" s="450"/>
      <c r="AC164" s="450"/>
      <c r="AD164" s="569"/>
      <c r="AE164" s="450"/>
      <c r="AF164" s="450"/>
      <c r="AG164" s="450"/>
      <c r="AH164" s="450"/>
      <c r="AI164" s="570"/>
      <c r="AJ164" s="91"/>
      <c r="AK164" s="91"/>
      <c r="AL164" s="91"/>
      <c r="AM164" s="91"/>
      <c r="AN164" s="570"/>
      <c r="AO164" s="91"/>
      <c r="AP164" s="91"/>
      <c r="AQ164" s="91"/>
      <c r="AR164" s="451"/>
      <c r="AS164" s="569"/>
      <c r="AT164" s="456"/>
      <c r="AU164" s="456"/>
      <c r="AV164" s="456">
        <v>6.4000000000000001E-2</v>
      </c>
      <c r="AW164" s="456">
        <v>-6.3E-2</v>
      </c>
      <c r="AX164" s="569"/>
      <c r="AY164" s="456">
        <v>2.5000000000000001E-2</v>
      </c>
      <c r="AZ164" s="456">
        <v>-0.40899999999999997</v>
      </c>
      <c r="BA164" s="456">
        <v>-2.4E-2</v>
      </c>
      <c r="BB164" s="456">
        <v>-6.3E-2</v>
      </c>
      <c r="BC164" s="643">
        <f>BC163/BC153</f>
        <v>-0.10931351351351351</v>
      </c>
      <c r="BD164" s="456">
        <v>-1.1579999999999999</v>
      </c>
      <c r="BE164" s="456">
        <v>-1.2070000000000001</v>
      </c>
      <c r="BF164" s="362">
        <v>-1.2</v>
      </c>
      <c r="BG164" s="456">
        <v>0</v>
      </c>
      <c r="BH164" s="643">
        <f>BH163/BH153</f>
        <v>-1.1783584320360971</v>
      </c>
      <c r="BI164" s="456">
        <v>0</v>
      </c>
      <c r="BJ164" s="456">
        <v>0</v>
      </c>
      <c r="BK164" s="456">
        <v>0</v>
      </c>
      <c r="BL164" s="456">
        <v>0</v>
      </c>
      <c r="BM164" s="581" t="s">
        <v>490</v>
      </c>
      <c r="BN164" s="727"/>
      <c r="BO164" s="727"/>
      <c r="BP164" s="727"/>
      <c r="BQ164" s="727"/>
      <c r="BR164" s="581"/>
      <c r="BS164" s="183"/>
      <c r="BT164" s="183"/>
      <c r="BU164" s="183"/>
      <c r="BV164" s="183"/>
      <c r="BW164" s="581"/>
      <c r="BX164" s="183"/>
      <c r="BY164" s="183"/>
      <c r="BZ164" s="183"/>
      <c r="CA164" s="183"/>
      <c r="CB164" s="643"/>
      <c r="CC164" s="183"/>
      <c r="CD164" s="183"/>
      <c r="CE164" s="183"/>
      <c r="CF164" s="183"/>
      <c r="CG164" s="643"/>
      <c r="CH164" s="183"/>
      <c r="CI164" s="183"/>
      <c r="CJ164" s="183"/>
      <c r="CK164" s="183"/>
      <c r="CL164" s="643"/>
      <c r="CM164" s="183"/>
      <c r="CN164" s="183"/>
      <c r="CO164" s="183"/>
      <c r="CP164" s="183"/>
      <c r="CQ164" s="643"/>
    </row>
    <row r="165" spans="5:95" hidden="1" x14ac:dyDescent="0.25">
      <c r="E165" s="54" t="s">
        <v>499</v>
      </c>
      <c r="F165" s="566"/>
      <c r="G165" s="566"/>
      <c r="H165" s="566"/>
      <c r="I165" s="566"/>
      <c r="J165" s="566"/>
      <c r="K165" s="122"/>
      <c r="L165" s="122"/>
      <c r="M165" s="122"/>
      <c r="N165" s="122"/>
      <c r="O165" s="566"/>
      <c r="P165" s="122"/>
      <c r="Q165" s="122"/>
      <c r="R165" s="122"/>
      <c r="S165" s="122"/>
      <c r="T165" s="566"/>
      <c r="U165" s="122"/>
      <c r="V165" s="122"/>
      <c r="W165" s="122"/>
      <c r="X165" s="122"/>
      <c r="Y165" s="566"/>
      <c r="Z165" s="128"/>
      <c r="AA165" s="128"/>
      <c r="AB165" s="128"/>
      <c r="AC165" s="128"/>
      <c r="AD165" s="566"/>
      <c r="AE165" s="128"/>
      <c r="AF165" s="128"/>
      <c r="AG165" s="128"/>
      <c r="AH165" s="128"/>
      <c r="AI165" s="513"/>
      <c r="AJ165" s="721"/>
      <c r="AK165" s="721"/>
      <c r="AL165" s="721"/>
      <c r="AM165" s="721"/>
      <c r="AN165" s="513"/>
      <c r="AO165" s="721"/>
      <c r="AP165" s="721"/>
      <c r="AQ165" s="721"/>
      <c r="AR165" s="726"/>
      <c r="AS165" s="566"/>
      <c r="AT165" s="445"/>
      <c r="AU165" s="445"/>
      <c r="AV165" s="439">
        <f>AV166*AV155</f>
        <v>-0.41781600000000002</v>
      </c>
      <c r="AW165" s="439">
        <f>AW166*AW155</f>
        <v>-0.42987999999999993</v>
      </c>
      <c r="AX165" s="566"/>
      <c r="AY165" s="439">
        <f>AY166*AY155</f>
        <v>-0.79151800000000005</v>
      </c>
      <c r="AZ165" s="439">
        <f>AZ166*AZ155</f>
        <v>0.77859599999999995</v>
      </c>
      <c r="BA165" s="439">
        <f>BA166*BA155</f>
        <v>-0.30631400000000003</v>
      </c>
      <c r="BB165" s="439">
        <f>BB166*BB155</f>
        <v>6.5650000000000014E-3</v>
      </c>
      <c r="BC165" s="566">
        <f>SUM(AY165:BB165)</f>
        <v>-0.31267100000000014</v>
      </c>
      <c r="BD165" s="439">
        <f>BD166*BD155</f>
        <v>0.3795</v>
      </c>
      <c r="BE165" s="439">
        <f>BE166*BE155</f>
        <v>0.63544500000000004</v>
      </c>
      <c r="BF165" s="439">
        <f>BF166*BF155</f>
        <v>0.21576000000000001</v>
      </c>
      <c r="BG165" s="439">
        <f>BG167-BG163</f>
        <v>-1.0900000000000001</v>
      </c>
      <c r="BH165" s="566">
        <f>SUM(BD165:BG165)</f>
        <v>0.14070499999999986</v>
      </c>
      <c r="BI165" s="439">
        <f>BI166*BI155</f>
        <v>0.61302000000000012</v>
      </c>
      <c r="BJ165" s="439">
        <f>BJ166*BJ155</f>
        <v>0.20385600000000001</v>
      </c>
      <c r="BK165" s="439">
        <f>BK166*BK155</f>
        <v>0.49204799999999999</v>
      </c>
      <c r="BL165" s="439">
        <f>BL166*BL155</f>
        <v>0.5619900000000001</v>
      </c>
      <c r="BM165" s="566">
        <f>SUM(BI165:BL165)</f>
        <v>1.8709140000000004</v>
      </c>
      <c r="BN165" s="439"/>
      <c r="BO165" s="439"/>
      <c r="BP165" s="439"/>
      <c r="BQ165" s="439"/>
      <c r="BR165" s="566"/>
      <c r="BS165" s="439"/>
      <c r="BT165" s="439"/>
      <c r="BU165" s="439"/>
      <c r="BV165" s="439"/>
      <c r="BW165" s="566"/>
      <c r="BX165" s="439"/>
      <c r="BY165" s="439"/>
      <c r="BZ165" s="439"/>
      <c r="CA165" s="439"/>
      <c r="CB165" s="566"/>
      <c r="CC165" s="439"/>
      <c r="CD165" s="439"/>
      <c r="CE165" s="439"/>
      <c r="CF165" s="439"/>
      <c r="CG165" s="566"/>
      <c r="CH165" s="439"/>
      <c r="CI165" s="439"/>
      <c r="CJ165" s="439"/>
      <c r="CK165" s="439"/>
      <c r="CL165" s="566"/>
      <c r="CM165" s="439"/>
      <c r="CN165" s="439"/>
      <c r="CO165" s="439"/>
      <c r="CP165" s="439"/>
      <c r="CQ165" s="566"/>
    </row>
    <row r="166" spans="5:95" ht="13.5" hidden="1" x14ac:dyDescent="0.25">
      <c r="E166" s="365" t="s">
        <v>460</v>
      </c>
      <c r="F166" s="569"/>
      <c r="G166" s="569"/>
      <c r="H166" s="569"/>
      <c r="I166" s="569"/>
      <c r="J166" s="569"/>
      <c r="K166" s="126"/>
      <c r="L166" s="126"/>
      <c r="M166" s="126"/>
      <c r="N166" s="126"/>
      <c r="O166" s="569"/>
      <c r="P166" s="126"/>
      <c r="Q166" s="126"/>
      <c r="R166" s="126"/>
      <c r="S166" s="126"/>
      <c r="T166" s="569"/>
      <c r="U166" s="126"/>
      <c r="V166" s="126"/>
      <c r="W166" s="126"/>
      <c r="X166" s="126"/>
      <c r="Y166" s="569"/>
      <c r="Z166" s="450"/>
      <c r="AA166" s="450"/>
      <c r="AB166" s="450"/>
      <c r="AC166" s="450"/>
      <c r="AD166" s="569"/>
      <c r="AE166" s="450"/>
      <c r="AF166" s="450"/>
      <c r="AG166" s="450"/>
      <c r="AH166" s="450"/>
      <c r="AI166" s="570"/>
      <c r="AJ166" s="91"/>
      <c r="AK166" s="91"/>
      <c r="AL166" s="91"/>
      <c r="AM166" s="91"/>
      <c r="AN166" s="570"/>
      <c r="AO166" s="91"/>
      <c r="AP166" s="91"/>
      <c r="AQ166" s="91"/>
      <c r="AR166" s="451"/>
      <c r="AS166" s="569"/>
      <c r="AT166" s="456"/>
      <c r="AU166" s="456"/>
      <c r="AV166" s="456">
        <v>-4.2000000000000003E-2</v>
      </c>
      <c r="AW166" s="456">
        <v>-4.3999999999999997E-2</v>
      </c>
      <c r="AX166" s="569"/>
      <c r="AY166" s="456">
        <v>-9.0999999999999998E-2</v>
      </c>
      <c r="AZ166" s="456">
        <v>9.1999999999999998E-2</v>
      </c>
      <c r="BA166" s="456">
        <v>-4.5999999999999999E-2</v>
      </c>
      <c r="BB166" s="456">
        <v>1E-3</v>
      </c>
      <c r="BC166" s="643">
        <f>BC165/BC155</f>
        <v>-1.0290307717623832E-2</v>
      </c>
      <c r="BD166" s="456">
        <v>5.5E-2</v>
      </c>
      <c r="BE166" s="456">
        <v>8.1000000000000003E-2</v>
      </c>
      <c r="BF166" s="362">
        <v>2.9000000000000001E-2</v>
      </c>
      <c r="BG166" s="365">
        <f>BG165/BG155</f>
        <v>-0.11572353753052342</v>
      </c>
      <c r="BH166" s="643">
        <f>BH165/BH155</f>
        <v>4.4521263131249156E-3</v>
      </c>
      <c r="BI166" s="456">
        <v>6.8000000000000005E-2</v>
      </c>
      <c r="BJ166" s="456">
        <v>2.4E-2</v>
      </c>
      <c r="BK166" s="456">
        <v>5.3999999999999999E-2</v>
      </c>
      <c r="BL166" s="456">
        <v>6.5000000000000002E-2</v>
      </c>
      <c r="BM166" s="643">
        <f>BM165/BM155</f>
        <v>5.3049990075708174E-2</v>
      </c>
      <c r="BN166" s="727"/>
      <c r="BO166" s="727"/>
      <c r="BP166" s="727"/>
      <c r="BQ166" s="727"/>
      <c r="BR166" s="643"/>
      <c r="BS166" s="183"/>
      <c r="BT166" s="183"/>
      <c r="BU166" s="183"/>
      <c r="BV166" s="183"/>
      <c r="BW166" s="581"/>
      <c r="BX166" s="183"/>
      <c r="BY166" s="183"/>
      <c r="BZ166" s="183"/>
      <c r="CA166" s="183"/>
      <c r="CB166" s="643"/>
      <c r="CC166" s="183"/>
      <c r="CD166" s="183"/>
      <c r="CE166" s="183"/>
      <c r="CF166" s="183"/>
      <c r="CG166" s="643"/>
      <c r="CH166" s="183"/>
      <c r="CI166" s="183"/>
      <c r="CJ166" s="183"/>
      <c r="CK166" s="183"/>
      <c r="CL166" s="643"/>
      <c r="CM166" s="183"/>
      <c r="CN166" s="183"/>
      <c r="CO166" s="183"/>
      <c r="CP166" s="183"/>
      <c r="CQ166" s="643"/>
    </row>
    <row r="167" spans="5:95" ht="13.5" hidden="1" x14ac:dyDescent="0.25">
      <c r="E167" s="444" t="s">
        <v>458</v>
      </c>
      <c r="F167" s="540"/>
      <c r="G167" s="540"/>
      <c r="H167" s="540"/>
      <c r="I167" s="540"/>
      <c r="J167" s="540"/>
      <c r="K167" s="173"/>
      <c r="L167" s="173"/>
      <c r="M167" s="173"/>
      <c r="N167" s="173"/>
      <c r="O167" s="540"/>
      <c r="P167" s="173"/>
      <c r="Q167" s="173"/>
      <c r="R167" s="173"/>
      <c r="S167" s="173"/>
      <c r="T167" s="540"/>
      <c r="U167" s="173"/>
      <c r="V167" s="173"/>
      <c r="W167" s="173"/>
      <c r="X167" s="173"/>
      <c r="Y167" s="540"/>
      <c r="Z167" s="457"/>
      <c r="AA167" s="457"/>
      <c r="AB167" s="457"/>
      <c r="AC167" s="457"/>
      <c r="AD167" s="540"/>
      <c r="AE167" s="457"/>
      <c r="AF167" s="457"/>
      <c r="AG167" s="457"/>
      <c r="AH167" s="457"/>
      <c r="AI167" s="545"/>
      <c r="AJ167" s="87"/>
      <c r="AK167" s="87"/>
      <c r="AL167" s="87"/>
      <c r="AM167" s="87"/>
      <c r="AN167" s="545"/>
      <c r="AO167" s="87"/>
      <c r="AP167" s="87"/>
      <c r="AQ167" s="87"/>
      <c r="AR167" s="458"/>
      <c r="AS167" s="540"/>
      <c r="AT167" s="460">
        <v>-0.61399999999999999</v>
      </c>
      <c r="AU167" s="460">
        <v>-0.83799999999999997</v>
      </c>
      <c r="AV167" s="460">
        <v>0.253</v>
      </c>
      <c r="AW167" s="460">
        <v>-1.073</v>
      </c>
      <c r="AX167" s="642">
        <f>SUM(AT167:AW167)</f>
        <v>-2.2719999999999998</v>
      </c>
      <c r="AY167" s="460">
        <v>-0.55900000000000005</v>
      </c>
      <c r="AZ167" s="460">
        <v>-2.653</v>
      </c>
      <c r="BA167" s="460">
        <v>-0.53300000000000003</v>
      </c>
      <c r="BB167" s="460">
        <v>-1.0589999999999999</v>
      </c>
      <c r="BC167" s="642">
        <f>SUM(AY167:BB167)</f>
        <v>-4.8040000000000003</v>
      </c>
      <c r="BD167" s="460">
        <v>-1.95</v>
      </c>
      <c r="BE167" s="460">
        <v>-0.54200000000000004</v>
      </c>
      <c r="BF167" s="460">
        <v>-1.036</v>
      </c>
      <c r="BG167" s="460">
        <v>-1.0900000000000001</v>
      </c>
      <c r="BH167" s="642">
        <f>SUM(BD167:BG167)</f>
        <v>-4.6180000000000003</v>
      </c>
      <c r="BI167" s="460">
        <v>0.65400000000000003</v>
      </c>
      <c r="BJ167" s="460">
        <v>0.223</v>
      </c>
      <c r="BK167" s="460">
        <v>0.5</v>
      </c>
      <c r="BL167" s="460">
        <v>0.56399999999999995</v>
      </c>
      <c r="BM167" s="642">
        <f>SUM(BI167:BL167)</f>
        <v>1.9409999999999998</v>
      </c>
      <c r="BN167" s="87"/>
      <c r="BO167" s="87"/>
      <c r="BP167" s="87"/>
      <c r="BQ167" s="87"/>
      <c r="BR167" s="642"/>
      <c r="BS167" s="87"/>
      <c r="BT167" s="87"/>
      <c r="BU167" s="87"/>
      <c r="BV167" s="87"/>
      <c r="BW167" s="642"/>
      <c r="BX167" s="87"/>
      <c r="BY167" s="87"/>
      <c r="BZ167" s="87"/>
      <c r="CA167" s="87"/>
      <c r="CB167" s="642"/>
      <c r="CC167" s="87"/>
      <c r="CD167" s="87"/>
      <c r="CE167" s="87"/>
      <c r="CF167" s="87"/>
      <c r="CG167" s="642"/>
      <c r="CH167" s="87"/>
      <c r="CI167" s="87"/>
      <c r="CJ167" s="87"/>
      <c r="CK167" s="87"/>
      <c r="CL167" s="642"/>
      <c r="CM167" s="87"/>
      <c r="CN167" s="87"/>
      <c r="CO167" s="87"/>
      <c r="CP167" s="87"/>
      <c r="CQ167" s="642"/>
    </row>
    <row r="168" spans="5:95" ht="13.5" hidden="1" x14ac:dyDescent="0.25">
      <c r="E168" s="365" t="s">
        <v>91</v>
      </c>
      <c r="F168" s="569"/>
      <c r="G168" s="569"/>
      <c r="H168" s="569"/>
      <c r="I168" s="569"/>
      <c r="J168" s="569"/>
      <c r="K168" s="126"/>
      <c r="L168" s="126"/>
      <c r="M168" s="126"/>
      <c r="N168" s="126"/>
      <c r="O168" s="569"/>
      <c r="P168" s="126"/>
      <c r="Q168" s="126"/>
      <c r="R168" s="126"/>
      <c r="S168" s="126"/>
      <c r="T168" s="569"/>
      <c r="U168" s="126"/>
      <c r="V168" s="126"/>
      <c r="W168" s="126"/>
      <c r="X168" s="126"/>
      <c r="Y168" s="569"/>
      <c r="Z168" s="450"/>
      <c r="AA168" s="450"/>
      <c r="AB168" s="450"/>
      <c r="AC168" s="450"/>
      <c r="AD168" s="569"/>
      <c r="AE168" s="450"/>
      <c r="AF168" s="450"/>
      <c r="AG168" s="450"/>
      <c r="AH168" s="450"/>
      <c r="AI168" s="570"/>
      <c r="AJ168" s="91"/>
      <c r="AK168" s="91"/>
      <c r="AL168" s="91"/>
      <c r="AM168" s="91"/>
      <c r="AN168" s="570"/>
      <c r="AO168" s="91"/>
      <c r="AP168" s="91"/>
      <c r="AQ168" s="91"/>
      <c r="AR168" s="451"/>
      <c r="AS168" s="569"/>
      <c r="AT168" s="365">
        <f t="shared" ref="AT168:BM168" si="36">AT167/AT157</f>
        <v>-3.524886618060738E-2</v>
      </c>
      <c r="AU168" s="365">
        <f t="shared" si="36"/>
        <v>-4.7128957876384908E-2</v>
      </c>
      <c r="AV168" s="365">
        <f t="shared" si="36"/>
        <v>1.2495061240616357E-2</v>
      </c>
      <c r="AW168" s="365">
        <f t="shared" si="36"/>
        <v>-5.4828819621870209E-2</v>
      </c>
      <c r="AX168" s="643">
        <f t="shared" si="36"/>
        <v>-3.0286064677810656E-2</v>
      </c>
      <c r="AY168" s="365">
        <f t="shared" si="36"/>
        <v>-3.1059006556284033E-2</v>
      </c>
      <c r="AZ168" s="365">
        <f t="shared" si="36"/>
        <v>-0.15732669157326692</v>
      </c>
      <c r="BA168" s="365">
        <f t="shared" si="36"/>
        <v>-3.2781843901838983E-2</v>
      </c>
      <c r="BB168" s="365">
        <f t="shared" si="36"/>
        <v>-6.5109130033814938E-2</v>
      </c>
      <c r="BC168" s="583">
        <f t="shared" si="36"/>
        <v>-7.1291830526081471E-2</v>
      </c>
      <c r="BD168" s="365">
        <f t="shared" si="36"/>
        <v>-0.21942162709575783</v>
      </c>
      <c r="BE168" s="365">
        <f t="shared" si="36"/>
        <v>-6.1562925942753297E-2</v>
      </c>
      <c r="BF168" s="365">
        <f t="shared" si="36"/>
        <v>-0.12885572139303483</v>
      </c>
      <c r="BG168" s="365">
        <f t="shared" si="36"/>
        <v>-0.11572353753052342</v>
      </c>
      <c r="BH168" s="643">
        <f t="shared" si="36"/>
        <v>-0.13137980085348505</v>
      </c>
      <c r="BI168" s="365">
        <f t="shared" si="36"/>
        <v>7.2545757071547423E-2</v>
      </c>
      <c r="BJ168" s="365">
        <f t="shared" si="36"/>
        <v>2.6253826230280199E-2</v>
      </c>
      <c r="BK168" s="365">
        <f t="shared" si="36"/>
        <v>5.4872695346795432E-2</v>
      </c>
      <c r="BL168" s="365">
        <f t="shared" si="36"/>
        <v>6.5232477446217893E-2</v>
      </c>
      <c r="BM168" s="643">
        <f t="shared" si="36"/>
        <v>5.5037286982164618E-2</v>
      </c>
      <c r="BN168" s="365"/>
      <c r="BO168" s="475"/>
      <c r="BP168" s="475"/>
      <c r="BQ168" s="475"/>
      <c r="BR168" s="643"/>
      <c r="BS168" s="475"/>
      <c r="BT168" s="475"/>
      <c r="BU168" s="475"/>
      <c r="BV168" s="475"/>
      <c r="BW168" s="581"/>
      <c r="BX168" s="365"/>
      <c r="BY168" s="365"/>
      <c r="BZ168" s="365"/>
      <c r="CA168" s="365"/>
      <c r="CB168" s="643"/>
      <c r="CC168" s="365"/>
      <c r="CD168" s="365"/>
      <c r="CE168" s="365"/>
      <c r="CF168" s="365"/>
      <c r="CG168" s="643"/>
      <c r="CH168" s="365"/>
      <c r="CI168" s="365"/>
      <c r="CJ168" s="365"/>
      <c r="CK168" s="365"/>
      <c r="CL168" s="643"/>
      <c r="CM168" s="365"/>
      <c r="CN168" s="365"/>
      <c r="CO168" s="365"/>
      <c r="CP168" s="365"/>
      <c r="CQ168" s="643"/>
    </row>
    <row r="169" spans="5:95" hidden="1" x14ac:dyDescent="0.25">
      <c r="E169" s="54"/>
      <c r="F169" s="566"/>
      <c r="G169" s="566"/>
      <c r="H169" s="566"/>
      <c r="I169" s="566"/>
      <c r="J169" s="566"/>
      <c r="K169" s="122"/>
      <c r="L169" s="122"/>
      <c r="M169" s="122"/>
      <c r="N169" s="122"/>
      <c r="O169" s="566"/>
      <c r="P169" s="122"/>
      <c r="Q169" s="122"/>
      <c r="R169" s="122"/>
      <c r="S169" s="122"/>
      <c r="T169" s="566"/>
      <c r="U169" s="122"/>
      <c r="V169" s="122"/>
      <c r="W169" s="122"/>
      <c r="X169" s="122"/>
      <c r="Y169" s="566"/>
      <c r="Z169" s="128"/>
      <c r="AA169" s="128"/>
      <c r="AB169" s="128"/>
      <c r="AC169" s="128"/>
      <c r="AD169" s="566"/>
      <c r="AE169" s="128"/>
      <c r="AF169" s="128"/>
      <c r="AG169" s="128"/>
      <c r="AH169" s="128"/>
      <c r="AI169" s="513"/>
      <c r="AJ169" s="721"/>
      <c r="AK169" s="721"/>
      <c r="AL169" s="721"/>
      <c r="AM169" s="721"/>
      <c r="AN169" s="513"/>
      <c r="AO169" s="721"/>
      <c r="AP169" s="721"/>
      <c r="AQ169" s="721"/>
      <c r="AR169" s="726"/>
      <c r="AS169" s="566"/>
      <c r="AT169" s="439"/>
      <c r="AU169" s="439"/>
      <c r="AV169" s="439"/>
      <c r="AW169" s="439"/>
      <c r="AX169" s="568"/>
      <c r="AY169" s="439"/>
      <c r="AZ169" s="439"/>
      <c r="BA169" s="439"/>
      <c r="BB169" s="408"/>
      <c r="BC169" s="568"/>
      <c r="BD169" s="408"/>
      <c r="BE169" s="408"/>
      <c r="BF169" s="408"/>
      <c r="BG169" s="408"/>
      <c r="BH169" s="568"/>
      <c r="BI169" s="408"/>
      <c r="BJ169" s="408"/>
      <c r="BK169" s="408"/>
      <c r="BL169" s="408"/>
      <c r="BM169" s="568"/>
      <c r="BN169" s="408"/>
      <c r="BO169" s="408"/>
      <c r="BP169" s="408"/>
      <c r="BQ169" s="408"/>
      <c r="BR169" s="568"/>
      <c r="BS169" s="408"/>
      <c r="BT169" s="408"/>
      <c r="BU169" s="408"/>
      <c r="BV169" s="408"/>
      <c r="BW169" s="568"/>
      <c r="BX169" s="408"/>
      <c r="BY169" s="408"/>
      <c r="BZ169" s="408"/>
      <c r="CA169" s="408"/>
      <c r="CB169" s="568"/>
      <c r="CC169" s="408"/>
      <c r="CD169" s="408"/>
      <c r="CE169" s="408"/>
      <c r="CF169" s="408"/>
      <c r="CG169" s="568"/>
      <c r="CH169" s="408"/>
      <c r="CI169" s="408"/>
      <c r="CJ169" s="408"/>
      <c r="CK169" s="408"/>
      <c r="CL169" s="568"/>
      <c r="CM169" s="408"/>
      <c r="CN169" s="408"/>
      <c r="CO169" s="408"/>
      <c r="CP169" s="408"/>
      <c r="CQ169" s="568"/>
    </row>
    <row r="170" spans="5:95" hidden="1" x14ac:dyDescent="0.25">
      <c r="E170" s="54" t="s">
        <v>496</v>
      </c>
      <c r="F170" s="566"/>
      <c r="G170" s="566"/>
      <c r="H170" s="566"/>
      <c r="I170" s="566"/>
      <c r="J170" s="566"/>
      <c r="K170" s="122"/>
      <c r="L170" s="122"/>
      <c r="M170" s="122"/>
      <c r="N170" s="122"/>
      <c r="O170" s="566"/>
      <c r="P170" s="122"/>
      <c r="Q170" s="122"/>
      <c r="R170" s="122"/>
      <c r="S170" s="122"/>
      <c r="T170" s="566"/>
      <c r="U170" s="122"/>
      <c r="V170" s="122"/>
      <c r="W170" s="122"/>
      <c r="X170" s="122"/>
      <c r="Y170" s="566"/>
      <c r="Z170" s="128"/>
      <c r="AA170" s="128"/>
      <c r="AB170" s="128"/>
      <c r="AC170" s="128"/>
      <c r="AD170" s="566"/>
      <c r="AE170" s="128"/>
      <c r="AF170" s="128"/>
      <c r="AG170" s="128"/>
      <c r="AH170" s="128"/>
      <c r="AI170" s="513"/>
      <c r="AJ170" s="721"/>
      <c r="AK170" s="721"/>
      <c r="AL170" s="721"/>
      <c r="AM170" s="721"/>
      <c r="AN170" s="513"/>
      <c r="AO170" s="721"/>
      <c r="AP170" s="721"/>
      <c r="AQ170" s="721"/>
      <c r="AR170" s="726"/>
      <c r="AS170" s="566"/>
      <c r="AT170" s="439"/>
      <c r="AU170" s="439"/>
      <c r="AV170" s="439">
        <f>AV171*AV$143</f>
        <v>20.077200000000001</v>
      </c>
      <c r="AW170" s="439">
        <f>AW171*AW$143</f>
        <v>29.201999999999998</v>
      </c>
      <c r="AX170" s="566"/>
      <c r="AY170" s="721">
        <f>AY171*AY$143</f>
        <v>23.058399999999999</v>
      </c>
      <c r="AZ170" s="721">
        <f>AZ171*AZ$143</f>
        <v>29.376300000000001</v>
      </c>
      <c r="BA170" s="721">
        <f>BA171*BA$143</f>
        <v>21.784499999999998</v>
      </c>
      <c r="BB170" s="721">
        <f>BB171*BB$143</f>
        <v>28.696000000000005</v>
      </c>
      <c r="BC170" s="566"/>
      <c r="BD170" s="721">
        <f>BD171*BD$143</f>
        <v>21.645</v>
      </c>
      <c r="BE170" s="439">
        <f>BE171*BE$143</f>
        <v>22.923000000000002</v>
      </c>
      <c r="BF170" s="439">
        <f>BF171*BF$143</f>
        <v>20.172699999999999</v>
      </c>
      <c r="BG170" s="439">
        <f>BG171*BG$143</f>
        <v>19.522800000000004</v>
      </c>
      <c r="BH170" s="566">
        <f>SUM(BD170:BG170)</f>
        <v>84.263500000000008</v>
      </c>
      <c r="BI170" s="439">
        <f>BI171*BI$143</f>
        <v>16.830200000000001</v>
      </c>
      <c r="BJ170" s="439">
        <f>BJ171*BJ$143</f>
        <v>17.101260000000003</v>
      </c>
      <c r="BK170" s="439">
        <f>BK171*BK$143</f>
        <v>20.043225000000003</v>
      </c>
      <c r="BL170" s="439">
        <f>BL171*BL$143</f>
        <v>24.257940000000001</v>
      </c>
      <c r="BM170" s="566">
        <f>SUM(BI170:BL170)</f>
        <v>78.232625000000013</v>
      </c>
      <c r="BN170" s="439">
        <f>BN171*BN$143</f>
        <v>13.4475</v>
      </c>
      <c r="BO170" s="439">
        <f>BO171*BO$143</f>
        <v>9.7569999999999997</v>
      </c>
      <c r="BP170" s="439">
        <f>BP171*BP$143</f>
        <v>13.531319999999999</v>
      </c>
      <c r="BQ170" s="439">
        <f>BQ171*BQ$143</f>
        <v>16.677</v>
      </c>
      <c r="BR170" s="566">
        <f>SUM(BN170:BQ170)</f>
        <v>53.412819999999996</v>
      </c>
      <c r="BS170" s="439"/>
      <c r="BT170" s="439"/>
      <c r="BU170" s="439"/>
      <c r="BV170" s="439"/>
      <c r="BW170" s="566"/>
      <c r="BX170" s="439"/>
      <c r="BY170" s="439"/>
      <c r="BZ170" s="439"/>
      <c r="CA170" s="439"/>
      <c r="CB170" s="566"/>
      <c r="CC170" s="439"/>
      <c r="CD170" s="439"/>
      <c r="CE170" s="439"/>
      <c r="CF170" s="439"/>
      <c r="CG170" s="566"/>
      <c r="CH170" s="439"/>
      <c r="CI170" s="439"/>
      <c r="CJ170" s="439"/>
      <c r="CK170" s="439"/>
      <c r="CL170" s="566"/>
      <c r="CM170" s="439"/>
      <c r="CN170" s="439"/>
      <c r="CO170" s="439"/>
      <c r="CP170" s="439"/>
      <c r="CQ170" s="566"/>
    </row>
    <row r="171" spans="5:95" ht="13.5" hidden="1" x14ac:dyDescent="0.3">
      <c r="E171" s="365" t="s">
        <v>457</v>
      </c>
      <c r="F171" s="566"/>
      <c r="G171" s="566"/>
      <c r="H171" s="566"/>
      <c r="I171" s="566"/>
      <c r="J171" s="566"/>
      <c r="K171" s="122"/>
      <c r="L171" s="122"/>
      <c r="M171" s="122"/>
      <c r="N171" s="122"/>
      <c r="O171" s="566"/>
      <c r="P171" s="122"/>
      <c r="Q171" s="122"/>
      <c r="R171" s="122"/>
      <c r="S171" s="122"/>
      <c r="T171" s="566"/>
      <c r="U171" s="122"/>
      <c r="V171" s="122"/>
      <c r="W171" s="122"/>
      <c r="X171" s="122"/>
      <c r="Y171" s="566"/>
      <c r="Z171" s="128"/>
      <c r="AA171" s="128"/>
      <c r="AB171" s="128"/>
      <c r="AC171" s="128"/>
      <c r="AD171" s="566"/>
      <c r="AE171" s="128"/>
      <c r="AF171" s="128"/>
      <c r="AG171" s="128"/>
      <c r="AH171" s="128"/>
      <c r="AI171" s="513"/>
      <c r="AJ171" s="721"/>
      <c r="AK171" s="721"/>
      <c r="AL171" s="721"/>
      <c r="AM171" s="721"/>
      <c r="AN171" s="570"/>
      <c r="AO171" s="721"/>
      <c r="AP171" s="721"/>
      <c r="AQ171" s="721"/>
      <c r="AR171" s="726"/>
      <c r="AS171" s="569"/>
      <c r="AT171" s="456"/>
      <c r="AU171" s="456"/>
      <c r="AV171" s="456">
        <v>0.13200000000000001</v>
      </c>
      <c r="AW171" s="456">
        <v>0.186</v>
      </c>
      <c r="AX171" s="569"/>
      <c r="AY171" s="456">
        <v>0.14799999999999999</v>
      </c>
      <c r="AZ171" s="456">
        <v>0.18099999999999999</v>
      </c>
      <c r="BA171" s="456">
        <v>0.14099999999999999</v>
      </c>
      <c r="BB171" s="456">
        <v>0.17</v>
      </c>
      <c r="BC171" s="569"/>
      <c r="BD171" s="456">
        <v>0.13</v>
      </c>
      <c r="BE171" s="456">
        <v>0.13500000000000001</v>
      </c>
      <c r="BF171" s="362">
        <v>0.122</v>
      </c>
      <c r="BG171" s="362">
        <v>0.11600000000000001</v>
      </c>
      <c r="BH171" s="643">
        <f>BH170/BH143</f>
        <v>0.12577580416448988</v>
      </c>
      <c r="BI171" s="456">
        <v>0.10299999999999999</v>
      </c>
      <c r="BJ171" s="456">
        <v>9.9000000000000005E-2</v>
      </c>
      <c r="BK171" s="456">
        <v>0.1145</v>
      </c>
      <c r="BL171" s="456">
        <v>0.1338</v>
      </c>
      <c r="BM171" s="643">
        <f>BM170/BM143</f>
        <v>0.11297293101705441</v>
      </c>
      <c r="BN171" s="456">
        <v>8.2500000000000004E-2</v>
      </c>
      <c r="BO171" s="456">
        <v>5.5E-2</v>
      </c>
      <c r="BP171" s="456">
        <v>7.3700000000000002E-2</v>
      </c>
      <c r="BQ171" s="481">
        <v>0.09</v>
      </c>
      <c r="BR171" s="643">
        <f>BR170/BR143</f>
        <v>7.5303566896940649E-2</v>
      </c>
      <c r="BS171" s="727"/>
      <c r="BT171" s="727"/>
      <c r="BU171" s="727"/>
      <c r="BV171" s="727"/>
      <c r="BW171" s="643"/>
      <c r="BX171" s="727"/>
      <c r="BY171" s="727"/>
      <c r="BZ171" s="727"/>
      <c r="CA171" s="727"/>
      <c r="CB171" s="643"/>
      <c r="CC171" s="183"/>
      <c r="CD171" s="183"/>
      <c r="CE171" s="183"/>
      <c r="CF171" s="183"/>
      <c r="CG171" s="643"/>
      <c r="CH171" s="183"/>
      <c r="CI171" s="183"/>
      <c r="CJ171" s="183"/>
      <c r="CK171" s="183"/>
      <c r="CL171" s="643"/>
      <c r="CM171" s="183"/>
      <c r="CN171" s="183"/>
      <c r="CO171" s="183"/>
      <c r="CP171" s="183"/>
      <c r="CQ171" s="643"/>
    </row>
    <row r="172" spans="5:95" hidden="1" x14ac:dyDescent="0.25">
      <c r="E172" s="54" t="s">
        <v>497</v>
      </c>
      <c r="F172" s="566"/>
      <c r="G172" s="566"/>
      <c r="H172" s="566"/>
      <c r="I172" s="566"/>
      <c r="J172" s="566"/>
      <c r="K172" s="122"/>
      <c r="L172" s="122"/>
      <c r="M172" s="122"/>
      <c r="N172" s="122"/>
      <c r="O172" s="566"/>
      <c r="P172" s="122"/>
      <c r="Q172" s="122"/>
      <c r="R172" s="122"/>
      <c r="S172" s="122"/>
      <c r="T172" s="566"/>
      <c r="U172" s="122"/>
      <c r="V172" s="122"/>
      <c r="W172" s="122"/>
      <c r="X172" s="122"/>
      <c r="Y172" s="566"/>
      <c r="Z172" s="128"/>
      <c r="AA172" s="128"/>
      <c r="AB172" s="128"/>
      <c r="AC172" s="128"/>
      <c r="AD172" s="566"/>
      <c r="AE172" s="128"/>
      <c r="AF172" s="128"/>
      <c r="AG172" s="128"/>
      <c r="AH172" s="128"/>
      <c r="AI172" s="513"/>
      <c r="AJ172" s="721"/>
      <c r="AK172" s="721"/>
      <c r="AL172" s="721"/>
      <c r="AM172" s="721"/>
      <c r="AN172" s="513"/>
      <c r="AO172" s="721"/>
      <c r="AP172" s="721"/>
      <c r="AQ172" s="721"/>
      <c r="AR172" s="726"/>
      <c r="AS172" s="566"/>
      <c r="AT172" s="445"/>
      <c r="AU172" s="445"/>
      <c r="AV172" s="439">
        <f>AV173*AV145</f>
        <v>1.3162680000000004</v>
      </c>
      <c r="AW172" s="439">
        <f>AW173*AW145</f>
        <v>7.1809999999999999E-2</v>
      </c>
      <c r="AX172" s="566"/>
      <c r="AY172" s="439">
        <f>AY173*AY145</f>
        <v>-5.8683959999999997</v>
      </c>
      <c r="AZ172" s="439">
        <f>AZ173*AZ145</f>
        <v>-2.3489899999999992</v>
      </c>
      <c r="BA172" s="439">
        <f>BA173*BA145</f>
        <v>-0.32961000000000013</v>
      </c>
      <c r="BB172" s="439">
        <f>BB173*BB145</f>
        <v>1.3147999999999997</v>
      </c>
      <c r="BC172" s="566"/>
      <c r="BD172" s="439">
        <f>BD173*BD145</f>
        <v>-2.8840020000000002</v>
      </c>
      <c r="BE172" s="439">
        <f>BE173*BE145</f>
        <v>-0.72004999999999986</v>
      </c>
      <c r="BF172" s="439">
        <f>BF173*BF145</f>
        <v>-1.6089839999999995</v>
      </c>
      <c r="BG172" s="439" t="e">
        <f>#REF!-BG170</f>
        <v>#REF!</v>
      </c>
      <c r="BH172" s="566" t="e">
        <f>SUM(BD172:BG172)</f>
        <v>#REF!</v>
      </c>
      <c r="BI172" s="439">
        <f>BI173*BI145</f>
        <v>-4.0980240000000006</v>
      </c>
      <c r="BJ172" s="439">
        <f>BJ173*BJ145</f>
        <v>-1.1002679999999996</v>
      </c>
      <c r="BK172" s="439">
        <f>BK173*BK145</f>
        <v>2.4594135999999995</v>
      </c>
      <c r="BL172" s="439">
        <f>BL173*BL145</f>
        <v>2.9860599999999984</v>
      </c>
      <c r="BM172" s="566">
        <f>SUM(BI172:BL172)</f>
        <v>0.24718159999999756</v>
      </c>
      <c r="BN172" s="439">
        <f>BN173*BN145</f>
        <v>-3.1735219999999993</v>
      </c>
      <c r="BO172" s="439" t="e">
        <f>#REF!-BO170</f>
        <v>#REF!</v>
      </c>
      <c r="BP172" s="439">
        <f>BP173*BP145</f>
        <v>0.17252200000000012</v>
      </c>
      <c r="BQ172" s="439" t="e">
        <f>#REF!-BQ170</f>
        <v>#REF!</v>
      </c>
      <c r="BR172" s="566" t="e">
        <f>SUM(BN172:BQ172)</f>
        <v>#REF!</v>
      </c>
      <c r="BS172" s="439"/>
      <c r="BT172" s="439"/>
      <c r="BU172" s="439"/>
      <c r="BV172" s="439"/>
      <c r="BW172" s="566"/>
      <c r="BX172" s="439"/>
      <c r="BY172" s="439"/>
      <c r="BZ172" s="439"/>
      <c r="CA172" s="439"/>
      <c r="CB172" s="566"/>
      <c r="CC172" s="439"/>
      <c r="CD172" s="439"/>
      <c r="CE172" s="439"/>
      <c r="CF172" s="439"/>
      <c r="CG172" s="566"/>
      <c r="CH172" s="439"/>
      <c r="CI172" s="439"/>
      <c r="CJ172" s="439"/>
      <c r="CK172" s="439"/>
      <c r="CL172" s="566"/>
      <c r="CM172" s="439"/>
      <c r="CN172" s="439"/>
      <c r="CO172" s="439"/>
      <c r="CP172" s="439"/>
      <c r="CQ172" s="566"/>
    </row>
    <row r="173" spans="5:95" ht="13.5" hidden="1" x14ac:dyDescent="0.25">
      <c r="E173" s="365" t="s">
        <v>460</v>
      </c>
      <c r="F173" s="566"/>
      <c r="G173" s="566"/>
      <c r="H173" s="566"/>
      <c r="I173" s="566"/>
      <c r="J173" s="566"/>
      <c r="K173" s="122"/>
      <c r="L173" s="122"/>
      <c r="M173" s="122"/>
      <c r="N173" s="122"/>
      <c r="O173" s="566"/>
      <c r="P173" s="122"/>
      <c r="Q173" s="122"/>
      <c r="R173" s="122"/>
      <c r="S173" s="122"/>
      <c r="T173" s="566"/>
      <c r="U173" s="122"/>
      <c r="V173" s="122"/>
      <c r="W173" s="122"/>
      <c r="X173" s="122"/>
      <c r="Y173" s="566"/>
      <c r="Z173" s="128"/>
      <c r="AA173" s="128"/>
      <c r="AB173" s="128"/>
      <c r="AC173" s="128"/>
      <c r="AD173" s="566"/>
      <c r="AE173" s="128"/>
      <c r="AF173" s="128"/>
      <c r="AG173" s="128"/>
      <c r="AH173" s="128"/>
      <c r="AI173" s="513"/>
      <c r="AJ173" s="721"/>
      <c r="AK173" s="721"/>
      <c r="AL173" s="721"/>
      <c r="AM173" s="721"/>
      <c r="AN173" s="570"/>
      <c r="AO173" s="721"/>
      <c r="AP173" s="721"/>
      <c r="AQ173" s="721"/>
      <c r="AR173" s="726"/>
      <c r="AS173" s="569"/>
      <c r="AT173" s="456"/>
      <c r="AU173" s="456"/>
      <c r="AV173" s="456">
        <v>3.5999999999999997E-2</v>
      </c>
      <c r="AW173" s="456">
        <v>2E-3</v>
      </c>
      <c r="AX173" s="569"/>
      <c r="AY173" s="456">
        <v>-0.20100000000000001</v>
      </c>
      <c r="AZ173" s="456">
        <v>-7.0000000000000007E-2</v>
      </c>
      <c r="BA173" s="456">
        <v>-0.01</v>
      </c>
      <c r="BB173" s="456">
        <v>3.7999999999999999E-2</v>
      </c>
      <c r="BC173" s="569"/>
      <c r="BD173" s="456">
        <v>-0.111</v>
      </c>
      <c r="BE173" s="456">
        <v>-2.5000000000000001E-2</v>
      </c>
      <c r="BF173" s="362">
        <v>-5.3999999999999999E-2</v>
      </c>
      <c r="BG173" s="362">
        <v>0.06</v>
      </c>
      <c r="BH173" s="643" t="e">
        <f>BH172/BH145</f>
        <v>#REF!</v>
      </c>
      <c r="BI173" s="456">
        <v>-0.16800000000000001</v>
      </c>
      <c r="BJ173" s="456">
        <v>-3.9E-2</v>
      </c>
      <c r="BK173" s="456">
        <v>7.7799999999999994E-2</v>
      </c>
      <c r="BL173" s="456">
        <v>0.10497293116782672</v>
      </c>
      <c r="BM173" s="643">
        <f>BM172/BM145</f>
        <v>2.1939909286988416E-3</v>
      </c>
      <c r="BN173" s="456">
        <v>-0.13400000000000001</v>
      </c>
      <c r="BO173" s="363" t="e">
        <f>BO172/BO145</f>
        <v>#REF!</v>
      </c>
      <c r="BP173" s="456">
        <v>7.0000000000000001E-3</v>
      </c>
      <c r="BQ173" s="363" t="e">
        <f>BQ172/BQ145</f>
        <v>#REF!</v>
      </c>
      <c r="BR173" s="643" t="e">
        <f>BR172/BR145</f>
        <v>#REF!</v>
      </c>
      <c r="BS173" s="727"/>
      <c r="BT173" s="727"/>
      <c r="BU173" s="727"/>
      <c r="BV173" s="727"/>
      <c r="BW173" s="643"/>
      <c r="BX173" s="727"/>
      <c r="BY173" s="727"/>
      <c r="BZ173" s="727"/>
      <c r="CA173" s="727"/>
      <c r="CB173" s="643"/>
      <c r="CC173" s="183"/>
      <c r="CD173" s="183"/>
      <c r="CE173" s="183"/>
      <c r="CF173" s="183"/>
      <c r="CG173" s="643"/>
      <c r="CH173" s="183"/>
      <c r="CI173" s="183"/>
      <c r="CJ173" s="183"/>
      <c r="CK173" s="183"/>
      <c r="CL173" s="643"/>
      <c r="CM173" s="183"/>
      <c r="CN173" s="183"/>
      <c r="CO173" s="183"/>
      <c r="CP173" s="183"/>
      <c r="CQ173" s="643"/>
    </row>
    <row r="174" spans="5:95" hidden="1" x14ac:dyDescent="0.25">
      <c r="E174" s="54"/>
      <c r="F174" s="566"/>
      <c r="G174" s="566"/>
      <c r="H174" s="566"/>
      <c r="I174" s="566"/>
      <c r="J174" s="566"/>
      <c r="K174" s="122"/>
      <c r="L174" s="122"/>
      <c r="M174" s="122"/>
      <c r="N174" s="122"/>
      <c r="O174" s="566"/>
      <c r="P174" s="122"/>
      <c r="Q174" s="122"/>
      <c r="R174" s="122"/>
      <c r="S174" s="122"/>
      <c r="T174" s="566"/>
      <c r="U174" s="122"/>
      <c r="V174" s="122"/>
      <c r="W174" s="122"/>
      <c r="X174" s="122"/>
      <c r="Y174" s="566"/>
      <c r="Z174" s="128"/>
      <c r="AA174" s="128"/>
      <c r="AB174" s="128"/>
      <c r="AC174" s="128"/>
      <c r="AD174" s="566"/>
      <c r="AE174" s="128"/>
      <c r="AF174" s="128"/>
      <c r="AG174" s="128"/>
      <c r="AH174" s="128"/>
      <c r="AI174" s="513"/>
      <c r="AJ174" s="721"/>
      <c r="AK174" s="721"/>
      <c r="AL174" s="721"/>
      <c r="AM174" s="721"/>
      <c r="AN174" s="513"/>
      <c r="AO174" s="721"/>
      <c r="AP174" s="721"/>
      <c r="AQ174" s="721"/>
      <c r="AR174" s="726"/>
      <c r="AS174" s="566"/>
      <c r="AT174" s="439"/>
      <c r="AU174" s="439"/>
      <c r="AV174" s="439"/>
      <c r="AW174" s="439"/>
      <c r="AX174" s="568"/>
      <c r="AY174" s="439"/>
      <c r="AZ174" s="439"/>
      <c r="BA174" s="439"/>
      <c r="BB174" s="408"/>
      <c r="BC174" s="568"/>
      <c r="BD174" s="408"/>
      <c r="BE174" s="408"/>
      <c r="BF174" s="408"/>
      <c r="BG174" s="408"/>
      <c r="BH174" s="568"/>
      <c r="BI174" s="408"/>
      <c r="BJ174" s="408"/>
      <c r="BK174" s="408"/>
      <c r="BL174" s="408"/>
      <c r="BM174" s="568"/>
      <c r="BN174" s="408"/>
      <c r="BO174" s="408"/>
      <c r="BP174" s="408"/>
      <c r="BQ174" s="408"/>
      <c r="BR174" s="568"/>
      <c r="BS174" s="408"/>
      <c r="BT174" s="408"/>
      <c r="BU174" s="408"/>
      <c r="BV174" s="408"/>
      <c r="BW174" s="568"/>
      <c r="BX174" s="408"/>
      <c r="BY174" s="408"/>
      <c r="BZ174" s="408"/>
      <c r="CA174" s="408"/>
      <c r="CB174" s="568"/>
      <c r="CC174" s="408"/>
      <c r="CD174" s="408"/>
      <c r="CE174" s="408"/>
      <c r="CF174" s="408"/>
      <c r="CG174" s="568"/>
      <c r="CH174" s="408"/>
      <c r="CI174" s="408"/>
      <c r="CJ174" s="408"/>
      <c r="CK174" s="408"/>
      <c r="CL174" s="568"/>
      <c r="CM174" s="408"/>
      <c r="CN174" s="408"/>
      <c r="CO174" s="408"/>
      <c r="CP174" s="408"/>
      <c r="CQ174" s="568"/>
    </row>
    <row r="175" spans="5:95" ht="13.5" hidden="1" x14ac:dyDescent="0.25">
      <c r="E175" s="365" t="s">
        <v>563</v>
      </c>
      <c r="F175" s="644"/>
      <c r="G175" s="644"/>
      <c r="H175" s="644"/>
      <c r="I175" s="644"/>
      <c r="J175" s="644"/>
      <c r="K175" s="461"/>
      <c r="L175" s="461"/>
      <c r="M175" s="461"/>
      <c r="N175" s="461"/>
      <c r="O175" s="644"/>
      <c r="P175" s="461"/>
      <c r="Q175" s="461"/>
      <c r="R175" s="461"/>
      <c r="S175" s="461"/>
      <c r="T175" s="644"/>
      <c r="U175" s="461"/>
      <c r="V175" s="461"/>
      <c r="W175" s="461"/>
      <c r="X175" s="461"/>
      <c r="Y175" s="644"/>
      <c r="Z175" s="461"/>
      <c r="AA175" s="461"/>
      <c r="AB175" s="461"/>
      <c r="AC175" s="461"/>
      <c r="AD175" s="644"/>
      <c r="AE175" s="461"/>
      <c r="AF175" s="461"/>
      <c r="AG175" s="461"/>
      <c r="AH175" s="461"/>
      <c r="AI175" s="644"/>
      <c r="AJ175" s="463"/>
      <c r="AK175" s="463"/>
      <c r="AL175" s="463"/>
      <c r="AM175" s="463"/>
      <c r="AN175" s="644"/>
      <c r="AO175" s="463"/>
      <c r="AP175" s="463"/>
      <c r="AQ175" s="463"/>
      <c r="AR175" s="463"/>
      <c r="AS175" s="644"/>
      <c r="AT175" s="463"/>
      <c r="AU175" s="463"/>
      <c r="AV175" s="463"/>
      <c r="AW175" s="463"/>
      <c r="AX175" s="644"/>
      <c r="AY175" s="463"/>
      <c r="AZ175" s="463"/>
      <c r="BA175" s="463"/>
      <c r="BB175" s="463"/>
      <c r="BC175" s="644"/>
      <c r="BD175" s="463"/>
      <c r="BE175" s="463"/>
      <c r="BF175" s="463"/>
      <c r="BG175" s="463"/>
      <c r="BH175" s="644"/>
      <c r="BI175" s="463"/>
      <c r="BJ175" s="463"/>
      <c r="BK175" s="463"/>
      <c r="BL175" s="463"/>
      <c r="BM175" s="644"/>
      <c r="BN175" s="463"/>
      <c r="BO175" s="463"/>
      <c r="BP175" s="463"/>
      <c r="BQ175" s="463"/>
      <c r="BR175" s="644"/>
      <c r="BS175" s="463"/>
      <c r="BT175" s="463"/>
      <c r="BU175" s="463"/>
      <c r="BV175" s="463"/>
      <c r="BW175" s="644"/>
      <c r="BX175" s="461"/>
      <c r="BY175" s="461"/>
      <c r="BZ175" s="461"/>
      <c r="CA175" s="461"/>
      <c r="CB175" s="644"/>
      <c r="CC175" s="461"/>
      <c r="CD175" s="461"/>
      <c r="CE175" s="461"/>
      <c r="CF175" s="461"/>
      <c r="CG175" s="644"/>
      <c r="CH175" s="461"/>
      <c r="CI175" s="461"/>
      <c r="CJ175" s="461"/>
      <c r="CK175" s="461"/>
      <c r="CL175" s="644"/>
      <c r="CM175" s="461"/>
      <c r="CN175" s="461"/>
      <c r="CO175" s="461"/>
      <c r="CP175" s="461"/>
      <c r="CQ175" s="644"/>
    </row>
    <row r="176" spans="5:95" ht="13.5" hidden="1" x14ac:dyDescent="0.25">
      <c r="E176" s="54" t="s">
        <v>447</v>
      </c>
      <c r="F176" s="644"/>
      <c r="G176" s="644"/>
      <c r="H176" s="644"/>
      <c r="I176" s="644"/>
      <c r="J176" s="644"/>
      <c r="K176" s="461"/>
      <c r="L176" s="461"/>
      <c r="M176" s="461"/>
      <c r="N176" s="461"/>
      <c r="O176" s="644"/>
      <c r="P176" s="461"/>
      <c r="Q176" s="461"/>
      <c r="R176" s="461"/>
      <c r="S176" s="461"/>
      <c r="T176" s="644"/>
      <c r="U176" s="461"/>
      <c r="V176" s="461"/>
      <c r="W176" s="461"/>
      <c r="X176" s="461"/>
      <c r="Y176" s="644"/>
      <c r="Z176" s="461"/>
      <c r="AA176" s="461"/>
      <c r="AB176" s="461"/>
      <c r="AC176" s="461"/>
      <c r="AD176" s="644"/>
      <c r="AE176" s="461"/>
      <c r="AF176" s="461"/>
      <c r="AG176" s="461"/>
      <c r="AH176" s="461"/>
      <c r="AI176" s="644"/>
      <c r="AJ176" s="463"/>
      <c r="AK176" s="463"/>
      <c r="AL176" s="463"/>
      <c r="AM176" s="463"/>
      <c r="AN176" s="644"/>
      <c r="AO176" s="463"/>
      <c r="AP176" s="463"/>
      <c r="AQ176" s="463"/>
      <c r="AR176" s="463"/>
      <c r="AS176" s="644"/>
      <c r="AT176" s="463"/>
      <c r="AU176" s="463"/>
      <c r="AV176" s="463"/>
      <c r="AW176" s="463"/>
      <c r="AX176" s="644"/>
      <c r="AY176" s="463"/>
      <c r="AZ176" s="463"/>
      <c r="BA176" s="463"/>
      <c r="BB176" s="463"/>
      <c r="BC176" s="513">
        <v>61.442999999999998</v>
      </c>
      <c r="BD176" s="463"/>
      <c r="BE176" s="463"/>
      <c r="BF176" s="463"/>
      <c r="BG176" s="463"/>
      <c r="BH176" s="513">
        <v>52.781999999999996</v>
      </c>
      <c r="BI176" s="463"/>
      <c r="BJ176" s="463"/>
      <c r="BK176" s="439"/>
      <c r="BL176" s="463"/>
      <c r="BM176" s="513">
        <v>49.383000000000003</v>
      </c>
      <c r="BN176" s="463"/>
      <c r="BO176" s="463"/>
      <c r="BP176" s="439"/>
      <c r="BQ176" s="463"/>
      <c r="BR176" s="566"/>
      <c r="BS176" s="463"/>
      <c r="BT176" s="463"/>
      <c r="BU176" s="463"/>
      <c r="BV176" s="463"/>
      <c r="BW176" s="566"/>
      <c r="BX176" s="461"/>
      <c r="BY176" s="461"/>
      <c r="BZ176" s="461"/>
      <c r="CA176" s="461"/>
      <c r="CB176" s="566"/>
      <c r="CC176" s="461"/>
      <c r="CD176" s="461"/>
      <c r="CE176" s="461"/>
      <c r="CF176" s="461"/>
      <c r="CG176" s="566"/>
      <c r="CH176" s="461"/>
      <c r="CI176" s="461"/>
      <c r="CJ176" s="461"/>
      <c r="CK176" s="461"/>
      <c r="CL176" s="566"/>
      <c r="CM176" s="461"/>
      <c r="CN176" s="461"/>
      <c r="CO176" s="461"/>
      <c r="CP176" s="461"/>
      <c r="CQ176" s="566"/>
    </row>
    <row r="177" spans="5:95" ht="13.5" hidden="1" x14ac:dyDescent="0.25">
      <c r="E177" s="54" t="s">
        <v>448</v>
      </c>
      <c r="F177" s="644"/>
      <c r="G177" s="644"/>
      <c r="H177" s="644"/>
      <c r="I177" s="644"/>
      <c r="J177" s="644"/>
      <c r="K177" s="461"/>
      <c r="L177" s="461"/>
      <c r="M177" s="461"/>
      <c r="N177" s="461"/>
      <c r="O177" s="644"/>
      <c r="P177" s="461"/>
      <c r="Q177" s="461"/>
      <c r="R177" s="461"/>
      <c r="S177" s="461"/>
      <c r="T177" s="644"/>
      <c r="U177" s="461"/>
      <c r="V177" s="461"/>
      <c r="W177" s="461"/>
      <c r="X177" s="461"/>
      <c r="Y177" s="644"/>
      <c r="Z177" s="461"/>
      <c r="AA177" s="461"/>
      <c r="AB177" s="461"/>
      <c r="AC177" s="461"/>
      <c r="AD177" s="644"/>
      <c r="AE177" s="461"/>
      <c r="AF177" s="461"/>
      <c r="AG177" s="461"/>
      <c r="AH177" s="461"/>
      <c r="AI177" s="644"/>
      <c r="AJ177" s="463"/>
      <c r="AK177" s="463"/>
      <c r="AL177" s="463"/>
      <c r="AM177" s="463"/>
      <c r="AN177" s="644"/>
      <c r="AO177" s="463"/>
      <c r="AP177" s="463"/>
      <c r="AQ177" s="463"/>
      <c r="AR177" s="463"/>
      <c r="AS177" s="644"/>
      <c r="AT177" s="463"/>
      <c r="AU177" s="463"/>
      <c r="AV177" s="463"/>
      <c r="AW177" s="463"/>
      <c r="AX177" s="644"/>
      <c r="AY177" s="463"/>
      <c r="AZ177" s="463"/>
      <c r="BA177" s="463"/>
      <c r="BB177" s="463"/>
      <c r="BC177" s="513">
        <v>66.497</v>
      </c>
      <c r="BD177" s="463"/>
      <c r="BE177" s="463"/>
      <c r="BF177" s="463"/>
      <c r="BG177" s="463"/>
      <c r="BH177" s="513">
        <v>60.042000000000002</v>
      </c>
      <c r="BI177" s="463"/>
      <c r="BJ177" s="463"/>
      <c r="BK177" s="439"/>
      <c r="BL177" s="463"/>
      <c r="BM177" s="513">
        <v>52.872</v>
      </c>
      <c r="BN177" s="463"/>
      <c r="BO177" s="463"/>
      <c r="BP177" s="439"/>
      <c r="BQ177" s="463"/>
      <c r="BR177" s="566"/>
      <c r="BS177" s="463"/>
      <c r="BT177" s="463"/>
      <c r="BU177" s="463"/>
      <c r="BV177" s="463"/>
      <c r="BW177" s="566"/>
      <c r="BX177" s="461"/>
      <c r="BY177" s="461"/>
      <c r="BZ177" s="461"/>
      <c r="CA177" s="461"/>
      <c r="CB177" s="566"/>
      <c r="CC177" s="461"/>
      <c r="CD177" s="461"/>
      <c r="CE177" s="461"/>
      <c r="CF177" s="461"/>
      <c r="CG177" s="566"/>
      <c r="CH177" s="461"/>
      <c r="CI177" s="461"/>
      <c r="CJ177" s="461"/>
      <c r="CK177" s="461"/>
      <c r="CL177" s="566"/>
      <c r="CM177" s="461"/>
      <c r="CN177" s="461"/>
      <c r="CO177" s="461"/>
      <c r="CP177" s="461"/>
      <c r="CQ177" s="566"/>
    </row>
    <row r="178" spans="5:95" ht="13.5" hidden="1" x14ac:dyDescent="0.25">
      <c r="E178" s="54" t="s">
        <v>278</v>
      </c>
      <c r="F178" s="644"/>
      <c r="G178" s="644"/>
      <c r="H178" s="644"/>
      <c r="I178" s="644"/>
      <c r="J178" s="644"/>
      <c r="K178" s="461"/>
      <c r="L178" s="461"/>
      <c r="M178" s="461"/>
      <c r="N178" s="461"/>
      <c r="O178" s="644"/>
      <c r="P178" s="461"/>
      <c r="Q178" s="461"/>
      <c r="R178" s="461"/>
      <c r="S178" s="461"/>
      <c r="T178" s="644"/>
      <c r="U178" s="461"/>
      <c r="V178" s="461"/>
      <c r="W178" s="461"/>
      <c r="X178" s="461"/>
      <c r="Y178" s="644"/>
      <c r="Z178" s="461"/>
      <c r="AA178" s="461"/>
      <c r="AB178" s="461"/>
      <c r="AC178" s="461"/>
      <c r="AD178" s="644"/>
      <c r="AE178" s="461"/>
      <c r="AF178" s="461"/>
      <c r="AG178" s="461"/>
      <c r="AH178" s="461"/>
      <c r="AI178" s="644"/>
      <c r="AJ178" s="463"/>
      <c r="AK178" s="463"/>
      <c r="AL178" s="463"/>
      <c r="AM178" s="463"/>
      <c r="AN178" s="644"/>
      <c r="AO178" s="463"/>
      <c r="AP178" s="463"/>
      <c r="AQ178" s="463"/>
      <c r="AR178" s="463"/>
      <c r="AS178" s="644"/>
      <c r="AT178" s="463"/>
      <c r="AU178" s="463"/>
      <c r="AV178" s="463"/>
      <c r="AW178" s="463"/>
      <c r="AX178" s="644"/>
      <c r="AY178" s="463"/>
      <c r="AZ178" s="463"/>
      <c r="BA178" s="463"/>
      <c r="BB178" s="463"/>
      <c r="BC178" s="566">
        <f>BC179-BC176-BC177</f>
        <v>6.7220000000000084</v>
      </c>
      <c r="BD178" s="463"/>
      <c r="BE178" s="463"/>
      <c r="BF178" s="463"/>
      <c r="BG178" s="463"/>
      <c r="BH178" s="566">
        <f>BH179-BH176-BH177</f>
        <v>3.3840000000000003</v>
      </c>
      <c r="BI178" s="463"/>
      <c r="BJ178" s="463"/>
      <c r="BK178" s="439"/>
      <c r="BL178" s="463"/>
      <c r="BM178" s="566">
        <f>BM179-BM176-BM177</f>
        <v>0.75099999999999767</v>
      </c>
      <c r="BN178" s="463"/>
      <c r="BO178" s="463"/>
      <c r="BP178" s="439"/>
      <c r="BQ178" s="463"/>
      <c r="BR178" s="566"/>
      <c r="BS178" s="463"/>
      <c r="BT178" s="463"/>
      <c r="BU178" s="463"/>
      <c r="BV178" s="463"/>
      <c r="BW178" s="566"/>
      <c r="BX178" s="461"/>
      <c r="BY178" s="461"/>
      <c r="BZ178" s="461"/>
      <c r="CA178" s="461"/>
      <c r="CB178" s="566"/>
      <c r="CC178" s="461"/>
      <c r="CD178" s="461"/>
      <c r="CE178" s="461"/>
      <c r="CF178" s="461"/>
      <c r="CG178" s="566"/>
      <c r="CH178" s="461"/>
      <c r="CI178" s="461"/>
      <c r="CJ178" s="461"/>
      <c r="CK178" s="461"/>
      <c r="CL178" s="566"/>
      <c r="CM178" s="461"/>
      <c r="CN178" s="461"/>
      <c r="CO178" s="461"/>
      <c r="CP178" s="461"/>
      <c r="CQ178" s="566"/>
    </row>
    <row r="179" spans="5:95" ht="13.5" hidden="1" x14ac:dyDescent="0.25">
      <c r="E179" s="54" t="s">
        <v>564</v>
      </c>
      <c r="F179" s="644"/>
      <c r="G179" s="644"/>
      <c r="H179" s="644"/>
      <c r="I179" s="644"/>
      <c r="J179" s="644"/>
      <c r="K179" s="461"/>
      <c r="L179" s="461"/>
      <c r="M179" s="461"/>
      <c r="N179" s="461"/>
      <c r="O179" s="644"/>
      <c r="P179" s="461"/>
      <c r="Q179" s="461"/>
      <c r="R179" s="461"/>
      <c r="S179" s="461"/>
      <c r="T179" s="644"/>
      <c r="U179" s="461"/>
      <c r="V179" s="461"/>
      <c r="W179" s="461"/>
      <c r="X179" s="461"/>
      <c r="Y179" s="644"/>
      <c r="Z179" s="461"/>
      <c r="AA179" s="461"/>
      <c r="AB179" s="461"/>
      <c r="AC179" s="461"/>
      <c r="AD179" s="644"/>
      <c r="AE179" s="461"/>
      <c r="AF179" s="461"/>
      <c r="AG179" s="461"/>
      <c r="AH179" s="461"/>
      <c r="AI179" s="644"/>
      <c r="AJ179" s="463"/>
      <c r="AK179" s="463"/>
      <c r="AL179" s="463"/>
      <c r="AM179" s="463"/>
      <c r="AN179" s="644"/>
      <c r="AO179" s="463"/>
      <c r="AP179" s="463"/>
      <c r="AQ179" s="463"/>
      <c r="AR179" s="463"/>
      <c r="AS179" s="644"/>
      <c r="AT179" s="463"/>
      <c r="AU179" s="463"/>
      <c r="AV179" s="463"/>
      <c r="AW179" s="463"/>
      <c r="AX179" s="644"/>
      <c r="AY179" s="463"/>
      <c r="AZ179" s="463"/>
      <c r="BA179" s="463"/>
      <c r="BB179" s="463"/>
      <c r="BC179" s="566">
        <f>'Cash Flow'!BC10</f>
        <v>134.66200000000001</v>
      </c>
      <c r="BD179" s="463"/>
      <c r="BE179" s="463"/>
      <c r="BF179" s="463"/>
      <c r="BG179" s="463"/>
      <c r="BH179" s="566">
        <f>'Cash Flow'!BH10</f>
        <v>116.208</v>
      </c>
      <c r="BI179" s="463"/>
      <c r="BJ179" s="463"/>
      <c r="BK179" s="439"/>
      <c r="BL179" s="463"/>
      <c r="BM179" s="566">
        <f>'Cash Flow'!BM10</f>
        <v>103.006</v>
      </c>
      <c r="BN179" s="439"/>
      <c r="BO179" s="439"/>
      <c r="BP179" s="439"/>
      <c r="BQ179" s="439"/>
      <c r="BR179" s="566"/>
      <c r="BS179" s="439"/>
      <c r="BT179" s="439"/>
      <c r="BU179" s="439"/>
      <c r="BV179" s="439"/>
      <c r="BW179" s="568"/>
      <c r="BX179" s="439"/>
      <c r="BY179" s="439"/>
      <c r="BZ179" s="439"/>
      <c r="CA179" s="439"/>
      <c r="CB179" s="566"/>
      <c r="CC179" s="439"/>
      <c r="CD179" s="439"/>
      <c r="CE179" s="439"/>
      <c r="CF179" s="439"/>
      <c r="CG179" s="566"/>
      <c r="CH179" s="439"/>
      <c r="CI179" s="439"/>
      <c r="CJ179" s="439"/>
      <c r="CK179" s="439"/>
      <c r="CL179" s="566"/>
      <c r="CM179" s="439"/>
      <c r="CN179" s="439"/>
      <c r="CO179" s="439"/>
      <c r="CP179" s="439"/>
      <c r="CQ179" s="566"/>
    </row>
    <row r="180" spans="5:95" hidden="1" x14ac:dyDescent="0.25">
      <c r="E180" s="54"/>
      <c r="F180" s="566"/>
      <c r="G180" s="566"/>
      <c r="H180" s="566"/>
      <c r="I180" s="566"/>
      <c r="J180" s="566"/>
      <c r="K180" s="122"/>
      <c r="L180" s="122"/>
      <c r="M180" s="122"/>
      <c r="N180" s="122"/>
      <c r="O180" s="566"/>
      <c r="P180" s="122"/>
      <c r="Q180" s="122"/>
      <c r="R180" s="122"/>
      <c r="S180" s="122"/>
      <c r="T180" s="566"/>
      <c r="U180" s="122"/>
      <c r="V180" s="122"/>
      <c r="W180" s="122"/>
      <c r="X180" s="122"/>
      <c r="Y180" s="566"/>
      <c r="Z180" s="128"/>
      <c r="AA180" s="128"/>
      <c r="AB180" s="128"/>
      <c r="AC180" s="128"/>
      <c r="AD180" s="566"/>
      <c r="AE180" s="128"/>
      <c r="AF180" s="128"/>
      <c r="AG180" s="128"/>
      <c r="AH180" s="128"/>
      <c r="AI180" s="513"/>
      <c r="AJ180" s="721"/>
      <c r="AK180" s="721"/>
      <c r="AL180" s="721"/>
      <c r="AM180" s="721"/>
      <c r="AN180" s="513"/>
      <c r="AO180" s="721"/>
      <c r="AP180" s="721"/>
      <c r="AQ180" s="721"/>
      <c r="AR180" s="726"/>
      <c r="AS180" s="566"/>
      <c r="AT180" s="439"/>
      <c r="AU180" s="439"/>
      <c r="AV180" s="439"/>
      <c r="AW180" s="439"/>
      <c r="AX180" s="568"/>
      <c r="AY180" s="439"/>
      <c r="AZ180" s="439"/>
      <c r="BA180" s="439"/>
      <c r="BB180" s="408"/>
      <c r="BC180" s="568"/>
      <c r="BD180" s="408"/>
      <c r="BE180" s="408"/>
      <c r="BF180" s="408"/>
      <c r="BG180" s="408"/>
      <c r="BH180" s="568"/>
      <c r="BI180" s="408"/>
      <c r="BJ180" s="408"/>
      <c r="BK180" s="408"/>
      <c r="BL180" s="408"/>
      <c r="BM180" s="568"/>
      <c r="BN180" s="408"/>
      <c r="BO180" s="408"/>
      <c r="BP180" s="408"/>
      <c r="BQ180" s="408"/>
      <c r="BR180" s="568"/>
      <c r="BS180" s="408"/>
      <c r="BT180" s="408"/>
      <c r="BU180" s="408"/>
      <c r="BV180" s="408"/>
      <c r="BW180" s="568"/>
      <c r="BX180" s="408"/>
      <c r="BY180" s="408"/>
      <c r="BZ180" s="408"/>
      <c r="CA180" s="408"/>
      <c r="CB180" s="568"/>
      <c r="CC180" s="408"/>
      <c r="CD180" s="408"/>
      <c r="CE180" s="408"/>
      <c r="CF180" s="408"/>
      <c r="CG180" s="568"/>
      <c r="CH180" s="408"/>
      <c r="CI180" s="408"/>
      <c r="CJ180" s="408"/>
      <c r="CK180" s="408"/>
      <c r="CL180" s="568"/>
      <c r="CM180" s="408"/>
      <c r="CN180" s="408"/>
      <c r="CO180" s="408"/>
      <c r="CP180" s="408"/>
      <c r="CQ180" s="568"/>
    </row>
    <row r="181" spans="5:95" ht="13.5" hidden="1" x14ac:dyDescent="0.25">
      <c r="E181" s="365" t="s">
        <v>565</v>
      </c>
      <c r="F181" s="644"/>
      <c r="G181" s="644"/>
      <c r="H181" s="644"/>
      <c r="I181" s="644"/>
      <c r="J181" s="644"/>
      <c r="K181" s="461"/>
      <c r="L181" s="461"/>
      <c r="M181" s="461"/>
      <c r="N181" s="461"/>
      <c r="O181" s="644"/>
      <c r="P181" s="461"/>
      <c r="Q181" s="461"/>
      <c r="R181" s="461"/>
      <c r="S181" s="461"/>
      <c r="T181" s="644"/>
      <c r="U181" s="461"/>
      <c r="V181" s="461"/>
      <c r="W181" s="461"/>
      <c r="X181" s="461"/>
      <c r="Y181" s="644"/>
      <c r="Z181" s="461"/>
      <c r="AA181" s="461"/>
      <c r="AB181" s="461"/>
      <c r="AC181" s="461"/>
      <c r="AD181" s="644"/>
      <c r="AE181" s="461"/>
      <c r="AF181" s="461"/>
      <c r="AG181" s="461"/>
      <c r="AH181" s="461"/>
      <c r="AI181" s="644"/>
      <c r="AJ181" s="463"/>
      <c r="AK181" s="463"/>
      <c r="AL181" s="463"/>
      <c r="AM181" s="463"/>
      <c r="AN181" s="644"/>
      <c r="AO181" s="463"/>
      <c r="AP181" s="463"/>
      <c r="AQ181" s="463"/>
      <c r="AR181" s="463"/>
      <c r="AS181" s="644"/>
      <c r="AT181" s="463"/>
      <c r="AU181" s="463"/>
      <c r="AV181" s="463"/>
      <c r="AW181" s="463"/>
      <c r="AX181" s="644"/>
      <c r="AY181" s="463"/>
      <c r="AZ181" s="463"/>
      <c r="BA181" s="463"/>
      <c r="BB181" s="463"/>
      <c r="BC181" s="644"/>
      <c r="BD181" s="463"/>
      <c r="BE181" s="463"/>
      <c r="BF181" s="463"/>
      <c r="BG181" s="463"/>
      <c r="BH181" s="644"/>
      <c r="BI181" s="463"/>
      <c r="BJ181" s="463"/>
      <c r="BK181" s="463"/>
      <c r="BL181" s="463"/>
      <c r="BM181" s="644"/>
      <c r="BN181" s="463"/>
      <c r="BO181" s="463"/>
      <c r="BP181" s="463"/>
      <c r="BQ181" s="463"/>
      <c r="BR181" s="644"/>
      <c r="BS181" s="463"/>
      <c r="BT181" s="463"/>
      <c r="BU181" s="463"/>
      <c r="BV181" s="463"/>
      <c r="BW181" s="644"/>
      <c r="BX181" s="461"/>
      <c r="BY181" s="461"/>
      <c r="BZ181" s="461"/>
      <c r="CA181" s="461"/>
      <c r="CB181" s="644"/>
      <c r="CC181" s="461"/>
      <c r="CD181" s="461"/>
      <c r="CE181" s="461"/>
      <c r="CF181" s="461"/>
      <c r="CG181" s="644"/>
      <c r="CH181" s="461"/>
      <c r="CI181" s="461"/>
      <c r="CJ181" s="461"/>
      <c r="CK181" s="461"/>
      <c r="CL181" s="644"/>
      <c r="CM181" s="461"/>
      <c r="CN181" s="461"/>
      <c r="CO181" s="461"/>
      <c r="CP181" s="461"/>
      <c r="CQ181" s="644"/>
    </row>
    <row r="182" spans="5:95" ht="13.5" hidden="1" x14ac:dyDescent="0.25">
      <c r="E182" s="54" t="s">
        <v>447</v>
      </c>
      <c r="F182" s="644"/>
      <c r="G182" s="644"/>
      <c r="H182" s="644"/>
      <c r="I182" s="644"/>
      <c r="J182" s="644"/>
      <c r="K182" s="461"/>
      <c r="L182" s="461"/>
      <c r="M182" s="461"/>
      <c r="N182" s="461"/>
      <c r="O182" s="644"/>
      <c r="P182" s="461"/>
      <c r="Q182" s="461"/>
      <c r="R182" s="461"/>
      <c r="S182" s="461"/>
      <c r="T182" s="644"/>
      <c r="U182" s="461"/>
      <c r="V182" s="461"/>
      <c r="W182" s="461"/>
      <c r="X182" s="461"/>
      <c r="Y182" s="644"/>
      <c r="Z182" s="461"/>
      <c r="AA182" s="461"/>
      <c r="AB182" s="461"/>
      <c r="AC182" s="461"/>
      <c r="AD182" s="644"/>
      <c r="AE182" s="461"/>
      <c r="AF182" s="461"/>
      <c r="AG182" s="461"/>
      <c r="AH182" s="461"/>
      <c r="AI182" s="644"/>
      <c r="AJ182" s="463"/>
      <c r="AK182" s="463"/>
      <c r="AL182" s="463"/>
      <c r="AM182" s="463"/>
      <c r="AN182" s="644"/>
      <c r="AO182" s="463"/>
      <c r="AP182" s="463"/>
      <c r="AQ182" s="463"/>
      <c r="AR182" s="463"/>
      <c r="AS182" s="644"/>
      <c r="AT182" s="463"/>
      <c r="AU182" s="463"/>
      <c r="AV182" s="463"/>
      <c r="AW182" s="463"/>
      <c r="AX182" s="644"/>
      <c r="AY182" s="463"/>
      <c r="AZ182" s="463"/>
      <c r="BA182" s="463"/>
      <c r="BB182" s="463"/>
      <c r="BC182" s="644"/>
      <c r="BD182" s="463"/>
      <c r="BE182" s="463"/>
      <c r="BF182" s="463"/>
      <c r="BG182" s="463"/>
      <c r="BH182" s="566" t="e">
        <f>BH176+#REF!</f>
        <v>#REF!</v>
      </c>
      <c r="BI182" s="463"/>
      <c r="BJ182" s="463"/>
      <c r="BK182" s="439"/>
      <c r="BL182" s="463"/>
      <c r="BM182" s="566" t="e">
        <f>BM176+#REF!</f>
        <v>#REF!</v>
      </c>
      <c r="BN182" s="463"/>
      <c r="BO182" s="463"/>
      <c r="BP182" s="439"/>
      <c r="BQ182" s="463"/>
      <c r="BR182" s="566"/>
      <c r="BS182" s="463"/>
      <c r="BT182" s="463"/>
      <c r="BU182" s="463"/>
      <c r="BV182" s="463"/>
      <c r="BW182" s="566"/>
      <c r="BX182" s="461"/>
      <c r="BY182" s="461"/>
      <c r="BZ182" s="461"/>
      <c r="CA182" s="461"/>
      <c r="CB182" s="566"/>
      <c r="CC182" s="461"/>
      <c r="CD182" s="461"/>
      <c r="CE182" s="461"/>
      <c r="CF182" s="461"/>
      <c r="CG182" s="566"/>
      <c r="CH182" s="461"/>
      <c r="CI182" s="461"/>
      <c r="CJ182" s="461"/>
      <c r="CK182" s="461"/>
      <c r="CL182" s="566"/>
      <c r="CM182" s="461"/>
      <c r="CN182" s="461"/>
      <c r="CO182" s="461"/>
      <c r="CP182" s="461"/>
      <c r="CQ182" s="566"/>
    </row>
    <row r="183" spans="5:95" ht="13.5" hidden="1" x14ac:dyDescent="0.25">
      <c r="E183" s="91" t="s">
        <v>2</v>
      </c>
      <c r="F183" s="644"/>
      <c r="G183" s="644"/>
      <c r="H183" s="644"/>
      <c r="I183" s="644"/>
      <c r="J183" s="644"/>
      <c r="K183" s="461"/>
      <c r="L183" s="461"/>
      <c r="M183" s="461"/>
      <c r="N183" s="461"/>
      <c r="O183" s="644"/>
      <c r="P183" s="461"/>
      <c r="Q183" s="461"/>
      <c r="R183" s="461"/>
      <c r="S183" s="461"/>
      <c r="T183" s="644"/>
      <c r="U183" s="461"/>
      <c r="V183" s="461"/>
      <c r="W183" s="461"/>
      <c r="X183" s="461"/>
      <c r="Y183" s="644"/>
      <c r="Z183" s="461"/>
      <c r="AA183" s="461"/>
      <c r="AB183" s="461"/>
      <c r="AC183" s="461"/>
      <c r="AD183" s="644"/>
      <c r="AE183" s="461"/>
      <c r="AF183" s="461"/>
      <c r="AG183" s="461"/>
      <c r="AH183" s="461"/>
      <c r="AI183" s="644"/>
      <c r="AJ183" s="463"/>
      <c r="AK183" s="463"/>
      <c r="AL183" s="463"/>
      <c r="AM183" s="463"/>
      <c r="AN183" s="644"/>
      <c r="AO183" s="463"/>
      <c r="AP183" s="463"/>
      <c r="AQ183" s="463"/>
      <c r="AR183" s="463"/>
      <c r="AS183" s="644"/>
      <c r="AT183" s="463"/>
      <c r="AU183" s="463"/>
      <c r="AV183" s="463"/>
      <c r="AW183" s="463"/>
      <c r="AX183" s="644"/>
      <c r="AY183" s="463"/>
      <c r="AZ183" s="463"/>
      <c r="BA183" s="463"/>
      <c r="BB183" s="463"/>
      <c r="BC183" s="644"/>
      <c r="BD183" s="463"/>
      <c r="BE183" s="463"/>
      <c r="BF183" s="463"/>
      <c r="BG183" s="463"/>
      <c r="BH183" s="641"/>
      <c r="BI183" s="463"/>
      <c r="BJ183" s="463"/>
      <c r="BK183" s="183"/>
      <c r="BL183" s="463"/>
      <c r="BM183" s="641" t="e">
        <f>BM182/BH182-1</f>
        <v>#REF!</v>
      </c>
      <c r="BN183" s="463"/>
      <c r="BO183" s="463"/>
      <c r="BP183" s="183"/>
      <c r="BQ183" s="463"/>
      <c r="BR183" s="641"/>
      <c r="BS183" s="463"/>
      <c r="BT183" s="463"/>
      <c r="BU183" s="463"/>
      <c r="BV183" s="463"/>
      <c r="BW183" s="641"/>
      <c r="BX183" s="461"/>
      <c r="BY183" s="461"/>
      <c r="BZ183" s="461"/>
      <c r="CA183" s="461"/>
      <c r="CB183" s="641"/>
      <c r="CC183" s="461"/>
      <c r="CD183" s="461"/>
      <c r="CE183" s="461"/>
      <c r="CF183" s="461"/>
      <c r="CG183" s="641"/>
      <c r="CH183" s="461"/>
      <c r="CI183" s="461"/>
      <c r="CJ183" s="461"/>
      <c r="CK183" s="461"/>
      <c r="CL183" s="641"/>
      <c r="CM183" s="461"/>
      <c r="CN183" s="461"/>
      <c r="CO183" s="461"/>
      <c r="CP183" s="461"/>
      <c r="CQ183" s="641"/>
    </row>
    <row r="184" spans="5:95" ht="13.5" hidden="1" x14ac:dyDescent="0.25">
      <c r="E184" s="54" t="s">
        <v>448</v>
      </c>
      <c r="F184" s="644"/>
      <c r="G184" s="644"/>
      <c r="H184" s="644"/>
      <c r="I184" s="644"/>
      <c r="J184" s="644"/>
      <c r="K184" s="461"/>
      <c r="L184" s="461"/>
      <c r="M184" s="461"/>
      <c r="N184" s="461"/>
      <c r="O184" s="644"/>
      <c r="P184" s="461"/>
      <c r="Q184" s="461"/>
      <c r="R184" s="461"/>
      <c r="S184" s="461"/>
      <c r="T184" s="644"/>
      <c r="U184" s="461"/>
      <c r="V184" s="461"/>
      <c r="W184" s="461"/>
      <c r="X184" s="461"/>
      <c r="Y184" s="644"/>
      <c r="Z184" s="461"/>
      <c r="AA184" s="461"/>
      <c r="AB184" s="461"/>
      <c r="AC184" s="461"/>
      <c r="AD184" s="644"/>
      <c r="AE184" s="461"/>
      <c r="AF184" s="461"/>
      <c r="AG184" s="461"/>
      <c r="AH184" s="461"/>
      <c r="AI184" s="644"/>
      <c r="AJ184" s="463"/>
      <c r="AK184" s="463"/>
      <c r="AL184" s="463"/>
      <c r="AM184" s="463"/>
      <c r="AN184" s="644"/>
      <c r="AO184" s="463"/>
      <c r="AP184" s="463"/>
      <c r="AQ184" s="463"/>
      <c r="AR184" s="463"/>
      <c r="AS184" s="644"/>
      <c r="AT184" s="463"/>
      <c r="AU184" s="463"/>
      <c r="AV184" s="463"/>
      <c r="AW184" s="463"/>
      <c r="AX184" s="644"/>
      <c r="AY184" s="463"/>
      <c r="AZ184" s="463"/>
      <c r="BA184" s="463"/>
      <c r="BB184" s="463"/>
      <c r="BC184" s="644"/>
      <c r="BD184" s="463"/>
      <c r="BE184" s="463"/>
      <c r="BF184" s="463"/>
      <c r="BG184" s="463"/>
      <c r="BH184" s="566">
        <f>BH177+BH160</f>
        <v>89.372</v>
      </c>
      <c r="BI184" s="463"/>
      <c r="BJ184" s="463"/>
      <c r="BK184" s="439"/>
      <c r="BL184" s="463"/>
      <c r="BM184" s="566">
        <f>BM177+BM160</f>
        <v>85.718999999999994</v>
      </c>
      <c r="BN184" s="463"/>
      <c r="BO184" s="463"/>
      <c r="BP184" s="439"/>
      <c r="BQ184" s="463"/>
      <c r="BR184" s="566"/>
      <c r="BS184" s="463"/>
      <c r="BT184" s="463"/>
      <c r="BU184" s="463"/>
      <c r="BV184" s="463"/>
      <c r="BW184" s="566"/>
      <c r="BX184" s="461"/>
      <c r="BY184" s="461"/>
      <c r="BZ184" s="461"/>
      <c r="CA184" s="461"/>
      <c r="CB184" s="566"/>
      <c r="CC184" s="461"/>
      <c r="CD184" s="461"/>
      <c r="CE184" s="461"/>
      <c r="CF184" s="461"/>
      <c r="CG184" s="566"/>
      <c r="CH184" s="461"/>
      <c r="CI184" s="461"/>
      <c r="CJ184" s="461"/>
      <c r="CK184" s="461"/>
      <c r="CL184" s="566"/>
      <c r="CM184" s="461"/>
      <c r="CN184" s="461"/>
      <c r="CO184" s="461"/>
      <c r="CP184" s="461"/>
      <c r="CQ184" s="566"/>
    </row>
    <row r="185" spans="5:95" ht="13.5" hidden="1" x14ac:dyDescent="0.25">
      <c r="E185" s="91" t="s">
        <v>2</v>
      </c>
      <c r="F185" s="644"/>
      <c r="G185" s="644"/>
      <c r="H185" s="644"/>
      <c r="I185" s="644"/>
      <c r="J185" s="644"/>
      <c r="K185" s="461"/>
      <c r="L185" s="461"/>
      <c r="M185" s="461"/>
      <c r="N185" s="461"/>
      <c r="O185" s="644"/>
      <c r="P185" s="461"/>
      <c r="Q185" s="461"/>
      <c r="R185" s="461"/>
      <c r="S185" s="461"/>
      <c r="T185" s="644"/>
      <c r="U185" s="461"/>
      <c r="V185" s="461"/>
      <c r="W185" s="461"/>
      <c r="X185" s="461"/>
      <c r="Y185" s="644"/>
      <c r="Z185" s="461"/>
      <c r="AA185" s="461"/>
      <c r="AB185" s="461"/>
      <c r="AC185" s="461"/>
      <c r="AD185" s="644"/>
      <c r="AE185" s="461"/>
      <c r="AF185" s="461"/>
      <c r="AG185" s="461"/>
      <c r="AH185" s="461"/>
      <c r="AI185" s="644"/>
      <c r="AJ185" s="463"/>
      <c r="AK185" s="463"/>
      <c r="AL185" s="463"/>
      <c r="AM185" s="463"/>
      <c r="AN185" s="644"/>
      <c r="AO185" s="463"/>
      <c r="AP185" s="463"/>
      <c r="AQ185" s="463"/>
      <c r="AR185" s="463"/>
      <c r="AS185" s="644"/>
      <c r="AT185" s="463"/>
      <c r="AU185" s="463"/>
      <c r="AV185" s="463"/>
      <c r="AW185" s="463"/>
      <c r="AX185" s="644"/>
      <c r="AY185" s="463"/>
      <c r="AZ185" s="463"/>
      <c r="BA185" s="463"/>
      <c r="BB185" s="463"/>
      <c r="BC185" s="644"/>
      <c r="BD185" s="463"/>
      <c r="BE185" s="463"/>
      <c r="BF185" s="463"/>
      <c r="BG185" s="463"/>
      <c r="BH185" s="644"/>
      <c r="BI185" s="463"/>
      <c r="BJ185" s="463"/>
      <c r="BK185" s="183"/>
      <c r="BL185" s="463"/>
      <c r="BM185" s="641">
        <f>BM184/BH184-1</f>
        <v>-4.0874099270465036E-2</v>
      </c>
      <c r="BN185" s="463"/>
      <c r="BO185" s="463"/>
      <c r="BP185" s="183"/>
      <c r="BQ185" s="463"/>
      <c r="BR185" s="641"/>
      <c r="BS185" s="463"/>
      <c r="BT185" s="463"/>
      <c r="BU185" s="463"/>
      <c r="BV185" s="463"/>
      <c r="BW185" s="641"/>
      <c r="BX185" s="461"/>
      <c r="BY185" s="461"/>
      <c r="BZ185" s="461"/>
      <c r="CA185" s="461"/>
      <c r="CB185" s="641"/>
      <c r="CC185" s="461"/>
      <c r="CD185" s="461"/>
      <c r="CE185" s="461"/>
      <c r="CF185" s="461"/>
      <c r="CG185" s="641"/>
      <c r="CH185" s="461"/>
      <c r="CI185" s="461"/>
      <c r="CJ185" s="461"/>
      <c r="CK185" s="461"/>
      <c r="CL185" s="641"/>
      <c r="CM185" s="461"/>
      <c r="CN185" s="461"/>
      <c r="CO185" s="461"/>
      <c r="CP185" s="461"/>
      <c r="CQ185" s="641"/>
    </row>
    <row r="186" spans="5:95" ht="13.5" hidden="1" x14ac:dyDescent="0.25">
      <c r="E186" s="54" t="s">
        <v>278</v>
      </c>
      <c r="F186" s="644"/>
      <c r="G186" s="644"/>
      <c r="H186" s="644"/>
      <c r="I186" s="644"/>
      <c r="J186" s="644"/>
      <c r="K186" s="461"/>
      <c r="L186" s="461"/>
      <c r="M186" s="461"/>
      <c r="N186" s="461"/>
      <c r="O186" s="644"/>
      <c r="P186" s="461"/>
      <c r="Q186" s="461"/>
      <c r="R186" s="461"/>
      <c r="S186" s="461"/>
      <c r="T186" s="644"/>
      <c r="U186" s="461"/>
      <c r="V186" s="461"/>
      <c r="W186" s="461"/>
      <c r="X186" s="461"/>
      <c r="Y186" s="644"/>
      <c r="Z186" s="461"/>
      <c r="AA186" s="461"/>
      <c r="AB186" s="461"/>
      <c r="AC186" s="461"/>
      <c r="AD186" s="644"/>
      <c r="AE186" s="461"/>
      <c r="AF186" s="461"/>
      <c r="AG186" s="461"/>
      <c r="AH186" s="461"/>
      <c r="AI186" s="644"/>
      <c r="AJ186" s="463"/>
      <c r="AK186" s="463"/>
      <c r="AL186" s="463"/>
      <c r="AM186" s="463"/>
      <c r="AN186" s="644"/>
      <c r="AO186" s="463"/>
      <c r="AP186" s="463"/>
      <c r="AQ186" s="463"/>
      <c r="AR186" s="463"/>
      <c r="AS186" s="644"/>
      <c r="AT186" s="463"/>
      <c r="AU186" s="463"/>
      <c r="AV186" s="463"/>
      <c r="AW186" s="463"/>
      <c r="AX186" s="644"/>
      <c r="AY186" s="463"/>
      <c r="AZ186" s="463"/>
      <c r="BA186" s="463"/>
      <c r="BB186" s="463"/>
      <c r="BC186" s="644"/>
      <c r="BD186" s="463"/>
      <c r="BE186" s="463"/>
      <c r="BF186" s="463"/>
      <c r="BG186" s="463"/>
      <c r="BH186" s="566">
        <f>BH178+BH167</f>
        <v>-1.234</v>
      </c>
      <c r="BI186" s="463"/>
      <c r="BJ186" s="463"/>
      <c r="BK186" s="463"/>
      <c r="BL186" s="463"/>
      <c r="BM186" s="566">
        <f>BM178+BM167</f>
        <v>2.6919999999999975</v>
      </c>
      <c r="BN186" s="463"/>
      <c r="BO186" s="463"/>
      <c r="BP186" s="463"/>
      <c r="BQ186" s="463"/>
      <c r="BR186" s="566"/>
      <c r="BS186" s="463"/>
      <c r="BT186" s="463"/>
      <c r="BU186" s="463"/>
      <c r="BV186" s="463"/>
      <c r="BW186" s="566"/>
      <c r="BX186" s="461"/>
      <c r="BY186" s="461"/>
      <c r="BZ186" s="461"/>
      <c r="CA186" s="461"/>
      <c r="CB186" s="566"/>
      <c r="CC186" s="461"/>
      <c r="CD186" s="461"/>
      <c r="CE186" s="461"/>
      <c r="CF186" s="461"/>
      <c r="CG186" s="566"/>
      <c r="CH186" s="461"/>
      <c r="CI186" s="461"/>
      <c r="CJ186" s="461"/>
      <c r="CK186" s="461"/>
      <c r="CL186" s="566"/>
      <c r="CM186" s="461"/>
      <c r="CN186" s="461"/>
      <c r="CO186" s="461"/>
      <c r="CP186" s="461"/>
      <c r="CQ186" s="566"/>
    </row>
    <row r="187" spans="5:95" ht="13.5" hidden="1" x14ac:dyDescent="0.25">
      <c r="E187" s="91" t="s">
        <v>2</v>
      </c>
      <c r="F187" s="644"/>
      <c r="G187" s="644"/>
      <c r="H187" s="644"/>
      <c r="I187" s="644"/>
      <c r="J187" s="644"/>
      <c r="K187" s="461"/>
      <c r="L187" s="461"/>
      <c r="M187" s="461"/>
      <c r="N187" s="461"/>
      <c r="O187" s="644"/>
      <c r="P187" s="461"/>
      <c r="Q187" s="461"/>
      <c r="R187" s="461"/>
      <c r="S187" s="461"/>
      <c r="T187" s="644"/>
      <c r="U187" s="461"/>
      <c r="V187" s="461"/>
      <c r="W187" s="461"/>
      <c r="X187" s="461"/>
      <c r="Y187" s="644"/>
      <c r="Z187" s="461"/>
      <c r="AA187" s="461"/>
      <c r="AB187" s="461"/>
      <c r="AC187" s="461"/>
      <c r="AD187" s="644"/>
      <c r="AE187" s="461"/>
      <c r="AF187" s="461"/>
      <c r="AG187" s="461"/>
      <c r="AH187" s="461"/>
      <c r="AI187" s="644"/>
      <c r="AJ187" s="463"/>
      <c r="AK187" s="463"/>
      <c r="AL187" s="463"/>
      <c r="AM187" s="463"/>
      <c r="AN187" s="644"/>
      <c r="AO187" s="463"/>
      <c r="AP187" s="463"/>
      <c r="AQ187" s="463"/>
      <c r="AR187" s="463"/>
      <c r="AS187" s="644"/>
      <c r="AT187" s="463"/>
      <c r="AU187" s="463"/>
      <c r="AV187" s="463"/>
      <c r="AW187" s="463"/>
      <c r="AX187" s="644"/>
      <c r="AY187" s="463"/>
      <c r="AZ187" s="463"/>
      <c r="BA187" s="463"/>
      <c r="BB187" s="463"/>
      <c r="BC187" s="644"/>
      <c r="BD187" s="463"/>
      <c r="BE187" s="463"/>
      <c r="BF187" s="463"/>
      <c r="BG187" s="463"/>
      <c r="BH187" s="644"/>
      <c r="BI187" s="463"/>
      <c r="BJ187" s="463"/>
      <c r="BK187" s="463"/>
      <c r="BL187" s="463"/>
      <c r="BM187" s="641">
        <f>BM186/BH186-1</f>
        <v>-3.1815235008103708</v>
      </c>
      <c r="BN187" s="463"/>
      <c r="BO187" s="463"/>
      <c r="BP187" s="463"/>
      <c r="BQ187" s="463"/>
      <c r="BR187" s="641"/>
      <c r="BS187" s="463"/>
      <c r="BT187" s="463"/>
      <c r="BU187" s="463"/>
      <c r="BV187" s="463"/>
      <c r="BW187" s="641"/>
      <c r="BX187" s="461"/>
      <c r="BY187" s="461"/>
      <c r="BZ187" s="461"/>
      <c r="CA187" s="461"/>
      <c r="CB187" s="641"/>
      <c r="CC187" s="461"/>
      <c r="CD187" s="461"/>
      <c r="CE187" s="461"/>
      <c r="CF187" s="461"/>
      <c r="CG187" s="641"/>
      <c r="CH187" s="461"/>
      <c r="CI187" s="461"/>
      <c r="CJ187" s="461"/>
      <c r="CK187" s="461"/>
      <c r="CL187" s="641"/>
      <c r="CM187" s="461"/>
      <c r="CN187" s="461"/>
      <c r="CO187" s="461"/>
      <c r="CP187" s="461"/>
      <c r="CQ187" s="641"/>
    </row>
    <row r="188" spans="5:95" ht="13.5" hidden="1" x14ac:dyDescent="0.25">
      <c r="E188" s="298" t="s">
        <v>566</v>
      </c>
      <c r="F188" s="566"/>
      <c r="G188" s="566"/>
      <c r="H188" s="566"/>
      <c r="I188" s="566"/>
      <c r="J188" s="566"/>
      <c r="K188" s="185"/>
      <c r="L188" s="185"/>
      <c r="M188" s="185"/>
      <c r="N188" s="185"/>
      <c r="O188" s="566"/>
      <c r="P188" s="185"/>
      <c r="Q188" s="185"/>
      <c r="R188" s="185"/>
      <c r="S188" s="185"/>
      <c r="T188" s="566"/>
      <c r="U188" s="185"/>
      <c r="V188" s="185"/>
      <c r="W188" s="185"/>
      <c r="X188" s="185"/>
      <c r="Y188" s="566"/>
      <c r="Z188" s="443"/>
      <c r="AA188" s="443"/>
      <c r="AB188" s="443"/>
      <c r="AC188" s="443"/>
      <c r="AD188" s="566"/>
      <c r="AE188" s="443"/>
      <c r="AF188" s="443"/>
      <c r="AG188" s="443"/>
      <c r="AH188" s="443"/>
      <c r="AI188" s="513"/>
      <c r="AJ188" s="139"/>
      <c r="AK188" s="139"/>
      <c r="AL188" s="139"/>
      <c r="AM188" s="139"/>
      <c r="AN188" s="513"/>
      <c r="AO188" s="139"/>
      <c r="AP188" s="139"/>
      <c r="AQ188" s="139"/>
      <c r="AR188" s="185"/>
      <c r="AS188" s="566"/>
      <c r="AT188" s="298"/>
      <c r="AU188" s="298"/>
      <c r="AV188" s="298"/>
      <c r="AW188" s="298"/>
      <c r="AX188" s="576"/>
      <c r="AY188" s="298"/>
      <c r="AZ188" s="298"/>
      <c r="BA188" s="298"/>
      <c r="BB188" s="298"/>
      <c r="BC188" s="576"/>
      <c r="BD188" s="298"/>
      <c r="BE188" s="298"/>
      <c r="BF188" s="298"/>
      <c r="BG188" s="298"/>
      <c r="BH188" s="576" t="e">
        <f>SUM(BH182,BH184,BH186)</f>
        <v>#REF!</v>
      </c>
      <c r="BI188" s="298">
        <f>BI206-BI197</f>
        <v>52.437999999999974</v>
      </c>
      <c r="BJ188" s="298">
        <f>BJ206-BJ197</f>
        <v>57.246999999999957</v>
      </c>
      <c r="BK188" s="298">
        <f>BK206-BK197</f>
        <v>58.397000000000048</v>
      </c>
      <c r="BL188" s="298">
        <f>BL206-BL197</f>
        <v>62.071000000000026</v>
      </c>
      <c r="BM188" s="540" t="e">
        <f>#REF!+BM179+BM108-Income!BM46</f>
        <v>#REF!</v>
      </c>
      <c r="BN188" s="298"/>
      <c r="BO188" s="298"/>
      <c r="BP188" s="298"/>
      <c r="BQ188" s="298"/>
      <c r="BR188" s="576"/>
      <c r="BS188" s="298"/>
      <c r="BT188" s="298"/>
      <c r="BU188" s="298"/>
      <c r="BV188" s="298"/>
      <c r="BW188" s="576"/>
      <c r="BX188" s="298"/>
      <c r="BY188" s="298"/>
      <c r="BZ188" s="298"/>
      <c r="CA188" s="298"/>
      <c r="CB188" s="540"/>
      <c r="CC188" s="298"/>
      <c r="CD188" s="298"/>
      <c r="CE188" s="298"/>
      <c r="CF188" s="298"/>
      <c r="CG188" s="540"/>
      <c r="CH188" s="298"/>
      <c r="CI188" s="298"/>
      <c r="CJ188" s="298"/>
      <c r="CK188" s="298"/>
      <c r="CL188" s="540"/>
      <c r="CM188" s="298"/>
      <c r="CN188" s="298"/>
      <c r="CO188" s="298"/>
      <c r="CP188" s="298"/>
      <c r="CQ188" s="540"/>
    </row>
    <row r="189" spans="5:95" ht="13.5" hidden="1" x14ac:dyDescent="0.25">
      <c r="E189" s="356" t="s">
        <v>2</v>
      </c>
      <c r="F189" s="566"/>
      <c r="G189" s="566"/>
      <c r="H189" s="566"/>
      <c r="I189" s="566"/>
      <c r="J189" s="566"/>
      <c r="K189" s="185"/>
      <c r="L189" s="185"/>
      <c r="M189" s="185"/>
      <c r="N189" s="185"/>
      <c r="O189" s="566"/>
      <c r="P189" s="185"/>
      <c r="Q189" s="185"/>
      <c r="R189" s="185"/>
      <c r="S189" s="185"/>
      <c r="T189" s="566"/>
      <c r="U189" s="185"/>
      <c r="V189" s="185"/>
      <c r="W189" s="185"/>
      <c r="X189" s="185"/>
      <c r="Y189" s="566"/>
      <c r="Z189" s="443"/>
      <c r="AA189" s="443"/>
      <c r="AB189" s="443"/>
      <c r="AC189" s="443"/>
      <c r="AD189" s="566"/>
      <c r="AE189" s="443"/>
      <c r="AF189" s="443"/>
      <c r="AG189" s="443"/>
      <c r="AH189" s="443"/>
      <c r="AI189" s="513"/>
      <c r="AJ189" s="139"/>
      <c r="AK189" s="139"/>
      <c r="AL189" s="139"/>
      <c r="AM189" s="139"/>
      <c r="AN189" s="513"/>
      <c r="AO189" s="139"/>
      <c r="AP189" s="139"/>
      <c r="AQ189" s="139"/>
      <c r="AR189" s="185"/>
      <c r="AS189" s="566"/>
      <c r="AT189" s="298"/>
      <c r="AU189" s="298"/>
      <c r="AV189" s="298"/>
      <c r="AW189" s="298"/>
      <c r="AX189" s="576"/>
      <c r="AY189" s="298"/>
      <c r="AZ189" s="298"/>
      <c r="BA189" s="298"/>
      <c r="BB189" s="298"/>
      <c r="BC189" s="576"/>
      <c r="BD189" s="298"/>
      <c r="BE189" s="298"/>
      <c r="BF189" s="298"/>
      <c r="BG189" s="298"/>
      <c r="BH189" s="641"/>
      <c r="BI189" s="32"/>
      <c r="BJ189" s="32"/>
      <c r="BK189" s="32"/>
      <c r="BL189" s="32"/>
      <c r="BM189" s="641" t="e">
        <f>(BM188-BH188)/ABS(BH188)</f>
        <v>#REF!</v>
      </c>
      <c r="BN189" s="32"/>
      <c r="BO189" s="32"/>
      <c r="BP189" s="32"/>
      <c r="BQ189" s="32"/>
      <c r="BR189" s="641"/>
      <c r="BS189" s="32"/>
      <c r="BT189" s="32"/>
      <c r="BU189" s="32"/>
      <c r="BV189" s="32"/>
      <c r="BW189" s="641"/>
      <c r="BX189" s="32"/>
      <c r="BY189" s="32"/>
      <c r="BZ189" s="32"/>
      <c r="CA189" s="32"/>
      <c r="CB189" s="641"/>
      <c r="CC189" s="32"/>
      <c r="CD189" s="32"/>
      <c r="CE189" s="32"/>
      <c r="CF189" s="32"/>
      <c r="CG189" s="641"/>
      <c r="CH189" s="32"/>
      <c r="CI189" s="32"/>
      <c r="CJ189" s="32"/>
      <c r="CK189" s="32"/>
      <c r="CL189" s="641"/>
      <c r="CM189" s="32"/>
      <c r="CN189" s="32"/>
      <c r="CO189" s="32"/>
      <c r="CP189" s="32"/>
      <c r="CQ189" s="641"/>
    </row>
    <row r="190" spans="5:95" ht="13.5" hidden="1" x14ac:dyDescent="0.25">
      <c r="E190" s="356" t="s">
        <v>91</v>
      </c>
      <c r="F190" s="566"/>
      <c r="G190" s="566"/>
      <c r="H190" s="566"/>
      <c r="I190" s="566"/>
      <c r="J190" s="566"/>
      <c r="K190" s="185"/>
      <c r="L190" s="185"/>
      <c r="M190" s="185"/>
      <c r="N190" s="185"/>
      <c r="O190" s="566"/>
      <c r="P190" s="185"/>
      <c r="Q190" s="185"/>
      <c r="R190" s="185"/>
      <c r="S190" s="185"/>
      <c r="T190" s="566"/>
      <c r="U190" s="185"/>
      <c r="V190" s="185"/>
      <c r="W190" s="185"/>
      <c r="X190" s="185"/>
      <c r="Y190" s="566"/>
      <c r="Z190" s="443"/>
      <c r="AA190" s="443"/>
      <c r="AB190" s="443"/>
      <c r="AC190" s="443"/>
      <c r="AD190" s="566"/>
      <c r="AE190" s="443"/>
      <c r="AF190" s="443"/>
      <c r="AG190" s="443"/>
      <c r="AH190" s="443"/>
      <c r="AI190" s="513"/>
      <c r="AJ190" s="139"/>
      <c r="AK190" s="139"/>
      <c r="AL190" s="139"/>
      <c r="AM190" s="139"/>
      <c r="AN190" s="513"/>
      <c r="AO190" s="139"/>
      <c r="AP190" s="139"/>
      <c r="AQ190" s="139"/>
      <c r="AR190" s="185"/>
      <c r="AS190" s="566"/>
      <c r="AT190" s="298"/>
      <c r="AU190" s="298"/>
      <c r="AV190" s="298"/>
      <c r="AW190" s="298"/>
      <c r="AX190" s="576"/>
      <c r="AY190" s="298"/>
      <c r="AZ190" s="298"/>
      <c r="BA190" s="298"/>
      <c r="BB190" s="298"/>
      <c r="BC190" s="576"/>
      <c r="BD190" s="298"/>
      <c r="BE190" s="298"/>
      <c r="BF190" s="298"/>
      <c r="BG190" s="298"/>
      <c r="BH190" s="641" t="e">
        <f>BH188/'Acxiom Marketing Solutions'!BH66</f>
        <v>#REF!</v>
      </c>
      <c r="BI190" s="32" t="e">
        <f>BI188/'Acxiom Marketing Solutions'!BI66</f>
        <v>#DIV/0!</v>
      </c>
      <c r="BJ190" s="32" t="e">
        <f>BJ188/'Acxiom Marketing Solutions'!BJ66</f>
        <v>#DIV/0!</v>
      </c>
      <c r="BK190" s="32" t="e">
        <f>BK188/'Acxiom Marketing Solutions'!BK66</f>
        <v>#DIV/0!</v>
      </c>
      <c r="BL190" s="32" t="e">
        <f>BL188/'Acxiom Marketing Solutions'!BL66</f>
        <v>#DIV/0!</v>
      </c>
      <c r="BM190" s="641" t="e">
        <f>BM188/'Acxiom Marketing Solutions'!BM66</f>
        <v>#REF!</v>
      </c>
      <c r="BN190" s="32"/>
      <c r="BO190" s="32"/>
      <c r="BP190" s="32"/>
      <c r="BQ190" s="32"/>
      <c r="BR190" s="641"/>
      <c r="BS190" s="32"/>
      <c r="BT190" s="32"/>
      <c r="BU190" s="32"/>
      <c r="BV190" s="32"/>
      <c r="BW190" s="641"/>
      <c r="BX190" s="32"/>
      <c r="BY190" s="32"/>
      <c r="BZ190" s="32"/>
      <c r="CA190" s="32"/>
      <c r="CB190" s="641"/>
      <c r="CC190" s="32"/>
      <c r="CD190" s="32"/>
      <c r="CE190" s="32"/>
      <c r="CF190" s="32"/>
      <c r="CG190" s="641"/>
      <c r="CH190" s="32"/>
      <c r="CI190" s="32"/>
      <c r="CJ190" s="32"/>
      <c r="CK190" s="32"/>
      <c r="CL190" s="641"/>
      <c r="CM190" s="32"/>
      <c r="CN190" s="32"/>
      <c r="CO190" s="32"/>
      <c r="CP190" s="32"/>
      <c r="CQ190" s="641"/>
    </row>
    <row r="191" spans="5:95" hidden="1" x14ac:dyDescent="0.25">
      <c r="E191" s="54"/>
      <c r="F191" s="566"/>
      <c r="G191" s="566"/>
      <c r="H191" s="566"/>
      <c r="I191" s="566"/>
      <c r="J191" s="566"/>
      <c r="K191" s="122"/>
      <c r="L191" s="122"/>
      <c r="M191" s="122"/>
      <c r="N191" s="122"/>
      <c r="O191" s="566"/>
      <c r="P191" s="122"/>
      <c r="Q191" s="122"/>
      <c r="R191" s="122"/>
      <c r="S191" s="122"/>
      <c r="T191" s="566"/>
      <c r="U191" s="122"/>
      <c r="V191" s="122"/>
      <c r="W191" s="122"/>
      <c r="X191" s="122"/>
      <c r="Y191" s="566"/>
      <c r="Z191" s="128"/>
      <c r="AA191" s="128"/>
      <c r="AB191" s="128"/>
      <c r="AC191" s="128"/>
      <c r="AD191" s="566"/>
      <c r="AE191" s="128"/>
      <c r="AF191" s="128"/>
      <c r="AG191" s="128"/>
      <c r="AH191" s="128"/>
      <c r="AI191" s="513"/>
      <c r="AJ191" s="721"/>
      <c r="AK191" s="721"/>
      <c r="AL191" s="721"/>
      <c r="AM191" s="721"/>
      <c r="AN191" s="513"/>
      <c r="AO191" s="721"/>
      <c r="AP191" s="721"/>
      <c r="AQ191" s="721"/>
      <c r="AR191" s="726"/>
      <c r="AS191" s="566"/>
      <c r="AT191" s="439"/>
      <c r="AU191" s="439"/>
      <c r="AV191" s="439"/>
      <c r="AW191" s="439"/>
      <c r="AX191" s="568"/>
      <c r="AY191" s="439"/>
      <c r="AZ191" s="439"/>
      <c r="BA191" s="439"/>
      <c r="BB191" s="408"/>
      <c r="BC191" s="568"/>
      <c r="BD191" s="408"/>
      <c r="BE191" s="408"/>
      <c r="BF191" s="408"/>
      <c r="BG191" s="408"/>
      <c r="BH191" s="568"/>
      <c r="BI191" s="408"/>
      <c r="BJ191" s="408"/>
      <c r="BK191" s="408"/>
      <c r="BL191" s="408"/>
      <c r="BM191" s="568"/>
      <c r="BN191" s="408"/>
      <c r="BO191" s="408"/>
      <c r="BP191" s="408"/>
      <c r="BQ191" s="408"/>
      <c r="BR191" s="568"/>
      <c r="BS191" s="408"/>
      <c r="BT191" s="408"/>
      <c r="BU191" s="408"/>
      <c r="BV191" s="408"/>
      <c r="BW191" s="568"/>
      <c r="BX191" s="408"/>
      <c r="BY191" s="408"/>
      <c r="BZ191" s="408"/>
      <c r="CA191" s="408"/>
      <c r="CB191" s="568"/>
      <c r="CC191" s="408"/>
      <c r="CD191" s="408"/>
      <c r="CE191" s="408"/>
      <c r="CF191" s="408"/>
      <c r="CG191" s="568"/>
      <c r="CH191" s="408"/>
      <c r="CI191" s="408"/>
      <c r="CJ191" s="408"/>
      <c r="CK191" s="408"/>
      <c r="CL191" s="568"/>
      <c r="CM191" s="408"/>
      <c r="CN191" s="408"/>
      <c r="CO191" s="408"/>
      <c r="CP191" s="408"/>
      <c r="CQ191" s="568"/>
    </row>
    <row r="192" spans="5:95" ht="13.5" hidden="1" x14ac:dyDescent="0.25">
      <c r="E192" s="462" t="s">
        <v>314</v>
      </c>
      <c r="F192" s="644"/>
      <c r="G192" s="644"/>
      <c r="H192" s="644"/>
      <c r="I192" s="644"/>
      <c r="J192" s="644"/>
      <c r="K192" s="461"/>
      <c r="L192" s="461"/>
      <c r="M192" s="461"/>
      <c r="N192" s="461"/>
      <c r="O192" s="644"/>
      <c r="P192" s="461"/>
      <c r="Q192" s="461"/>
      <c r="R192" s="461"/>
      <c r="S192" s="461"/>
      <c r="T192" s="644"/>
      <c r="U192" s="461"/>
      <c r="V192" s="461"/>
      <c r="W192" s="461"/>
      <c r="X192" s="461"/>
      <c r="Y192" s="644"/>
      <c r="Z192" s="461"/>
      <c r="AA192" s="461"/>
      <c r="AB192" s="461"/>
      <c r="AC192" s="461"/>
      <c r="AD192" s="644"/>
      <c r="AE192" s="461"/>
      <c r="AF192" s="461"/>
      <c r="AG192" s="461"/>
      <c r="AH192" s="461"/>
      <c r="AI192" s="644"/>
      <c r="AJ192" s="463"/>
      <c r="AK192" s="463"/>
      <c r="AL192" s="463"/>
      <c r="AM192" s="463"/>
      <c r="AN192" s="644"/>
      <c r="AO192" s="463"/>
      <c r="AP192" s="463"/>
      <c r="AQ192" s="463"/>
      <c r="AR192" s="463"/>
      <c r="AS192" s="644"/>
      <c r="AT192" s="463"/>
      <c r="AU192" s="463"/>
      <c r="AV192" s="463"/>
      <c r="AW192" s="463"/>
      <c r="AX192" s="644"/>
      <c r="AY192" s="463"/>
      <c r="AZ192" s="463"/>
      <c r="BA192" s="463"/>
      <c r="BB192" s="463"/>
      <c r="BC192" s="644"/>
      <c r="BD192" s="463"/>
      <c r="BE192" s="463"/>
      <c r="BF192" s="463"/>
      <c r="BG192" s="463"/>
      <c r="BH192" s="644" t="e">
        <f>Income!BH132-BH188</f>
        <v>#REF!</v>
      </c>
      <c r="BI192" s="463"/>
      <c r="BJ192" s="463"/>
      <c r="BK192" s="463"/>
      <c r="BL192" s="463"/>
      <c r="BM192" s="644" t="e">
        <f>Income!BM132-BM188</f>
        <v>#REF!</v>
      </c>
      <c r="BN192" s="463"/>
      <c r="BO192" s="463"/>
      <c r="BP192" s="463"/>
      <c r="BQ192" s="463"/>
      <c r="BR192" s="644"/>
      <c r="BS192" s="463"/>
      <c r="BT192" s="463"/>
      <c r="BU192" s="463"/>
      <c r="BV192" s="463"/>
      <c r="BW192" s="644"/>
      <c r="BX192" s="463"/>
      <c r="BY192" s="463"/>
      <c r="BZ192" s="463"/>
      <c r="CA192" s="463"/>
      <c r="CB192" s="644"/>
      <c r="CC192" s="463"/>
      <c r="CD192" s="463"/>
      <c r="CE192" s="463"/>
      <c r="CF192" s="463"/>
      <c r="CG192" s="644"/>
      <c r="CH192" s="463"/>
      <c r="CI192" s="463"/>
      <c r="CJ192" s="463"/>
      <c r="CK192" s="463"/>
      <c r="CL192" s="644"/>
      <c r="CM192" s="463"/>
      <c r="CN192" s="463"/>
      <c r="CO192" s="463"/>
      <c r="CP192" s="463"/>
      <c r="CQ192" s="644"/>
    </row>
    <row r="193" spans="5:95" ht="13.5" hidden="1" x14ac:dyDescent="0.25">
      <c r="E193" s="365" t="s">
        <v>578</v>
      </c>
      <c r="F193" s="644"/>
      <c r="G193" s="644"/>
      <c r="H193" s="644"/>
      <c r="I193" s="644"/>
      <c r="J193" s="644"/>
      <c r="K193" s="461"/>
      <c r="L193" s="461"/>
      <c r="M193" s="461"/>
      <c r="N193" s="461"/>
      <c r="O193" s="644"/>
      <c r="P193" s="461"/>
      <c r="Q193" s="461"/>
      <c r="R193" s="461"/>
      <c r="S193" s="461"/>
      <c r="T193" s="644"/>
      <c r="U193" s="461"/>
      <c r="V193" s="461"/>
      <c r="W193" s="461"/>
      <c r="X193" s="461"/>
      <c r="Y193" s="644"/>
      <c r="Z193" s="461"/>
      <c r="AA193" s="461"/>
      <c r="AB193" s="461"/>
      <c r="AC193" s="461"/>
      <c r="AD193" s="644"/>
      <c r="AE193" s="461"/>
      <c r="AF193" s="461"/>
      <c r="AG193" s="461"/>
      <c r="AH193" s="461"/>
      <c r="AI193" s="644"/>
      <c r="AJ193" s="463"/>
      <c r="AK193" s="463"/>
      <c r="AL193" s="463"/>
      <c r="AM193" s="463"/>
      <c r="AN193" s="644"/>
      <c r="AO193" s="463"/>
      <c r="AP193" s="463"/>
      <c r="AQ193" s="463"/>
      <c r="AR193" s="463"/>
      <c r="AS193" s="644"/>
      <c r="AT193" s="463"/>
      <c r="AU193" s="463"/>
      <c r="AV193" s="463"/>
      <c r="AW193" s="463"/>
      <c r="AX193" s="644"/>
      <c r="AY193" s="463"/>
      <c r="AZ193" s="463"/>
      <c r="BA193" s="463"/>
      <c r="BB193" s="463"/>
      <c r="BC193" s="644"/>
      <c r="BD193" s="463"/>
      <c r="BE193" s="463"/>
      <c r="BF193" s="463"/>
      <c r="BG193" s="463"/>
      <c r="BH193" s="644"/>
      <c r="BI193" s="463"/>
      <c r="BJ193" s="463"/>
      <c r="BK193" s="463"/>
      <c r="BL193" s="463"/>
      <c r="BM193" s="644"/>
      <c r="BN193" s="463"/>
      <c r="BO193" s="463"/>
      <c r="BP193" s="463"/>
      <c r="BQ193" s="463"/>
      <c r="BR193" s="644"/>
      <c r="BS193" s="463"/>
      <c r="BT193" s="463"/>
      <c r="BU193" s="463"/>
      <c r="BV193" s="463"/>
      <c r="BW193" s="644"/>
      <c r="BX193" s="461"/>
      <c r="BY193" s="461"/>
      <c r="BZ193" s="461"/>
      <c r="CA193" s="461"/>
      <c r="CB193" s="644"/>
      <c r="CC193" s="461"/>
      <c r="CD193" s="461"/>
      <c r="CE193" s="461"/>
      <c r="CF193" s="461"/>
      <c r="CG193" s="644"/>
      <c r="CH193" s="461"/>
      <c r="CI193" s="461"/>
      <c r="CJ193" s="461"/>
      <c r="CK193" s="461"/>
      <c r="CL193" s="644"/>
      <c r="CM193" s="461"/>
      <c r="CN193" s="461"/>
      <c r="CO193" s="461"/>
      <c r="CP193" s="461"/>
      <c r="CQ193" s="644"/>
    </row>
    <row r="194" spans="5:95" ht="13.5" hidden="1" x14ac:dyDescent="0.25">
      <c r="E194" s="54" t="s">
        <v>447</v>
      </c>
      <c r="F194" s="644"/>
      <c r="G194" s="644"/>
      <c r="H194" s="644"/>
      <c r="I194" s="644"/>
      <c r="J194" s="644"/>
      <c r="K194" s="461"/>
      <c r="L194" s="461"/>
      <c r="M194" s="461"/>
      <c r="N194" s="461"/>
      <c r="O194" s="644"/>
      <c r="P194" s="461"/>
      <c r="Q194" s="461"/>
      <c r="R194" s="461"/>
      <c r="S194" s="461"/>
      <c r="T194" s="644"/>
      <c r="U194" s="461"/>
      <c r="V194" s="461"/>
      <c r="W194" s="461"/>
      <c r="X194" s="461"/>
      <c r="Y194" s="644"/>
      <c r="Z194" s="461"/>
      <c r="AA194" s="461"/>
      <c r="AB194" s="461"/>
      <c r="AC194" s="461"/>
      <c r="AD194" s="644"/>
      <c r="AE194" s="461"/>
      <c r="AF194" s="461"/>
      <c r="AG194" s="461"/>
      <c r="AH194" s="461"/>
      <c r="AI194" s="644"/>
      <c r="AJ194" s="463"/>
      <c r="AK194" s="463"/>
      <c r="AL194" s="463"/>
      <c r="AM194" s="463"/>
      <c r="AN194" s="644"/>
      <c r="AO194" s="463"/>
      <c r="AP194" s="463"/>
      <c r="AQ194" s="463"/>
      <c r="AR194" s="463"/>
      <c r="AS194" s="644"/>
      <c r="AT194" s="463"/>
      <c r="AU194" s="463"/>
      <c r="AV194" s="463"/>
      <c r="AW194" s="463"/>
      <c r="AX194" s="644"/>
      <c r="AY194" s="463"/>
      <c r="AZ194" s="463"/>
      <c r="BA194" s="463"/>
      <c r="BB194" s="463"/>
      <c r="BC194" s="566"/>
      <c r="BD194" s="463"/>
      <c r="BE194" s="463"/>
      <c r="BF194" s="463"/>
      <c r="BG194" s="463"/>
      <c r="BH194" s="566"/>
      <c r="BI194" s="463"/>
      <c r="BJ194" s="463"/>
      <c r="BK194" s="417"/>
      <c r="BL194" s="463"/>
      <c r="BM194" s="566"/>
      <c r="BN194" s="463"/>
      <c r="BO194" s="463"/>
      <c r="BP194" s="417"/>
      <c r="BQ194" s="463"/>
      <c r="BR194" s="566"/>
      <c r="BS194" s="463"/>
      <c r="BT194" s="463"/>
      <c r="BU194" s="463"/>
      <c r="BV194" s="463"/>
      <c r="BW194" s="566"/>
      <c r="BX194" s="461"/>
      <c r="BY194" s="461"/>
      <c r="BZ194" s="461"/>
      <c r="CA194" s="461"/>
      <c r="CB194" s="566"/>
      <c r="CC194" s="461"/>
      <c r="CD194" s="461"/>
      <c r="CE194" s="461"/>
      <c r="CF194" s="461"/>
      <c r="CG194" s="566"/>
      <c r="CH194" s="461"/>
      <c r="CI194" s="461"/>
      <c r="CJ194" s="461"/>
      <c r="CK194" s="461"/>
      <c r="CL194" s="566"/>
      <c r="CM194" s="461"/>
      <c r="CN194" s="461"/>
      <c r="CO194" s="461"/>
      <c r="CP194" s="461"/>
      <c r="CQ194" s="566"/>
    </row>
    <row r="195" spans="5:95" ht="13.5" hidden="1" x14ac:dyDescent="0.25">
      <c r="E195" s="54" t="s">
        <v>448</v>
      </c>
      <c r="F195" s="644"/>
      <c r="G195" s="644"/>
      <c r="H195" s="644"/>
      <c r="I195" s="644"/>
      <c r="J195" s="644"/>
      <c r="K195" s="461"/>
      <c r="L195" s="461"/>
      <c r="M195" s="461"/>
      <c r="N195" s="461"/>
      <c r="O195" s="644"/>
      <c r="P195" s="461"/>
      <c r="Q195" s="461"/>
      <c r="R195" s="461"/>
      <c r="S195" s="461"/>
      <c r="T195" s="644"/>
      <c r="U195" s="461"/>
      <c r="V195" s="461"/>
      <c r="W195" s="461"/>
      <c r="X195" s="461"/>
      <c r="Y195" s="644"/>
      <c r="Z195" s="461"/>
      <c r="AA195" s="461"/>
      <c r="AB195" s="461"/>
      <c r="AC195" s="461"/>
      <c r="AD195" s="644"/>
      <c r="AE195" s="461"/>
      <c r="AF195" s="461"/>
      <c r="AG195" s="461"/>
      <c r="AH195" s="461"/>
      <c r="AI195" s="644"/>
      <c r="AJ195" s="463"/>
      <c r="AK195" s="463"/>
      <c r="AL195" s="463"/>
      <c r="AM195" s="463"/>
      <c r="AN195" s="644"/>
      <c r="AO195" s="463"/>
      <c r="AP195" s="463"/>
      <c r="AQ195" s="463"/>
      <c r="AR195" s="463"/>
      <c r="AS195" s="644"/>
      <c r="AT195" s="463"/>
      <c r="AU195" s="463"/>
      <c r="AV195" s="463"/>
      <c r="AW195" s="463"/>
      <c r="AX195" s="644"/>
      <c r="AY195" s="463"/>
      <c r="AZ195" s="463"/>
      <c r="BA195" s="463"/>
      <c r="BB195" s="463"/>
      <c r="BC195" s="566"/>
      <c r="BD195" s="463"/>
      <c r="BE195" s="463"/>
      <c r="BF195" s="463"/>
      <c r="BG195" s="463"/>
      <c r="BH195" s="566"/>
      <c r="BI195" s="463"/>
      <c r="BJ195" s="463"/>
      <c r="BK195" s="417"/>
      <c r="BL195" s="463"/>
      <c r="BM195" s="566"/>
      <c r="BN195" s="463"/>
      <c r="BO195" s="463"/>
      <c r="BP195" s="417"/>
      <c r="BQ195" s="463"/>
      <c r="BR195" s="566"/>
      <c r="BS195" s="463"/>
      <c r="BT195" s="463"/>
      <c r="BU195" s="463"/>
      <c r="BV195" s="463"/>
      <c r="BW195" s="566"/>
      <c r="BX195" s="461"/>
      <c r="BY195" s="461"/>
      <c r="BZ195" s="461"/>
      <c r="CA195" s="461"/>
      <c r="CB195" s="566"/>
      <c r="CC195" s="461"/>
      <c r="CD195" s="461"/>
      <c r="CE195" s="461"/>
      <c r="CF195" s="461"/>
      <c r="CG195" s="566"/>
      <c r="CH195" s="461"/>
      <c r="CI195" s="461"/>
      <c r="CJ195" s="461"/>
      <c r="CK195" s="461"/>
      <c r="CL195" s="566"/>
      <c r="CM195" s="461"/>
      <c r="CN195" s="461"/>
      <c r="CO195" s="461"/>
      <c r="CP195" s="461"/>
      <c r="CQ195" s="566"/>
    </row>
    <row r="196" spans="5:95" hidden="1" x14ac:dyDescent="0.25">
      <c r="E196" s="54" t="s">
        <v>278</v>
      </c>
      <c r="F196" s="566"/>
      <c r="G196" s="566"/>
      <c r="H196" s="566"/>
      <c r="I196" s="566"/>
      <c r="J196" s="566"/>
      <c r="K196" s="122"/>
      <c r="L196" s="122"/>
      <c r="M196" s="122"/>
      <c r="N196" s="122"/>
      <c r="O196" s="566"/>
      <c r="P196" s="122"/>
      <c r="Q196" s="122"/>
      <c r="R196" s="122"/>
      <c r="S196" s="122"/>
      <c r="T196" s="566"/>
      <c r="U196" s="122"/>
      <c r="V196" s="122"/>
      <c r="W196" s="122"/>
      <c r="X196" s="122"/>
      <c r="Y196" s="566"/>
      <c r="Z196" s="128"/>
      <c r="AA196" s="128"/>
      <c r="AB196" s="128"/>
      <c r="AC196" s="128"/>
      <c r="AD196" s="566"/>
      <c r="AE196" s="128"/>
      <c r="AF196" s="128"/>
      <c r="AG196" s="128"/>
      <c r="AH196" s="128"/>
      <c r="AI196" s="513"/>
      <c r="AJ196" s="721"/>
      <c r="AK196" s="721"/>
      <c r="AL196" s="721"/>
      <c r="AM196" s="721"/>
      <c r="AN196" s="513"/>
      <c r="AO196" s="721"/>
      <c r="AP196" s="721"/>
      <c r="AQ196" s="721"/>
      <c r="AR196" s="726"/>
      <c r="AS196" s="566"/>
      <c r="AT196" s="439"/>
      <c r="AU196" s="439"/>
      <c r="AV196" s="439"/>
      <c r="AW196" s="439"/>
      <c r="AX196" s="566"/>
      <c r="AY196" s="721"/>
      <c r="AZ196" s="721"/>
      <c r="BA196" s="721"/>
      <c r="BB196" s="721"/>
      <c r="BC196" s="566"/>
      <c r="BD196" s="721"/>
      <c r="BE196" s="439"/>
      <c r="BF196" s="439"/>
      <c r="BG196" s="439"/>
      <c r="BH196" s="566"/>
      <c r="BI196" s="439"/>
      <c r="BJ196" s="439"/>
      <c r="BK196" s="439"/>
      <c r="BL196" s="439"/>
      <c r="BM196" s="566"/>
      <c r="BN196" s="439"/>
      <c r="BO196" s="439"/>
      <c r="BP196" s="439"/>
      <c r="BQ196" s="439"/>
      <c r="BR196" s="566"/>
      <c r="BS196" s="439"/>
      <c r="BT196" s="439"/>
      <c r="BU196" s="439"/>
      <c r="BV196" s="439"/>
      <c r="BW196" s="566"/>
      <c r="BX196" s="439"/>
      <c r="BY196" s="439"/>
      <c r="BZ196" s="439"/>
      <c r="CA196" s="439"/>
      <c r="CB196" s="566"/>
      <c r="CC196" s="439"/>
      <c r="CD196" s="439"/>
      <c r="CE196" s="439"/>
      <c r="CF196" s="439"/>
      <c r="CG196" s="566"/>
      <c r="CH196" s="439"/>
      <c r="CI196" s="439"/>
      <c r="CJ196" s="439"/>
      <c r="CK196" s="439"/>
      <c r="CL196" s="566"/>
      <c r="CM196" s="439"/>
      <c r="CN196" s="439"/>
      <c r="CO196" s="439"/>
      <c r="CP196" s="439"/>
      <c r="CQ196" s="566"/>
    </row>
    <row r="197" spans="5:95" hidden="1" x14ac:dyDescent="0.25">
      <c r="E197" s="54" t="s">
        <v>579</v>
      </c>
      <c r="F197" s="566"/>
      <c r="G197" s="566"/>
      <c r="H197" s="566"/>
      <c r="I197" s="566"/>
      <c r="J197" s="566"/>
      <c r="K197" s="122"/>
      <c r="L197" s="122"/>
      <c r="M197" s="122"/>
      <c r="N197" s="122"/>
      <c r="O197" s="566"/>
      <c r="P197" s="122"/>
      <c r="Q197" s="122"/>
      <c r="R197" s="122"/>
      <c r="S197" s="122"/>
      <c r="T197" s="566"/>
      <c r="U197" s="122"/>
      <c r="V197" s="122"/>
      <c r="W197" s="122"/>
      <c r="X197" s="122"/>
      <c r="Y197" s="566"/>
      <c r="Z197" s="128"/>
      <c r="AA197" s="128"/>
      <c r="AB197" s="128"/>
      <c r="AC197" s="128"/>
      <c r="AD197" s="566"/>
      <c r="AE197" s="128"/>
      <c r="AF197" s="128"/>
      <c r="AG197" s="128"/>
      <c r="AH197" s="128"/>
      <c r="AI197" s="513"/>
      <c r="AJ197" s="721"/>
      <c r="AK197" s="721"/>
      <c r="AL197" s="721"/>
      <c r="AM197" s="721"/>
      <c r="AN197" s="513"/>
      <c r="AO197" s="721"/>
      <c r="AP197" s="721"/>
      <c r="AQ197" s="721"/>
      <c r="AR197" s="726"/>
      <c r="AS197" s="566"/>
      <c r="AT197" s="439"/>
      <c r="AU197" s="439"/>
      <c r="AV197" s="439"/>
      <c r="AW197" s="439"/>
      <c r="AX197" s="566"/>
      <c r="AY197" s="721"/>
      <c r="AZ197" s="721"/>
      <c r="BA197" s="721"/>
      <c r="BB197" s="721"/>
      <c r="BC197" s="566"/>
      <c r="BD197" s="721"/>
      <c r="BE197" s="439"/>
      <c r="BF197" s="439"/>
      <c r="BG197" s="439"/>
      <c r="BH197" s="566">
        <f>Income!BH133</f>
        <v>12.002000000000001</v>
      </c>
      <c r="BI197" s="439"/>
      <c r="BJ197" s="439"/>
      <c r="BK197" s="439"/>
      <c r="BL197" s="439"/>
      <c r="BM197" s="566">
        <f>Income!BM133</f>
        <v>13.206</v>
      </c>
      <c r="BN197" s="439">
        <f>Income!BN133</f>
        <v>3.9249999999999998</v>
      </c>
      <c r="BO197" s="439">
        <f>Income!BO133</f>
        <v>7.7249999999999996</v>
      </c>
      <c r="BP197" s="439">
        <f>Income!BP133</f>
        <v>8.4499999999999993</v>
      </c>
      <c r="BQ197" s="439"/>
      <c r="BR197" s="566"/>
      <c r="BS197" s="439"/>
      <c r="BT197" s="439"/>
      <c r="BU197" s="439"/>
      <c r="BV197" s="439"/>
      <c r="BW197" s="566"/>
      <c r="BX197" s="439"/>
      <c r="BY197" s="439"/>
      <c r="BZ197" s="439"/>
      <c r="CA197" s="439"/>
      <c r="CB197" s="566"/>
      <c r="CC197" s="439"/>
      <c r="CD197" s="439"/>
      <c r="CE197" s="439"/>
      <c r="CF197" s="439"/>
      <c r="CG197" s="566"/>
      <c r="CH197" s="439"/>
      <c r="CI197" s="439"/>
      <c r="CJ197" s="439"/>
      <c r="CK197" s="439"/>
      <c r="CL197" s="566"/>
      <c r="CM197" s="439"/>
      <c r="CN197" s="439"/>
      <c r="CO197" s="439"/>
      <c r="CP197" s="439"/>
      <c r="CQ197" s="566"/>
    </row>
    <row r="198" spans="5:95" ht="13.5" hidden="1" x14ac:dyDescent="0.25">
      <c r="E198" s="54"/>
      <c r="F198" s="644"/>
      <c r="G198" s="644"/>
      <c r="H198" s="644"/>
      <c r="I198" s="644"/>
      <c r="J198" s="644"/>
      <c r="K198" s="461"/>
      <c r="L198" s="461"/>
      <c r="M198" s="461"/>
      <c r="N198" s="461"/>
      <c r="O198" s="644"/>
      <c r="P198" s="461"/>
      <c r="Q198" s="461"/>
      <c r="R198" s="461"/>
      <c r="S198" s="461"/>
      <c r="T198" s="644"/>
      <c r="U198" s="461"/>
      <c r="V198" s="461"/>
      <c r="W198" s="461"/>
      <c r="X198" s="461"/>
      <c r="Y198" s="644"/>
      <c r="Z198" s="461"/>
      <c r="AA198" s="461"/>
      <c r="AB198" s="461"/>
      <c r="AC198" s="461"/>
      <c r="AD198" s="644"/>
      <c r="AE198" s="461"/>
      <c r="AF198" s="461"/>
      <c r="AG198" s="461"/>
      <c r="AH198" s="461"/>
      <c r="AI198" s="644"/>
      <c r="AJ198" s="463"/>
      <c r="AK198" s="463"/>
      <c r="AL198" s="463"/>
      <c r="AM198" s="463"/>
      <c r="AN198" s="644"/>
      <c r="AO198" s="463"/>
      <c r="AP198" s="463"/>
      <c r="AQ198" s="463"/>
      <c r="AR198" s="463"/>
      <c r="AS198" s="644"/>
      <c r="AT198" s="463"/>
      <c r="AU198" s="463"/>
      <c r="AV198" s="463"/>
      <c r="AW198" s="463"/>
      <c r="AX198" s="644"/>
      <c r="AY198" s="463"/>
      <c r="AZ198" s="463"/>
      <c r="BA198" s="463"/>
      <c r="BB198" s="463"/>
      <c r="BC198" s="566"/>
      <c r="BD198" s="463"/>
      <c r="BE198" s="463"/>
      <c r="BF198" s="463"/>
      <c r="BG198" s="463"/>
      <c r="BH198" s="566"/>
      <c r="BI198" s="463"/>
      <c r="BJ198" s="463"/>
      <c r="BK198" s="463"/>
      <c r="BL198" s="463"/>
      <c r="BM198" s="566"/>
      <c r="BN198" s="463"/>
      <c r="BO198" s="463"/>
      <c r="BP198" s="463"/>
      <c r="BQ198" s="463"/>
      <c r="BR198" s="566"/>
      <c r="BS198" s="463"/>
      <c r="BT198" s="463"/>
      <c r="BU198" s="463"/>
      <c r="BV198" s="463"/>
      <c r="BW198" s="566"/>
      <c r="BX198" s="461"/>
      <c r="BY198" s="461"/>
      <c r="BZ198" s="461"/>
      <c r="CA198" s="461"/>
      <c r="CB198" s="566"/>
      <c r="CC198" s="461"/>
      <c r="CD198" s="461"/>
      <c r="CE198" s="461"/>
      <c r="CF198" s="461"/>
      <c r="CG198" s="566"/>
      <c r="CH198" s="461"/>
      <c r="CI198" s="461"/>
      <c r="CJ198" s="461"/>
      <c r="CK198" s="461"/>
      <c r="CL198" s="566"/>
      <c r="CM198" s="461"/>
      <c r="CN198" s="461"/>
      <c r="CO198" s="461"/>
      <c r="CP198" s="461"/>
      <c r="CQ198" s="566"/>
    </row>
    <row r="199" spans="5:95" ht="13.5" hidden="1" x14ac:dyDescent="0.25">
      <c r="E199" s="365" t="s">
        <v>580</v>
      </c>
      <c r="F199" s="644"/>
      <c r="G199" s="644"/>
      <c r="H199" s="644"/>
      <c r="I199" s="644"/>
      <c r="J199" s="644"/>
      <c r="K199" s="461"/>
      <c r="L199" s="461"/>
      <c r="M199" s="461"/>
      <c r="N199" s="461"/>
      <c r="O199" s="644"/>
      <c r="P199" s="461"/>
      <c r="Q199" s="461"/>
      <c r="R199" s="461"/>
      <c r="S199" s="461"/>
      <c r="T199" s="644"/>
      <c r="U199" s="461"/>
      <c r="V199" s="461"/>
      <c r="W199" s="461"/>
      <c r="X199" s="461"/>
      <c r="Y199" s="644"/>
      <c r="Z199" s="461"/>
      <c r="AA199" s="461"/>
      <c r="AB199" s="461"/>
      <c r="AC199" s="461"/>
      <c r="AD199" s="644"/>
      <c r="AE199" s="461"/>
      <c r="AF199" s="461"/>
      <c r="AG199" s="461"/>
      <c r="AH199" s="461"/>
      <c r="AI199" s="644"/>
      <c r="AJ199" s="463"/>
      <c r="AK199" s="463"/>
      <c r="AL199" s="463"/>
      <c r="AM199" s="463"/>
      <c r="AN199" s="644"/>
      <c r="AO199" s="463"/>
      <c r="AP199" s="463"/>
      <c r="AQ199" s="463"/>
      <c r="AR199" s="463"/>
      <c r="AS199" s="644"/>
      <c r="AT199" s="463"/>
      <c r="AU199" s="463"/>
      <c r="AV199" s="463"/>
      <c r="AW199" s="463"/>
      <c r="AX199" s="644"/>
      <c r="AY199" s="463"/>
      <c r="AZ199" s="463"/>
      <c r="BA199" s="463"/>
      <c r="BB199" s="463"/>
      <c r="BC199" s="566"/>
      <c r="BD199" s="463"/>
      <c r="BE199" s="463"/>
      <c r="BF199" s="463"/>
      <c r="BG199" s="463"/>
      <c r="BH199" s="566"/>
      <c r="BI199" s="463"/>
      <c r="BJ199" s="463"/>
      <c r="BK199" s="463"/>
      <c r="BL199" s="463"/>
      <c r="BM199" s="566"/>
      <c r="BN199" s="463"/>
      <c r="BO199" s="463"/>
      <c r="BP199" s="463"/>
      <c r="BQ199" s="463"/>
      <c r="BR199" s="566"/>
      <c r="BS199" s="463"/>
      <c r="BT199" s="463"/>
      <c r="BU199" s="463"/>
      <c r="BV199" s="463"/>
      <c r="BW199" s="566"/>
      <c r="BX199" s="461"/>
      <c r="BY199" s="461"/>
      <c r="BZ199" s="461"/>
      <c r="CA199" s="461"/>
      <c r="CB199" s="566"/>
      <c r="CC199" s="461"/>
      <c r="CD199" s="461"/>
      <c r="CE199" s="461"/>
      <c r="CF199" s="461"/>
      <c r="CG199" s="566"/>
      <c r="CH199" s="461"/>
      <c r="CI199" s="461"/>
      <c r="CJ199" s="461"/>
      <c r="CK199" s="461"/>
      <c r="CL199" s="566"/>
      <c r="CM199" s="461"/>
      <c r="CN199" s="461"/>
      <c r="CO199" s="461"/>
      <c r="CP199" s="461"/>
      <c r="CQ199" s="566"/>
    </row>
    <row r="200" spans="5:95" ht="13.5" hidden="1" x14ac:dyDescent="0.25">
      <c r="E200" s="54" t="s">
        <v>447</v>
      </c>
      <c r="F200" s="644"/>
      <c r="G200" s="644"/>
      <c r="H200" s="644"/>
      <c r="I200" s="644"/>
      <c r="J200" s="644"/>
      <c r="K200" s="461"/>
      <c r="L200" s="461"/>
      <c r="M200" s="461"/>
      <c r="N200" s="461"/>
      <c r="O200" s="644"/>
      <c r="P200" s="461"/>
      <c r="Q200" s="461"/>
      <c r="R200" s="461"/>
      <c r="S200" s="461"/>
      <c r="T200" s="644"/>
      <c r="U200" s="461"/>
      <c r="V200" s="461"/>
      <c r="W200" s="461"/>
      <c r="X200" s="461"/>
      <c r="Y200" s="644"/>
      <c r="Z200" s="461"/>
      <c r="AA200" s="461"/>
      <c r="AB200" s="461"/>
      <c r="AC200" s="461"/>
      <c r="AD200" s="644"/>
      <c r="AE200" s="461"/>
      <c r="AF200" s="461"/>
      <c r="AG200" s="461"/>
      <c r="AH200" s="461"/>
      <c r="AI200" s="644"/>
      <c r="AJ200" s="463"/>
      <c r="AK200" s="463"/>
      <c r="AL200" s="463"/>
      <c r="AM200" s="463"/>
      <c r="AN200" s="644"/>
      <c r="AO200" s="463"/>
      <c r="AP200" s="463"/>
      <c r="AQ200" s="463"/>
      <c r="AR200" s="463"/>
      <c r="AS200" s="644"/>
      <c r="AT200" s="463"/>
      <c r="AU200" s="463"/>
      <c r="AV200" s="463"/>
      <c r="AW200" s="463"/>
      <c r="AX200" s="644"/>
      <c r="AY200" s="463"/>
      <c r="AZ200" s="463"/>
      <c r="BA200" s="463"/>
      <c r="BB200" s="463"/>
      <c r="BC200" s="566"/>
      <c r="BD200" s="463"/>
      <c r="BE200" s="463"/>
      <c r="BF200" s="463"/>
      <c r="BG200" s="417">
        <v>34</v>
      </c>
      <c r="BH200" s="566">
        <f>SUM(BD200:BG200)</f>
        <v>34</v>
      </c>
      <c r="BI200" s="417">
        <v>27</v>
      </c>
      <c r="BJ200" s="417">
        <v>31</v>
      </c>
      <c r="BK200" s="417">
        <v>38</v>
      </c>
      <c r="BL200" s="417">
        <v>44</v>
      </c>
      <c r="BM200" s="566">
        <f>SUM(BI200:BL200)</f>
        <v>140</v>
      </c>
      <c r="BN200" s="417">
        <v>29</v>
      </c>
      <c r="BO200" s="417">
        <v>34</v>
      </c>
      <c r="BP200" s="417">
        <v>41</v>
      </c>
      <c r="BQ200" s="463"/>
      <c r="BR200" s="566"/>
      <c r="BS200" s="463"/>
      <c r="BT200" s="463"/>
      <c r="BU200" s="463"/>
      <c r="BV200" s="463"/>
      <c r="BW200" s="566"/>
      <c r="BX200" s="461"/>
      <c r="BY200" s="461"/>
      <c r="BZ200" s="461"/>
      <c r="CA200" s="461"/>
      <c r="CB200" s="566"/>
      <c r="CC200" s="461"/>
      <c r="CD200" s="461"/>
      <c r="CE200" s="461"/>
      <c r="CF200" s="461"/>
      <c r="CG200" s="566"/>
      <c r="CH200" s="461"/>
      <c r="CI200" s="461"/>
      <c r="CJ200" s="461"/>
      <c r="CK200" s="461"/>
      <c r="CL200" s="566"/>
      <c r="CM200" s="461"/>
      <c r="CN200" s="461"/>
      <c r="CO200" s="461"/>
      <c r="CP200" s="461"/>
      <c r="CQ200" s="566"/>
    </row>
    <row r="201" spans="5:95" ht="13.5" hidden="1" x14ac:dyDescent="0.25">
      <c r="E201" s="91" t="s">
        <v>2</v>
      </c>
      <c r="F201" s="644"/>
      <c r="G201" s="644"/>
      <c r="H201" s="644"/>
      <c r="I201" s="644"/>
      <c r="J201" s="644"/>
      <c r="K201" s="461"/>
      <c r="L201" s="461"/>
      <c r="M201" s="461"/>
      <c r="N201" s="461"/>
      <c r="O201" s="644"/>
      <c r="P201" s="461"/>
      <c r="Q201" s="461"/>
      <c r="R201" s="461"/>
      <c r="S201" s="461"/>
      <c r="T201" s="644"/>
      <c r="U201" s="461"/>
      <c r="V201" s="461"/>
      <c r="W201" s="461"/>
      <c r="X201" s="461"/>
      <c r="Y201" s="644"/>
      <c r="Z201" s="461"/>
      <c r="AA201" s="461"/>
      <c r="AB201" s="461"/>
      <c r="AC201" s="461"/>
      <c r="AD201" s="644"/>
      <c r="AE201" s="461"/>
      <c r="AF201" s="461"/>
      <c r="AG201" s="461"/>
      <c r="AH201" s="461"/>
      <c r="AI201" s="644"/>
      <c r="AJ201" s="463"/>
      <c r="AK201" s="463"/>
      <c r="AL201" s="463"/>
      <c r="AM201" s="463"/>
      <c r="AN201" s="644"/>
      <c r="AO201" s="463"/>
      <c r="AP201" s="463"/>
      <c r="AQ201" s="463"/>
      <c r="AR201" s="463"/>
      <c r="AS201" s="644"/>
      <c r="AT201" s="463"/>
      <c r="AU201" s="463"/>
      <c r="AV201" s="463"/>
      <c r="AW201" s="463"/>
      <c r="AX201" s="644"/>
      <c r="AY201" s="463"/>
      <c r="AZ201" s="463"/>
      <c r="BA201" s="463"/>
      <c r="BB201" s="463"/>
      <c r="BC201" s="566"/>
      <c r="BD201" s="463"/>
      <c r="BE201" s="463"/>
      <c r="BF201" s="463"/>
      <c r="BG201" s="463"/>
      <c r="BH201" s="641"/>
      <c r="BI201" s="463"/>
      <c r="BJ201" s="463"/>
      <c r="BK201" s="463"/>
      <c r="BL201" s="463"/>
      <c r="BM201" s="641"/>
      <c r="BN201" s="183">
        <f>BN200/BI200-1</f>
        <v>7.4074074074074181E-2</v>
      </c>
      <c r="BO201" s="183">
        <f>BO200/BJ200-1</f>
        <v>9.6774193548387011E-2</v>
      </c>
      <c r="BP201" s="183">
        <f>BP200/BK200-1</f>
        <v>7.8947368421052655E-2</v>
      </c>
      <c r="BQ201" s="463"/>
      <c r="BR201" s="566"/>
      <c r="BS201" s="463"/>
      <c r="BT201" s="463"/>
      <c r="BU201" s="463"/>
      <c r="BV201" s="463"/>
      <c r="BW201" s="566"/>
      <c r="BX201" s="461"/>
      <c r="BY201" s="461"/>
      <c r="BZ201" s="461"/>
      <c r="CA201" s="461"/>
      <c r="CB201" s="566"/>
      <c r="CC201" s="461"/>
      <c r="CD201" s="461"/>
      <c r="CE201" s="461"/>
      <c r="CF201" s="461"/>
      <c r="CG201" s="566"/>
      <c r="CH201" s="461"/>
      <c r="CI201" s="461"/>
      <c r="CJ201" s="461"/>
      <c r="CK201" s="461"/>
      <c r="CL201" s="566"/>
      <c r="CM201" s="461"/>
      <c r="CN201" s="461"/>
      <c r="CO201" s="461"/>
      <c r="CP201" s="461"/>
      <c r="CQ201" s="566"/>
    </row>
    <row r="202" spans="5:95" hidden="1" x14ac:dyDescent="0.25">
      <c r="E202" s="54" t="s">
        <v>448</v>
      </c>
      <c r="F202" s="566"/>
      <c r="G202" s="566"/>
      <c r="H202" s="566"/>
      <c r="I202" s="566"/>
      <c r="J202" s="566"/>
      <c r="K202" s="122"/>
      <c r="L202" s="122"/>
      <c r="M202" s="122"/>
      <c r="N202" s="122"/>
      <c r="O202" s="566"/>
      <c r="P202" s="122"/>
      <c r="Q202" s="122"/>
      <c r="R202" s="122"/>
      <c r="S202" s="122"/>
      <c r="T202" s="566"/>
      <c r="U202" s="122"/>
      <c r="V202" s="122"/>
      <c r="W202" s="122"/>
      <c r="X202" s="122"/>
      <c r="Y202" s="566"/>
      <c r="Z202" s="128"/>
      <c r="AA202" s="128"/>
      <c r="AB202" s="128"/>
      <c r="AC202" s="128"/>
      <c r="AD202" s="566"/>
      <c r="AE202" s="128"/>
      <c r="AF202" s="128"/>
      <c r="AG202" s="128"/>
      <c r="AH202" s="128"/>
      <c r="AI202" s="513"/>
      <c r="AJ202" s="721"/>
      <c r="AK202" s="721"/>
      <c r="AL202" s="721"/>
      <c r="AM202" s="721"/>
      <c r="AN202" s="513"/>
      <c r="AO202" s="721"/>
      <c r="AP202" s="721"/>
      <c r="AQ202" s="721"/>
      <c r="AR202" s="726"/>
      <c r="AS202" s="566"/>
      <c r="AT202" s="439"/>
      <c r="AU202" s="439"/>
      <c r="AV202" s="439"/>
      <c r="AW202" s="439"/>
      <c r="AX202" s="566"/>
      <c r="AY202" s="721"/>
      <c r="AZ202" s="721"/>
      <c r="BA202" s="721"/>
      <c r="BB202" s="721"/>
      <c r="BC202" s="566"/>
      <c r="BD202" s="721"/>
      <c r="BE202" s="439"/>
      <c r="BF202" s="439"/>
      <c r="BG202" s="439"/>
      <c r="BH202" s="566">
        <f>SUM(BD202:BG202)</f>
        <v>0</v>
      </c>
      <c r="BI202" s="439">
        <f>BI206-BI200</f>
        <v>25.437999999999974</v>
      </c>
      <c r="BJ202" s="439">
        <f>BJ206-BJ200</f>
        <v>26.246999999999957</v>
      </c>
      <c r="BK202" s="439">
        <f>BK206-BK200</f>
        <v>20.397000000000048</v>
      </c>
      <c r="BL202" s="439">
        <f>BL206-BL200</f>
        <v>18.071000000000026</v>
      </c>
      <c r="BM202" s="566">
        <f>SUM(BI202:BL202)</f>
        <v>90.153000000000006</v>
      </c>
      <c r="BN202" s="439">
        <f>BN206-BN200</f>
        <v>-4.5750000000000135</v>
      </c>
      <c r="BO202" s="439">
        <f>BO206-BO200</f>
        <v>-5.3369999999999962</v>
      </c>
      <c r="BP202" s="439">
        <f>BP206-BP200</f>
        <v>-3.5319999999999965</v>
      </c>
      <c r="BQ202" s="439"/>
      <c r="BR202" s="566"/>
      <c r="BS202" s="439"/>
      <c r="BT202" s="439"/>
      <c r="BU202" s="439"/>
      <c r="BV202" s="439"/>
      <c r="BW202" s="566"/>
      <c r="BX202" s="439"/>
      <c r="BY202" s="439"/>
      <c r="BZ202" s="439"/>
      <c r="CA202" s="439"/>
      <c r="CB202" s="566"/>
      <c r="CC202" s="439"/>
      <c r="CD202" s="439"/>
      <c r="CE202" s="439"/>
      <c r="CF202" s="439"/>
      <c r="CG202" s="566"/>
      <c r="CH202" s="439"/>
      <c r="CI202" s="439"/>
      <c r="CJ202" s="439"/>
      <c r="CK202" s="439"/>
      <c r="CL202" s="566"/>
      <c r="CM202" s="439"/>
      <c r="CN202" s="439"/>
      <c r="CO202" s="439"/>
      <c r="CP202" s="439"/>
      <c r="CQ202" s="566"/>
    </row>
    <row r="203" spans="5:95" ht="13.5" hidden="1" x14ac:dyDescent="0.25">
      <c r="E203" s="91" t="s">
        <v>2</v>
      </c>
      <c r="F203" s="644"/>
      <c r="G203" s="644"/>
      <c r="H203" s="644"/>
      <c r="I203" s="644"/>
      <c r="J203" s="644"/>
      <c r="K203" s="461"/>
      <c r="L203" s="461"/>
      <c r="M203" s="461"/>
      <c r="N203" s="461"/>
      <c r="O203" s="644"/>
      <c r="P203" s="461"/>
      <c r="Q203" s="461"/>
      <c r="R203" s="461"/>
      <c r="S203" s="461"/>
      <c r="T203" s="644"/>
      <c r="U203" s="461"/>
      <c r="V203" s="461"/>
      <c r="W203" s="461"/>
      <c r="X203" s="461"/>
      <c r="Y203" s="644"/>
      <c r="Z203" s="461"/>
      <c r="AA203" s="461"/>
      <c r="AB203" s="461"/>
      <c r="AC203" s="461"/>
      <c r="AD203" s="644"/>
      <c r="AE203" s="461"/>
      <c r="AF203" s="461"/>
      <c r="AG203" s="461"/>
      <c r="AH203" s="461"/>
      <c r="AI203" s="644"/>
      <c r="AJ203" s="463"/>
      <c r="AK203" s="463"/>
      <c r="AL203" s="463"/>
      <c r="AM203" s="463"/>
      <c r="AN203" s="644"/>
      <c r="AO203" s="463"/>
      <c r="AP203" s="463"/>
      <c r="AQ203" s="463"/>
      <c r="AR203" s="463"/>
      <c r="AS203" s="644"/>
      <c r="AT203" s="463"/>
      <c r="AU203" s="463"/>
      <c r="AV203" s="463"/>
      <c r="AW203" s="463"/>
      <c r="AX203" s="644"/>
      <c r="AY203" s="463"/>
      <c r="AZ203" s="463"/>
      <c r="BA203" s="463"/>
      <c r="BB203" s="463"/>
      <c r="BC203" s="566"/>
      <c r="BD203" s="463"/>
      <c r="BE203" s="463"/>
      <c r="BF203" s="463"/>
      <c r="BG203" s="463"/>
      <c r="BH203" s="566"/>
      <c r="BI203" s="463"/>
      <c r="BJ203" s="463"/>
      <c r="BK203" s="463"/>
      <c r="BL203" s="463"/>
      <c r="BM203" s="566"/>
      <c r="BN203" s="183">
        <f>BN202/BI202-1</f>
        <v>-1.1798490447362222</v>
      </c>
      <c r="BO203" s="183">
        <f>BO202/BJ202-1</f>
        <v>-1.2033375242884903</v>
      </c>
      <c r="BP203" s="183">
        <f>BP202/BK202-1</f>
        <v>-1.1731627200078436</v>
      </c>
      <c r="BQ203" s="463"/>
      <c r="BR203" s="566"/>
      <c r="BS203" s="463"/>
      <c r="BT203" s="463"/>
      <c r="BU203" s="463"/>
      <c r="BV203" s="463"/>
      <c r="BW203" s="566"/>
      <c r="BX203" s="461"/>
      <c r="BY203" s="461"/>
      <c r="BZ203" s="461"/>
      <c r="CA203" s="461"/>
      <c r="CB203" s="566"/>
      <c r="CC203" s="461"/>
      <c r="CD203" s="461"/>
      <c r="CE203" s="461"/>
      <c r="CF203" s="461"/>
      <c r="CG203" s="566"/>
      <c r="CH203" s="461"/>
      <c r="CI203" s="461"/>
      <c r="CJ203" s="461"/>
      <c r="CK203" s="461"/>
      <c r="CL203" s="566"/>
      <c r="CM203" s="461"/>
      <c r="CN203" s="461"/>
      <c r="CO203" s="461"/>
      <c r="CP203" s="461"/>
      <c r="CQ203" s="566"/>
    </row>
    <row r="204" spans="5:95" ht="13.5" hidden="1" x14ac:dyDescent="0.25">
      <c r="E204" s="54" t="s">
        <v>278</v>
      </c>
      <c r="F204" s="644"/>
      <c r="G204" s="644"/>
      <c r="H204" s="644"/>
      <c r="I204" s="644"/>
      <c r="J204" s="644"/>
      <c r="K204" s="461"/>
      <c r="L204" s="461"/>
      <c r="M204" s="461"/>
      <c r="N204" s="461"/>
      <c r="O204" s="644"/>
      <c r="P204" s="461"/>
      <c r="Q204" s="461"/>
      <c r="R204" s="461"/>
      <c r="S204" s="461"/>
      <c r="T204" s="644"/>
      <c r="U204" s="461"/>
      <c r="V204" s="461"/>
      <c r="W204" s="461"/>
      <c r="X204" s="461"/>
      <c r="Y204" s="644"/>
      <c r="Z204" s="461"/>
      <c r="AA204" s="461"/>
      <c r="AB204" s="461"/>
      <c r="AC204" s="461"/>
      <c r="AD204" s="644"/>
      <c r="AE204" s="461"/>
      <c r="AF204" s="461"/>
      <c r="AG204" s="461"/>
      <c r="AH204" s="461"/>
      <c r="AI204" s="644"/>
      <c r="AJ204" s="463"/>
      <c r="AK204" s="463"/>
      <c r="AL204" s="463"/>
      <c r="AM204" s="463"/>
      <c r="AN204" s="644"/>
      <c r="AO204" s="463"/>
      <c r="AP204" s="463"/>
      <c r="AQ204" s="463"/>
      <c r="AR204" s="463"/>
      <c r="AS204" s="644"/>
      <c r="AT204" s="463"/>
      <c r="AU204" s="463"/>
      <c r="AV204" s="463"/>
      <c r="AW204" s="463"/>
      <c r="AX204" s="644"/>
      <c r="AY204" s="463"/>
      <c r="AZ204" s="463"/>
      <c r="BA204" s="463"/>
      <c r="BB204" s="463"/>
      <c r="BC204" s="566"/>
      <c r="BD204" s="463"/>
      <c r="BE204" s="463"/>
      <c r="BF204" s="463"/>
      <c r="BG204" s="463"/>
      <c r="BH204" s="566"/>
      <c r="BI204" s="463"/>
      <c r="BJ204" s="463"/>
      <c r="BK204" s="463"/>
      <c r="BL204" s="463"/>
      <c r="BM204" s="566"/>
      <c r="BN204" s="463"/>
      <c r="BO204" s="463"/>
      <c r="BP204" s="463"/>
      <c r="BQ204" s="463"/>
      <c r="BR204" s="566"/>
      <c r="BS204" s="463"/>
      <c r="BT204" s="463"/>
      <c r="BU204" s="463"/>
      <c r="BV204" s="463"/>
      <c r="BW204" s="566"/>
      <c r="BX204" s="461"/>
      <c r="BY204" s="461"/>
      <c r="BZ204" s="461"/>
      <c r="CA204" s="461"/>
      <c r="CB204" s="566"/>
      <c r="CC204" s="461"/>
      <c r="CD204" s="461"/>
      <c r="CE204" s="461"/>
      <c r="CF204" s="461"/>
      <c r="CG204" s="566"/>
      <c r="CH204" s="461"/>
      <c r="CI204" s="461"/>
      <c r="CJ204" s="461"/>
      <c r="CK204" s="461"/>
      <c r="CL204" s="566"/>
      <c r="CM204" s="461"/>
      <c r="CN204" s="461"/>
      <c r="CO204" s="461"/>
      <c r="CP204" s="461"/>
      <c r="CQ204" s="566"/>
    </row>
    <row r="205" spans="5:95" ht="13.5" hidden="1" x14ac:dyDescent="0.25">
      <c r="E205" s="91" t="s">
        <v>2</v>
      </c>
      <c r="F205" s="644"/>
      <c r="G205" s="644"/>
      <c r="H205" s="644"/>
      <c r="I205" s="644"/>
      <c r="J205" s="644"/>
      <c r="K205" s="461"/>
      <c r="L205" s="461"/>
      <c r="M205" s="461"/>
      <c r="N205" s="461"/>
      <c r="O205" s="644"/>
      <c r="P205" s="461"/>
      <c r="Q205" s="461"/>
      <c r="R205" s="461"/>
      <c r="S205" s="461"/>
      <c r="T205" s="644"/>
      <c r="U205" s="461"/>
      <c r="V205" s="461"/>
      <c r="W205" s="461"/>
      <c r="X205" s="461"/>
      <c r="Y205" s="644"/>
      <c r="Z205" s="461"/>
      <c r="AA205" s="461"/>
      <c r="AB205" s="461"/>
      <c r="AC205" s="461"/>
      <c r="AD205" s="644"/>
      <c r="AE205" s="461"/>
      <c r="AF205" s="461"/>
      <c r="AG205" s="461"/>
      <c r="AH205" s="461"/>
      <c r="AI205" s="644"/>
      <c r="AJ205" s="463"/>
      <c r="AK205" s="463"/>
      <c r="AL205" s="463"/>
      <c r="AM205" s="463"/>
      <c r="AN205" s="644"/>
      <c r="AO205" s="463"/>
      <c r="AP205" s="463"/>
      <c r="AQ205" s="463"/>
      <c r="AR205" s="463"/>
      <c r="AS205" s="644"/>
      <c r="AT205" s="463"/>
      <c r="AU205" s="463"/>
      <c r="AV205" s="463"/>
      <c r="AW205" s="463"/>
      <c r="AX205" s="644"/>
      <c r="AY205" s="463"/>
      <c r="AZ205" s="463"/>
      <c r="BA205" s="463"/>
      <c r="BB205" s="463"/>
      <c r="BC205" s="566"/>
      <c r="BD205" s="463"/>
      <c r="BE205" s="463"/>
      <c r="BF205" s="463"/>
      <c r="BG205" s="463"/>
      <c r="BH205" s="566"/>
      <c r="BI205" s="463"/>
      <c r="BJ205" s="463"/>
      <c r="BK205" s="463"/>
      <c r="BL205" s="463"/>
      <c r="BM205" s="566"/>
      <c r="BN205" s="463"/>
      <c r="BO205" s="463"/>
      <c r="BP205" s="463"/>
      <c r="BQ205" s="463"/>
      <c r="BR205" s="566"/>
      <c r="BS205" s="463"/>
      <c r="BT205" s="463"/>
      <c r="BU205" s="463"/>
      <c r="BV205" s="463"/>
      <c r="BW205" s="566"/>
      <c r="BX205" s="461"/>
      <c r="BY205" s="461"/>
      <c r="BZ205" s="461"/>
      <c r="CA205" s="461"/>
      <c r="CB205" s="566"/>
      <c r="CC205" s="461"/>
      <c r="CD205" s="461"/>
      <c r="CE205" s="461"/>
      <c r="CF205" s="461"/>
      <c r="CG205" s="566"/>
      <c r="CH205" s="461"/>
      <c r="CI205" s="461"/>
      <c r="CJ205" s="461"/>
      <c r="CK205" s="461"/>
      <c r="CL205" s="566"/>
      <c r="CM205" s="461"/>
      <c r="CN205" s="461"/>
      <c r="CO205" s="461"/>
      <c r="CP205" s="461"/>
      <c r="CQ205" s="566"/>
    </row>
    <row r="206" spans="5:95" ht="13.5" hidden="1" x14ac:dyDescent="0.25">
      <c r="E206" s="298" t="s">
        <v>581</v>
      </c>
      <c r="F206" s="566"/>
      <c r="G206" s="566"/>
      <c r="H206" s="566"/>
      <c r="I206" s="566"/>
      <c r="J206" s="566"/>
      <c r="K206" s="185"/>
      <c r="L206" s="185"/>
      <c r="M206" s="185"/>
      <c r="N206" s="185"/>
      <c r="O206" s="566"/>
      <c r="P206" s="185"/>
      <c r="Q206" s="185"/>
      <c r="R206" s="185"/>
      <c r="S206" s="185"/>
      <c r="T206" s="566"/>
      <c r="U206" s="185"/>
      <c r="V206" s="185"/>
      <c r="W206" s="185"/>
      <c r="X206" s="185"/>
      <c r="Y206" s="566"/>
      <c r="Z206" s="443"/>
      <c r="AA206" s="443"/>
      <c r="AB206" s="443"/>
      <c r="AC206" s="443"/>
      <c r="AD206" s="566"/>
      <c r="AE206" s="443"/>
      <c r="AF206" s="443"/>
      <c r="AG206" s="443"/>
      <c r="AH206" s="443"/>
      <c r="AI206" s="513"/>
      <c r="AJ206" s="139"/>
      <c r="AK206" s="139"/>
      <c r="AL206" s="139"/>
      <c r="AM206" s="139"/>
      <c r="AN206" s="513"/>
      <c r="AO206" s="139"/>
      <c r="AP206" s="139"/>
      <c r="AQ206" s="139"/>
      <c r="AR206" s="185"/>
      <c r="AS206" s="566"/>
      <c r="AT206" s="298"/>
      <c r="AU206" s="298"/>
      <c r="AV206" s="298"/>
      <c r="AW206" s="298"/>
      <c r="AX206" s="576"/>
      <c r="AY206" s="298"/>
      <c r="AZ206" s="298"/>
      <c r="BA206" s="298"/>
      <c r="BB206" s="298"/>
      <c r="BC206" s="576"/>
      <c r="BD206" s="298"/>
      <c r="BE206" s="298"/>
      <c r="BF206" s="298"/>
      <c r="BG206" s="298"/>
      <c r="BH206" s="576">
        <f>Income!BH134</f>
        <v>232.93899999999991</v>
      </c>
      <c r="BI206" s="298">
        <f>Income!BI134</f>
        <v>52.437999999999974</v>
      </c>
      <c r="BJ206" s="298">
        <f>Income!BJ134</f>
        <v>57.246999999999957</v>
      </c>
      <c r="BK206" s="298">
        <f>Income!BK134</f>
        <v>58.397000000000048</v>
      </c>
      <c r="BL206" s="298">
        <f>Income!BL134</f>
        <v>62.071000000000026</v>
      </c>
      <c r="BM206" s="576">
        <f>Income!BM134</f>
        <v>159.88999999999999</v>
      </c>
      <c r="BN206" s="298">
        <f>Income!BN134</f>
        <v>24.424999999999986</v>
      </c>
      <c r="BO206" s="298">
        <f>Income!BO134</f>
        <v>28.663000000000004</v>
      </c>
      <c r="BP206" s="298">
        <f>Income!BP134</f>
        <v>37.468000000000004</v>
      </c>
      <c r="BQ206" s="298"/>
      <c r="BR206" s="576"/>
      <c r="BS206" s="298"/>
      <c r="BT206" s="298"/>
      <c r="BU206" s="298"/>
      <c r="BV206" s="298"/>
      <c r="BW206" s="576"/>
      <c r="BX206" s="298"/>
      <c r="BY206" s="298"/>
      <c r="BZ206" s="298"/>
      <c r="CA206" s="298"/>
      <c r="CB206" s="576"/>
      <c r="CC206" s="298"/>
      <c r="CD206" s="298"/>
      <c r="CE206" s="298"/>
      <c r="CF206" s="298"/>
      <c r="CG206" s="576"/>
      <c r="CH206" s="298"/>
      <c r="CI206" s="298"/>
      <c r="CJ206" s="298"/>
      <c r="CK206" s="298"/>
      <c r="CL206" s="576"/>
      <c r="CM206" s="298"/>
      <c r="CN206" s="298"/>
      <c r="CO206" s="298"/>
      <c r="CP206" s="298"/>
      <c r="CQ206" s="576"/>
    </row>
    <row r="207" spans="5:95" ht="13.5" hidden="1" x14ac:dyDescent="0.25">
      <c r="E207" s="356" t="s">
        <v>2</v>
      </c>
      <c r="F207" s="566"/>
      <c r="G207" s="566"/>
      <c r="H207" s="566"/>
      <c r="I207" s="566"/>
      <c r="J207" s="566"/>
      <c r="K207" s="185"/>
      <c r="L207" s="185"/>
      <c r="M207" s="185"/>
      <c r="N207" s="185"/>
      <c r="O207" s="566"/>
      <c r="P207" s="185"/>
      <c r="Q207" s="185"/>
      <c r="R207" s="185"/>
      <c r="S207" s="185"/>
      <c r="T207" s="566"/>
      <c r="U207" s="185"/>
      <c r="V207" s="185"/>
      <c r="W207" s="185"/>
      <c r="X207" s="185"/>
      <c r="Y207" s="566"/>
      <c r="Z207" s="443"/>
      <c r="AA207" s="443"/>
      <c r="AB207" s="443"/>
      <c r="AC207" s="443"/>
      <c r="AD207" s="566"/>
      <c r="AE207" s="443"/>
      <c r="AF207" s="443"/>
      <c r="AG207" s="443"/>
      <c r="AH207" s="443"/>
      <c r="AI207" s="513"/>
      <c r="AJ207" s="139"/>
      <c r="AK207" s="139"/>
      <c r="AL207" s="139"/>
      <c r="AM207" s="139"/>
      <c r="AN207" s="513"/>
      <c r="AO207" s="139"/>
      <c r="AP207" s="139"/>
      <c r="AQ207" s="139"/>
      <c r="AR207" s="185"/>
      <c r="AS207" s="566"/>
      <c r="AT207" s="298"/>
      <c r="AU207" s="298"/>
      <c r="AV207" s="298"/>
      <c r="AW207" s="298"/>
      <c r="AX207" s="576"/>
      <c r="AY207" s="298"/>
      <c r="AZ207" s="298"/>
      <c r="BA207" s="298"/>
      <c r="BB207" s="298"/>
      <c r="BC207" s="576"/>
      <c r="BD207" s="298"/>
      <c r="BE207" s="298"/>
      <c r="BF207" s="298"/>
      <c r="BG207" s="298"/>
      <c r="BH207" s="641"/>
      <c r="BI207" s="32"/>
      <c r="BJ207" s="32"/>
      <c r="BK207" s="32"/>
      <c r="BL207" s="32"/>
      <c r="BM207" s="641">
        <f>(BM206-BH206)/ABS(BH206)</f>
        <v>-0.31359712199331136</v>
      </c>
      <c r="BN207" s="32">
        <f>(BN206-BI206)/ABS(BI206)</f>
        <v>-0.53421183111484039</v>
      </c>
      <c r="BO207" s="32">
        <f>(BO206-BJ206)/ABS(BJ206)</f>
        <v>-0.49931000751131022</v>
      </c>
      <c r="BP207" s="32">
        <f>(BP206-BK206)/ABS(BK206)</f>
        <v>-0.35839169820367534</v>
      </c>
      <c r="BQ207" s="32"/>
      <c r="BR207" s="641"/>
      <c r="BS207" s="32"/>
      <c r="BT207" s="32"/>
      <c r="BU207" s="32"/>
      <c r="BV207" s="32"/>
      <c r="BW207" s="641"/>
      <c r="BX207" s="32"/>
      <c r="BY207" s="32"/>
      <c r="BZ207" s="32"/>
      <c r="CA207" s="32"/>
      <c r="CB207" s="641"/>
      <c r="CC207" s="32"/>
      <c r="CD207" s="32"/>
      <c r="CE207" s="32"/>
      <c r="CF207" s="32"/>
      <c r="CG207" s="641"/>
      <c r="CH207" s="32"/>
      <c r="CI207" s="32"/>
      <c r="CJ207" s="32"/>
      <c r="CK207" s="32"/>
      <c r="CL207" s="641"/>
      <c r="CM207" s="32"/>
      <c r="CN207" s="32"/>
      <c r="CO207" s="32"/>
      <c r="CP207" s="32"/>
      <c r="CQ207" s="641"/>
    </row>
    <row r="208" spans="5:95" ht="13.5" hidden="1" x14ac:dyDescent="0.25">
      <c r="E208" s="356" t="s">
        <v>91</v>
      </c>
      <c r="F208" s="566"/>
      <c r="G208" s="566"/>
      <c r="H208" s="566"/>
      <c r="I208" s="566"/>
      <c r="J208" s="566"/>
      <c r="K208" s="185"/>
      <c r="L208" s="185"/>
      <c r="M208" s="185"/>
      <c r="N208" s="185"/>
      <c r="O208" s="566"/>
      <c r="P208" s="185"/>
      <c r="Q208" s="185"/>
      <c r="R208" s="185"/>
      <c r="S208" s="185"/>
      <c r="T208" s="566"/>
      <c r="U208" s="185"/>
      <c r="V208" s="185"/>
      <c r="W208" s="185"/>
      <c r="X208" s="185"/>
      <c r="Y208" s="566"/>
      <c r="Z208" s="443"/>
      <c r="AA208" s="443"/>
      <c r="AB208" s="443"/>
      <c r="AC208" s="443"/>
      <c r="AD208" s="566"/>
      <c r="AE208" s="443"/>
      <c r="AF208" s="443"/>
      <c r="AG208" s="443"/>
      <c r="AH208" s="443"/>
      <c r="AI208" s="513"/>
      <c r="AJ208" s="139"/>
      <c r="AK208" s="139"/>
      <c r="AL208" s="139"/>
      <c r="AM208" s="139"/>
      <c r="AN208" s="513"/>
      <c r="AO208" s="139"/>
      <c r="AP208" s="139"/>
      <c r="AQ208" s="139"/>
      <c r="AR208" s="185"/>
      <c r="AS208" s="566"/>
      <c r="AT208" s="298"/>
      <c r="AU208" s="298"/>
      <c r="AV208" s="298"/>
      <c r="AW208" s="298"/>
      <c r="AX208" s="576"/>
      <c r="AY208" s="298"/>
      <c r="AZ208" s="298"/>
      <c r="BA208" s="298"/>
      <c r="BB208" s="298"/>
      <c r="BC208" s="576"/>
      <c r="BD208" s="298"/>
      <c r="BE208" s="298"/>
      <c r="BF208" s="298"/>
      <c r="BG208" s="298"/>
      <c r="BH208" s="641"/>
      <c r="BI208" s="298"/>
      <c r="BJ208" s="298"/>
      <c r="BK208" s="298"/>
      <c r="BL208" s="298"/>
      <c r="BM208" s="641" t="e">
        <f>BM206/'Acxiom Marketing Solutions'!BM66</f>
        <v>#DIV/0!</v>
      </c>
      <c r="BN208" s="32" t="e">
        <f>BN206/'Acxiom Marketing Solutions'!BN66</f>
        <v>#DIV/0!</v>
      </c>
      <c r="BO208" s="32" t="e">
        <f>BO206/'Acxiom Marketing Solutions'!BO66</f>
        <v>#DIV/0!</v>
      </c>
      <c r="BP208" s="32" t="e">
        <f>BP206/'Acxiom Marketing Solutions'!BP66</f>
        <v>#DIV/0!</v>
      </c>
      <c r="BQ208" s="32"/>
      <c r="BR208" s="641"/>
      <c r="BS208" s="32"/>
      <c r="BT208" s="32"/>
      <c r="BU208" s="32"/>
      <c r="BV208" s="32"/>
      <c r="BW208" s="641"/>
      <c r="BX208" s="32"/>
      <c r="BY208" s="32"/>
      <c r="BZ208" s="32"/>
      <c r="CA208" s="32"/>
      <c r="CB208" s="641"/>
      <c r="CC208" s="32"/>
      <c r="CD208" s="32"/>
      <c r="CE208" s="32"/>
      <c r="CF208" s="32"/>
      <c r="CG208" s="641"/>
      <c r="CH208" s="32"/>
      <c r="CI208" s="32"/>
      <c r="CJ208" s="32"/>
      <c r="CK208" s="32"/>
      <c r="CL208" s="641"/>
      <c r="CM208" s="32"/>
      <c r="CN208" s="32"/>
      <c r="CO208" s="32"/>
      <c r="CP208" s="32"/>
      <c r="CQ208" s="641"/>
    </row>
    <row r="209" spans="5:95" ht="13.5" hidden="1" x14ac:dyDescent="0.25">
      <c r="E209" s="54"/>
      <c r="F209" s="566"/>
      <c r="G209" s="566"/>
      <c r="H209" s="566"/>
      <c r="I209" s="566"/>
      <c r="J209" s="566"/>
      <c r="K209" s="122"/>
      <c r="L209" s="122"/>
      <c r="M209" s="122"/>
      <c r="N209" s="122"/>
      <c r="O209" s="566"/>
      <c r="P209" s="122"/>
      <c r="Q209" s="122"/>
      <c r="R209" s="122"/>
      <c r="S209" s="122"/>
      <c r="T209" s="566"/>
      <c r="U209" s="122"/>
      <c r="V209" s="122"/>
      <c r="W209" s="122"/>
      <c r="X209" s="122"/>
      <c r="Y209" s="566"/>
      <c r="Z209" s="128"/>
      <c r="AA209" s="128"/>
      <c r="AB209" s="128"/>
      <c r="AC209" s="128"/>
      <c r="AD209" s="566"/>
      <c r="AE209" s="128"/>
      <c r="AF209" s="128"/>
      <c r="AG209" s="128"/>
      <c r="AH209" s="128"/>
      <c r="AI209" s="513"/>
      <c r="AJ209" s="721"/>
      <c r="AK209" s="721"/>
      <c r="AL209" s="721"/>
      <c r="AM209" s="721"/>
      <c r="AN209" s="513"/>
      <c r="AO209" s="721"/>
      <c r="AP209" s="721"/>
      <c r="AQ209" s="721"/>
      <c r="AR209" s="726"/>
      <c r="AS209" s="566"/>
      <c r="AT209" s="442"/>
      <c r="AU209" s="442"/>
      <c r="AV209" s="442"/>
      <c r="AW209" s="442"/>
      <c r="AX209" s="566"/>
      <c r="AY209" s="442"/>
      <c r="AZ209" s="442"/>
      <c r="BA209" s="442"/>
      <c r="BB209" s="439"/>
      <c r="BC209" s="566"/>
      <c r="BD209" s="439"/>
      <c r="BE209" s="439"/>
      <c r="BF209" s="439"/>
      <c r="BG209" s="439"/>
      <c r="BH209" s="566"/>
      <c r="BI209" s="439"/>
      <c r="BJ209" s="439"/>
      <c r="BK209" s="439"/>
      <c r="BL209" s="439"/>
      <c r="BM209" s="566"/>
      <c r="BN209" s="504"/>
      <c r="BO209" s="504"/>
      <c r="BP209" s="504"/>
      <c r="BQ209" s="504"/>
      <c r="BR209" s="566"/>
      <c r="BS209" s="157"/>
      <c r="BT209" s="157"/>
      <c r="BU209" s="157"/>
      <c r="BV209" s="157"/>
      <c r="BW209" s="566"/>
      <c r="BX209" s="157"/>
      <c r="BY209" s="157"/>
      <c r="BZ209" s="157"/>
      <c r="CA209" s="157"/>
      <c r="CB209" s="566"/>
      <c r="CC209" s="157"/>
      <c r="CD209" s="157"/>
      <c r="CE209" s="157"/>
      <c r="CF209" s="157"/>
      <c r="CG209" s="566"/>
      <c r="CH209" s="157"/>
      <c r="CI209" s="157"/>
      <c r="CJ209" s="157"/>
      <c r="CK209" s="157"/>
      <c r="CL209" s="566"/>
      <c r="CM209" s="157"/>
      <c r="CN209" s="157"/>
      <c r="CO209" s="157"/>
      <c r="CP209" s="157"/>
      <c r="CQ209" s="566"/>
    </row>
    <row r="210" spans="5:95" ht="13.5" hidden="1" x14ac:dyDescent="0.25">
      <c r="E210" s="197" t="s">
        <v>202</v>
      </c>
      <c r="F210" s="576"/>
      <c r="G210" s="576"/>
      <c r="H210" s="576"/>
      <c r="I210" s="576"/>
      <c r="J210" s="576"/>
      <c r="K210" s="198"/>
      <c r="L210" s="198"/>
      <c r="M210" s="198"/>
      <c r="N210" s="198"/>
      <c r="O210" s="576"/>
      <c r="P210" s="198"/>
      <c r="Q210" s="198"/>
      <c r="R210" s="198"/>
      <c r="S210" s="198"/>
      <c r="T210" s="576"/>
      <c r="U210" s="198"/>
      <c r="V210" s="198"/>
      <c r="W210" s="198"/>
      <c r="X210" s="198"/>
      <c r="Y210" s="576"/>
      <c r="Z210" s="198"/>
      <c r="AA210" s="198"/>
      <c r="AB210" s="198"/>
      <c r="AC210" s="198"/>
      <c r="AD210" s="576"/>
      <c r="AE210" s="198">
        <v>240.392</v>
      </c>
      <c r="AF210" s="198">
        <v>245.03299999999999</v>
      </c>
      <c r="AG210" s="198">
        <v>244.64599999999999</v>
      </c>
      <c r="AH210" s="198">
        <v>239.7</v>
      </c>
      <c r="AI210" s="576">
        <f>SUM(AE210:AH210)</f>
        <v>969.77099999999996</v>
      </c>
      <c r="AJ210" s="198">
        <v>236.69499999999999</v>
      </c>
      <c r="AK210" s="198">
        <v>233.60499999999999</v>
      </c>
      <c r="AL210" s="198">
        <v>231.077</v>
      </c>
      <c r="AM210" s="198">
        <v>218.88499999999999</v>
      </c>
      <c r="AN210" s="576">
        <f>SUM(AJ210:AM210)</f>
        <v>920.26199999999994</v>
      </c>
      <c r="AO210" s="198">
        <v>199.32599999999999</v>
      </c>
      <c r="AP210" s="198">
        <v>210.21299999999999</v>
      </c>
      <c r="AQ210" s="198">
        <v>218.34</v>
      </c>
      <c r="AR210" s="198">
        <v>221.553</v>
      </c>
      <c r="AS210" s="576">
        <f>SUM(AO210:AR210)</f>
        <v>849.43200000000002</v>
      </c>
      <c r="AT210" s="198">
        <v>210.65600000000001</v>
      </c>
      <c r="AU210" s="198">
        <v>225.584</v>
      </c>
      <c r="AV210" s="198">
        <v>232.798</v>
      </c>
      <c r="AW210" s="198">
        <v>224.55600000000001</v>
      </c>
      <c r="AX210" s="576">
        <f>SUM(AT210:AW210)</f>
        <v>893.59400000000005</v>
      </c>
      <c r="AY210" s="198">
        <v>225.60400000000001</v>
      </c>
      <c r="AZ210" s="198">
        <v>230.655</v>
      </c>
      <c r="BA210" s="199"/>
      <c r="BB210" s="199"/>
      <c r="BC210" s="576"/>
      <c r="BD210" s="199"/>
      <c r="BE210" s="199"/>
      <c r="BF210" s="199"/>
      <c r="BG210" s="199"/>
      <c r="BH210" s="576"/>
      <c r="BI210" s="199"/>
      <c r="BJ210" s="199"/>
      <c r="BK210" s="199"/>
      <c r="BL210" s="199"/>
      <c r="BM210" s="576"/>
      <c r="BN210" s="199"/>
      <c r="BO210" s="199"/>
      <c r="BP210" s="199"/>
      <c r="BQ210" s="199"/>
      <c r="BR210" s="576"/>
      <c r="BS210" s="199"/>
      <c r="BT210" s="199"/>
      <c r="BU210" s="199"/>
      <c r="BV210" s="199"/>
      <c r="BW210" s="576"/>
      <c r="BX210" s="199"/>
      <c r="BY210" s="199"/>
      <c r="BZ210" s="199"/>
      <c r="CA210" s="199"/>
      <c r="CB210" s="576"/>
      <c r="CC210" s="199"/>
      <c r="CD210" s="199"/>
      <c r="CE210" s="199"/>
      <c r="CF210" s="199"/>
      <c r="CG210" s="576"/>
      <c r="CH210" s="199"/>
      <c r="CI210" s="199"/>
      <c r="CJ210" s="199"/>
      <c r="CK210" s="199"/>
      <c r="CL210" s="576"/>
      <c r="CM210" s="199"/>
      <c r="CN210" s="199"/>
      <c r="CO210" s="199"/>
      <c r="CP210" s="199"/>
      <c r="CQ210" s="576"/>
    </row>
    <row r="211" spans="5:95" ht="13.5" hidden="1" x14ac:dyDescent="0.25">
      <c r="E211" s="352" t="s">
        <v>2</v>
      </c>
      <c r="F211" s="641"/>
      <c r="G211" s="641"/>
      <c r="H211" s="641"/>
      <c r="I211" s="641"/>
      <c r="J211" s="641"/>
      <c r="K211" s="354"/>
      <c r="L211" s="354"/>
      <c r="M211" s="354"/>
      <c r="N211" s="354"/>
      <c r="O211" s="641"/>
      <c r="P211" s="183"/>
      <c r="Q211" s="183"/>
      <c r="R211" s="183"/>
      <c r="S211" s="183"/>
      <c r="T211" s="641"/>
      <c r="U211" s="183"/>
      <c r="V211" s="183"/>
      <c r="W211" s="183"/>
      <c r="X211" s="183"/>
      <c r="Y211" s="641"/>
      <c r="Z211" s="183"/>
      <c r="AA211" s="183"/>
      <c r="AB211" s="183"/>
      <c r="AC211" s="183"/>
      <c r="AD211" s="641"/>
      <c r="AE211" s="183"/>
      <c r="AF211" s="183"/>
      <c r="AG211" s="183"/>
      <c r="AH211" s="183"/>
      <c r="AI211" s="641"/>
      <c r="AJ211" s="183">
        <f t="shared" ref="AJ211:AZ211" si="37">AJ210/AE210-1</f>
        <v>-1.5379047555659109E-2</v>
      </c>
      <c r="AK211" s="183">
        <f t="shared" si="37"/>
        <v>-4.6638616023147894E-2</v>
      </c>
      <c r="AL211" s="183">
        <f t="shared" si="37"/>
        <v>-5.5463813019628327E-2</v>
      </c>
      <c r="AM211" s="183">
        <f t="shared" si="37"/>
        <v>-8.6837713808927797E-2</v>
      </c>
      <c r="AN211" s="641">
        <f t="shared" si="37"/>
        <v>-5.1052258729122668E-2</v>
      </c>
      <c r="AO211" s="183">
        <f t="shared" si="37"/>
        <v>-0.15787828217748578</v>
      </c>
      <c r="AP211" s="183">
        <f t="shared" si="37"/>
        <v>-0.10013484300421649</v>
      </c>
      <c r="AQ211" s="183">
        <f t="shared" si="37"/>
        <v>-5.5120154753610207E-2</v>
      </c>
      <c r="AR211" s="183">
        <f t="shared" si="37"/>
        <v>1.2189049044018629E-2</v>
      </c>
      <c r="AS211" s="641">
        <f t="shared" si="37"/>
        <v>-7.6967211511504208E-2</v>
      </c>
      <c r="AT211" s="183">
        <f t="shared" si="37"/>
        <v>5.684155604386798E-2</v>
      </c>
      <c r="AU211" s="183">
        <f t="shared" si="37"/>
        <v>7.3121072436052925E-2</v>
      </c>
      <c r="AV211" s="183">
        <f t="shared" si="37"/>
        <v>6.6217825409911057E-2</v>
      </c>
      <c r="AW211" s="183">
        <f t="shared" si="37"/>
        <v>1.3554318831160206E-2</v>
      </c>
      <c r="AX211" s="641">
        <f t="shared" si="37"/>
        <v>5.1990035694440495E-2</v>
      </c>
      <c r="AY211" s="183">
        <f t="shared" si="37"/>
        <v>7.0959289077928034E-2</v>
      </c>
      <c r="AZ211" s="183">
        <f t="shared" si="37"/>
        <v>2.247943116533091E-2</v>
      </c>
      <c r="BA211" s="357"/>
      <c r="BB211" s="357"/>
      <c r="BC211" s="641"/>
      <c r="BD211" s="357"/>
      <c r="BE211" s="357"/>
      <c r="BF211" s="357"/>
      <c r="BG211" s="357"/>
      <c r="BH211" s="641"/>
      <c r="BI211" s="183"/>
      <c r="BJ211" s="183"/>
      <c r="BK211" s="183"/>
      <c r="BL211" s="183"/>
      <c r="BM211" s="641"/>
      <c r="BN211" s="183"/>
      <c r="BO211" s="183"/>
      <c r="BP211" s="183"/>
      <c r="BQ211" s="183"/>
      <c r="BR211" s="641"/>
      <c r="BS211" s="183"/>
      <c r="BT211" s="183"/>
      <c r="BU211" s="183"/>
      <c r="BV211" s="183"/>
      <c r="BW211" s="641"/>
      <c r="BX211" s="183"/>
      <c r="BY211" s="183"/>
      <c r="BZ211" s="183"/>
      <c r="CA211" s="183"/>
      <c r="CB211" s="641"/>
      <c r="CC211" s="183"/>
      <c r="CD211" s="183"/>
      <c r="CE211" s="183"/>
      <c r="CF211" s="183"/>
      <c r="CG211" s="641"/>
      <c r="CH211" s="183"/>
      <c r="CI211" s="183"/>
      <c r="CJ211" s="183"/>
      <c r="CK211" s="183"/>
      <c r="CL211" s="641"/>
      <c r="CM211" s="183"/>
      <c r="CN211" s="183"/>
      <c r="CO211" s="183"/>
      <c r="CP211" s="183"/>
      <c r="CQ211" s="641"/>
    </row>
    <row r="212" spans="5:95" ht="13.5" hidden="1" x14ac:dyDescent="0.25">
      <c r="E212" s="352"/>
      <c r="F212" s="641"/>
      <c r="G212" s="641"/>
      <c r="H212" s="641"/>
      <c r="I212" s="641"/>
      <c r="J212" s="641"/>
      <c r="K212" s="354"/>
      <c r="L212" s="354"/>
      <c r="M212" s="354"/>
      <c r="N212" s="354"/>
      <c r="O212" s="641"/>
      <c r="P212" s="183"/>
      <c r="Q212" s="183"/>
      <c r="R212" s="183"/>
      <c r="S212" s="183"/>
      <c r="T212" s="641"/>
      <c r="U212" s="183"/>
      <c r="V212" s="183"/>
      <c r="W212" s="183"/>
      <c r="X212" s="183"/>
      <c r="Y212" s="641"/>
      <c r="Z212" s="183"/>
      <c r="AA212" s="183"/>
      <c r="AB212" s="183"/>
      <c r="AC212" s="183"/>
      <c r="AD212" s="641"/>
      <c r="AE212" s="183"/>
      <c r="AF212" s="183"/>
      <c r="AG212" s="183"/>
      <c r="AH212" s="183"/>
      <c r="AI212" s="641"/>
      <c r="AJ212" s="183"/>
      <c r="AK212" s="183"/>
      <c r="AL212" s="183"/>
      <c r="AM212" s="183"/>
      <c r="AN212" s="641"/>
      <c r="AO212" s="183"/>
      <c r="AP212" s="183"/>
      <c r="AQ212" s="183"/>
      <c r="AR212" s="357"/>
      <c r="AS212" s="641"/>
      <c r="AT212" s="357"/>
      <c r="AU212" s="357"/>
      <c r="AV212" s="357"/>
      <c r="AW212" s="357"/>
      <c r="AX212" s="641"/>
      <c r="AY212" s="183"/>
      <c r="AZ212" s="183"/>
      <c r="BA212" s="183"/>
      <c r="BB212" s="183"/>
      <c r="BC212" s="641"/>
      <c r="BD212" s="183"/>
      <c r="BE212" s="183"/>
      <c r="BF212" s="183"/>
      <c r="BG212" s="183"/>
      <c r="BH212" s="641"/>
      <c r="BI212" s="183"/>
      <c r="BJ212" s="183"/>
      <c r="BK212" s="183"/>
      <c r="BL212" s="183"/>
      <c r="BM212" s="641"/>
      <c r="BN212" s="183"/>
      <c r="BO212" s="183"/>
      <c r="BP212" s="183"/>
      <c r="BQ212" s="183"/>
      <c r="BR212" s="641"/>
      <c r="BS212" s="183"/>
      <c r="BT212" s="183"/>
      <c r="BU212" s="183"/>
      <c r="BV212" s="183"/>
      <c r="BW212" s="641"/>
      <c r="BX212" s="183"/>
      <c r="BY212" s="183"/>
      <c r="BZ212" s="183"/>
      <c r="CA212" s="183"/>
      <c r="CB212" s="641"/>
      <c r="CC212" s="183"/>
      <c r="CD212" s="183"/>
      <c r="CE212" s="183"/>
      <c r="CF212" s="183"/>
      <c r="CG212" s="641"/>
      <c r="CH212" s="183"/>
      <c r="CI212" s="183"/>
      <c r="CJ212" s="183"/>
      <c r="CK212" s="183"/>
      <c r="CL212" s="641"/>
      <c r="CM212" s="183"/>
      <c r="CN212" s="183"/>
      <c r="CO212" s="183"/>
      <c r="CP212" s="183"/>
      <c r="CQ212" s="641"/>
    </row>
    <row r="213" spans="5:95" hidden="1" x14ac:dyDescent="0.25">
      <c r="E213" s="721" t="s">
        <v>275</v>
      </c>
      <c r="F213" s="566"/>
      <c r="G213" s="566"/>
      <c r="H213" s="566"/>
      <c r="I213" s="566"/>
      <c r="J213" s="566"/>
      <c r="K213" s="122"/>
      <c r="L213" s="122"/>
      <c r="M213" s="122"/>
      <c r="N213" s="122"/>
      <c r="O213" s="566"/>
      <c r="P213" s="122"/>
      <c r="Q213" s="122"/>
      <c r="R213" s="122"/>
      <c r="S213" s="122"/>
      <c r="T213" s="566"/>
      <c r="U213" s="122"/>
      <c r="V213" s="122"/>
      <c r="W213" s="122"/>
      <c r="X213" s="122"/>
      <c r="Y213" s="566"/>
      <c r="Z213" s="128"/>
      <c r="AA213" s="128"/>
      <c r="AB213" s="128"/>
      <c r="AC213" s="128"/>
      <c r="AD213" s="566"/>
      <c r="AE213" s="726"/>
      <c r="AF213" s="726"/>
      <c r="AG213" s="726"/>
      <c r="AH213" s="726"/>
      <c r="AI213" s="513">
        <v>288</v>
      </c>
      <c r="AJ213" s="726"/>
      <c r="AK213" s="726"/>
      <c r="AL213" s="726"/>
      <c r="AM213" s="726"/>
      <c r="AN213" s="513">
        <v>245</v>
      </c>
      <c r="AO213" s="726"/>
      <c r="AP213" s="726"/>
      <c r="AQ213" s="726"/>
      <c r="AR213" s="721"/>
      <c r="AS213" s="566"/>
      <c r="AT213" s="157"/>
      <c r="AU213" s="157"/>
      <c r="AV213" s="157"/>
      <c r="AW213" s="157"/>
      <c r="AX213" s="566"/>
      <c r="AY213" s="157"/>
      <c r="AZ213" s="157"/>
      <c r="BA213" s="157"/>
      <c r="BB213" s="157"/>
      <c r="BC213" s="566"/>
      <c r="BD213" s="157"/>
      <c r="BE213" s="157"/>
      <c r="BF213" s="157"/>
      <c r="BG213" s="157"/>
      <c r="BH213" s="566"/>
      <c r="BI213" s="157"/>
      <c r="BJ213" s="157"/>
      <c r="BK213" s="157"/>
      <c r="BL213" s="157"/>
      <c r="BM213" s="566"/>
      <c r="BN213" s="157"/>
      <c r="BO213" s="157"/>
      <c r="BP213" s="157"/>
      <c r="BQ213" s="157"/>
      <c r="BR213" s="566"/>
      <c r="BS213" s="157"/>
      <c r="BT213" s="157"/>
      <c r="BU213" s="157"/>
      <c r="BV213" s="157"/>
      <c r="BW213" s="566"/>
      <c r="BX213" s="157"/>
      <c r="BY213" s="157"/>
      <c r="BZ213" s="157"/>
      <c r="CA213" s="157"/>
      <c r="CB213" s="566"/>
      <c r="CC213" s="157"/>
      <c r="CD213" s="157"/>
      <c r="CE213" s="157"/>
      <c r="CF213" s="157"/>
      <c r="CG213" s="566"/>
      <c r="CH213" s="157"/>
      <c r="CI213" s="157"/>
      <c r="CJ213" s="157"/>
      <c r="CK213" s="157"/>
      <c r="CL213" s="566"/>
      <c r="CM213" s="157"/>
      <c r="CN213" s="157"/>
      <c r="CO213" s="157"/>
      <c r="CP213" s="157"/>
      <c r="CQ213" s="566"/>
    </row>
    <row r="214" spans="5:95" ht="13.5" hidden="1" x14ac:dyDescent="0.25">
      <c r="E214" s="157" t="s">
        <v>276</v>
      </c>
      <c r="F214" s="566"/>
      <c r="G214" s="566"/>
      <c r="H214" s="566"/>
      <c r="I214" s="566"/>
      <c r="J214" s="566"/>
      <c r="K214" s="122"/>
      <c r="L214" s="122"/>
      <c r="M214" s="122"/>
      <c r="N214" s="122"/>
      <c r="O214" s="566"/>
      <c r="P214" s="122"/>
      <c r="Q214" s="122"/>
      <c r="R214" s="122"/>
      <c r="S214" s="122"/>
      <c r="T214" s="566"/>
      <c r="U214" s="122"/>
      <c r="V214" s="122"/>
      <c r="W214" s="122"/>
      <c r="X214" s="122"/>
      <c r="Y214" s="566"/>
      <c r="Z214" s="122"/>
      <c r="AA214" s="122"/>
      <c r="AB214" s="122"/>
      <c r="AC214" s="122"/>
      <c r="AD214" s="566"/>
      <c r="AE214" s="721"/>
      <c r="AF214" s="721"/>
      <c r="AG214" s="721"/>
      <c r="AH214" s="721"/>
      <c r="AI214" s="513">
        <v>44</v>
      </c>
      <c r="AJ214" s="721"/>
      <c r="AK214" s="721"/>
      <c r="AL214" s="721"/>
      <c r="AM214" s="721"/>
      <c r="AN214" s="513">
        <v>41</v>
      </c>
      <c r="AO214" s="721"/>
      <c r="AP214" s="721"/>
      <c r="AQ214" s="721"/>
      <c r="AR214" s="721"/>
      <c r="AS214" s="566"/>
      <c r="AT214" s="27"/>
      <c r="AU214" s="414">
        <v>0.25</v>
      </c>
      <c r="AV214" s="414">
        <v>0.33</v>
      </c>
      <c r="AW214" s="420">
        <v>0.33</v>
      </c>
      <c r="AX214" s="566"/>
      <c r="AY214" s="27"/>
      <c r="AZ214" s="27"/>
      <c r="BA214" s="157"/>
      <c r="BB214" s="157"/>
      <c r="BC214" s="566"/>
      <c r="BD214" s="27"/>
      <c r="BE214" s="157"/>
      <c r="BF214" s="157"/>
      <c r="BG214" s="157"/>
      <c r="BH214" s="566"/>
      <c r="BI214" s="27"/>
      <c r="BJ214" s="157"/>
      <c r="BK214" s="157"/>
      <c r="BL214" s="157"/>
      <c r="BM214" s="566"/>
      <c r="BN214" s="27"/>
      <c r="BO214" s="27"/>
      <c r="BP214" s="27"/>
      <c r="BQ214" s="27"/>
      <c r="BR214" s="566"/>
      <c r="BS214" s="27"/>
      <c r="BT214" s="157"/>
      <c r="BU214" s="157"/>
      <c r="BV214" s="157"/>
      <c r="BW214" s="566"/>
      <c r="BX214" s="27"/>
      <c r="BY214" s="157"/>
      <c r="BZ214" s="157"/>
      <c r="CA214" s="157"/>
      <c r="CB214" s="566"/>
      <c r="CC214" s="27"/>
      <c r="CD214" s="157"/>
      <c r="CE214" s="157"/>
      <c r="CF214" s="157"/>
      <c r="CG214" s="566"/>
      <c r="CH214" s="27"/>
      <c r="CI214" s="157"/>
      <c r="CJ214" s="157"/>
      <c r="CK214" s="157"/>
      <c r="CL214" s="566"/>
      <c r="CM214" s="27"/>
      <c r="CN214" s="157"/>
      <c r="CO214" s="157"/>
      <c r="CP214" s="157"/>
      <c r="CQ214" s="566"/>
    </row>
    <row r="215" spans="5:95" hidden="1" x14ac:dyDescent="0.25">
      <c r="E215" s="200" t="s">
        <v>277</v>
      </c>
      <c r="F215" s="577"/>
      <c r="G215" s="577"/>
      <c r="H215" s="577"/>
      <c r="I215" s="577"/>
      <c r="J215" s="577"/>
      <c r="K215" s="129"/>
      <c r="L215" s="129"/>
      <c r="M215" s="129"/>
      <c r="N215" s="129"/>
      <c r="O215" s="577"/>
      <c r="P215" s="129"/>
      <c r="Q215" s="129"/>
      <c r="R215" s="129"/>
      <c r="S215" s="129"/>
      <c r="T215" s="577"/>
      <c r="U215" s="129"/>
      <c r="V215" s="129"/>
      <c r="W215" s="129"/>
      <c r="X215" s="129"/>
      <c r="Y215" s="577"/>
      <c r="Z215" s="129"/>
      <c r="AA215" s="129"/>
      <c r="AB215" s="129"/>
      <c r="AC215" s="129"/>
      <c r="AD215" s="577"/>
      <c r="AE215" s="373">
        <v>19.591999999999999</v>
      </c>
      <c r="AF215" s="373">
        <v>19.838999999999999</v>
      </c>
      <c r="AG215" s="373">
        <v>20.477</v>
      </c>
      <c r="AH215" s="373">
        <v>22.094000000000001</v>
      </c>
      <c r="AI215" s="546">
        <v>82</v>
      </c>
      <c r="AJ215" s="373">
        <v>22.213999999999999</v>
      </c>
      <c r="AK215" s="373">
        <v>21.547999999999998</v>
      </c>
      <c r="AL215" s="373">
        <v>20.087</v>
      </c>
      <c r="AM215" s="373">
        <v>7.4569999999999999</v>
      </c>
      <c r="AN215" s="546">
        <v>71</v>
      </c>
      <c r="AO215" s="373">
        <v>0</v>
      </c>
      <c r="AP215" s="373">
        <v>0</v>
      </c>
      <c r="AQ215" s="373">
        <v>0</v>
      </c>
      <c r="AR215" s="373">
        <v>0</v>
      </c>
      <c r="AS215" s="546">
        <v>0</v>
      </c>
      <c r="AT215" s="373">
        <v>0</v>
      </c>
      <c r="AU215" s="373">
        <v>0</v>
      </c>
      <c r="AV215" s="373">
        <v>0</v>
      </c>
      <c r="AW215" s="373">
        <v>0</v>
      </c>
      <c r="AX215" s="577"/>
      <c r="AY215" s="29"/>
      <c r="AZ215" s="29"/>
      <c r="BA215" s="200"/>
      <c r="BB215" s="200"/>
      <c r="BC215" s="577"/>
      <c r="BD215" s="29"/>
      <c r="BE215" s="200"/>
      <c r="BF215" s="200"/>
      <c r="BG215" s="200"/>
      <c r="BH215" s="577"/>
      <c r="BI215" s="29"/>
      <c r="BJ215" s="200"/>
      <c r="BK215" s="200"/>
      <c r="BL215" s="200"/>
      <c r="BM215" s="577"/>
      <c r="BN215" s="29"/>
      <c r="BO215" s="29"/>
      <c r="BP215" s="29"/>
      <c r="BQ215" s="29"/>
      <c r="BR215" s="577"/>
      <c r="BS215" s="29"/>
      <c r="BT215" s="200"/>
      <c r="BU215" s="200"/>
      <c r="BV215" s="200"/>
      <c r="BW215" s="577"/>
      <c r="BX215" s="29"/>
      <c r="BY215" s="200"/>
      <c r="BZ215" s="200"/>
      <c r="CA215" s="200"/>
      <c r="CB215" s="577"/>
      <c r="CC215" s="29"/>
      <c r="CD215" s="200"/>
      <c r="CE215" s="200"/>
      <c r="CF215" s="200"/>
      <c r="CG215" s="577"/>
      <c r="CH215" s="29"/>
      <c r="CI215" s="200"/>
      <c r="CJ215" s="200"/>
      <c r="CK215" s="200"/>
      <c r="CL215" s="577"/>
      <c r="CM215" s="29"/>
      <c r="CN215" s="200"/>
      <c r="CO215" s="200"/>
      <c r="CP215" s="200"/>
      <c r="CQ215" s="577"/>
    </row>
    <row r="216" spans="5:95" ht="13.5" hidden="1" x14ac:dyDescent="0.25">
      <c r="E216" s="197" t="s">
        <v>203</v>
      </c>
      <c r="F216" s="576"/>
      <c r="G216" s="576"/>
      <c r="H216" s="576"/>
      <c r="I216" s="576"/>
      <c r="J216" s="576"/>
      <c r="K216" s="198"/>
      <c r="L216" s="198"/>
      <c r="M216" s="198"/>
      <c r="N216" s="198"/>
      <c r="O216" s="576"/>
      <c r="P216" s="198"/>
      <c r="Q216" s="198"/>
      <c r="R216" s="198"/>
      <c r="S216" s="198"/>
      <c r="T216" s="576"/>
      <c r="U216" s="198"/>
      <c r="V216" s="198"/>
      <c r="W216" s="198"/>
      <c r="X216" s="198"/>
      <c r="Y216" s="576"/>
      <c r="Z216" s="198"/>
      <c r="AA216" s="198"/>
      <c r="AB216" s="198"/>
      <c r="AC216" s="198"/>
      <c r="AD216" s="576"/>
      <c r="AE216" s="198">
        <v>94.277000000000001</v>
      </c>
      <c r="AF216" s="198">
        <v>103.821</v>
      </c>
      <c r="AG216" s="198">
        <v>106.113</v>
      </c>
      <c r="AH216" s="198">
        <v>110.09699999999999</v>
      </c>
      <c r="AI216" s="576">
        <f>SUM(AI213:AI215)</f>
        <v>414</v>
      </c>
      <c r="AJ216" s="198">
        <v>94.378</v>
      </c>
      <c r="AK216" s="198">
        <v>95.33</v>
      </c>
      <c r="AL216" s="198">
        <v>89.978999999999999</v>
      </c>
      <c r="AM216" s="198">
        <v>76.623999999999995</v>
      </c>
      <c r="AN216" s="576">
        <f>SUM(AN213:AN215)</f>
        <v>357</v>
      </c>
      <c r="AO216" s="198">
        <v>56.655000000000001</v>
      </c>
      <c r="AP216" s="198">
        <v>60.892000000000003</v>
      </c>
      <c r="AQ216" s="198">
        <v>65.466999999999999</v>
      </c>
      <c r="AR216" s="198">
        <v>66.789000000000001</v>
      </c>
      <c r="AS216" s="576">
        <f>SUM(AO216:AR216)</f>
        <v>249.803</v>
      </c>
      <c r="AT216" s="198">
        <v>59.738999999999997</v>
      </c>
      <c r="AU216" s="198">
        <v>66.084999999999994</v>
      </c>
      <c r="AV216" s="198">
        <v>66.311999999999998</v>
      </c>
      <c r="AW216" s="198">
        <v>74.239999999999995</v>
      </c>
      <c r="AX216" s="576">
        <f>SUM(AT216:AW216)</f>
        <v>266.37599999999998</v>
      </c>
      <c r="AY216" s="198">
        <v>63.33</v>
      </c>
      <c r="AZ216" s="198">
        <v>69.379000000000005</v>
      </c>
      <c r="BA216" s="199"/>
      <c r="BB216" s="199"/>
      <c r="BC216" s="576"/>
      <c r="BD216" s="199"/>
      <c r="BE216" s="199"/>
      <c r="BF216" s="199"/>
      <c r="BG216" s="199"/>
      <c r="BH216" s="576"/>
      <c r="BI216" s="199"/>
      <c r="BJ216" s="199"/>
      <c r="BK216" s="199"/>
      <c r="BL216" s="199"/>
      <c r="BM216" s="576"/>
      <c r="BN216" s="199"/>
      <c r="BO216" s="199"/>
      <c r="BP216" s="199"/>
      <c r="BQ216" s="199"/>
      <c r="BR216" s="576"/>
      <c r="BS216" s="199"/>
      <c r="BT216" s="199"/>
      <c r="BU216" s="199"/>
      <c r="BV216" s="199"/>
      <c r="BW216" s="576"/>
      <c r="BX216" s="199"/>
      <c r="BY216" s="199"/>
      <c r="BZ216" s="199"/>
      <c r="CA216" s="199"/>
      <c r="CB216" s="576"/>
      <c r="CC216" s="199"/>
      <c r="CD216" s="199"/>
      <c r="CE216" s="199"/>
      <c r="CF216" s="199"/>
      <c r="CG216" s="576"/>
      <c r="CH216" s="199"/>
      <c r="CI216" s="199"/>
      <c r="CJ216" s="199"/>
      <c r="CK216" s="199"/>
      <c r="CL216" s="576"/>
      <c r="CM216" s="199"/>
      <c r="CN216" s="199"/>
      <c r="CO216" s="199"/>
      <c r="CP216" s="199"/>
      <c r="CQ216" s="576"/>
    </row>
    <row r="217" spans="5:95" ht="13.5" hidden="1" x14ac:dyDescent="0.25">
      <c r="E217" s="352" t="s">
        <v>375</v>
      </c>
      <c r="F217" s="641"/>
      <c r="G217" s="641"/>
      <c r="H217" s="641"/>
      <c r="I217" s="641"/>
      <c r="J217" s="641"/>
      <c r="K217" s="354"/>
      <c r="L217" s="354"/>
      <c r="M217" s="354"/>
      <c r="N217" s="354"/>
      <c r="O217" s="641"/>
      <c r="P217" s="183"/>
      <c r="Q217" s="183"/>
      <c r="R217" s="183"/>
      <c r="S217" s="183"/>
      <c r="T217" s="641"/>
      <c r="U217" s="183"/>
      <c r="V217" s="183"/>
      <c r="W217" s="183"/>
      <c r="X217" s="183"/>
      <c r="Y217" s="641"/>
      <c r="Z217" s="183"/>
      <c r="AA217" s="183"/>
      <c r="AB217" s="183"/>
      <c r="AC217" s="183"/>
      <c r="AD217" s="641"/>
      <c r="AE217" s="183"/>
      <c r="AF217" s="183"/>
      <c r="AG217" s="183"/>
      <c r="AH217" s="183"/>
      <c r="AI217" s="641"/>
      <c r="AJ217" s="183">
        <f t="shared" ref="AJ217:AZ217" si="38">AJ216/AE216-1</f>
        <v>1.071311136332298E-3</v>
      </c>
      <c r="AK217" s="183">
        <f t="shared" si="38"/>
        <v>-8.1784995328498034E-2</v>
      </c>
      <c r="AL217" s="183">
        <f t="shared" si="38"/>
        <v>-0.15204546097085181</v>
      </c>
      <c r="AM217" s="183">
        <f t="shared" si="38"/>
        <v>-0.30403189914348261</v>
      </c>
      <c r="AN217" s="641">
        <f t="shared" si="38"/>
        <v>-0.1376811594202898</v>
      </c>
      <c r="AO217" s="183">
        <f t="shared" si="38"/>
        <v>-0.39970120155120892</v>
      </c>
      <c r="AP217" s="183">
        <f t="shared" si="38"/>
        <v>-0.36125039337039755</v>
      </c>
      <c r="AQ217" s="183">
        <f t="shared" si="38"/>
        <v>-0.27241912001689284</v>
      </c>
      <c r="AR217" s="183">
        <f t="shared" si="38"/>
        <v>-0.12835404050950083</v>
      </c>
      <c r="AS217" s="641">
        <f t="shared" si="38"/>
        <v>-0.30027170868347342</v>
      </c>
      <c r="AT217" s="183">
        <f t="shared" si="38"/>
        <v>5.4434736563410135E-2</v>
      </c>
      <c r="AU217" s="183">
        <f t="shared" si="38"/>
        <v>8.5282138868816748E-2</v>
      </c>
      <c r="AV217" s="183">
        <f t="shared" si="38"/>
        <v>1.2907266256281691E-2</v>
      </c>
      <c r="AW217" s="183">
        <f t="shared" si="38"/>
        <v>0.11156028687358677</v>
      </c>
      <c r="AX217" s="641">
        <f t="shared" si="38"/>
        <v>6.6344279292082087E-2</v>
      </c>
      <c r="AY217" s="183">
        <f t="shared" si="38"/>
        <v>6.011148495957408E-2</v>
      </c>
      <c r="AZ217" s="183">
        <f t="shared" si="38"/>
        <v>4.9844896723916232E-2</v>
      </c>
      <c r="BA217" s="357"/>
      <c r="BB217" s="357"/>
      <c r="BC217" s="641"/>
      <c r="BD217" s="357"/>
      <c r="BE217" s="357"/>
      <c r="BF217" s="357"/>
      <c r="BG217" s="357"/>
      <c r="BH217" s="641"/>
      <c r="BI217" s="183"/>
      <c r="BJ217" s="183"/>
      <c r="BK217" s="183"/>
      <c r="BL217" s="183"/>
      <c r="BM217" s="641"/>
      <c r="BN217" s="183"/>
      <c r="BO217" s="183"/>
      <c r="BP217" s="183"/>
      <c r="BQ217" s="183"/>
      <c r="BR217" s="641"/>
      <c r="BS217" s="183"/>
      <c r="BT217" s="183"/>
      <c r="BU217" s="183"/>
      <c r="BV217" s="183"/>
      <c r="BW217" s="641"/>
      <c r="BX217" s="183"/>
      <c r="BY217" s="183"/>
      <c r="BZ217" s="183"/>
      <c r="CA217" s="183"/>
      <c r="CB217" s="641"/>
      <c r="CC217" s="183"/>
      <c r="CD217" s="183"/>
      <c r="CE217" s="183"/>
      <c r="CF217" s="183"/>
      <c r="CG217" s="641"/>
      <c r="CH217" s="183"/>
      <c r="CI217" s="183"/>
      <c r="CJ217" s="183"/>
      <c r="CK217" s="183"/>
      <c r="CL217" s="641"/>
      <c r="CM217" s="183"/>
      <c r="CN217" s="183"/>
      <c r="CO217" s="183"/>
      <c r="CP217" s="183"/>
      <c r="CQ217" s="641"/>
    </row>
    <row r="218" spans="5:95" ht="13.5" hidden="1" x14ac:dyDescent="0.25">
      <c r="E218" s="352" t="s">
        <v>376</v>
      </c>
      <c r="F218" s="641"/>
      <c r="G218" s="641"/>
      <c r="H218" s="641"/>
      <c r="I218" s="641"/>
      <c r="J218" s="641"/>
      <c r="K218" s="354"/>
      <c r="L218" s="354"/>
      <c r="M218" s="354"/>
      <c r="N218" s="354"/>
      <c r="O218" s="641"/>
      <c r="P218" s="183"/>
      <c r="Q218" s="183"/>
      <c r="R218" s="183"/>
      <c r="S218" s="183"/>
      <c r="T218" s="641"/>
      <c r="U218" s="183"/>
      <c r="V218" s="183"/>
      <c r="W218" s="183"/>
      <c r="X218" s="183"/>
      <c r="Y218" s="641"/>
      <c r="Z218" s="183"/>
      <c r="AA218" s="183"/>
      <c r="AB218" s="183"/>
      <c r="AC218" s="183"/>
      <c r="AD218" s="641"/>
      <c r="AE218" s="183"/>
      <c r="AF218" s="183"/>
      <c r="AG218" s="183"/>
      <c r="AH218" s="183"/>
      <c r="AI218" s="641"/>
      <c r="AJ218" s="183">
        <f t="shared" ref="AJ218:AW218" si="39">(AJ216/(AE216-AE215))-1</f>
        <v>0.26368079266251576</v>
      </c>
      <c r="AK218" s="183">
        <f t="shared" si="39"/>
        <v>0.13512419327951219</v>
      </c>
      <c r="AL218" s="183">
        <f t="shared" si="39"/>
        <v>5.0714652716147501E-2</v>
      </c>
      <c r="AM218" s="183">
        <f t="shared" si="39"/>
        <v>-0.12930241014510857</v>
      </c>
      <c r="AN218" s="641">
        <f t="shared" si="39"/>
        <v>7.5301204819277157E-2</v>
      </c>
      <c r="AO218" s="183">
        <f t="shared" si="39"/>
        <v>-0.21491325314561283</v>
      </c>
      <c r="AP218" s="183">
        <f t="shared" si="39"/>
        <v>-0.17470385730937077</v>
      </c>
      <c r="AQ218" s="183">
        <f t="shared" si="39"/>
        <v>-6.3311967034853756E-2</v>
      </c>
      <c r="AR218" s="183">
        <f t="shared" si="39"/>
        <v>-3.4380557202133954E-2</v>
      </c>
      <c r="AS218" s="641">
        <f t="shared" si="39"/>
        <v>-0.12656293706293709</v>
      </c>
      <c r="AT218" s="183">
        <f t="shared" si="39"/>
        <v>5.4434736563410135E-2</v>
      </c>
      <c r="AU218" s="183">
        <f t="shared" si="39"/>
        <v>8.5282138868816748E-2</v>
      </c>
      <c r="AV218" s="183">
        <f t="shared" si="39"/>
        <v>1.2907266256281691E-2</v>
      </c>
      <c r="AW218" s="183">
        <f t="shared" si="39"/>
        <v>0.11156028687358677</v>
      </c>
      <c r="AX218" s="641"/>
      <c r="AY218" s="183">
        <f>(AY216/(AT216-AT215))-1</f>
        <v>6.011148495957408E-2</v>
      </c>
      <c r="AZ218" s="183">
        <f>(AZ216/(AU216-AU215))-1</f>
        <v>4.9844896723916232E-2</v>
      </c>
      <c r="BA218" s="183"/>
      <c r="BB218" s="183"/>
      <c r="BC218" s="641"/>
      <c r="BD218" s="183"/>
      <c r="BE218" s="183"/>
      <c r="BF218" s="183"/>
      <c r="BG218" s="183"/>
      <c r="BH218" s="641"/>
      <c r="BI218" s="183"/>
      <c r="BJ218" s="183"/>
      <c r="BK218" s="183"/>
      <c r="BL218" s="183"/>
      <c r="BM218" s="641"/>
      <c r="BN218" s="183"/>
      <c r="BO218" s="183"/>
      <c r="BP218" s="183"/>
      <c r="BQ218" s="183"/>
      <c r="BR218" s="641"/>
      <c r="BS218" s="183"/>
      <c r="BT218" s="183"/>
      <c r="BU218" s="183"/>
      <c r="BV218" s="183"/>
      <c r="BW218" s="641"/>
      <c r="BX218" s="183"/>
      <c r="BY218" s="183"/>
      <c r="BZ218" s="183"/>
      <c r="CA218" s="183"/>
      <c r="CB218" s="641"/>
      <c r="CC218" s="183"/>
      <c r="CD218" s="183"/>
      <c r="CE218" s="183"/>
      <c r="CF218" s="183"/>
      <c r="CG218" s="641"/>
      <c r="CH218" s="183"/>
      <c r="CI218" s="183"/>
      <c r="CJ218" s="183"/>
      <c r="CK218" s="183"/>
      <c r="CL218" s="641"/>
      <c r="CM218" s="183"/>
      <c r="CN218" s="183"/>
      <c r="CO218" s="183"/>
      <c r="CP218" s="183"/>
      <c r="CQ218" s="641"/>
    </row>
    <row r="219" spans="5:95" ht="13.5" hidden="1" x14ac:dyDescent="0.25">
      <c r="E219" s="352"/>
      <c r="F219" s="641"/>
      <c r="G219" s="641"/>
      <c r="H219" s="641"/>
      <c r="I219" s="641"/>
      <c r="J219" s="641"/>
      <c r="K219" s="354"/>
      <c r="L219" s="354"/>
      <c r="M219" s="354"/>
      <c r="N219" s="354"/>
      <c r="O219" s="641"/>
      <c r="P219" s="183"/>
      <c r="Q219" s="183"/>
      <c r="R219" s="183"/>
      <c r="S219" s="183"/>
      <c r="T219" s="641"/>
      <c r="U219" s="183"/>
      <c r="V219" s="183"/>
      <c r="W219" s="183"/>
      <c r="X219" s="183"/>
      <c r="Y219" s="641"/>
      <c r="Z219" s="183"/>
      <c r="AA219" s="183"/>
      <c r="AB219" s="183"/>
      <c r="AC219" s="183"/>
      <c r="AD219" s="641"/>
      <c r="AE219" s="183"/>
      <c r="AF219" s="183"/>
      <c r="AG219" s="183"/>
      <c r="AH219" s="183"/>
      <c r="AI219" s="641"/>
      <c r="AJ219" s="183"/>
      <c r="AK219" s="183"/>
      <c r="AL219" s="183"/>
      <c r="AM219" s="183"/>
      <c r="AN219" s="641"/>
      <c r="AO219" s="183"/>
      <c r="AP219" s="183"/>
      <c r="AQ219" s="183"/>
      <c r="AR219" s="357"/>
      <c r="AS219" s="641"/>
      <c r="AT219" s="183"/>
      <c r="AU219" s="183"/>
      <c r="AV219" s="183"/>
      <c r="AW219" s="183"/>
      <c r="AX219" s="641"/>
      <c r="AY219" s="419"/>
      <c r="AZ219" s="419"/>
      <c r="BA219" s="419"/>
      <c r="BB219" s="419"/>
      <c r="BC219" s="576"/>
      <c r="BD219" s="183"/>
      <c r="BE219" s="183"/>
      <c r="BF219" s="183"/>
      <c r="BG219" s="183"/>
      <c r="BH219" s="576"/>
      <c r="BI219" s="183"/>
      <c r="BJ219" s="183"/>
      <c r="BK219" s="183"/>
      <c r="BL219" s="183"/>
      <c r="BM219" s="641"/>
      <c r="BN219" s="183"/>
      <c r="BO219" s="183"/>
      <c r="BP219" s="183"/>
      <c r="BQ219" s="183"/>
      <c r="BR219" s="641"/>
      <c r="BS219" s="183"/>
      <c r="BT219" s="183"/>
      <c r="BU219" s="183"/>
      <c r="BV219" s="183"/>
      <c r="BW219" s="641"/>
      <c r="BX219" s="183"/>
      <c r="BY219" s="183"/>
      <c r="BZ219" s="183"/>
      <c r="CA219" s="183"/>
      <c r="CB219" s="641"/>
      <c r="CC219" s="183"/>
      <c r="CD219" s="183"/>
      <c r="CE219" s="183"/>
      <c r="CF219" s="183"/>
      <c r="CG219" s="641"/>
      <c r="CH219" s="183"/>
      <c r="CI219" s="183"/>
      <c r="CJ219" s="183"/>
      <c r="CK219" s="183"/>
      <c r="CL219" s="641"/>
      <c r="CM219" s="183"/>
      <c r="CN219" s="183"/>
      <c r="CO219" s="183"/>
      <c r="CP219" s="183"/>
      <c r="CQ219" s="641"/>
    </row>
    <row r="220" spans="5:95" ht="13.5" hidden="1" x14ac:dyDescent="0.25">
      <c r="E220" s="298" t="s">
        <v>69</v>
      </c>
      <c r="F220" s="576"/>
      <c r="G220" s="576"/>
      <c r="H220" s="576"/>
      <c r="I220" s="576"/>
      <c r="J220" s="576"/>
      <c r="K220" s="203"/>
      <c r="L220" s="203"/>
      <c r="M220" s="203"/>
      <c r="N220" s="203"/>
      <c r="O220" s="576"/>
      <c r="P220" s="203"/>
      <c r="Q220" s="203"/>
      <c r="R220" s="203"/>
      <c r="S220" s="203"/>
      <c r="T220" s="576"/>
      <c r="U220" s="203"/>
      <c r="V220" s="203"/>
      <c r="W220" s="203"/>
      <c r="X220" s="203"/>
      <c r="Y220" s="576"/>
      <c r="Z220" s="203"/>
      <c r="AA220" s="203"/>
      <c r="AB220" s="203"/>
      <c r="AC220" s="203"/>
      <c r="AD220" s="576"/>
      <c r="AE220" s="203">
        <f t="shared" ref="AE220:AZ220" si="40">AE216+AE210</f>
        <v>334.66899999999998</v>
      </c>
      <c r="AF220" s="203">
        <f t="shared" si="40"/>
        <v>348.85399999999998</v>
      </c>
      <c r="AG220" s="203">
        <f t="shared" si="40"/>
        <v>350.75900000000001</v>
      </c>
      <c r="AH220" s="203">
        <f t="shared" si="40"/>
        <v>349.79699999999997</v>
      </c>
      <c r="AI220" s="576">
        <f t="shared" si="40"/>
        <v>1383.771</v>
      </c>
      <c r="AJ220" s="203">
        <f t="shared" si="40"/>
        <v>331.07299999999998</v>
      </c>
      <c r="AK220" s="203">
        <f t="shared" si="40"/>
        <v>328.935</v>
      </c>
      <c r="AL220" s="203">
        <f t="shared" si="40"/>
        <v>321.05599999999998</v>
      </c>
      <c r="AM220" s="203">
        <f t="shared" si="40"/>
        <v>295.50900000000001</v>
      </c>
      <c r="AN220" s="576">
        <f t="shared" si="40"/>
        <v>1277.2619999999999</v>
      </c>
      <c r="AO220" s="203">
        <f t="shared" si="40"/>
        <v>255.98099999999999</v>
      </c>
      <c r="AP220" s="203">
        <f t="shared" si="40"/>
        <v>271.10500000000002</v>
      </c>
      <c r="AQ220" s="203">
        <f t="shared" si="40"/>
        <v>283.80700000000002</v>
      </c>
      <c r="AR220" s="203">
        <f t="shared" si="40"/>
        <v>288.34199999999998</v>
      </c>
      <c r="AS220" s="576">
        <f t="shared" si="40"/>
        <v>1099.2350000000001</v>
      </c>
      <c r="AT220" s="203">
        <f t="shared" si="40"/>
        <v>270.39499999999998</v>
      </c>
      <c r="AU220" s="203">
        <f t="shared" si="40"/>
        <v>291.66899999999998</v>
      </c>
      <c r="AV220" s="203">
        <f t="shared" si="40"/>
        <v>299.11</v>
      </c>
      <c r="AW220" s="203">
        <f t="shared" si="40"/>
        <v>298.79599999999999</v>
      </c>
      <c r="AX220" s="576">
        <f t="shared" si="40"/>
        <v>1159.97</v>
      </c>
      <c r="AY220" s="203">
        <f t="shared" si="40"/>
        <v>288.93400000000003</v>
      </c>
      <c r="AZ220" s="203">
        <f t="shared" si="40"/>
        <v>300.03399999999999</v>
      </c>
      <c r="BA220" s="203"/>
      <c r="BB220" s="203"/>
      <c r="BC220" s="576"/>
      <c r="BD220" s="203"/>
      <c r="BE220" s="203"/>
      <c r="BF220" s="203"/>
      <c r="BG220" s="203"/>
      <c r="BH220" s="576"/>
      <c r="BI220" s="203"/>
      <c r="BJ220" s="203"/>
      <c r="BK220" s="203"/>
      <c r="BL220" s="203"/>
      <c r="BM220" s="576"/>
      <c r="BN220" s="203"/>
      <c r="BO220" s="203"/>
      <c r="BP220" s="203"/>
      <c r="BQ220" s="203"/>
      <c r="BR220" s="576"/>
      <c r="BS220" s="203"/>
      <c r="BT220" s="203"/>
      <c r="BU220" s="203"/>
      <c r="BV220" s="203"/>
      <c r="BW220" s="576"/>
      <c r="BX220" s="203"/>
      <c r="BY220" s="203"/>
      <c r="BZ220" s="203"/>
      <c r="CA220" s="203"/>
      <c r="CB220" s="576"/>
      <c r="CC220" s="203"/>
      <c r="CD220" s="203"/>
      <c r="CE220" s="203"/>
      <c r="CF220" s="203"/>
      <c r="CG220" s="576"/>
      <c r="CH220" s="203"/>
      <c r="CI220" s="203"/>
      <c r="CJ220" s="203"/>
      <c r="CK220" s="203"/>
      <c r="CL220" s="576"/>
      <c r="CM220" s="203"/>
      <c r="CN220" s="203"/>
      <c r="CO220" s="203"/>
      <c r="CP220" s="203"/>
      <c r="CQ220" s="576"/>
    </row>
    <row r="221" spans="5:95" ht="13.5" hidden="1" x14ac:dyDescent="0.25">
      <c r="E221" s="356" t="s">
        <v>2</v>
      </c>
      <c r="F221" s="641"/>
      <c r="G221" s="641"/>
      <c r="H221" s="641"/>
      <c r="I221" s="641"/>
      <c r="J221" s="641"/>
      <c r="K221" s="353"/>
      <c r="L221" s="353"/>
      <c r="M221" s="353"/>
      <c r="N221" s="353"/>
      <c r="O221" s="641"/>
      <c r="P221" s="32"/>
      <c r="Q221" s="32"/>
      <c r="R221" s="32"/>
      <c r="S221" s="32"/>
      <c r="T221" s="641"/>
      <c r="U221" s="32"/>
      <c r="V221" s="32"/>
      <c r="W221" s="32"/>
      <c r="X221" s="32"/>
      <c r="Y221" s="641"/>
      <c r="Z221" s="32"/>
      <c r="AA221" s="32"/>
      <c r="AB221" s="32"/>
      <c r="AC221" s="32"/>
      <c r="AD221" s="641"/>
      <c r="AE221" s="32"/>
      <c r="AF221" s="32"/>
      <c r="AG221" s="32"/>
      <c r="AH221" s="32"/>
      <c r="AI221" s="641"/>
      <c r="AJ221" s="32">
        <f t="shared" ref="AJ221:AZ221" si="41">AJ220/AE220-1</f>
        <v>-1.0744945005363493E-2</v>
      </c>
      <c r="AK221" s="32">
        <f t="shared" si="41"/>
        <v>-5.7098384997735341E-2</v>
      </c>
      <c r="AL221" s="32">
        <f t="shared" si="41"/>
        <v>-8.4682075157016756E-2</v>
      </c>
      <c r="AM221" s="32">
        <f t="shared" si="41"/>
        <v>-0.15519858660880437</v>
      </c>
      <c r="AN221" s="641">
        <f t="shared" si="41"/>
        <v>-7.697010560273343E-2</v>
      </c>
      <c r="AO221" s="32">
        <f t="shared" si="41"/>
        <v>-0.22681402590969357</v>
      </c>
      <c r="AP221" s="32">
        <f t="shared" si="41"/>
        <v>-0.17580981044887278</v>
      </c>
      <c r="AQ221" s="32">
        <f t="shared" si="41"/>
        <v>-0.11602025814811112</v>
      </c>
      <c r="AR221" s="32">
        <f t="shared" si="41"/>
        <v>-2.4253068434464065E-2</v>
      </c>
      <c r="AS221" s="641">
        <f t="shared" si="41"/>
        <v>-0.13938174000322556</v>
      </c>
      <c r="AT221" s="32">
        <f t="shared" si="41"/>
        <v>5.6308866673698388E-2</v>
      </c>
      <c r="AU221" s="32">
        <f t="shared" si="41"/>
        <v>7.5852529462754115E-2</v>
      </c>
      <c r="AV221" s="32">
        <f t="shared" si="41"/>
        <v>5.3920445936851413E-2</v>
      </c>
      <c r="AW221" s="32">
        <f t="shared" si="41"/>
        <v>3.6255557636417857E-2</v>
      </c>
      <c r="AX221" s="641">
        <f t="shared" si="41"/>
        <v>5.5252061661064111E-2</v>
      </c>
      <c r="AY221" s="32">
        <f t="shared" si="41"/>
        <v>6.8562658333179316E-2</v>
      </c>
      <c r="AZ221" s="32">
        <f t="shared" si="41"/>
        <v>2.8679770561835571E-2</v>
      </c>
      <c r="BA221" s="32"/>
      <c r="BB221" s="32"/>
      <c r="BC221" s="641"/>
      <c r="BD221" s="32"/>
      <c r="BE221" s="32"/>
      <c r="BF221" s="32"/>
      <c r="BG221" s="32"/>
      <c r="BH221" s="641"/>
      <c r="BI221" s="32"/>
      <c r="BJ221" s="32"/>
      <c r="BK221" s="32"/>
      <c r="BL221" s="32"/>
      <c r="BM221" s="641"/>
      <c r="BN221" s="32"/>
      <c r="BO221" s="32"/>
      <c r="BP221" s="32"/>
      <c r="BQ221" s="32"/>
      <c r="BR221" s="641"/>
      <c r="BS221" s="32"/>
      <c r="BT221" s="32"/>
      <c r="BU221" s="32"/>
      <c r="BV221" s="32"/>
      <c r="BW221" s="641"/>
      <c r="BX221" s="32"/>
      <c r="BY221" s="32"/>
      <c r="BZ221" s="32"/>
      <c r="CA221" s="32"/>
      <c r="CB221" s="641"/>
      <c r="CC221" s="32"/>
      <c r="CD221" s="32"/>
      <c r="CE221" s="32"/>
      <c r="CF221" s="32"/>
      <c r="CG221" s="641"/>
      <c r="CH221" s="32"/>
      <c r="CI221" s="32"/>
      <c r="CJ221" s="32"/>
      <c r="CK221" s="32"/>
      <c r="CL221" s="641"/>
      <c r="CM221" s="32"/>
      <c r="CN221" s="32"/>
      <c r="CO221" s="32"/>
      <c r="CP221" s="32"/>
      <c r="CQ221" s="641"/>
    </row>
    <row r="222" spans="5:95" ht="13.5" hidden="1" x14ac:dyDescent="0.25">
      <c r="E222" s="356" t="s">
        <v>376</v>
      </c>
      <c r="F222" s="641"/>
      <c r="G222" s="641"/>
      <c r="H222" s="641"/>
      <c r="I222" s="641"/>
      <c r="J222" s="641"/>
      <c r="K222" s="353"/>
      <c r="L222" s="353"/>
      <c r="M222" s="353"/>
      <c r="N222" s="353"/>
      <c r="O222" s="641"/>
      <c r="P222" s="32"/>
      <c r="Q222" s="32"/>
      <c r="R222" s="32"/>
      <c r="S222" s="32"/>
      <c r="T222" s="641"/>
      <c r="U222" s="32"/>
      <c r="V222" s="32"/>
      <c r="W222" s="32"/>
      <c r="X222" s="32"/>
      <c r="Y222" s="641"/>
      <c r="Z222" s="32"/>
      <c r="AA222" s="32"/>
      <c r="AB222" s="32"/>
      <c r="AC222" s="32"/>
      <c r="AD222" s="641"/>
      <c r="AE222" s="32"/>
      <c r="AF222" s="32"/>
      <c r="AG222" s="32"/>
      <c r="AH222" s="32"/>
      <c r="AI222" s="641"/>
      <c r="AJ222" s="32">
        <f t="shared" ref="AJ222:AX222" si="42">(AJ220/(AE220-AE215))-1</f>
        <v>5.0768542292836338E-2</v>
      </c>
      <c r="AK222" s="32">
        <f t="shared" si="42"/>
        <v>-2.4315000835828382E-4</v>
      </c>
      <c r="AL222" s="32">
        <f t="shared" si="42"/>
        <v>-2.7933705136822584E-2</v>
      </c>
      <c r="AM222" s="32">
        <f t="shared" si="42"/>
        <v>-9.8241395409867982E-2</v>
      </c>
      <c r="AN222" s="641">
        <f t="shared" si="42"/>
        <v>-1.8827428172850658E-2</v>
      </c>
      <c r="AO222" s="32">
        <f t="shared" si="42"/>
        <v>-0.17120433595912699</v>
      </c>
      <c r="AP222" s="32">
        <f t="shared" si="42"/>
        <v>-0.11803361885831209</v>
      </c>
      <c r="AQ222" s="32">
        <f t="shared" si="42"/>
        <v>-5.7022484043207089E-2</v>
      </c>
      <c r="AR222" s="32">
        <f t="shared" si="42"/>
        <v>1.0067626678516017E-3</v>
      </c>
      <c r="AS222" s="641">
        <f t="shared" si="42"/>
        <v>-8.872616396769506E-2</v>
      </c>
      <c r="AT222" s="32">
        <f t="shared" si="42"/>
        <v>5.6308866673698388E-2</v>
      </c>
      <c r="AU222" s="32">
        <f t="shared" si="42"/>
        <v>7.5852529462754115E-2</v>
      </c>
      <c r="AV222" s="32">
        <f t="shared" si="42"/>
        <v>5.3920445936851413E-2</v>
      </c>
      <c r="AW222" s="32">
        <f t="shared" si="42"/>
        <v>3.6255557636417857E-2</v>
      </c>
      <c r="AX222" s="641">
        <f t="shared" si="42"/>
        <v>5.5252061661064111E-2</v>
      </c>
      <c r="AY222" s="32"/>
      <c r="AZ222" s="32"/>
      <c r="BA222" s="32"/>
      <c r="BB222" s="32"/>
      <c r="BC222" s="641"/>
      <c r="BD222" s="32"/>
      <c r="BE222" s="32"/>
      <c r="BF222" s="32"/>
      <c r="BG222" s="32"/>
      <c r="BH222" s="641"/>
      <c r="BI222" s="32"/>
      <c r="BJ222" s="32"/>
      <c r="BK222" s="32"/>
      <c r="BL222" s="32"/>
      <c r="BM222" s="641"/>
      <c r="BN222" s="32"/>
      <c r="BO222" s="32"/>
      <c r="BP222" s="32"/>
      <c r="BQ222" s="32"/>
      <c r="BR222" s="641"/>
      <c r="BS222" s="32"/>
      <c r="BT222" s="32"/>
      <c r="BU222" s="32"/>
      <c r="BV222" s="32"/>
      <c r="BW222" s="641"/>
      <c r="BX222" s="32"/>
      <c r="BY222" s="32"/>
      <c r="BZ222" s="32"/>
      <c r="CA222" s="32"/>
      <c r="CB222" s="641"/>
      <c r="CC222" s="32"/>
      <c r="CD222" s="32"/>
      <c r="CE222" s="32"/>
      <c r="CF222" s="32"/>
      <c r="CG222" s="641"/>
      <c r="CH222" s="32"/>
      <c r="CI222" s="32"/>
      <c r="CJ222" s="32"/>
      <c r="CK222" s="32"/>
      <c r="CL222" s="641"/>
      <c r="CM222" s="32"/>
      <c r="CN222" s="32"/>
      <c r="CO222" s="32"/>
      <c r="CP222" s="32"/>
      <c r="CQ222" s="641"/>
    </row>
    <row r="223" spans="5:95" hidden="1" x14ac:dyDescent="0.25">
      <c r="E223" s="194"/>
      <c r="F223" s="578"/>
      <c r="G223" s="578"/>
      <c r="H223" s="578"/>
      <c r="I223" s="578"/>
      <c r="J223" s="578"/>
      <c r="K223" s="192"/>
      <c r="L223" s="192"/>
      <c r="M223" s="192"/>
      <c r="N223" s="192"/>
      <c r="O223" s="578"/>
      <c r="P223" s="192"/>
      <c r="Q223" s="192"/>
      <c r="R223" s="192"/>
      <c r="S223" s="192"/>
      <c r="T223" s="578"/>
      <c r="U223" s="192"/>
      <c r="V223" s="192"/>
      <c r="W223" s="192"/>
      <c r="X223" s="192"/>
      <c r="Y223" s="578"/>
      <c r="Z223" s="195"/>
      <c r="AA223" s="195"/>
      <c r="AB223" s="195"/>
      <c r="AC223" s="195"/>
      <c r="AD223" s="578"/>
      <c r="AE223" s="195"/>
      <c r="AF223" s="195"/>
      <c r="AG223" s="195"/>
      <c r="AH223" s="195"/>
      <c r="AI223" s="578"/>
      <c r="AJ223" s="195"/>
      <c r="AK223" s="195"/>
      <c r="AL223" s="195"/>
      <c r="AM223" s="195"/>
      <c r="AN223" s="578"/>
      <c r="AO223" s="195"/>
      <c r="AP223" s="195"/>
      <c r="AQ223" s="195"/>
      <c r="AR223" s="195"/>
      <c r="AS223" s="578"/>
      <c r="AT223" s="194"/>
      <c r="AU223" s="194"/>
      <c r="AV223" s="194"/>
      <c r="AW223" s="194"/>
      <c r="AX223" s="578"/>
      <c r="AY223" s="194"/>
      <c r="AZ223" s="194"/>
      <c r="BA223" s="194"/>
      <c r="BB223" s="194"/>
      <c r="BC223" s="578"/>
      <c r="BD223" s="194"/>
      <c r="BE223" s="194"/>
      <c r="BF223" s="194"/>
      <c r="BG223" s="194"/>
      <c r="BH223" s="578"/>
      <c r="BI223" s="194"/>
      <c r="BJ223" s="194"/>
      <c r="BK223" s="194"/>
      <c r="BL223" s="194"/>
      <c r="BM223" s="578"/>
      <c r="BN223" s="194"/>
      <c r="BO223" s="194"/>
      <c r="BP223" s="194"/>
      <c r="BQ223" s="194"/>
      <c r="BR223" s="578"/>
      <c r="BS223" s="194"/>
      <c r="BT223" s="194"/>
      <c r="BU223" s="194"/>
      <c r="BV223" s="194"/>
      <c r="BW223" s="578"/>
      <c r="BX223" s="194"/>
      <c r="BY223" s="194"/>
      <c r="BZ223" s="194"/>
      <c r="CA223" s="194"/>
      <c r="CB223" s="578"/>
      <c r="CC223" s="194"/>
      <c r="CD223" s="194"/>
      <c r="CE223" s="194"/>
      <c r="CF223" s="194"/>
      <c r="CG223" s="578"/>
      <c r="CH223" s="194"/>
      <c r="CI223" s="194"/>
      <c r="CJ223" s="194"/>
      <c r="CK223" s="194"/>
      <c r="CL223" s="578"/>
      <c r="CM223" s="194"/>
      <c r="CN223" s="194"/>
      <c r="CO223" s="194"/>
      <c r="CP223" s="194"/>
      <c r="CQ223" s="578"/>
    </row>
    <row r="224" spans="5:95" hidden="1" x14ac:dyDescent="0.25">
      <c r="E224" s="190" t="s">
        <v>292</v>
      </c>
      <c r="F224" s="578"/>
      <c r="G224" s="578"/>
      <c r="H224" s="578"/>
      <c r="I224" s="578"/>
      <c r="J224" s="578"/>
      <c r="K224" s="192"/>
      <c r="L224" s="192"/>
      <c r="M224" s="192"/>
      <c r="N224" s="192"/>
      <c r="O224" s="578"/>
      <c r="P224" s="192"/>
      <c r="Q224" s="192"/>
      <c r="R224" s="192"/>
      <c r="S224" s="192"/>
      <c r="T224" s="578"/>
      <c r="U224" s="192"/>
      <c r="V224" s="192"/>
      <c r="W224" s="192"/>
      <c r="X224" s="192"/>
      <c r="Y224" s="578"/>
      <c r="Z224" s="195"/>
      <c r="AA224" s="195"/>
      <c r="AB224" s="195"/>
      <c r="AC224" s="195"/>
      <c r="AD224" s="578"/>
      <c r="AE224" s="195"/>
      <c r="AF224" s="195"/>
      <c r="AG224" s="195"/>
      <c r="AH224" s="195"/>
      <c r="AI224" s="578"/>
      <c r="AJ224" s="195"/>
      <c r="AK224" s="195"/>
      <c r="AL224" s="195"/>
      <c r="AM224" s="195"/>
      <c r="AN224" s="578"/>
      <c r="AO224" s="195"/>
      <c r="AP224" s="195"/>
      <c r="AQ224" s="195"/>
      <c r="AR224" s="195"/>
      <c r="AS224" s="578"/>
      <c r="AT224" s="194"/>
      <c r="AU224" s="194"/>
      <c r="AV224" s="194"/>
      <c r="AW224" s="194"/>
      <c r="AX224" s="578"/>
      <c r="AY224" s="194"/>
      <c r="AZ224" s="194"/>
      <c r="BA224" s="194"/>
      <c r="BB224" s="194"/>
      <c r="BC224" s="578"/>
      <c r="BD224" s="194"/>
      <c r="BE224" s="194"/>
      <c r="BF224" s="194"/>
      <c r="BG224" s="194"/>
      <c r="BH224" s="578"/>
      <c r="BI224" s="194"/>
      <c r="BJ224" s="194"/>
      <c r="BK224" s="194"/>
      <c r="BL224" s="194"/>
      <c r="BM224" s="578"/>
      <c r="BN224" s="194"/>
      <c r="BO224" s="194"/>
      <c r="BP224" s="194"/>
      <c r="BQ224" s="194"/>
      <c r="BR224" s="578"/>
      <c r="BS224" s="194"/>
      <c r="BT224" s="194"/>
      <c r="BU224" s="194"/>
      <c r="BV224" s="194"/>
      <c r="BW224" s="578"/>
      <c r="BX224" s="194"/>
      <c r="BY224" s="194"/>
      <c r="BZ224" s="194"/>
      <c r="CA224" s="194"/>
      <c r="CB224" s="578"/>
      <c r="CC224" s="194"/>
      <c r="CD224" s="194"/>
      <c r="CE224" s="194"/>
      <c r="CF224" s="194"/>
      <c r="CG224" s="578"/>
      <c r="CH224" s="194"/>
      <c r="CI224" s="194"/>
      <c r="CJ224" s="194"/>
      <c r="CK224" s="194"/>
      <c r="CL224" s="578"/>
      <c r="CM224" s="194"/>
      <c r="CN224" s="194"/>
      <c r="CO224" s="194"/>
      <c r="CP224" s="194"/>
      <c r="CQ224" s="578"/>
    </row>
    <row r="225" spans="5:95" hidden="1" x14ac:dyDescent="0.25">
      <c r="E225" s="27" t="s">
        <v>306</v>
      </c>
      <c r="F225" s="578"/>
      <c r="G225" s="578"/>
      <c r="H225" s="578"/>
      <c r="I225" s="578"/>
      <c r="J225" s="578"/>
      <c r="K225" s="192"/>
      <c r="L225" s="192"/>
      <c r="M225" s="192"/>
      <c r="N225" s="192"/>
      <c r="O225" s="578"/>
      <c r="P225" s="192"/>
      <c r="Q225" s="192"/>
      <c r="R225" s="192"/>
      <c r="S225" s="192"/>
      <c r="T225" s="578"/>
      <c r="U225" s="192"/>
      <c r="V225" s="192"/>
      <c r="W225" s="192"/>
      <c r="X225" s="192"/>
      <c r="Y225" s="578"/>
      <c r="Z225" s="195"/>
      <c r="AA225" s="195"/>
      <c r="AB225" s="195"/>
      <c r="AC225" s="195"/>
      <c r="AD225" s="578"/>
      <c r="AE225" s="124">
        <v>-194.602</v>
      </c>
      <c r="AF225" s="124">
        <v>-196.333</v>
      </c>
      <c r="AG225" s="124">
        <v>-188.65899999999999</v>
      </c>
      <c r="AH225" s="124">
        <v>-225.77600000000001</v>
      </c>
      <c r="AI225" s="568">
        <f>SUM(AE225:AH225)</f>
        <v>-805.37000000000012</v>
      </c>
      <c r="AJ225" s="124">
        <v>-178.86099999999999</v>
      </c>
      <c r="AK225" s="124">
        <v>-180.98599999999999</v>
      </c>
      <c r="AL225" s="124">
        <v>-173.43299999999999</v>
      </c>
      <c r="AM225" s="124">
        <v>-161.06</v>
      </c>
      <c r="AN225" s="568">
        <f>SUM(AJ225:AM225)</f>
        <v>-694.33999999999992</v>
      </c>
      <c r="AO225" s="124">
        <v>-159.57599999999999</v>
      </c>
      <c r="AP225" s="124">
        <v>-165.792</v>
      </c>
      <c r="AQ225" s="124">
        <v>-163.20599999999999</v>
      </c>
      <c r="AR225" s="124">
        <v>-166.08500000000001</v>
      </c>
      <c r="AS225" s="568">
        <f>SUM(AO225:AR225)</f>
        <v>-654.65899999999999</v>
      </c>
      <c r="AT225" s="124">
        <v>-164.65</v>
      </c>
      <c r="AU225" s="124">
        <v>-175.68700000000001</v>
      </c>
      <c r="AV225" s="124">
        <v>-178.58600000000001</v>
      </c>
      <c r="AW225" s="124">
        <v>-176.065</v>
      </c>
      <c r="AX225" s="568">
        <f>SUM(AT225:AW225)</f>
        <v>-694.98800000000006</v>
      </c>
      <c r="AY225" s="124">
        <v>-180.46299999999999</v>
      </c>
      <c r="AZ225" s="124">
        <v>-181.12100000000001</v>
      </c>
      <c r="BA225" s="27"/>
      <c r="BB225" s="27"/>
      <c r="BC225" s="568"/>
      <c r="BD225" s="27"/>
      <c r="BE225" s="27"/>
      <c r="BF225" s="27"/>
      <c r="BG225" s="27"/>
      <c r="BH225" s="568"/>
      <c r="BI225" s="27"/>
      <c r="BJ225" s="27"/>
      <c r="BK225" s="27"/>
      <c r="BL225" s="27"/>
      <c r="BM225" s="568"/>
      <c r="BN225" s="27"/>
      <c r="BO225" s="27"/>
      <c r="BP225" s="27"/>
      <c r="BQ225" s="27"/>
      <c r="BR225" s="568"/>
      <c r="BS225" s="27"/>
      <c r="BT225" s="27"/>
      <c r="BU225" s="27"/>
      <c r="BV225" s="27"/>
      <c r="BW225" s="568"/>
      <c r="BX225" s="27"/>
      <c r="BY225" s="27"/>
      <c r="BZ225" s="27"/>
      <c r="CA225" s="27"/>
      <c r="CB225" s="568"/>
      <c r="CC225" s="27"/>
      <c r="CD225" s="27"/>
      <c r="CE225" s="27"/>
      <c r="CF225" s="27"/>
      <c r="CG225" s="568"/>
      <c r="CH225" s="27"/>
      <c r="CI225" s="27"/>
      <c r="CJ225" s="27"/>
      <c r="CK225" s="27"/>
      <c r="CL225" s="568"/>
      <c r="CM225" s="27"/>
      <c r="CN225" s="27"/>
      <c r="CO225" s="27"/>
      <c r="CP225" s="27"/>
      <c r="CQ225" s="568"/>
    </row>
    <row r="226" spans="5:95" hidden="1" x14ac:dyDescent="0.25">
      <c r="E226" s="27" t="s">
        <v>315</v>
      </c>
      <c r="F226" s="578"/>
      <c r="G226" s="578"/>
      <c r="H226" s="578"/>
      <c r="I226" s="578"/>
      <c r="J226" s="578"/>
      <c r="K226" s="192"/>
      <c r="L226" s="192"/>
      <c r="M226" s="192"/>
      <c r="N226" s="192"/>
      <c r="O226" s="578"/>
      <c r="P226" s="192"/>
      <c r="Q226" s="192"/>
      <c r="R226" s="192"/>
      <c r="S226" s="192"/>
      <c r="T226" s="578"/>
      <c r="U226" s="192"/>
      <c r="V226" s="192"/>
      <c r="W226" s="192"/>
      <c r="X226" s="192"/>
      <c r="Y226" s="578"/>
      <c r="Z226" s="195"/>
      <c r="AA226" s="195"/>
      <c r="AB226" s="195"/>
      <c r="AC226" s="195"/>
      <c r="AD226" s="578"/>
      <c r="AE226" s="27">
        <f>AE228-AE227</f>
        <v>-62.411000000000001</v>
      </c>
      <c r="AF226" s="27">
        <f>AF228-AF227</f>
        <v>-61.963000000000008</v>
      </c>
      <c r="AG226" s="27">
        <f>AG228-AG227</f>
        <v>-61.61399999999999</v>
      </c>
      <c r="AH226" s="27">
        <f>AH228-AH227</f>
        <v>-56.87</v>
      </c>
      <c r="AI226" s="568">
        <f>SUM(AE226:AH226)</f>
        <v>-242.858</v>
      </c>
      <c r="AJ226" s="27">
        <f>AJ228-AJ227</f>
        <v>-55.503</v>
      </c>
      <c r="AK226" s="27">
        <f>AK228-AK227</f>
        <v>-55.489999999999995</v>
      </c>
      <c r="AL226" s="27">
        <f>AL228-AL227</f>
        <v>-50.399999999999991</v>
      </c>
      <c r="AM226" s="27">
        <f>AM228-AM227</f>
        <v>-48.146999999999998</v>
      </c>
      <c r="AN226" s="568">
        <f>SUM(AJ226:AM226)</f>
        <v>-209.53999999999996</v>
      </c>
      <c r="AO226" s="27">
        <f>AO228-AO227</f>
        <v>-45.918999999999997</v>
      </c>
      <c r="AP226" s="27">
        <f>AP228-AP227</f>
        <v>-46.128999999999998</v>
      </c>
      <c r="AQ226" s="27">
        <f>AQ228-AQ227</f>
        <v>-46.726999999999997</v>
      </c>
      <c r="AR226" s="27">
        <f>AR228-AR227</f>
        <v>-45.835000000000001</v>
      </c>
      <c r="AS226" s="568">
        <f>SUM(AO226:AR226)</f>
        <v>-184.61</v>
      </c>
      <c r="AT226" s="27">
        <f>AT228-AT227</f>
        <v>-45.771000000000001</v>
      </c>
      <c r="AU226" s="27">
        <f>AU233-AU216</f>
        <v>-48.32</v>
      </c>
      <c r="AV226" s="27">
        <f>AV233-AV216</f>
        <v>-48.258000000000003</v>
      </c>
      <c r="AW226" s="27">
        <f>AW233-AW216</f>
        <v>-47.551000000000002</v>
      </c>
      <c r="AX226" s="568">
        <f>SUM(AT226:AW226)</f>
        <v>-189.90000000000003</v>
      </c>
      <c r="AY226" s="27">
        <f>AY228-AY227</f>
        <v>-48.878</v>
      </c>
      <c r="AZ226" s="27">
        <f>AZ233-AZ216</f>
        <v>-47.962000000000003</v>
      </c>
      <c r="BA226" s="27"/>
      <c r="BB226" s="27"/>
      <c r="BC226" s="568"/>
      <c r="BD226" s="27"/>
      <c r="BE226" s="27"/>
      <c r="BF226" s="27"/>
      <c r="BG226" s="27"/>
      <c r="BH226" s="568"/>
      <c r="BI226" s="27"/>
      <c r="BJ226" s="27"/>
      <c r="BK226" s="27"/>
      <c r="BL226" s="27"/>
      <c r="BM226" s="568"/>
      <c r="BN226" s="27"/>
      <c r="BO226" s="27"/>
      <c r="BP226" s="27"/>
      <c r="BQ226" s="27"/>
      <c r="BR226" s="568"/>
      <c r="BS226" s="27"/>
      <c r="BT226" s="27"/>
      <c r="BU226" s="27"/>
      <c r="BV226" s="27"/>
      <c r="BW226" s="568"/>
      <c r="BX226" s="27"/>
      <c r="BY226" s="27"/>
      <c r="BZ226" s="27"/>
      <c r="CA226" s="27"/>
      <c r="CB226" s="568"/>
      <c r="CC226" s="27"/>
      <c r="CD226" s="27"/>
      <c r="CE226" s="27"/>
      <c r="CF226" s="27"/>
      <c r="CG226" s="568"/>
      <c r="CH226" s="27"/>
      <c r="CI226" s="27"/>
      <c r="CJ226" s="27"/>
      <c r="CK226" s="27"/>
      <c r="CL226" s="568"/>
      <c r="CM226" s="27"/>
      <c r="CN226" s="27"/>
      <c r="CO226" s="27"/>
      <c r="CP226" s="27"/>
      <c r="CQ226" s="568"/>
    </row>
    <row r="227" spans="5:95" hidden="1" x14ac:dyDescent="0.25">
      <c r="E227" s="27" t="s">
        <v>316</v>
      </c>
      <c r="F227" s="588"/>
      <c r="G227" s="588"/>
      <c r="H227" s="588"/>
      <c r="I227" s="588"/>
      <c r="J227" s="588"/>
      <c r="K227" s="367"/>
      <c r="L227" s="367"/>
      <c r="M227" s="367"/>
      <c r="N227" s="367"/>
      <c r="O227" s="588"/>
      <c r="P227" s="367"/>
      <c r="Q227" s="367"/>
      <c r="R227" s="367"/>
      <c r="S227" s="367"/>
      <c r="T227" s="588"/>
      <c r="U227" s="367"/>
      <c r="V227" s="367"/>
      <c r="W227" s="367"/>
      <c r="X227" s="367"/>
      <c r="Y227" s="588"/>
      <c r="Z227" s="368"/>
      <c r="AA227" s="368"/>
      <c r="AB227" s="368"/>
      <c r="AC227" s="368"/>
      <c r="AD227" s="588"/>
      <c r="AE227" s="29">
        <f>-AE215</f>
        <v>-19.591999999999999</v>
      </c>
      <c r="AF227" s="29">
        <f>-AF215</f>
        <v>-19.838999999999999</v>
      </c>
      <c r="AG227" s="29">
        <f>-AG215</f>
        <v>-20.477</v>
      </c>
      <c r="AH227" s="29">
        <f>-AH215</f>
        <v>-22.094000000000001</v>
      </c>
      <c r="AI227" s="579">
        <f>SUM(AE227:AH227)</f>
        <v>-82.00200000000001</v>
      </c>
      <c r="AJ227" s="29">
        <f>-AJ215</f>
        <v>-22.213999999999999</v>
      </c>
      <c r="AK227" s="29">
        <f>-AK215</f>
        <v>-21.547999999999998</v>
      </c>
      <c r="AL227" s="29">
        <f>-AL215</f>
        <v>-20.087</v>
      </c>
      <c r="AM227" s="29">
        <f>-AM215</f>
        <v>-7.4569999999999999</v>
      </c>
      <c r="AN227" s="579">
        <f>SUM(AJ227:AM227)</f>
        <v>-71.305999999999997</v>
      </c>
      <c r="AO227" s="125">
        <f>-AO215</f>
        <v>0</v>
      </c>
      <c r="AP227" s="125">
        <f>-AP215</f>
        <v>0</v>
      </c>
      <c r="AQ227" s="125">
        <f>-AQ215</f>
        <v>0</v>
      </c>
      <c r="AR227" s="29">
        <f>-AR215</f>
        <v>0</v>
      </c>
      <c r="AS227" s="579">
        <f>SUM(AO227:AR227)</f>
        <v>0</v>
      </c>
      <c r="AT227" s="125">
        <f>-AT215</f>
        <v>0</v>
      </c>
      <c r="AU227" s="125">
        <f>-AU215</f>
        <v>0</v>
      </c>
      <c r="AV227" s="125">
        <f>-AV215</f>
        <v>0</v>
      </c>
      <c r="AW227" s="125">
        <f>-AW215</f>
        <v>0</v>
      </c>
      <c r="AX227" s="579">
        <f>SUM(AT227:AW227)</f>
        <v>0</v>
      </c>
      <c r="AY227" s="125">
        <f>-AY215</f>
        <v>0</v>
      </c>
      <c r="AZ227" s="125">
        <f>-AZ215</f>
        <v>0</v>
      </c>
      <c r="BA227" s="29"/>
      <c r="BB227" s="29"/>
      <c r="BC227" s="579"/>
      <c r="BD227" s="29"/>
      <c r="BE227" s="29"/>
      <c r="BF227" s="29"/>
      <c r="BG227" s="29"/>
      <c r="BH227" s="579"/>
      <c r="BI227" s="29"/>
      <c r="BJ227" s="29"/>
      <c r="BK227" s="29"/>
      <c r="BL227" s="29"/>
      <c r="BM227" s="579"/>
      <c r="BN227" s="29"/>
      <c r="BO227" s="29"/>
      <c r="BP227" s="29"/>
      <c r="BQ227" s="29"/>
      <c r="BR227" s="579"/>
      <c r="BS227" s="29"/>
      <c r="BT227" s="29"/>
      <c r="BU227" s="29"/>
      <c r="BV227" s="29"/>
      <c r="BW227" s="579"/>
      <c r="BX227" s="29"/>
      <c r="BY227" s="29"/>
      <c r="BZ227" s="29"/>
      <c r="CA227" s="29"/>
      <c r="CB227" s="579"/>
      <c r="CC227" s="29"/>
      <c r="CD227" s="29"/>
      <c r="CE227" s="29"/>
      <c r="CF227" s="29"/>
      <c r="CG227" s="579"/>
      <c r="CH227" s="29"/>
      <c r="CI227" s="29"/>
      <c r="CJ227" s="29"/>
      <c r="CK227" s="29"/>
      <c r="CL227" s="579"/>
      <c r="CM227" s="29"/>
      <c r="CN227" s="29"/>
      <c r="CO227" s="29"/>
      <c r="CP227" s="29"/>
      <c r="CQ227" s="579"/>
    </row>
    <row r="228" spans="5:95" hidden="1" x14ac:dyDescent="0.25">
      <c r="E228" s="27" t="s">
        <v>205</v>
      </c>
      <c r="F228" s="578"/>
      <c r="G228" s="578"/>
      <c r="H228" s="578"/>
      <c r="I228" s="578"/>
      <c r="J228" s="578"/>
      <c r="K228" s="192"/>
      <c r="L228" s="192"/>
      <c r="M228" s="192"/>
      <c r="N228" s="192"/>
      <c r="O228" s="578"/>
      <c r="P228" s="192"/>
      <c r="Q228" s="192"/>
      <c r="R228" s="192"/>
      <c r="S228" s="192"/>
      <c r="T228" s="578"/>
      <c r="U228" s="192"/>
      <c r="V228" s="192"/>
      <c r="W228" s="192"/>
      <c r="X228" s="192"/>
      <c r="Y228" s="578"/>
      <c r="Z228" s="195"/>
      <c r="AA228" s="195"/>
      <c r="AB228" s="195"/>
      <c r="AC228" s="195"/>
      <c r="AD228" s="578"/>
      <c r="AE228" s="124">
        <v>-82.003</v>
      </c>
      <c r="AF228" s="124">
        <v>-81.802000000000007</v>
      </c>
      <c r="AG228" s="124">
        <v>-82.090999999999994</v>
      </c>
      <c r="AH228" s="124">
        <v>-78.963999999999999</v>
      </c>
      <c r="AI228" s="568">
        <f>SUM(AE228:AH228)</f>
        <v>-324.86</v>
      </c>
      <c r="AJ228" s="124">
        <v>-77.716999999999999</v>
      </c>
      <c r="AK228" s="124">
        <v>-77.037999999999997</v>
      </c>
      <c r="AL228" s="124">
        <v>-70.486999999999995</v>
      </c>
      <c r="AM228" s="124">
        <v>-55.603999999999999</v>
      </c>
      <c r="AN228" s="568">
        <f>SUM(AJ228:AM228)</f>
        <v>-280.846</v>
      </c>
      <c r="AO228" s="124">
        <v>-45.918999999999997</v>
      </c>
      <c r="AP228" s="124">
        <v>-46.128999999999998</v>
      </c>
      <c r="AQ228" s="124">
        <v>-46.726999999999997</v>
      </c>
      <c r="AR228" s="124">
        <v>-45.835000000000001</v>
      </c>
      <c r="AS228" s="568">
        <f>SUM(AO228:AR228)</f>
        <v>-184.61</v>
      </c>
      <c r="AT228" s="124">
        <v>-45.771000000000001</v>
      </c>
      <c r="AU228" s="124">
        <v>-48.32</v>
      </c>
      <c r="AV228" s="124">
        <v>-48.258000000000003</v>
      </c>
      <c r="AW228" s="124">
        <v>-47.551000000000002</v>
      </c>
      <c r="AX228" s="568">
        <f>SUM(AT228:AW228)</f>
        <v>-189.90000000000003</v>
      </c>
      <c r="AY228" s="124">
        <v>-48.878</v>
      </c>
      <c r="AZ228" s="124">
        <v>-47.962000000000003</v>
      </c>
      <c r="BA228" s="27"/>
      <c r="BB228" s="27"/>
      <c r="BC228" s="568"/>
      <c r="BD228" s="27"/>
      <c r="BE228" s="27"/>
      <c r="BF228" s="27"/>
      <c r="BG228" s="27"/>
      <c r="BH228" s="568"/>
      <c r="BI228" s="27"/>
      <c r="BJ228" s="27"/>
      <c r="BK228" s="27"/>
      <c r="BL228" s="27"/>
      <c r="BM228" s="568"/>
      <c r="BN228" s="27"/>
      <c r="BO228" s="27"/>
      <c r="BP228" s="27"/>
      <c r="BQ228" s="27"/>
      <c r="BR228" s="568"/>
      <c r="BS228" s="27"/>
      <c r="BT228" s="27"/>
      <c r="BU228" s="27"/>
      <c r="BV228" s="27"/>
      <c r="BW228" s="568"/>
      <c r="BX228" s="27"/>
      <c r="BY228" s="27"/>
      <c r="BZ228" s="27"/>
      <c r="CA228" s="27"/>
      <c r="CB228" s="568"/>
      <c r="CC228" s="27"/>
      <c r="CD228" s="27"/>
      <c r="CE228" s="27"/>
      <c r="CF228" s="27"/>
      <c r="CG228" s="568"/>
      <c r="CH228" s="27"/>
      <c r="CI228" s="27"/>
      <c r="CJ228" s="27"/>
      <c r="CK228" s="27"/>
      <c r="CL228" s="568"/>
      <c r="CM228" s="27"/>
      <c r="CN228" s="27"/>
      <c r="CO228" s="27"/>
      <c r="CP228" s="27"/>
      <c r="CQ228" s="568"/>
    </row>
    <row r="229" spans="5:95" ht="13.5" hidden="1" x14ac:dyDescent="0.25">
      <c r="E229" s="380" t="s">
        <v>293</v>
      </c>
      <c r="F229" s="578"/>
      <c r="G229" s="578"/>
      <c r="H229" s="578"/>
      <c r="I229" s="578"/>
      <c r="J229" s="578"/>
      <c r="K229" s="202"/>
      <c r="L229" s="202"/>
      <c r="M229" s="202"/>
      <c r="N229" s="202"/>
      <c r="O229" s="578"/>
      <c r="P229" s="202"/>
      <c r="Q229" s="202"/>
      <c r="R229" s="202"/>
      <c r="S229" s="202"/>
      <c r="T229" s="578"/>
      <c r="U229" s="202"/>
      <c r="V229" s="202"/>
      <c r="W229" s="202"/>
      <c r="X229" s="202"/>
      <c r="Y229" s="578"/>
      <c r="Z229" s="381"/>
      <c r="AA229" s="381"/>
      <c r="AB229" s="381"/>
      <c r="AC229" s="381"/>
      <c r="AD229" s="578"/>
      <c r="AE229" s="203">
        <f t="shared" ref="AE229:AZ229" si="43">SUM(AE225+AE228)</f>
        <v>-276.60500000000002</v>
      </c>
      <c r="AF229" s="203">
        <f t="shared" si="43"/>
        <v>-278.13499999999999</v>
      </c>
      <c r="AG229" s="203">
        <f t="shared" si="43"/>
        <v>-270.75</v>
      </c>
      <c r="AH229" s="203">
        <f t="shared" si="43"/>
        <v>-304.74</v>
      </c>
      <c r="AI229" s="642">
        <f t="shared" si="43"/>
        <v>-1130.23</v>
      </c>
      <c r="AJ229" s="203">
        <f t="shared" si="43"/>
        <v>-256.57799999999997</v>
      </c>
      <c r="AK229" s="203">
        <f t="shared" si="43"/>
        <v>-258.024</v>
      </c>
      <c r="AL229" s="203">
        <f t="shared" si="43"/>
        <v>-243.92</v>
      </c>
      <c r="AM229" s="203">
        <f t="shared" si="43"/>
        <v>-216.66399999999999</v>
      </c>
      <c r="AN229" s="642">
        <f t="shared" si="43"/>
        <v>-975.18599999999992</v>
      </c>
      <c r="AO229" s="203">
        <f t="shared" si="43"/>
        <v>-205.495</v>
      </c>
      <c r="AP229" s="203">
        <f t="shared" si="43"/>
        <v>-211.92099999999999</v>
      </c>
      <c r="AQ229" s="203">
        <f t="shared" si="43"/>
        <v>-209.93299999999999</v>
      </c>
      <c r="AR229" s="203">
        <f t="shared" si="43"/>
        <v>-211.92000000000002</v>
      </c>
      <c r="AS229" s="642">
        <f t="shared" si="43"/>
        <v>-839.26900000000001</v>
      </c>
      <c r="AT229" s="203">
        <f t="shared" si="43"/>
        <v>-210.42099999999999</v>
      </c>
      <c r="AU229" s="203">
        <f t="shared" si="43"/>
        <v>-224.00700000000001</v>
      </c>
      <c r="AV229" s="203">
        <f t="shared" si="43"/>
        <v>-226.84400000000002</v>
      </c>
      <c r="AW229" s="203">
        <f t="shared" si="43"/>
        <v>-223.61599999999999</v>
      </c>
      <c r="AX229" s="642">
        <f t="shared" si="43"/>
        <v>-884.88800000000015</v>
      </c>
      <c r="AY229" s="203">
        <f t="shared" si="43"/>
        <v>-229.34100000000001</v>
      </c>
      <c r="AZ229" s="203">
        <f t="shared" si="43"/>
        <v>-229.08300000000003</v>
      </c>
      <c r="BA229" s="203"/>
      <c r="BB229" s="203"/>
      <c r="BC229" s="642"/>
      <c r="BD229" s="203"/>
      <c r="BE229" s="203"/>
      <c r="BF229" s="203"/>
      <c r="BG229" s="203"/>
      <c r="BH229" s="642"/>
      <c r="BI229" s="203"/>
      <c r="BJ229" s="203"/>
      <c r="BK229" s="203"/>
      <c r="BL229" s="203"/>
      <c r="BM229" s="642"/>
      <c r="BN229" s="203"/>
      <c r="BO229" s="203"/>
      <c r="BP229" s="203"/>
      <c r="BQ229" s="203"/>
      <c r="BR229" s="642"/>
      <c r="BS229" s="203"/>
      <c r="BT229" s="203"/>
      <c r="BU229" s="203"/>
      <c r="BV229" s="203"/>
      <c r="BW229" s="642"/>
      <c r="BX229" s="203"/>
      <c r="BY229" s="203"/>
      <c r="BZ229" s="203"/>
      <c r="CA229" s="203"/>
      <c r="CB229" s="642"/>
      <c r="CC229" s="203"/>
      <c r="CD229" s="203"/>
      <c r="CE229" s="203"/>
      <c r="CF229" s="203"/>
      <c r="CG229" s="642"/>
      <c r="CH229" s="203"/>
      <c r="CI229" s="203"/>
      <c r="CJ229" s="203"/>
      <c r="CK229" s="203"/>
      <c r="CL229" s="642"/>
      <c r="CM229" s="203"/>
      <c r="CN229" s="203"/>
      <c r="CO229" s="203"/>
      <c r="CP229" s="203"/>
      <c r="CQ229" s="642"/>
    </row>
    <row r="230" spans="5:95" hidden="1" x14ac:dyDescent="0.25">
      <c r="E230" s="194"/>
      <c r="F230" s="578"/>
      <c r="G230" s="578"/>
      <c r="H230" s="578"/>
      <c r="I230" s="578"/>
      <c r="J230" s="578"/>
      <c r="K230" s="192"/>
      <c r="L230" s="192"/>
      <c r="M230" s="192"/>
      <c r="N230" s="192"/>
      <c r="O230" s="578"/>
      <c r="P230" s="192"/>
      <c r="Q230" s="192"/>
      <c r="R230" s="192"/>
      <c r="S230" s="192"/>
      <c r="T230" s="578"/>
      <c r="U230" s="192"/>
      <c r="V230" s="192"/>
      <c r="W230" s="192"/>
      <c r="X230" s="192"/>
      <c r="Y230" s="578"/>
      <c r="Z230" s="195"/>
      <c r="AA230" s="195"/>
      <c r="AB230" s="195"/>
      <c r="AC230" s="195"/>
      <c r="AD230" s="578"/>
      <c r="AE230" s="195"/>
      <c r="AF230" s="195"/>
      <c r="AG230" s="195"/>
      <c r="AH230" s="195"/>
      <c r="AI230" s="578"/>
      <c r="AJ230" s="195"/>
      <c r="AK230" s="195"/>
      <c r="AL230" s="195"/>
      <c r="AM230" s="195"/>
      <c r="AN230" s="578"/>
      <c r="AO230" s="195"/>
      <c r="AP230" s="195"/>
      <c r="AQ230" s="195"/>
      <c r="AR230" s="195"/>
      <c r="AS230" s="578"/>
      <c r="AT230" s="194"/>
      <c r="AU230" s="194"/>
      <c r="AV230" s="194"/>
      <c r="AW230" s="194"/>
      <c r="AX230" s="578"/>
      <c r="AY230" s="194"/>
      <c r="AZ230" s="194"/>
      <c r="BA230" s="194"/>
      <c r="BB230" s="194"/>
      <c r="BC230" s="578"/>
      <c r="BD230" s="194"/>
      <c r="BE230" s="194"/>
      <c r="BF230" s="194"/>
      <c r="BG230" s="194"/>
      <c r="BH230" s="578"/>
      <c r="BI230" s="194"/>
      <c r="BJ230" s="194"/>
      <c r="BK230" s="194"/>
      <c r="BL230" s="194"/>
      <c r="BM230" s="578"/>
      <c r="BN230" s="194"/>
      <c r="BO230" s="194"/>
      <c r="BP230" s="194"/>
      <c r="BQ230" s="194"/>
      <c r="BR230" s="578"/>
      <c r="BS230" s="194"/>
      <c r="BT230" s="194"/>
      <c r="BU230" s="194"/>
      <c r="BV230" s="194"/>
      <c r="BW230" s="578"/>
      <c r="BX230" s="194"/>
      <c r="BY230" s="194"/>
      <c r="BZ230" s="194"/>
      <c r="CA230" s="194"/>
      <c r="CB230" s="578"/>
      <c r="CC230" s="194"/>
      <c r="CD230" s="194"/>
      <c r="CE230" s="194"/>
      <c r="CF230" s="194"/>
      <c r="CG230" s="578"/>
      <c r="CH230" s="194"/>
      <c r="CI230" s="194"/>
      <c r="CJ230" s="194"/>
      <c r="CK230" s="194"/>
      <c r="CL230" s="578"/>
      <c r="CM230" s="194"/>
      <c r="CN230" s="194"/>
      <c r="CO230" s="194"/>
      <c r="CP230" s="194"/>
      <c r="CQ230" s="578"/>
    </row>
    <row r="231" spans="5:95" hidden="1" x14ac:dyDescent="0.25">
      <c r="E231" s="190" t="s">
        <v>29</v>
      </c>
      <c r="F231" s="578"/>
      <c r="G231" s="578"/>
      <c r="H231" s="578"/>
      <c r="I231" s="578"/>
      <c r="J231" s="578"/>
      <c r="K231" s="192"/>
      <c r="L231" s="192"/>
      <c r="M231" s="192"/>
      <c r="N231" s="192"/>
      <c r="O231" s="578"/>
      <c r="P231" s="192"/>
      <c r="Q231" s="192"/>
      <c r="R231" s="192"/>
      <c r="S231" s="192"/>
      <c r="T231" s="578"/>
      <c r="U231" s="192"/>
      <c r="V231" s="192"/>
      <c r="W231" s="192"/>
      <c r="X231" s="192"/>
      <c r="Y231" s="578"/>
      <c r="Z231" s="195"/>
      <c r="AA231" s="195"/>
      <c r="AB231" s="195"/>
      <c r="AC231" s="195"/>
      <c r="AD231" s="578"/>
      <c r="AE231" s="195"/>
      <c r="AF231" s="195"/>
      <c r="AG231" s="195"/>
      <c r="AH231" s="195"/>
      <c r="AI231" s="578"/>
      <c r="AJ231" s="195"/>
      <c r="AK231" s="195"/>
      <c r="AL231" s="195"/>
      <c r="AM231" s="195"/>
      <c r="AN231" s="578"/>
      <c r="AO231" s="195"/>
      <c r="AP231" s="195"/>
      <c r="AQ231" s="195"/>
      <c r="AR231" s="195"/>
      <c r="AS231" s="578"/>
      <c r="AT231" s="194"/>
      <c r="AU231" s="194"/>
      <c r="AV231" s="194"/>
      <c r="AW231" s="194"/>
      <c r="AX231" s="578"/>
      <c r="AY231" s="194"/>
      <c r="AZ231" s="194"/>
      <c r="BA231" s="194"/>
      <c r="BB231" s="194"/>
      <c r="BC231" s="578"/>
      <c r="BD231" s="194"/>
      <c r="BE231" s="194"/>
      <c r="BF231" s="194"/>
      <c r="BG231" s="194"/>
      <c r="BH231" s="578"/>
      <c r="BI231" s="194"/>
      <c r="BJ231" s="194"/>
      <c r="BK231" s="194"/>
      <c r="BL231" s="194"/>
      <c r="BM231" s="578"/>
      <c r="BN231" s="194"/>
      <c r="BO231" s="194"/>
      <c r="BP231" s="194"/>
      <c r="BQ231" s="194"/>
      <c r="BR231" s="578"/>
      <c r="BS231" s="194"/>
      <c r="BT231" s="194"/>
      <c r="BU231" s="194"/>
      <c r="BV231" s="194"/>
      <c r="BW231" s="578"/>
      <c r="BX231" s="194"/>
      <c r="BY231" s="194"/>
      <c r="BZ231" s="194"/>
      <c r="CA231" s="194"/>
      <c r="CB231" s="578"/>
      <c r="CC231" s="194"/>
      <c r="CD231" s="194"/>
      <c r="CE231" s="194"/>
      <c r="CF231" s="194"/>
      <c r="CG231" s="578"/>
      <c r="CH231" s="194"/>
      <c r="CI231" s="194"/>
      <c r="CJ231" s="194"/>
      <c r="CK231" s="194"/>
      <c r="CL231" s="578"/>
      <c r="CM231" s="194"/>
      <c r="CN231" s="194"/>
      <c r="CO231" s="194"/>
      <c r="CP231" s="194"/>
      <c r="CQ231" s="578"/>
    </row>
    <row r="232" spans="5:95" hidden="1" x14ac:dyDescent="0.25">
      <c r="E232" s="27" t="s">
        <v>305</v>
      </c>
      <c r="F232" s="578"/>
      <c r="G232" s="578"/>
      <c r="H232" s="578"/>
      <c r="I232" s="578"/>
      <c r="J232" s="578"/>
      <c r="K232" s="192"/>
      <c r="L232" s="192"/>
      <c r="M232" s="192"/>
      <c r="N232" s="192"/>
      <c r="O232" s="578"/>
      <c r="P232" s="192"/>
      <c r="Q232" s="192"/>
      <c r="R232" s="192"/>
      <c r="S232" s="192"/>
      <c r="T232" s="578"/>
      <c r="U232" s="192"/>
      <c r="V232" s="192"/>
      <c r="W232" s="192"/>
      <c r="X232" s="192"/>
      <c r="Y232" s="578"/>
      <c r="Z232" s="195"/>
      <c r="AA232" s="195"/>
      <c r="AB232" s="195"/>
      <c r="AC232" s="195"/>
      <c r="AD232" s="578"/>
      <c r="AE232" s="360">
        <f>AE210+AE225</f>
        <v>45.789999999999992</v>
      </c>
      <c r="AF232" s="360">
        <f>AF210+AF225</f>
        <v>48.699999999999989</v>
      </c>
      <c r="AG232" s="360">
        <f>AG210+AG225</f>
        <v>55.986999999999995</v>
      </c>
      <c r="AH232" s="360">
        <f>AH210+AH225</f>
        <v>13.923999999999978</v>
      </c>
      <c r="AI232" s="568">
        <f>SUM(AE232:AH232)</f>
        <v>164.40099999999995</v>
      </c>
      <c r="AJ232" s="360">
        <f>AJ210+AJ225</f>
        <v>57.834000000000003</v>
      </c>
      <c r="AK232" s="360">
        <f>AK210+AK225</f>
        <v>52.619</v>
      </c>
      <c r="AL232" s="360">
        <f>AL210+AL225</f>
        <v>57.644000000000005</v>
      </c>
      <c r="AM232" s="360">
        <f>AM210+AM225</f>
        <v>57.824999999999989</v>
      </c>
      <c r="AN232" s="568">
        <f>SUM(AJ232:AM232)</f>
        <v>225.922</v>
      </c>
      <c r="AO232" s="360">
        <f>AO210+AO225</f>
        <v>39.75</v>
      </c>
      <c r="AP232" s="360">
        <f>AP210+AP225</f>
        <v>44.420999999999992</v>
      </c>
      <c r="AQ232" s="360">
        <f>AQ210+AQ225</f>
        <v>55.134000000000015</v>
      </c>
      <c r="AR232" s="360">
        <f>AR210+AR225</f>
        <v>55.467999999999989</v>
      </c>
      <c r="AS232" s="568">
        <f>SUM(AO232:AR232)</f>
        <v>194.773</v>
      </c>
      <c r="AT232" s="360">
        <f>AT210+AT225</f>
        <v>46.006</v>
      </c>
      <c r="AU232" s="360">
        <f>AU210+AU225</f>
        <v>49.896999999999991</v>
      </c>
      <c r="AV232" s="360">
        <f>AV210+AV225</f>
        <v>54.211999999999989</v>
      </c>
      <c r="AW232" s="360">
        <f>AW210+AW225</f>
        <v>48.491000000000014</v>
      </c>
      <c r="AX232" s="568">
        <f>SUM(AT232:AW232)</f>
        <v>198.60599999999999</v>
      </c>
      <c r="AY232" s="360">
        <f>AY210+AY225</f>
        <v>45.14100000000002</v>
      </c>
      <c r="AZ232" s="360">
        <f>AZ210+AZ225</f>
        <v>49.533999999999992</v>
      </c>
      <c r="BA232" s="27"/>
      <c r="BB232" s="27"/>
      <c r="BC232" s="568"/>
      <c r="BD232" s="27"/>
      <c r="BE232" s="27"/>
      <c r="BF232" s="27"/>
      <c r="BG232" s="27"/>
      <c r="BH232" s="568"/>
      <c r="BI232" s="27"/>
      <c r="BJ232" s="27"/>
      <c r="BK232" s="27"/>
      <c r="BL232" s="27"/>
      <c r="BM232" s="568"/>
      <c r="BN232" s="27"/>
      <c r="BO232" s="27"/>
      <c r="BP232" s="27"/>
      <c r="BQ232" s="27"/>
      <c r="BR232" s="568"/>
      <c r="BS232" s="27"/>
      <c r="BT232" s="27"/>
      <c r="BU232" s="27"/>
      <c r="BV232" s="27"/>
      <c r="BW232" s="568"/>
      <c r="BX232" s="27"/>
      <c r="BY232" s="27"/>
      <c r="BZ232" s="27"/>
      <c r="CA232" s="27"/>
      <c r="CB232" s="568"/>
      <c r="CC232" s="27"/>
      <c r="CD232" s="27"/>
      <c r="CE232" s="27"/>
      <c r="CF232" s="27"/>
      <c r="CG232" s="568"/>
      <c r="CH232" s="27"/>
      <c r="CI232" s="27"/>
      <c r="CJ232" s="27"/>
      <c r="CK232" s="27"/>
      <c r="CL232" s="568"/>
      <c r="CM232" s="27"/>
      <c r="CN232" s="27"/>
      <c r="CO232" s="27"/>
      <c r="CP232" s="27"/>
      <c r="CQ232" s="568"/>
    </row>
    <row r="233" spans="5:95" hidden="1" x14ac:dyDescent="0.25">
      <c r="E233" s="27" t="s">
        <v>294</v>
      </c>
      <c r="F233" s="578"/>
      <c r="G233" s="578"/>
      <c r="H233" s="578"/>
      <c r="I233" s="578"/>
      <c r="J233" s="578"/>
      <c r="K233" s="192"/>
      <c r="L233" s="192"/>
      <c r="M233" s="192"/>
      <c r="N233" s="192"/>
      <c r="O233" s="578"/>
      <c r="P233" s="192"/>
      <c r="Q233" s="192"/>
      <c r="R233" s="192"/>
      <c r="S233" s="192"/>
      <c r="T233" s="578"/>
      <c r="U233" s="192"/>
      <c r="V233" s="192"/>
      <c r="W233" s="192"/>
      <c r="X233" s="192"/>
      <c r="Y233" s="578"/>
      <c r="Z233" s="195"/>
      <c r="AA233" s="195"/>
      <c r="AB233" s="195"/>
      <c r="AC233" s="195"/>
      <c r="AD233" s="578"/>
      <c r="AE233" s="360">
        <f>AE216+AE228</f>
        <v>12.274000000000001</v>
      </c>
      <c r="AF233" s="360">
        <f>AF216+AF228</f>
        <v>22.018999999999991</v>
      </c>
      <c r="AG233" s="360">
        <f>AG216+AG228</f>
        <v>24.022000000000006</v>
      </c>
      <c r="AH233" s="360">
        <f>AH216+AH228</f>
        <v>31.132999999999996</v>
      </c>
      <c r="AI233" s="568">
        <f>SUM(AE233:AH233)</f>
        <v>89.447999999999993</v>
      </c>
      <c r="AJ233" s="360">
        <f>AJ216+AJ228</f>
        <v>16.661000000000001</v>
      </c>
      <c r="AK233" s="360">
        <f>AK216+AK228</f>
        <v>18.292000000000002</v>
      </c>
      <c r="AL233" s="360">
        <f>AL216+AL228</f>
        <v>19.492000000000004</v>
      </c>
      <c r="AM233" s="360">
        <f>AM216+AM228</f>
        <v>21.019999999999996</v>
      </c>
      <c r="AN233" s="568">
        <f>SUM(AJ233:AM233)</f>
        <v>75.465000000000003</v>
      </c>
      <c r="AO233" s="360">
        <f>AO216+AO228</f>
        <v>10.736000000000004</v>
      </c>
      <c r="AP233" s="360">
        <f>AP216+AP228</f>
        <v>14.763000000000005</v>
      </c>
      <c r="AQ233" s="360">
        <f>AQ216+AQ228</f>
        <v>18.740000000000002</v>
      </c>
      <c r="AR233" s="360">
        <f>AR216+AR228</f>
        <v>20.954000000000001</v>
      </c>
      <c r="AS233" s="568">
        <f>SUM(AO233:AR233)</f>
        <v>65.193000000000012</v>
      </c>
      <c r="AT233" s="360">
        <f>AT216+AT228</f>
        <v>13.967999999999996</v>
      </c>
      <c r="AU233" s="360">
        <f>AU216+AU228</f>
        <v>17.764999999999993</v>
      </c>
      <c r="AV233" s="360">
        <f>AV216+AV228</f>
        <v>18.053999999999995</v>
      </c>
      <c r="AW233" s="360">
        <f>AW216+AW228</f>
        <v>26.688999999999993</v>
      </c>
      <c r="AX233" s="568">
        <f>SUM(AT233:AW233)</f>
        <v>76.475999999999971</v>
      </c>
      <c r="AY233" s="360">
        <f>AY216+AY228</f>
        <v>14.451999999999998</v>
      </c>
      <c r="AZ233" s="360">
        <f>AZ216+AZ228</f>
        <v>21.417000000000002</v>
      </c>
      <c r="BA233" s="27"/>
      <c r="BB233" s="27"/>
      <c r="BC233" s="568"/>
      <c r="BD233" s="27"/>
      <c r="BE233" s="27"/>
      <c r="BF233" s="27"/>
      <c r="BG233" s="27"/>
      <c r="BH233" s="568"/>
      <c r="BI233" s="27"/>
      <c r="BJ233" s="27"/>
      <c r="BK233" s="27"/>
      <c r="BL233" s="27"/>
      <c r="BM233" s="568"/>
      <c r="BN233" s="27"/>
      <c r="BO233" s="27"/>
      <c r="BP233" s="27"/>
      <c r="BQ233" s="27"/>
      <c r="BR233" s="568"/>
      <c r="BS233" s="27"/>
      <c r="BT233" s="27"/>
      <c r="BU233" s="27"/>
      <c r="BV233" s="27"/>
      <c r="BW233" s="568"/>
      <c r="BX233" s="27"/>
      <c r="BY233" s="27"/>
      <c r="BZ233" s="27"/>
      <c r="CA233" s="27"/>
      <c r="CB233" s="568"/>
      <c r="CC233" s="27"/>
      <c r="CD233" s="27"/>
      <c r="CE233" s="27"/>
      <c r="CF233" s="27"/>
      <c r="CG233" s="568"/>
      <c r="CH233" s="27"/>
      <c r="CI233" s="27"/>
      <c r="CJ233" s="27"/>
      <c r="CK233" s="27"/>
      <c r="CL233" s="568"/>
      <c r="CM233" s="27"/>
      <c r="CN233" s="27"/>
      <c r="CO233" s="27"/>
      <c r="CP233" s="27"/>
      <c r="CQ233" s="568"/>
    </row>
    <row r="234" spans="5:95" ht="13.5" hidden="1" x14ac:dyDescent="0.25">
      <c r="E234" s="380" t="s">
        <v>295</v>
      </c>
      <c r="F234" s="578"/>
      <c r="G234" s="578"/>
      <c r="H234" s="578"/>
      <c r="I234" s="578"/>
      <c r="J234" s="578"/>
      <c r="K234" s="202"/>
      <c r="L234" s="202"/>
      <c r="M234" s="202"/>
      <c r="N234" s="202"/>
      <c r="O234" s="578"/>
      <c r="P234" s="202"/>
      <c r="Q234" s="202"/>
      <c r="R234" s="202"/>
      <c r="S234" s="202"/>
      <c r="T234" s="578"/>
      <c r="U234" s="202"/>
      <c r="V234" s="202"/>
      <c r="W234" s="202"/>
      <c r="X234" s="202"/>
      <c r="Y234" s="578"/>
      <c r="Z234" s="381"/>
      <c r="AA234" s="381"/>
      <c r="AB234" s="381"/>
      <c r="AC234" s="381"/>
      <c r="AD234" s="578"/>
      <c r="AE234" s="203">
        <f>SUM(AE232:AE233)</f>
        <v>58.063999999999993</v>
      </c>
      <c r="AF234" s="203">
        <f>SUM(AF232:AF233)</f>
        <v>70.71899999999998</v>
      </c>
      <c r="AG234" s="203">
        <f>SUM(AG232:AG233)</f>
        <v>80.009</v>
      </c>
      <c r="AH234" s="203">
        <f>SUM(AH232:AH233)</f>
        <v>45.056999999999974</v>
      </c>
      <c r="AI234" s="642">
        <f>SUM(AE234:AH234)</f>
        <v>253.84899999999993</v>
      </c>
      <c r="AJ234" s="203">
        <f>SUM(AJ232:AJ233)</f>
        <v>74.495000000000005</v>
      </c>
      <c r="AK234" s="203">
        <f>SUM(AK232:AK233)</f>
        <v>70.911000000000001</v>
      </c>
      <c r="AL234" s="203">
        <f>SUM(AL232:AL233)</f>
        <v>77.13600000000001</v>
      </c>
      <c r="AM234" s="203">
        <f>SUM(AM232:AM233)</f>
        <v>78.844999999999985</v>
      </c>
      <c r="AN234" s="642">
        <f>SUM(AJ234:AM234)</f>
        <v>301.387</v>
      </c>
      <c r="AO234" s="203">
        <f>SUM(AO232:AO233)</f>
        <v>50.486000000000004</v>
      </c>
      <c r="AP234" s="203">
        <f>SUM(AP232:AP233)</f>
        <v>59.183999999999997</v>
      </c>
      <c r="AQ234" s="203">
        <f>SUM(AQ232:AQ233)</f>
        <v>73.874000000000024</v>
      </c>
      <c r="AR234" s="203">
        <f>SUM(AR232:AR233)</f>
        <v>76.421999999999997</v>
      </c>
      <c r="AS234" s="642">
        <f>SUM(AO234:AR234)</f>
        <v>259.96600000000001</v>
      </c>
      <c r="AT234" s="203">
        <f>SUM(AT232:AT233)</f>
        <v>59.973999999999997</v>
      </c>
      <c r="AU234" s="203">
        <f>SUM(AU232:AU233)</f>
        <v>67.661999999999978</v>
      </c>
      <c r="AV234" s="203">
        <f>SUM(AV232:AV233)</f>
        <v>72.265999999999991</v>
      </c>
      <c r="AW234" s="203">
        <f>SUM(AW232:AW233)</f>
        <v>75.180000000000007</v>
      </c>
      <c r="AX234" s="642">
        <f>SUM(AT234:AW234)</f>
        <v>275.08199999999999</v>
      </c>
      <c r="AY234" s="203">
        <f>SUM(AY232:AY233)</f>
        <v>59.593000000000018</v>
      </c>
      <c r="AZ234" s="203">
        <f>SUM(AZ232:AZ233)</f>
        <v>70.950999999999993</v>
      </c>
      <c r="BA234" s="203"/>
      <c r="BB234" s="203"/>
      <c r="BC234" s="642"/>
      <c r="BD234" s="203"/>
      <c r="BE234" s="203"/>
      <c r="BF234" s="203"/>
      <c r="BG234" s="203"/>
      <c r="BH234" s="642"/>
      <c r="BI234" s="203"/>
      <c r="BJ234" s="203"/>
      <c r="BK234" s="203"/>
      <c r="BL234" s="203"/>
      <c r="BM234" s="642"/>
      <c r="BN234" s="203"/>
      <c r="BO234" s="203"/>
      <c r="BP234" s="203"/>
      <c r="BQ234" s="203"/>
      <c r="BR234" s="642"/>
      <c r="BS234" s="203"/>
      <c r="BT234" s="203"/>
      <c r="BU234" s="203"/>
      <c r="BV234" s="203"/>
      <c r="BW234" s="642"/>
      <c r="BX234" s="203"/>
      <c r="BY234" s="203"/>
      <c r="BZ234" s="203"/>
      <c r="CA234" s="203"/>
      <c r="CB234" s="642"/>
      <c r="CC234" s="203"/>
      <c r="CD234" s="203"/>
      <c r="CE234" s="203"/>
      <c r="CF234" s="203"/>
      <c r="CG234" s="642"/>
      <c r="CH234" s="203"/>
      <c r="CI234" s="203"/>
      <c r="CJ234" s="203"/>
      <c r="CK234" s="203"/>
      <c r="CL234" s="642"/>
      <c r="CM234" s="203"/>
      <c r="CN234" s="203"/>
      <c r="CO234" s="203"/>
      <c r="CP234" s="203"/>
      <c r="CQ234" s="642"/>
    </row>
    <row r="235" spans="5:95" ht="13.5" hidden="1" x14ac:dyDescent="0.25">
      <c r="E235" s="358"/>
      <c r="F235" s="578"/>
      <c r="G235" s="578"/>
      <c r="H235" s="578"/>
      <c r="I235" s="578"/>
      <c r="J235" s="578"/>
      <c r="K235" s="192"/>
      <c r="L235" s="192"/>
      <c r="M235" s="192"/>
      <c r="N235" s="192"/>
      <c r="O235" s="578"/>
      <c r="P235" s="192"/>
      <c r="Q235" s="192"/>
      <c r="R235" s="192"/>
      <c r="S235" s="192"/>
      <c r="T235" s="578"/>
      <c r="U235" s="192"/>
      <c r="V235" s="192"/>
      <c r="W235" s="192"/>
      <c r="X235" s="192"/>
      <c r="Y235" s="578"/>
      <c r="Z235" s="195"/>
      <c r="AA235" s="195"/>
      <c r="AB235" s="195"/>
      <c r="AC235" s="195"/>
      <c r="AD235" s="578"/>
      <c r="AE235" s="195"/>
      <c r="AF235" s="195"/>
      <c r="AG235" s="195"/>
      <c r="AH235" s="195"/>
      <c r="AI235" s="578"/>
      <c r="AJ235" s="195"/>
      <c r="AK235" s="195"/>
      <c r="AL235" s="195"/>
      <c r="AM235" s="195"/>
      <c r="AN235" s="578"/>
      <c r="AO235" s="195"/>
      <c r="AP235" s="195"/>
      <c r="AQ235" s="195"/>
      <c r="AR235" s="195"/>
      <c r="AS235" s="578"/>
      <c r="AT235" s="195"/>
      <c r="AU235" s="194"/>
      <c r="AV235" s="194"/>
      <c r="AW235" s="194"/>
      <c r="AX235" s="578"/>
      <c r="AY235" s="194"/>
      <c r="AZ235" s="194"/>
      <c r="BA235" s="194"/>
      <c r="BB235" s="194"/>
      <c r="BC235" s="578"/>
      <c r="BD235" s="194"/>
      <c r="BE235" s="194"/>
      <c r="BF235" s="194"/>
      <c r="BG235" s="194"/>
      <c r="BH235" s="578"/>
      <c r="BI235" s="194"/>
      <c r="BJ235" s="194"/>
      <c r="BK235" s="194"/>
      <c r="BL235" s="194"/>
      <c r="BM235" s="578"/>
      <c r="BN235" s="194"/>
      <c r="BO235" s="194"/>
      <c r="BP235" s="194"/>
      <c r="BQ235" s="194"/>
      <c r="BR235" s="578"/>
      <c r="BS235" s="194"/>
      <c r="BT235" s="194"/>
      <c r="BU235" s="194"/>
      <c r="BV235" s="194"/>
      <c r="BW235" s="578"/>
      <c r="BX235" s="194"/>
      <c r="BY235" s="194"/>
      <c r="BZ235" s="194"/>
      <c r="CA235" s="194"/>
      <c r="CB235" s="578"/>
      <c r="CC235" s="194"/>
      <c r="CD235" s="194"/>
      <c r="CE235" s="194"/>
      <c r="CF235" s="194"/>
      <c r="CG235" s="578"/>
      <c r="CH235" s="194"/>
      <c r="CI235" s="194"/>
      <c r="CJ235" s="194"/>
      <c r="CK235" s="194"/>
      <c r="CL235" s="578"/>
      <c r="CM235" s="194"/>
      <c r="CN235" s="194"/>
      <c r="CO235" s="194"/>
      <c r="CP235" s="194"/>
      <c r="CQ235" s="578"/>
    </row>
    <row r="236" spans="5:95" hidden="1" x14ac:dyDescent="0.25">
      <c r="E236" s="190" t="s">
        <v>296</v>
      </c>
      <c r="F236" s="578"/>
      <c r="G236" s="578"/>
      <c r="H236" s="578"/>
      <c r="I236" s="578"/>
      <c r="J236" s="578"/>
      <c r="K236" s="192"/>
      <c r="L236" s="192"/>
      <c r="M236" s="192"/>
      <c r="N236" s="192"/>
      <c r="O236" s="578"/>
      <c r="P236" s="192"/>
      <c r="Q236" s="192"/>
      <c r="R236" s="192"/>
      <c r="S236" s="192"/>
      <c r="T236" s="578"/>
      <c r="U236" s="192"/>
      <c r="V236" s="192"/>
      <c r="W236" s="192"/>
      <c r="X236" s="192"/>
      <c r="Y236" s="578"/>
      <c r="Z236" s="195"/>
      <c r="AA236" s="195"/>
      <c r="AB236" s="195"/>
      <c r="AC236" s="195"/>
      <c r="AD236" s="578"/>
      <c r="AE236" s="195"/>
      <c r="AF236" s="195"/>
      <c r="AG236" s="195"/>
      <c r="AH236" s="195"/>
      <c r="AI236" s="578"/>
      <c r="AJ236" s="195"/>
      <c r="AK236" s="195"/>
      <c r="AL236" s="195"/>
      <c r="AM236" s="195"/>
      <c r="AN236" s="578"/>
      <c r="AO236" s="195"/>
      <c r="AP236" s="195"/>
      <c r="AQ236" s="195"/>
      <c r="AR236" s="195"/>
      <c r="AS236" s="578"/>
      <c r="AT236" s="195"/>
      <c r="AU236" s="194"/>
      <c r="AV236" s="194"/>
      <c r="AW236" s="194"/>
      <c r="AX236" s="578"/>
      <c r="AY236" s="194"/>
      <c r="AZ236" s="194"/>
      <c r="BA236" s="194"/>
      <c r="BB236" s="194"/>
      <c r="BC236" s="578"/>
      <c r="BD236" s="194"/>
      <c r="BE236" s="194"/>
      <c r="BF236" s="194"/>
      <c r="BG236" s="194"/>
      <c r="BH236" s="578"/>
      <c r="BI236" s="194"/>
      <c r="BJ236" s="194"/>
      <c r="BK236" s="194"/>
      <c r="BL236" s="194"/>
      <c r="BM236" s="578"/>
      <c r="BN236" s="194"/>
      <c r="BO236" s="194"/>
      <c r="BP236" s="194"/>
      <c r="BQ236" s="194"/>
      <c r="BR236" s="578"/>
      <c r="BS236" s="194"/>
      <c r="BT236" s="194"/>
      <c r="BU236" s="194"/>
      <c r="BV236" s="194"/>
      <c r="BW236" s="578"/>
      <c r="BX236" s="194"/>
      <c r="BY236" s="194"/>
      <c r="BZ236" s="194"/>
      <c r="CA236" s="194"/>
      <c r="CB236" s="578"/>
      <c r="CC236" s="194"/>
      <c r="CD236" s="194"/>
      <c r="CE236" s="194"/>
      <c r="CF236" s="194"/>
      <c r="CG236" s="578"/>
      <c r="CH236" s="194"/>
      <c r="CI236" s="194"/>
      <c r="CJ236" s="194"/>
      <c r="CK236" s="194"/>
      <c r="CL236" s="578"/>
      <c r="CM236" s="194"/>
      <c r="CN236" s="194"/>
      <c r="CO236" s="194"/>
      <c r="CP236" s="194"/>
      <c r="CQ236" s="578"/>
    </row>
    <row r="237" spans="5:95" ht="13.5" hidden="1" x14ac:dyDescent="0.25">
      <c r="E237" s="130" t="s">
        <v>290</v>
      </c>
      <c r="F237" s="578"/>
      <c r="G237" s="578"/>
      <c r="H237" s="578"/>
      <c r="I237" s="578"/>
      <c r="J237" s="578"/>
      <c r="K237" s="192"/>
      <c r="L237" s="192"/>
      <c r="M237" s="192"/>
      <c r="N237" s="192"/>
      <c r="O237" s="578"/>
      <c r="P237" s="192"/>
      <c r="Q237" s="192"/>
      <c r="R237" s="192"/>
      <c r="S237" s="192"/>
      <c r="T237" s="578"/>
      <c r="U237" s="192"/>
      <c r="V237" s="192"/>
      <c r="W237" s="192"/>
      <c r="X237" s="192"/>
      <c r="Y237" s="578"/>
      <c r="Z237" s="195"/>
      <c r="AA237" s="195"/>
      <c r="AB237" s="195"/>
      <c r="AC237" s="195"/>
      <c r="AD237" s="578"/>
      <c r="AE237" s="183">
        <f t="shared" ref="AE237:AZ237" si="44">AE232/AE210</f>
        <v>0.19048054843755197</v>
      </c>
      <c r="AF237" s="183">
        <f t="shared" si="44"/>
        <v>0.19874873996563724</v>
      </c>
      <c r="AG237" s="183">
        <f t="shared" si="44"/>
        <v>0.22884903084456723</v>
      </c>
      <c r="AH237" s="183">
        <f t="shared" si="44"/>
        <v>5.8089278264497203E-2</v>
      </c>
      <c r="AI237" s="641">
        <f t="shared" si="44"/>
        <v>0.16952558903081238</v>
      </c>
      <c r="AJ237" s="183">
        <f t="shared" si="44"/>
        <v>0.24433976214115213</v>
      </c>
      <c r="AK237" s="183">
        <f t="shared" si="44"/>
        <v>0.22524774726568353</v>
      </c>
      <c r="AL237" s="183">
        <f t="shared" si="44"/>
        <v>0.24945797288349775</v>
      </c>
      <c r="AM237" s="183">
        <f t="shared" si="44"/>
        <v>0.26417982045366284</v>
      </c>
      <c r="AN237" s="641">
        <f t="shared" si="44"/>
        <v>0.2454974778921655</v>
      </c>
      <c r="AO237" s="183">
        <f t="shared" si="44"/>
        <v>0.19942205231630597</v>
      </c>
      <c r="AP237" s="183">
        <f t="shared" si="44"/>
        <v>0.21131423841532157</v>
      </c>
      <c r="AQ237" s="183">
        <f t="shared" si="44"/>
        <v>0.25251442704039578</v>
      </c>
      <c r="AR237" s="183">
        <f t="shared" si="44"/>
        <v>0.25035995901657837</v>
      </c>
      <c r="AS237" s="641">
        <f t="shared" si="44"/>
        <v>0.22929793085261679</v>
      </c>
      <c r="AT237" s="183">
        <f t="shared" si="44"/>
        <v>0.21839396931490201</v>
      </c>
      <c r="AU237" s="183">
        <f t="shared" si="44"/>
        <v>0.22119033264770546</v>
      </c>
      <c r="AV237" s="183">
        <f t="shared" si="44"/>
        <v>0.23287141642110323</v>
      </c>
      <c r="AW237" s="183">
        <f t="shared" si="44"/>
        <v>0.21594168047168641</v>
      </c>
      <c r="AX237" s="641">
        <f t="shared" si="44"/>
        <v>0.22225529714836936</v>
      </c>
      <c r="AY237" s="183">
        <f t="shared" si="44"/>
        <v>0.20008953741954938</v>
      </c>
      <c r="AZ237" s="183">
        <f t="shared" si="44"/>
        <v>0.21475363638334305</v>
      </c>
      <c r="BA237" s="357"/>
      <c r="BB237" s="357"/>
      <c r="BC237" s="641"/>
      <c r="BD237" s="432"/>
      <c r="BE237" s="432"/>
      <c r="BF237" s="432"/>
      <c r="BG237" s="432"/>
      <c r="BH237" s="641"/>
      <c r="BI237" s="379"/>
      <c r="BJ237" s="379"/>
      <c r="BK237" s="379"/>
      <c r="BL237" s="379"/>
      <c r="BM237" s="641"/>
      <c r="BN237" s="379"/>
      <c r="BO237" s="379"/>
      <c r="BP237" s="379"/>
      <c r="BQ237" s="379"/>
      <c r="BR237" s="641"/>
      <c r="BS237" s="379"/>
      <c r="BT237" s="379"/>
      <c r="BU237" s="379"/>
      <c r="BV237" s="379"/>
      <c r="BW237" s="641"/>
      <c r="BX237" s="379"/>
      <c r="BY237" s="379"/>
      <c r="BZ237" s="379"/>
      <c r="CA237" s="379"/>
      <c r="CB237" s="641"/>
      <c r="CC237" s="379"/>
      <c r="CD237" s="379"/>
      <c r="CE237" s="379"/>
      <c r="CF237" s="379"/>
      <c r="CG237" s="641"/>
      <c r="CH237" s="379"/>
      <c r="CI237" s="379"/>
      <c r="CJ237" s="379"/>
      <c r="CK237" s="379"/>
      <c r="CL237" s="641"/>
      <c r="CM237" s="379"/>
      <c r="CN237" s="379"/>
      <c r="CO237" s="379"/>
      <c r="CP237" s="379"/>
      <c r="CQ237" s="641"/>
    </row>
    <row r="238" spans="5:95" ht="13.5" hidden="1" x14ac:dyDescent="0.25">
      <c r="E238" s="130" t="s">
        <v>291</v>
      </c>
      <c r="F238" s="578"/>
      <c r="G238" s="578"/>
      <c r="H238" s="578"/>
      <c r="I238" s="578"/>
      <c r="J238" s="578"/>
      <c r="K238" s="192"/>
      <c r="L238" s="192"/>
      <c r="M238" s="192"/>
      <c r="N238" s="192"/>
      <c r="O238" s="578"/>
      <c r="P238" s="192"/>
      <c r="Q238" s="192"/>
      <c r="R238" s="192"/>
      <c r="S238" s="192"/>
      <c r="T238" s="578"/>
      <c r="U238" s="192"/>
      <c r="V238" s="192"/>
      <c r="W238" s="192"/>
      <c r="X238" s="192"/>
      <c r="Y238" s="578"/>
      <c r="Z238" s="195"/>
      <c r="AA238" s="195"/>
      <c r="AB238" s="195"/>
      <c r="AC238" s="195"/>
      <c r="AD238" s="578"/>
      <c r="AE238" s="183">
        <f t="shared" ref="AE238:AZ238" si="45">AE233/AE216</f>
        <v>0.13019082066675861</v>
      </c>
      <c r="AF238" s="183">
        <f t="shared" si="45"/>
        <v>0.21208618680228461</v>
      </c>
      <c r="AG238" s="183">
        <f t="shared" si="45"/>
        <v>0.22638131048976096</v>
      </c>
      <c r="AH238" s="183">
        <f t="shared" si="45"/>
        <v>0.28277791402127211</v>
      </c>
      <c r="AI238" s="641">
        <f t="shared" si="45"/>
        <v>0.21605797101449273</v>
      </c>
      <c r="AJ238" s="183">
        <f t="shared" si="45"/>
        <v>0.17653478564919792</v>
      </c>
      <c r="AK238" s="183">
        <f t="shared" si="45"/>
        <v>0.19188083499423059</v>
      </c>
      <c r="AL238" s="183">
        <f t="shared" si="45"/>
        <v>0.21662832438680141</v>
      </c>
      <c r="AM238" s="183">
        <f t="shared" si="45"/>
        <v>0.27432658174984337</v>
      </c>
      <c r="AN238" s="641">
        <f t="shared" si="45"/>
        <v>0.21138655462184874</v>
      </c>
      <c r="AO238" s="183">
        <f t="shared" si="45"/>
        <v>0.18949783779013332</v>
      </c>
      <c r="AP238" s="183">
        <f t="shared" si="45"/>
        <v>0.24244564146357492</v>
      </c>
      <c r="AQ238" s="183">
        <f t="shared" si="45"/>
        <v>0.28625108833458079</v>
      </c>
      <c r="AR238" s="183">
        <f t="shared" si="45"/>
        <v>0.31373429756397014</v>
      </c>
      <c r="AS238" s="641">
        <f t="shared" si="45"/>
        <v>0.26097765038850618</v>
      </c>
      <c r="AT238" s="183">
        <f t="shared" si="45"/>
        <v>0.23381710440415804</v>
      </c>
      <c r="AU238" s="183">
        <f t="shared" si="45"/>
        <v>0.26882045850041608</v>
      </c>
      <c r="AV238" s="183">
        <f t="shared" si="45"/>
        <v>0.27225841476655804</v>
      </c>
      <c r="AW238" s="183">
        <f t="shared" si="45"/>
        <v>0.35949622844827578</v>
      </c>
      <c r="AX238" s="641">
        <f t="shared" si="45"/>
        <v>0.28709793675105855</v>
      </c>
      <c r="AY238" s="183">
        <f t="shared" si="45"/>
        <v>0.22820148428864676</v>
      </c>
      <c r="AZ238" s="183">
        <f t="shared" si="45"/>
        <v>0.3086957148416668</v>
      </c>
      <c r="BA238" s="357"/>
      <c r="BB238" s="357"/>
      <c r="BC238" s="641"/>
      <c r="BD238" s="432"/>
      <c r="BE238" s="432"/>
      <c r="BF238" s="432"/>
      <c r="BG238" s="432"/>
      <c r="BH238" s="641"/>
      <c r="BI238" s="379"/>
      <c r="BJ238" s="379"/>
      <c r="BK238" s="379"/>
      <c r="BL238" s="379"/>
      <c r="BM238" s="641"/>
      <c r="BN238" s="379"/>
      <c r="BO238" s="379"/>
      <c r="BP238" s="379"/>
      <c r="BQ238" s="379"/>
      <c r="BR238" s="641"/>
      <c r="BS238" s="379"/>
      <c r="BT238" s="379"/>
      <c r="BU238" s="379"/>
      <c r="BV238" s="379"/>
      <c r="BW238" s="641"/>
      <c r="BX238" s="379"/>
      <c r="BY238" s="379"/>
      <c r="BZ238" s="379"/>
      <c r="CA238" s="379"/>
      <c r="CB238" s="641"/>
      <c r="CC238" s="379"/>
      <c r="CD238" s="379"/>
      <c r="CE238" s="379"/>
      <c r="CF238" s="379"/>
      <c r="CG238" s="641"/>
      <c r="CH238" s="379"/>
      <c r="CI238" s="379"/>
      <c r="CJ238" s="379"/>
      <c r="CK238" s="379"/>
      <c r="CL238" s="641"/>
      <c r="CM238" s="379"/>
      <c r="CN238" s="379"/>
      <c r="CO238" s="379"/>
      <c r="CP238" s="379"/>
      <c r="CQ238" s="641"/>
    </row>
    <row r="239" spans="5:95" ht="13.5" hidden="1" x14ac:dyDescent="0.25">
      <c r="E239" s="359" t="s">
        <v>289</v>
      </c>
      <c r="F239" s="578"/>
      <c r="G239" s="578"/>
      <c r="H239" s="578"/>
      <c r="I239" s="578"/>
      <c r="J239" s="578"/>
      <c r="K239" s="192"/>
      <c r="L239" s="192"/>
      <c r="M239" s="192"/>
      <c r="N239" s="192"/>
      <c r="O239" s="578"/>
      <c r="P239" s="192"/>
      <c r="Q239" s="192"/>
      <c r="R239" s="192"/>
      <c r="S239" s="192"/>
      <c r="T239" s="578"/>
      <c r="U239" s="192"/>
      <c r="V239" s="192"/>
      <c r="W239" s="192"/>
      <c r="X239" s="192"/>
      <c r="Y239" s="578"/>
      <c r="Z239" s="195"/>
      <c r="AA239" s="195"/>
      <c r="AB239" s="195"/>
      <c r="AC239" s="195"/>
      <c r="AD239" s="578"/>
      <c r="AE239" s="183">
        <f t="shared" ref="AE239:AZ239" si="46">AE234/AE220</f>
        <v>0.17349679832909531</v>
      </c>
      <c r="AF239" s="183">
        <f t="shared" si="46"/>
        <v>0.20271804250488737</v>
      </c>
      <c r="AG239" s="183">
        <f t="shared" si="46"/>
        <v>0.22810248632251773</v>
      </c>
      <c r="AH239" s="183">
        <f t="shared" si="46"/>
        <v>0.12880899493134584</v>
      </c>
      <c r="AI239" s="641">
        <f t="shared" si="46"/>
        <v>0.18344726114364293</v>
      </c>
      <c r="AJ239" s="183">
        <f t="shared" si="46"/>
        <v>0.2250107982227485</v>
      </c>
      <c r="AK239" s="183">
        <f t="shared" si="46"/>
        <v>0.21557754571571891</v>
      </c>
      <c r="AL239" s="183">
        <f t="shared" si="46"/>
        <v>0.24025715140037879</v>
      </c>
      <c r="AM239" s="183">
        <f t="shared" si="46"/>
        <v>0.26681082471261441</v>
      </c>
      <c r="AN239" s="641">
        <f t="shared" si="46"/>
        <v>0.23596333406928258</v>
      </c>
      <c r="AO239" s="183">
        <f t="shared" si="46"/>
        <v>0.19722557533566948</v>
      </c>
      <c r="AP239" s="183">
        <f t="shared" si="46"/>
        <v>0.21830656018885669</v>
      </c>
      <c r="AQ239" s="183">
        <f t="shared" si="46"/>
        <v>0.26029661002018983</v>
      </c>
      <c r="AR239" s="183">
        <f t="shared" si="46"/>
        <v>0.26503943234076199</v>
      </c>
      <c r="AS239" s="641">
        <f t="shared" si="46"/>
        <v>0.23649720032568103</v>
      </c>
      <c r="AT239" s="183">
        <f t="shared" si="46"/>
        <v>0.22180143863606946</v>
      </c>
      <c r="AU239" s="183">
        <f t="shared" si="46"/>
        <v>0.23198214414284679</v>
      </c>
      <c r="AV239" s="183">
        <f t="shared" si="46"/>
        <v>0.24160342348968603</v>
      </c>
      <c r="AW239" s="183">
        <f t="shared" si="46"/>
        <v>0.25160979397314559</v>
      </c>
      <c r="AX239" s="641">
        <f t="shared" si="46"/>
        <v>0.23714578825314447</v>
      </c>
      <c r="AY239" s="183">
        <f t="shared" si="46"/>
        <v>0.2062512546117799</v>
      </c>
      <c r="AZ239" s="183">
        <f t="shared" si="46"/>
        <v>0.23647653265963189</v>
      </c>
      <c r="BA239" s="183"/>
      <c r="BB239" s="183"/>
      <c r="BC239" s="641"/>
      <c r="BD239" s="183"/>
      <c r="BE239" s="183"/>
      <c r="BF239" s="183"/>
      <c r="BG239" s="183"/>
      <c r="BH239" s="641"/>
      <c r="BI239" s="183"/>
      <c r="BJ239" s="183"/>
      <c r="BK239" s="183"/>
      <c r="BL239" s="183"/>
      <c r="BM239" s="641"/>
      <c r="BN239" s="183"/>
      <c r="BO239" s="183"/>
      <c r="BP239" s="183"/>
      <c r="BQ239" s="183"/>
      <c r="BR239" s="641"/>
      <c r="BS239" s="183"/>
      <c r="BT239" s="183"/>
      <c r="BU239" s="183"/>
      <c r="BV239" s="183"/>
      <c r="BW239" s="641"/>
      <c r="BX239" s="183"/>
      <c r="BY239" s="183"/>
      <c r="BZ239" s="183"/>
      <c r="CA239" s="183"/>
      <c r="CB239" s="641"/>
      <c r="CC239" s="183"/>
      <c r="CD239" s="183"/>
      <c r="CE239" s="183"/>
      <c r="CF239" s="183"/>
      <c r="CG239" s="641"/>
      <c r="CH239" s="183"/>
      <c r="CI239" s="183"/>
      <c r="CJ239" s="183"/>
      <c r="CK239" s="183"/>
      <c r="CL239" s="641"/>
      <c r="CM239" s="183"/>
      <c r="CN239" s="183"/>
      <c r="CO239" s="183"/>
      <c r="CP239" s="183"/>
      <c r="CQ239" s="641"/>
    </row>
    <row r="240" spans="5:95" ht="13.5" hidden="1" x14ac:dyDescent="0.25">
      <c r="E240" s="358"/>
      <c r="F240" s="578"/>
      <c r="G240" s="578"/>
      <c r="H240" s="578"/>
      <c r="I240" s="578"/>
      <c r="J240" s="578"/>
      <c r="K240" s="192"/>
      <c r="L240" s="192"/>
      <c r="M240" s="192"/>
      <c r="N240" s="192"/>
      <c r="O240" s="578"/>
      <c r="P240" s="192"/>
      <c r="Q240" s="192"/>
      <c r="R240" s="192"/>
      <c r="S240" s="192"/>
      <c r="T240" s="578"/>
      <c r="U240" s="192"/>
      <c r="V240" s="192"/>
      <c r="W240" s="192"/>
      <c r="X240" s="192"/>
      <c r="Y240" s="578"/>
      <c r="Z240" s="195"/>
      <c r="AA240" s="195"/>
      <c r="AB240" s="195"/>
      <c r="AC240" s="195"/>
      <c r="AD240" s="578"/>
      <c r="AE240" s="195"/>
      <c r="AF240" s="195"/>
      <c r="AG240" s="195"/>
      <c r="AH240" s="195"/>
      <c r="AI240" s="578"/>
      <c r="AJ240" s="195"/>
      <c r="AK240" s="195"/>
      <c r="AL240" s="195"/>
      <c r="AM240" s="195"/>
      <c r="AN240" s="578"/>
      <c r="AO240" s="195"/>
      <c r="AP240" s="195"/>
      <c r="AQ240" s="195"/>
      <c r="AR240" s="195"/>
      <c r="AS240" s="578"/>
      <c r="AT240" s="194"/>
      <c r="AU240" s="194"/>
      <c r="AV240" s="194"/>
      <c r="AW240" s="194"/>
      <c r="AX240" s="578"/>
      <c r="AY240" s="194"/>
      <c r="AZ240" s="194"/>
      <c r="BA240" s="194"/>
      <c r="BB240" s="194"/>
      <c r="BC240" s="578"/>
      <c r="BD240" s="194"/>
      <c r="BE240" s="194"/>
      <c r="BF240" s="194"/>
      <c r="BG240" s="194"/>
      <c r="BH240" s="578"/>
      <c r="BI240" s="194"/>
      <c r="BJ240" s="194"/>
      <c r="BK240" s="194"/>
      <c r="BL240" s="194"/>
      <c r="BM240" s="578"/>
      <c r="BN240" s="194"/>
      <c r="BO240" s="194"/>
      <c r="BP240" s="194"/>
      <c r="BQ240" s="194"/>
      <c r="BR240" s="578"/>
      <c r="BS240" s="194"/>
      <c r="BT240" s="194"/>
      <c r="BU240" s="194"/>
      <c r="BV240" s="194"/>
      <c r="BW240" s="578"/>
      <c r="BX240" s="194"/>
      <c r="BY240" s="194"/>
      <c r="BZ240" s="194"/>
      <c r="CA240" s="194"/>
      <c r="CB240" s="578"/>
      <c r="CC240" s="194"/>
      <c r="CD240" s="194"/>
      <c r="CE240" s="194"/>
      <c r="CF240" s="194"/>
      <c r="CG240" s="578"/>
      <c r="CH240" s="194"/>
      <c r="CI240" s="194"/>
      <c r="CJ240" s="194"/>
      <c r="CK240" s="194"/>
      <c r="CL240" s="578"/>
      <c r="CM240" s="194"/>
      <c r="CN240" s="194"/>
      <c r="CO240" s="194"/>
      <c r="CP240" s="194"/>
      <c r="CQ240" s="578"/>
    </row>
    <row r="241" spans="5:95" hidden="1" x14ac:dyDescent="0.25">
      <c r="E241" s="190" t="s">
        <v>6</v>
      </c>
      <c r="F241" s="578"/>
      <c r="G241" s="578"/>
      <c r="H241" s="578"/>
      <c r="I241" s="578"/>
      <c r="J241" s="578"/>
      <c r="K241" s="192"/>
      <c r="L241" s="192"/>
      <c r="M241" s="192"/>
      <c r="N241" s="192"/>
      <c r="O241" s="578"/>
      <c r="P241" s="192"/>
      <c r="Q241" s="192"/>
      <c r="R241" s="192"/>
      <c r="S241" s="192"/>
      <c r="T241" s="578"/>
      <c r="U241" s="192"/>
      <c r="V241" s="192"/>
      <c r="W241" s="192"/>
      <c r="X241" s="192"/>
      <c r="Y241" s="578"/>
      <c r="Z241" s="195"/>
      <c r="AA241" s="195"/>
      <c r="AB241" s="195"/>
      <c r="AC241" s="195"/>
      <c r="AD241" s="578"/>
      <c r="AE241" s="195"/>
      <c r="AF241" s="195"/>
      <c r="AG241" s="195"/>
      <c r="AH241" s="195"/>
      <c r="AI241" s="578"/>
      <c r="AJ241" s="195"/>
      <c r="AK241" s="195"/>
      <c r="AL241" s="195"/>
      <c r="AM241" s="195"/>
      <c r="AN241" s="578"/>
      <c r="AO241" s="195"/>
      <c r="AP241" s="195"/>
      <c r="AQ241" s="195"/>
      <c r="AR241" s="195"/>
      <c r="AS241" s="578"/>
      <c r="AT241" s="194"/>
      <c r="AU241" s="194"/>
      <c r="AV241" s="194"/>
      <c r="AW241" s="194"/>
      <c r="AX241" s="578"/>
      <c r="AY241" s="194"/>
      <c r="AZ241" s="194"/>
      <c r="BA241" s="194"/>
      <c r="BB241" s="194"/>
      <c r="BC241" s="578"/>
      <c r="BD241" s="194"/>
      <c r="BE241" s="194"/>
      <c r="BF241" s="194"/>
      <c r="BG241" s="194"/>
      <c r="BH241" s="578"/>
      <c r="BI241" s="194"/>
      <c r="BJ241" s="194"/>
      <c r="BK241" s="194"/>
      <c r="BL241" s="194"/>
      <c r="BM241" s="578"/>
      <c r="BN241" s="194"/>
      <c r="BO241" s="194"/>
      <c r="BP241" s="194"/>
      <c r="BQ241" s="194"/>
      <c r="BR241" s="578"/>
      <c r="BS241" s="194"/>
      <c r="BT241" s="194"/>
      <c r="BU241" s="194"/>
      <c r="BV241" s="194"/>
      <c r="BW241" s="578"/>
      <c r="BX241" s="194"/>
      <c r="BY241" s="194"/>
      <c r="BZ241" s="194"/>
      <c r="CA241" s="194"/>
      <c r="CB241" s="578"/>
      <c r="CC241" s="194"/>
      <c r="CD241" s="194"/>
      <c r="CE241" s="194"/>
      <c r="CF241" s="194"/>
      <c r="CG241" s="578"/>
      <c r="CH241" s="194"/>
      <c r="CI241" s="194"/>
      <c r="CJ241" s="194"/>
      <c r="CK241" s="194"/>
      <c r="CL241" s="578"/>
      <c r="CM241" s="194"/>
      <c r="CN241" s="194"/>
      <c r="CO241" s="194"/>
      <c r="CP241" s="194"/>
      <c r="CQ241" s="578"/>
    </row>
    <row r="242" spans="5:95" hidden="1" x14ac:dyDescent="0.25">
      <c r="E242" s="27" t="s">
        <v>303</v>
      </c>
      <c r="F242" s="578"/>
      <c r="G242" s="578"/>
      <c r="H242" s="578"/>
      <c r="I242" s="578"/>
      <c r="J242" s="578"/>
      <c r="K242" s="192"/>
      <c r="L242" s="192"/>
      <c r="M242" s="192"/>
      <c r="N242" s="192"/>
      <c r="O242" s="578"/>
      <c r="P242" s="192"/>
      <c r="Q242" s="192"/>
      <c r="R242" s="192"/>
      <c r="S242" s="192"/>
      <c r="T242" s="578"/>
      <c r="U242" s="192"/>
      <c r="V242" s="192"/>
      <c r="W242" s="192"/>
      <c r="X242" s="192"/>
      <c r="Y242" s="578"/>
      <c r="Z242" s="195"/>
      <c r="AA242" s="195"/>
      <c r="AB242" s="195"/>
      <c r="AC242" s="195"/>
      <c r="AD242" s="578"/>
      <c r="AE242" s="360">
        <f t="shared" ref="AE242:AH243" si="47">AE232-AE247</f>
        <v>11.719999999999992</v>
      </c>
      <c r="AF242" s="360">
        <f t="shared" si="47"/>
        <v>12.840999999999987</v>
      </c>
      <c r="AG242" s="360">
        <f t="shared" si="47"/>
        <v>13.263999999999996</v>
      </c>
      <c r="AH242" s="360">
        <f t="shared" si="47"/>
        <v>12.901999999999978</v>
      </c>
      <c r="AI242" s="568">
        <f>SUM(AE242:AH242)</f>
        <v>50.726999999999954</v>
      </c>
      <c r="AJ242" s="360">
        <f t="shared" ref="AJ242:AM243" si="48">AJ232-AJ247</f>
        <v>32.195000000000007</v>
      </c>
      <c r="AK242" s="360">
        <f t="shared" si="48"/>
        <v>24.091999999999999</v>
      </c>
      <c r="AL242" s="360">
        <f t="shared" si="48"/>
        <v>27.286000000000005</v>
      </c>
      <c r="AM242" s="360">
        <f t="shared" si="48"/>
        <v>24.951999999999991</v>
      </c>
      <c r="AN242" s="568">
        <f>SUM(AJ242:AM242)</f>
        <v>108.52500000000001</v>
      </c>
      <c r="AO242" s="360">
        <f t="shared" ref="AO242:AR243" si="49">AO232-AO247</f>
        <v>23.911999999999999</v>
      </c>
      <c r="AP242" s="360">
        <f t="shared" si="49"/>
        <v>24.449999999999992</v>
      </c>
      <c r="AQ242" s="360">
        <f t="shared" si="49"/>
        <v>27.569000000000013</v>
      </c>
      <c r="AR242" s="360">
        <f t="shared" si="49"/>
        <v>27.82899999999999</v>
      </c>
      <c r="AS242" s="568">
        <f>SUM(AO242:AR242)</f>
        <v>103.76</v>
      </c>
      <c r="AT242" s="360">
        <f t="shared" ref="AT242:AW243" si="50">AT232-AT247</f>
        <v>25.126999999999999</v>
      </c>
      <c r="AU242" s="360">
        <f t="shared" si="50"/>
        <v>26.94499999999999</v>
      </c>
      <c r="AV242" s="360">
        <f t="shared" si="50"/>
        <v>27.821999999999989</v>
      </c>
      <c r="AW242" s="360">
        <f t="shared" si="50"/>
        <v>27.310000000000013</v>
      </c>
      <c r="AX242" s="568">
        <f>SUM(AT242:AW242)</f>
        <v>107.20399999999999</v>
      </c>
      <c r="AY242" s="360">
        <f>AY232-AY247</f>
        <v>24.969000000000019</v>
      </c>
      <c r="AZ242" s="360">
        <f>AZ232-AZ247</f>
        <v>26.322999999999993</v>
      </c>
      <c r="BA242" s="360"/>
      <c r="BB242" s="360"/>
      <c r="BC242" s="568"/>
      <c r="BD242" s="360"/>
      <c r="BE242" s="360"/>
      <c r="BF242" s="360"/>
      <c r="BG242" s="360"/>
      <c r="BH242" s="568"/>
      <c r="BI242" s="360"/>
      <c r="BJ242" s="360"/>
      <c r="BK242" s="360"/>
      <c r="BL242" s="360"/>
      <c r="BM242" s="568"/>
      <c r="BN242" s="360"/>
      <c r="BO242" s="360"/>
      <c r="BP242" s="360"/>
      <c r="BQ242" s="360"/>
      <c r="BR242" s="568"/>
      <c r="BS242" s="360"/>
      <c r="BT242" s="360"/>
      <c r="BU242" s="360"/>
      <c r="BV242" s="360"/>
      <c r="BW242" s="568"/>
      <c r="BX242" s="360"/>
      <c r="BY242" s="360"/>
      <c r="BZ242" s="360"/>
      <c r="CA242" s="360"/>
      <c r="CB242" s="568"/>
      <c r="CC242" s="360"/>
      <c r="CD242" s="360"/>
      <c r="CE242" s="360"/>
      <c r="CF242" s="360"/>
      <c r="CG242" s="568"/>
      <c r="CH242" s="360"/>
      <c r="CI242" s="360"/>
      <c r="CJ242" s="360"/>
      <c r="CK242" s="360"/>
      <c r="CL242" s="568"/>
      <c r="CM242" s="360"/>
      <c r="CN242" s="360"/>
      <c r="CO242" s="360"/>
      <c r="CP242" s="360"/>
      <c r="CQ242" s="568"/>
    </row>
    <row r="243" spans="5:95" hidden="1" x14ac:dyDescent="0.25">
      <c r="E243" s="27" t="s">
        <v>297</v>
      </c>
      <c r="F243" s="578"/>
      <c r="G243" s="578"/>
      <c r="H243" s="578"/>
      <c r="I243" s="578"/>
      <c r="J243" s="578"/>
      <c r="K243" s="192"/>
      <c r="L243" s="192"/>
      <c r="M243" s="192"/>
      <c r="N243" s="192"/>
      <c r="O243" s="578"/>
      <c r="P243" s="192"/>
      <c r="Q243" s="192"/>
      <c r="R243" s="192"/>
      <c r="S243" s="192"/>
      <c r="T243" s="578"/>
      <c r="U243" s="192"/>
      <c r="V243" s="192"/>
      <c r="W243" s="192"/>
      <c r="X243" s="192"/>
      <c r="Y243" s="578"/>
      <c r="Z243" s="195"/>
      <c r="AA243" s="195"/>
      <c r="AB243" s="195"/>
      <c r="AC243" s="195"/>
      <c r="AD243" s="578"/>
      <c r="AE243" s="360">
        <f t="shared" si="47"/>
        <v>10.110000000000001</v>
      </c>
      <c r="AF243" s="360">
        <f t="shared" si="47"/>
        <v>10.344999999999992</v>
      </c>
      <c r="AG243" s="360">
        <f t="shared" si="47"/>
        <v>11.975000000000005</v>
      </c>
      <c r="AH243" s="360">
        <f t="shared" si="47"/>
        <v>11.274999999999995</v>
      </c>
      <c r="AI243" s="568">
        <f>SUM(AE243:AH243)</f>
        <v>43.704999999999984</v>
      </c>
      <c r="AJ243" s="360">
        <f t="shared" si="48"/>
        <v>17.287000000000003</v>
      </c>
      <c r="AK243" s="360">
        <f t="shared" si="48"/>
        <v>14.896000000000001</v>
      </c>
      <c r="AL243" s="360">
        <f t="shared" si="48"/>
        <v>15.274000000000004</v>
      </c>
      <c r="AM243" s="360">
        <f t="shared" si="48"/>
        <v>13.977999999999996</v>
      </c>
      <c r="AN243" s="568">
        <f>SUM(AJ243:AM243)</f>
        <v>61.435000000000002</v>
      </c>
      <c r="AO243" s="360">
        <f t="shared" si="49"/>
        <v>13.731000000000005</v>
      </c>
      <c r="AP243" s="360">
        <f t="shared" si="49"/>
        <v>13.514000000000005</v>
      </c>
      <c r="AQ243" s="360">
        <f t="shared" si="49"/>
        <v>15.908000000000001</v>
      </c>
      <c r="AR243" s="360">
        <f t="shared" si="49"/>
        <v>15.184000000000001</v>
      </c>
      <c r="AS243" s="568">
        <f>SUM(AO243:AR243)</f>
        <v>58.337000000000018</v>
      </c>
      <c r="AT243" s="360">
        <f t="shared" si="50"/>
        <v>12.827999999999996</v>
      </c>
      <c r="AU243" s="360">
        <f t="shared" si="50"/>
        <v>13.328999999999994</v>
      </c>
      <c r="AV243" s="360">
        <f t="shared" si="50"/>
        <v>13.508999999999995</v>
      </c>
      <c r="AW243" s="360">
        <f t="shared" si="50"/>
        <v>13.013999999999992</v>
      </c>
      <c r="AX243" s="568">
        <f>SUM(AT243:AW243)</f>
        <v>52.679999999999978</v>
      </c>
      <c r="AY243" s="360">
        <f>AY233-AY248</f>
        <v>12.149999999999999</v>
      </c>
      <c r="AZ243" s="360">
        <f>AZ233-AZ248</f>
        <v>13.216000000000001</v>
      </c>
      <c r="BA243" s="360"/>
      <c r="BB243" s="360"/>
      <c r="BC243" s="568"/>
      <c r="BD243" s="360"/>
      <c r="BE243" s="360"/>
      <c r="BF243" s="360"/>
      <c r="BG243" s="360"/>
      <c r="BH243" s="568"/>
      <c r="BI243" s="360"/>
      <c r="BJ243" s="360"/>
      <c r="BK243" s="360"/>
      <c r="BL243" s="360"/>
      <c r="BM243" s="568"/>
      <c r="BN243" s="360"/>
      <c r="BO243" s="360"/>
      <c r="BP243" s="360"/>
      <c r="BQ243" s="360"/>
      <c r="BR243" s="568"/>
      <c r="BS243" s="360"/>
      <c r="BT243" s="360"/>
      <c r="BU243" s="360"/>
      <c r="BV243" s="360"/>
      <c r="BW243" s="568"/>
      <c r="BX243" s="360"/>
      <c r="BY243" s="360"/>
      <c r="BZ243" s="360"/>
      <c r="CA243" s="360"/>
      <c r="CB243" s="568"/>
      <c r="CC243" s="360"/>
      <c r="CD243" s="360"/>
      <c r="CE243" s="360"/>
      <c r="CF243" s="360"/>
      <c r="CG243" s="568"/>
      <c r="CH243" s="360"/>
      <c r="CI243" s="360"/>
      <c r="CJ243" s="360"/>
      <c r="CK243" s="360"/>
      <c r="CL243" s="568"/>
      <c r="CM243" s="360"/>
      <c r="CN243" s="360"/>
      <c r="CO243" s="360"/>
      <c r="CP243" s="360"/>
      <c r="CQ243" s="568"/>
    </row>
    <row r="244" spans="5:95" ht="13.5" hidden="1" x14ac:dyDescent="0.25">
      <c r="E244" s="380" t="s">
        <v>298</v>
      </c>
      <c r="F244" s="578"/>
      <c r="G244" s="578"/>
      <c r="H244" s="578"/>
      <c r="I244" s="578"/>
      <c r="J244" s="578"/>
      <c r="K244" s="202"/>
      <c r="L244" s="202"/>
      <c r="M244" s="202"/>
      <c r="N244" s="202"/>
      <c r="O244" s="578"/>
      <c r="P244" s="202"/>
      <c r="Q244" s="202"/>
      <c r="R244" s="202"/>
      <c r="S244" s="202"/>
      <c r="T244" s="578"/>
      <c r="U244" s="202"/>
      <c r="V244" s="202"/>
      <c r="W244" s="202"/>
      <c r="X244" s="202"/>
      <c r="Y244" s="578"/>
      <c r="Z244" s="381"/>
      <c r="AA244" s="381"/>
      <c r="AB244" s="381"/>
      <c r="AC244" s="381"/>
      <c r="AD244" s="578"/>
      <c r="AE244" s="203">
        <f>AE242+AE243</f>
        <v>21.829999999999991</v>
      </c>
      <c r="AF244" s="203">
        <f>AF242+AF243</f>
        <v>23.185999999999979</v>
      </c>
      <c r="AG244" s="203">
        <f>AG242+AG243</f>
        <v>25.239000000000001</v>
      </c>
      <c r="AH244" s="203">
        <f>AH242+AH243</f>
        <v>24.176999999999971</v>
      </c>
      <c r="AI244" s="642">
        <f>SUM(AE244:AH244)</f>
        <v>94.431999999999931</v>
      </c>
      <c r="AJ244" s="203">
        <f>AJ242+AJ243</f>
        <v>49.482000000000014</v>
      </c>
      <c r="AK244" s="203">
        <f>AK242+AK243</f>
        <v>38.988</v>
      </c>
      <c r="AL244" s="203">
        <f>AL242+AL243</f>
        <v>42.560000000000009</v>
      </c>
      <c r="AM244" s="203">
        <f>AM242+AM243</f>
        <v>38.929999999999986</v>
      </c>
      <c r="AN244" s="642">
        <f>SUM(AJ244:AM244)</f>
        <v>169.96</v>
      </c>
      <c r="AO244" s="203">
        <f>AO242+AO243</f>
        <v>37.643000000000001</v>
      </c>
      <c r="AP244" s="203">
        <f>AP242+AP243</f>
        <v>37.963999999999999</v>
      </c>
      <c r="AQ244" s="203">
        <f>AQ242+AQ243</f>
        <v>43.477000000000018</v>
      </c>
      <c r="AR244" s="203">
        <f>AR242+AR243</f>
        <v>43.012999999999991</v>
      </c>
      <c r="AS244" s="642">
        <f>SUM(AO244:AR244)</f>
        <v>162.09700000000001</v>
      </c>
      <c r="AT244" s="203">
        <f>AT242+AT243</f>
        <v>37.954999999999998</v>
      </c>
      <c r="AU244" s="203">
        <f>AU242+AU243</f>
        <v>40.273999999999987</v>
      </c>
      <c r="AV244" s="203">
        <f>AV242+AV243</f>
        <v>41.330999999999982</v>
      </c>
      <c r="AW244" s="203">
        <f>AW242+AW243</f>
        <v>40.324000000000005</v>
      </c>
      <c r="AX244" s="642">
        <f>SUM(AT244:AW244)</f>
        <v>159.88399999999999</v>
      </c>
      <c r="AY244" s="203">
        <f>AY242+AY243</f>
        <v>37.119000000000014</v>
      </c>
      <c r="AZ244" s="203">
        <f>AZ242+AZ243</f>
        <v>39.538999999999994</v>
      </c>
      <c r="BA244" s="203"/>
      <c r="BB244" s="203"/>
      <c r="BC244" s="642"/>
      <c r="BD244" s="203"/>
      <c r="BE244" s="203"/>
      <c r="BF244" s="203"/>
      <c r="BG244" s="203"/>
      <c r="BH244" s="642"/>
      <c r="BI244" s="203"/>
      <c r="BJ244" s="203"/>
      <c r="BK244" s="203"/>
      <c r="BL244" s="203"/>
      <c r="BM244" s="642"/>
      <c r="BN244" s="203"/>
      <c r="BO244" s="203"/>
      <c r="BP244" s="203"/>
      <c r="BQ244" s="203"/>
      <c r="BR244" s="642"/>
      <c r="BS244" s="203"/>
      <c r="BT244" s="203"/>
      <c r="BU244" s="203"/>
      <c r="BV244" s="203"/>
      <c r="BW244" s="642"/>
      <c r="BX244" s="203"/>
      <c r="BY244" s="203"/>
      <c r="BZ244" s="203"/>
      <c r="CA244" s="203"/>
      <c r="CB244" s="642"/>
      <c r="CC244" s="203"/>
      <c r="CD244" s="203"/>
      <c r="CE244" s="203"/>
      <c r="CF244" s="203"/>
      <c r="CG244" s="642"/>
      <c r="CH244" s="203"/>
      <c r="CI244" s="203"/>
      <c r="CJ244" s="203"/>
      <c r="CK244" s="203"/>
      <c r="CL244" s="642"/>
      <c r="CM244" s="203"/>
      <c r="CN244" s="203"/>
      <c r="CO244" s="203"/>
      <c r="CP244" s="203"/>
      <c r="CQ244" s="642"/>
    </row>
    <row r="245" spans="5:95" ht="13.5" hidden="1" x14ac:dyDescent="0.25">
      <c r="E245" s="358"/>
      <c r="F245" s="578"/>
      <c r="G245" s="578"/>
      <c r="H245" s="578"/>
      <c r="I245" s="578"/>
      <c r="J245" s="578"/>
      <c r="K245" s="192"/>
      <c r="L245" s="192"/>
      <c r="M245" s="192"/>
      <c r="N245" s="192"/>
      <c r="O245" s="578"/>
      <c r="P245" s="192"/>
      <c r="Q245" s="192"/>
      <c r="R245" s="192"/>
      <c r="S245" s="192"/>
      <c r="T245" s="578"/>
      <c r="U245" s="192"/>
      <c r="V245" s="192"/>
      <c r="W245" s="192"/>
      <c r="X245" s="192"/>
      <c r="Y245" s="578"/>
      <c r="Z245" s="195"/>
      <c r="AA245" s="195"/>
      <c r="AB245" s="195"/>
      <c r="AC245" s="195"/>
      <c r="AD245" s="578"/>
      <c r="AE245" s="195"/>
      <c r="AF245" s="195"/>
      <c r="AG245" s="195"/>
      <c r="AH245" s="195"/>
      <c r="AI245" s="578"/>
      <c r="AJ245" s="195"/>
      <c r="AK245" s="195"/>
      <c r="AL245" s="195"/>
      <c r="AM245" s="195"/>
      <c r="AN245" s="578"/>
      <c r="AO245" s="195"/>
      <c r="AP245" s="195"/>
      <c r="AQ245" s="195"/>
      <c r="AR245" s="195"/>
      <c r="AS245" s="578"/>
      <c r="AT245" s="194"/>
      <c r="AU245" s="194"/>
      <c r="AV245" s="194"/>
      <c r="AW245" s="194"/>
      <c r="AX245" s="578"/>
      <c r="AY245" s="194"/>
      <c r="AZ245" s="194"/>
      <c r="BA245" s="194"/>
      <c r="BB245" s="194"/>
      <c r="BC245" s="578"/>
      <c r="BD245" s="194"/>
      <c r="BE245" s="194"/>
      <c r="BF245" s="194"/>
      <c r="BG245" s="194"/>
      <c r="BH245" s="578"/>
      <c r="BI245" s="194"/>
      <c r="BJ245" s="194"/>
      <c r="BK245" s="194"/>
      <c r="BL245" s="194"/>
      <c r="BM245" s="578"/>
      <c r="BN245" s="194"/>
      <c r="BO245" s="194"/>
      <c r="BP245" s="194"/>
      <c r="BQ245" s="194"/>
      <c r="BR245" s="578"/>
      <c r="BS245" s="194"/>
      <c r="BT245" s="194"/>
      <c r="BU245" s="194"/>
      <c r="BV245" s="194"/>
      <c r="BW245" s="578"/>
      <c r="BX245" s="194"/>
      <c r="BY245" s="194"/>
      <c r="BZ245" s="194"/>
      <c r="CA245" s="194"/>
      <c r="CB245" s="578"/>
      <c r="CC245" s="194"/>
      <c r="CD245" s="194"/>
      <c r="CE245" s="194"/>
      <c r="CF245" s="194"/>
      <c r="CG245" s="578"/>
      <c r="CH245" s="194"/>
      <c r="CI245" s="194"/>
      <c r="CJ245" s="194"/>
      <c r="CK245" s="194"/>
      <c r="CL245" s="578"/>
      <c r="CM245" s="194"/>
      <c r="CN245" s="194"/>
      <c r="CO245" s="194"/>
      <c r="CP245" s="194"/>
      <c r="CQ245" s="578"/>
    </row>
    <row r="246" spans="5:95" hidden="1" x14ac:dyDescent="0.25">
      <c r="E246" s="190" t="s">
        <v>299</v>
      </c>
      <c r="F246" s="578"/>
      <c r="G246" s="578"/>
      <c r="H246" s="578"/>
      <c r="I246" s="578"/>
      <c r="J246" s="578"/>
      <c r="K246" s="192"/>
      <c r="L246" s="192"/>
      <c r="M246" s="192"/>
      <c r="N246" s="192"/>
      <c r="O246" s="578"/>
      <c r="P246" s="192"/>
      <c r="Q246" s="192"/>
      <c r="R246" s="192"/>
      <c r="S246" s="192"/>
      <c r="T246" s="578"/>
      <c r="U246" s="192"/>
      <c r="V246" s="192"/>
      <c r="W246" s="192"/>
      <c r="X246" s="192"/>
      <c r="Y246" s="578"/>
      <c r="Z246" s="195"/>
      <c r="AA246" s="195"/>
      <c r="AB246" s="195"/>
      <c r="AC246" s="195"/>
      <c r="AD246" s="578"/>
      <c r="AE246" s="195"/>
      <c r="AF246" s="195"/>
      <c r="AG246" s="195"/>
      <c r="AH246" s="195"/>
      <c r="AI246" s="578"/>
      <c r="AJ246" s="195"/>
      <c r="AK246" s="195"/>
      <c r="AL246" s="195"/>
      <c r="AM246" s="195"/>
      <c r="AN246" s="578"/>
      <c r="AO246" s="195"/>
      <c r="AP246" s="195"/>
      <c r="AQ246" s="195"/>
      <c r="AR246" s="195"/>
      <c r="AS246" s="578"/>
      <c r="AT246" s="194"/>
      <c r="AU246" s="194"/>
      <c r="AV246" s="194"/>
      <c r="AW246" s="421"/>
      <c r="AX246" s="578"/>
      <c r="AY246" s="421"/>
      <c r="AZ246" s="194"/>
      <c r="BA246" s="194"/>
      <c r="BB246" s="194"/>
      <c r="BC246" s="578"/>
      <c r="BD246" s="194"/>
      <c r="BE246" s="194"/>
      <c r="BF246" s="194"/>
      <c r="BG246" s="194"/>
      <c r="BH246" s="578"/>
      <c r="BI246" s="194"/>
      <c r="BJ246" s="194"/>
      <c r="BK246" s="194"/>
      <c r="BL246" s="194"/>
      <c r="BM246" s="578"/>
      <c r="BN246" s="194"/>
      <c r="BO246" s="194"/>
      <c r="BP246" s="194"/>
      <c r="BQ246" s="194"/>
      <c r="BR246" s="578"/>
      <c r="BS246" s="194"/>
      <c r="BT246" s="194"/>
      <c r="BU246" s="194"/>
      <c r="BV246" s="194"/>
      <c r="BW246" s="578"/>
      <c r="BX246" s="194"/>
      <c r="BY246" s="194"/>
      <c r="BZ246" s="194"/>
      <c r="CA246" s="194"/>
      <c r="CB246" s="578"/>
      <c r="CC246" s="194"/>
      <c r="CD246" s="194"/>
      <c r="CE246" s="194"/>
      <c r="CF246" s="194"/>
      <c r="CG246" s="578"/>
      <c r="CH246" s="194"/>
      <c r="CI246" s="194"/>
      <c r="CJ246" s="194"/>
      <c r="CK246" s="194"/>
      <c r="CL246" s="578"/>
      <c r="CM246" s="194"/>
      <c r="CN246" s="194"/>
      <c r="CO246" s="194"/>
      <c r="CP246" s="194"/>
      <c r="CQ246" s="578"/>
    </row>
    <row r="247" spans="5:95" hidden="1" x14ac:dyDescent="0.25">
      <c r="E247" s="27" t="s">
        <v>304</v>
      </c>
      <c r="F247" s="578"/>
      <c r="G247" s="578"/>
      <c r="H247" s="578"/>
      <c r="I247" s="578"/>
      <c r="J247" s="578"/>
      <c r="K247" s="192"/>
      <c r="L247" s="192"/>
      <c r="M247" s="192"/>
      <c r="N247" s="192"/>
      <c r="O247" s="578"/>
      <c r="P247" s="192"/>
      <c r="Q247" s="192"/>
      <c r="R247" s="192"/>
      <c r="S247" s="192"/>
      <c r="T247" s="578"/>
      <c r="U247" s="192"/>
      <c r="V247" s="192"/>
      <c r="W247" s="192"/>
      <c r="X247" s="192"/>
      <c r="Y247" s="578"/>
      <c r="Z247" s="195"/>
      <c r="AA247" s="195"/>
      <c r="AB247" s="195"/>
      <c r="AC247" s="195"/>
      <c r="AD247" s="578"/>
      <c r="AE247" s="124">
        <v>34.07</v>
      </c>
      <c r="AF247" s="124">
        <v>35.859000000000002</v>
      </c>
      <c r="AG247" s="124">
        <v>42.722999999999999</v>
      </c>
      <c r="AH247" s="124">
        <v>1.022</v>
      </c>
      <c r="AI247" s="568">
        <f>SUM(AE247:AH247)</f>
        <v>113.67400000000001</v>
      </c>
      <c r="AJ247" s="124">
        <v>25.638999999999999</v>
      </c>
      <c r="AK247" s="124">
        <v>28.527000000000001</v>
      </c>
      <c r="AL247" s="124">
        <v>30.358000000000001</v>
      </c>
      <c r="AM247" s="124">
        <v>32.872999999999998</v>
      </c>
      <c r="AN247" s="568">
        <f>SUM(AJ247:AM247)</f>
        <v>117.39699999999999</v>
      </c>
      <c r="AO247" s="124">
        <v>15.837999999999999</v>
      </c>
      <c r="AP247" s="124">
        <v>19.971</v>
      </c>
      <c r="AQ247" s="124">
        <v>27.565000000000001</v>
      </c>
      <c r="AR247" s="124">
        <v>27.638999999999999</v>
      </c>
      <c r="AS247" s="568">
        <f>SUM(AO247:AR247)</f>
        <v>91.012999999999991</v>
      </c>
      <c r="AT247" s="124">
        <v>20.879000000000001</v>
      </c>
      <c r="AU247" s="124">
        <v>22.952000000000002</v>
      </c>
      <c r="AV247" s="124">
        <v>26.39</v>
      </c>
      <c r="AW247" s="124">
        <v>21.181000000000001</v>
      </c>
      <c r="AX247" s="568">
        <f>SUM(AT247:AW247)</f>
        <v>91.402000000000001</v>
      </c>
      <c r="AY247" s="124">
        <v>20.172000000000001</v>
      </c>
      <c r="AZ247" s="124">
        <v>23.210999999999999</v>
      </c>
      <c r="BA247" s="27"/>
      <c r="BB247" s="27"/>
      <c r="BC247" s="568"/>
      <c r="BD247" s="27"/>
      <c r="BE247" s="27"/>
      <c r="BF247" s="27"/>
      <c r="BG247" s="27"/>
      <c r="BH247" s="568"/>
      <c r="BI247" s="27"/>
      <c r="BJ247" s="27"/>
      <c r="BK247" s="27"/>
      <c r="BL247" s="27"/>
      <c r="BM247" s="568"/>
      <c r="BN247" s="27"/>
      <c r="BO247" s="27"/>
      <c r="BP247" s="27"/>
      <c r="BQ247" s="27"/>
      <c r="BR247" s="568"/>
      <c r="BS247" s="27"/>
      <c r="BT247" s="27"/>
      <c r="BU247" s="27"/>
      <c r="BV247" s="27"/>
      <c r="BW247" s="568"/>
      <c r="BX247" s="27"/>
      <c r="BY247" s="27"/>
      <c r="BZ247" s="27"/>
      <c r="CA247" s="27"/>
      <c r="CB247" s="568"/>
      <c r="CC247" s="27"/>
      <c r="CD247" s="27"/>
      <c r="CE247" s="27"/>
      <c r="CF247" s="27"/>
      <c r="CG247" s="568"/>
      <c r="CH247" s="27"/>
      <c r="CI247" s="27"/>
      <c r="CJ247" s="27"/>
      <c r="CK247" s="27"/>
      <c r="CL247" s="568"/>
      <c r="CM247" s="27"/>
      <c r="CN247" s="27"/>
      <c r="CO247" s="27"/>
      <c r="CP247" s="27"/>
      <c r="CQ247" s="568"/>
    </row>
    <row r="248" spans="5:95" hidden="1" x14ac:dyDescent="0.25">
      <c r="E248" s="27" t="s">
        <v>300</v>
      </c>
      <c r="F248" s="578"/>
      <c r="G248" s="578"/>
      <c r="H248" s="578"/>
      <c r="I248" s="578"/>
      <c r="J248" s="578"/>
      <c r="K248" s="192"/>
      <c r="L248" s="192"/>
      <c r="M248" s="192"/>
      <c r="N248" s="192"/>
      <c r="O248" s="578"/>
      <c r="P248" s="192"/>
      <c r="Q248" s="192"/>
      <c r="R248" s="192"/>
      <c r="S248" s="192"/>
      <c r="T248" s="578"/>
      <c r="U248" s="192"/>
      <c r="V248" s="192"/>
      <c r="W248" s="192"/>
      <c r="X248" s="192"/>
      <c r="Y248" s="578"/>
      <c r="Z248" s="195"/>
      <c r="AA248" s="195"/>
      <c r="AB248" s="195"/>
      <c r="AC248" s="195"/>
      <c r="AD248" s="578"/>
      <c r="AE248" s="124">
        <v>2.1640000000000001</v>
      </c>
      <c r="AF248" s="124">
        <v>11.673999999999999</v>
      </c>
      <c r="AG248" s="124">
        <v>12.047000000000001</v>
      </c>
      <c r="AH248" s="124">
        <v>19.858000000000001</v>
      </c>
      <c r="AI248" s="568">
        <f>SUM(AE248:AH248)</f>
        <v>45.742999999999995</v>
      </c>
      <c r="AJ248" s="124">
        <v>-0.626</v>
      </c>
      <c r="AK248" s="124">
        <v>3.3959999999999999</v>
      </c>
      <c r="AL248" s="124">
        <v>4.218</v>
      </c>
      <c r="AM248" s="124">
        <v>7.0419999999999998</v>
      </c>
      <c r="AN248" s="568">
        <f>SUM(AJ248:AM248)</f>
        <v>14.03</v>
      </c>
      <c r="AO248" s="124">
        <v>-2.9950000000000001</v>
      </c>
      <c r="AP248" s="124">
        <v>1.2490000000000001</v>
      </c>
      <c r="AQ248" s="124">
        <v>2.8319999999999999</v>
      </c>
      <c r="AR248" s="124">
        <v>5.77</v>
      </c>
      <c r="AS248" s="568">
        <f>SUM(AO248:AR248)</f>
        <v>6.8559999999999999</v>
      </c>
      <c r="AT248" s="124">
        <v>1.1399999999999999</v>
      </c>
      <c r="AU248" s="124">
        <v>4.4359999999999999</v>
      </c>
      <c r="AV248" s="124">
        <v>4.5449999999999999</v>
      </c>
      <c r="AW248" s="124">
        <v>13.675000000000001</v>
      </c>
      <c r="AX248" s="568">
        <f>SUM(AT248:AW248)</f>
        <v>23.795999999999999</v>
      </c>
      <c r="AY248" s="124">
        <v>2.302</v>
      </c>
      <c r="AZ248" s="124">
        <v>8.2010000000000005</v>
      </c>
      <c r="BA248" s="27"/>
      <c r="BB248" s="27"/>
      <c r="BC248" s="568"/>
      <c r="BD248" s="27"/>
      <c r="BE248" s="27"/>
      <c r="BF248" s="27"/>
      <c r="BG248" s="27"/>
      <c r="BH248" s="568"/>
      <c r="BI248" s="27"/>
      <c r="BJ248" s="27"/>
      <c r="BK248" s="27"/>
      <c r="BL248" s="27"/>
      <c r="BM248" s="568"/>
      <c r="BN248" s="27"/>
      <c r="BO248" s="27"/>
      <c r="BP248" s="27"/>
      <c r="BQ248" s="27"/>
      <c r="BR248" s="568"/>
      <c r="BS248" s="27"/>
      <c r="BT248" s="27"/>
      <c r="BU248" s="27"/>
      <c r="BV248" s="27"/>
      <c r="BW248" s="568"/>
      <c r="BX248" s="27"/>
      <c r="BY248" s="27"/>
      <c r="BZ248" s="27"/>
      <c r="CA248" s="27"/>
      <c r="CB248" s="568"/>
      <c r="CC248" s="27"/>
      <c r="CD248" s="27"/>
      <c r="CE248" s="27"/>
      <c r="CF248" s="27"/>
      <c r="CG248" s="568"/>
      <c r="CH248" s="27"/>
      <c r="CI248" s="27"/>
      <c r="CJ248" s="27"/>
      <c r="CK248" s="27"/>
      <c r="CL248" s="568"/>
      <c r="CM248" s="27"/>
      <c r="CN248" s="27"/>
      <c r="CO248" s="27"/>
      <c r="CP248" s="27"/>
      <c r="CQ248" s="568"/>
    </row>
    <row r="249" spans="5:95" hidden="1" x14ac:dyDescent="0.25">
      <c r="E249" s="29" t="s">
        <v>302</v>
      </c>
      <c r="F249" s="588"/>
      <c r="G249" s="588"/>
      <c r="H249" s="588"/>
      <c r="I249" s="588"/>
      <c r="J249" s="588"/>
      <c r="K249" s="367"/>
      <c r="L249" s="367"/>
      <c r="M249" s="367"/>
      <c r="N249" s="367"/>
      <c r="O249" s="588"/>
      <c r="P249" s="367"/>
      <c r="Q249" s="367"/>
      <c r="R249" s="367"/>
      <c r="S249" s="367"/>
      <c r="T249" s="588"/>
      <c r="U249" s="367"/>
      <c r="V249" s="367"/>
      <c r="W249" s="367"/>
      <c r="X249" s="367"/>
      <c r="Y249" s="588"/>
      <c r="Z249" s="368"/>
      <c r="AA249" s="368"/>
      <c r="AB249" s="368"/>
      <c r="AC249" s="368"/>
      <c r="AD249" s="588"/>
      <c r="AE249" s="125">
        <v>-35.594999999999999</v>
      </c>
      <c r="AF249" s="125">
        <v>-29.347999999999999</v>
      </c>
      <c r="AG249" s="125">
        <v>42.61</v>
      </c>
      <c r="AH249" s="125">
        <v>-96.837000000000003</v>
      </c>
      <c r="AI249" s="579">
        <f>SUM(AE249:AH249)</f>
        <v>-119.17</v>
      </c>
      <c r="AJ249" s="125">
        <v>0.54500000000000004</v>
      </c>
      <c r="AK249" s="125">
        <v>2.37</v>
      </c>
      <c r="AL249" s="125">
        <v>-43.174999999999997</v>
      </c>
      <c r="AM249" s="125">
        <v>1.694</v>
      </c>
      <c r="AN249" s="579">
        <f>SUM(AJ249:AM249)</f>
        <v>-38.565999999999995</v>
      </c>
      <c r="AO249" s="125">
        <v>-0.34699999999999998</v>
      </c>
      <c r="AP249" s="125">
        <v>2.7E-2</v>
      </c>
      <c r="AQ249" s="125">
        <v>-0.53800000000000003</v>
      </c>
      <c r="AR249" s="125">
        <v>1.802</v>
      </c>
      <c r="AS249" s="579">
        <f>SUM(AO249:AR249)</f>
        <v>0.94400000000000006</v>
      </c>
      <c r="AT249" s="125">
        <v>5.7000000000000002E-2</v>
      </c>
      <c r="AU249" s="125">
        <v>-7.8E-2</v>
      </c>
      <c r="AV249" s="373">
        <v>3.64</v>
      </c>
      <c r="AW249" s="373">
        <v>-87.893000000000001</v>
      </c>
      <c r="AX249" s="579">
        <f>SUM(AT249:AW249)</f>
        <v>-84.274000000000001</v>
      </c>
      <c r="AY249" s="125">
        <v>-0.24399999999999999</v>
      </c>
      <c r="AZ249" s="125">
        <v>-2.4649999999999999</v>
      </c>
      <c r="BA249" s="167"/>
      <c r="BB249" s="167"/>
      <c r="BC249" s="579"/>
      <c r="BD249" s="167"/>
      <c r="BE249" s="167"/>
      <c r="BF249" s="167"/>
      <c r="BG249" s="167"/>
      <c r="BH249" s="579"/>
      <c r="BI249" s="167"/>
      <c r="BJ249" s="167"/>
      <c r="BK249" s="167"/>
      <c r="BL249" s="167"/>
      <c r="BM249" s="579"/>
      <c r="BN249" s="167"/>
      <c r="BO249" s="167"/>
      <c r="BP249" s="167"/>
      <c r="BQ249" s="167"/>
      <c r="BR249" s="579"/>
      <c r="BS249" s="167"/>
      <c r="BT249" s="167"/>
      <c r="BU249" s="167"/>
      <c r="BV249" s="167"/>
      <c r="BW249" s="579"/>
      <c r="BX249" s="167"/>
      <c r="BY249" s="167"/>
      <c r="BZ249" s="167"/>
      <c r="CA249" s="167"/>
      <c r="CB249" s="579"/>
      <c r="CC249" s="167"/>
      <c r="CD249" s="167"/>
      <c r="CE249" s="167"/>
      <c r="CF249" s="167"/>
      <c r="CG249" s="579"/>
      <c r="CH249" s="167"/>
      <c r="CI249" s="167"/>
      <c r="CJ249" s="167"/>
      <c r="CK249" s="167"/>
      <c r="CL249" s="579"/>
      <c r="CM249" s="167"/>
      <c r="CN249" s="167"/>
      <c r="CO249" s="167"/>
      <c r="CP249" s="167"/>
      <c r="CQ249" s="579"/>
    </row>
    <row r="250" spans="5:95" ht="13.5" hidden="1" x14ac:dyDescent="0.25">
      <c r="E250" s="380" t="s">
        <v>301</v>
      </c>
      <c r="F250" s="578"/>
      <c r="G250" s="578"/>
      <c r="H250" s="578"/>
      <c r="I250" s="578"/>
      <c r="J250" s="578"/>
      <c r="K250" s="202"/>
      <c r="L250" s="202"/>
      <c r="M250" s="202"/>
      <c r="N250" s="202"/>
      <c r="O250" s="578"/>
      <c r="P250" s="202"/>
      <c r="Q250" s="202"/>
      <c r="R250" s="202"/>
      <c r="S250" s="202"/>
      <c r="T250" s="578"/>
      <c r="U250" s="202"/>
      <c r="V250" s="202"/>
      <c r="W250" s="202"/>
      <c r="X250" s="202"/>
      <c r="Y250" s="578"/>
      <c r="Z250" s="381"/>
      <c r="AA250" s="381"/>
      <c r="AB250" s="381"/>
      <c r="AC250" s="381"/>
      <c r="AD250" s="578"/>
      <c r="AE250" s="203">
        <f>SUM(AE247:AE249)</f>
        <v>0.6390000000000029</v>
      </c>
      <c r="AF250" s="203">
        <f>SUM(AF247:AF249)</f>
        <v>18.185000000000002</v>
      </c>
      <c r="AG250" s="203">
        <f>SUM(AG247:AG249)</f>
        <v>97.38</v>
      </c>
      <c r="AH250" s="203">
        <f>SUM(AH247:AH249)</f>
        <v>-75.957000000000008</v>
      </c>
      <c r="AI250" s="642">
        <f>SUM(AE250:AH250)</f>
        <v>40.247</v>
      </c>
      <c r="AJ250" s="203">
        <f>SUM(AJ247:AJ249)</f>
        <v>25.558</v>
      </c>
      <c r="AK250" s="203">
        <f>SUM(AK247:AK249)</f>
        <v>34.292999999999999</v>
      </c>
      <c r="AL250" s="203">
        <f>SUM(AL247:AL249)</f>
        <v>-8.5989999999999966</v>
      </c>
      <c r="AM250" s="203">
        <f>SUM(AM247:AM249)</f>
        <v>41.609000000000002</v>
      </c>
      <c r="AN250" s="642">
        <f>SUM(AJ250:AM250)</f>
        <v>92.861000000000004</v>
      </c>
      <c r="AO250" s="203">
        <f>SUM(AO247:AO249)</f>
        <v>12.496</v>
      </c>
      <c r="AP250" s="203">
        <f>SUM(AP247:AP249)</f>
        <v>21.247</v>
      </c>
      <c r="AQ250" s="203">
        <f>SUM(AQ247:AQ249)</f>
        <v>29.859000000000002</v>
      </c>
      <c r="AR250" s="203">
        <f>SUM(AR247:AR249)</f>
        <v>35.210999999999999</v>
      </c>
      <c r="AS250" s="642">
        <f>SUM(AO250:AR250)</f>
        <v>98.813000000000002</v>
      </c>
      <c r="AT250" s="203">
        <f>SUM(AT247:AT249)</f>
        <v>22.076000000000001</v>
      </c>
      <c r="AU250" s="203">
        <f>SUM(AU247:AU249)</f>
        <v>27.310000000000002</v>
      </c>
      <c r="AV250" s="203">
        <f>SUM(AV247:AV249)</f>
        <v>34.575000000000003</v>
      </c>
      <c r="AW250" s="203">
        <f>SUM(AW247:AW249)</f>
        <v>-53.036999999999999</v>
      </c>
      <c r="AX250" s="642">
        <f>SUM(AT250:AW250)</f>
        <v>30.924000000000014</v>
      </c>
      <c r="AY250" s="203">
        <f>SUM(AY247:AY249)</f>
        <v>22.23</v>
      </c>
      <c r="AZ250" s="203">
        <f>SUM(AZ247:AZ249)</f>
        <v>28.946999999999999</v>
      </c>
      <c r="BA250" s="203"/>
      <c r="BB250" s="203"/>
      <c r="BC250" s="642"/>
      <c r="BD250" s="203"/>
      <c r="BE250" s="203"/>
      <c r="BF250" s="203"/>
      <c r="BG250" s="203"/>
      <c r="BH250" s="642"/>
      <c r="BI250" s="203"/>
      <c r="BJ250" s="203"/>
      <c r="BK250" s="203"/>
      <c r="BL250" s="203"/>
      <c r="BM250" s="642"/>
      <c r="BN250" s="203"/>
      <c r="BO250" s="203"/>
      <c r="BP250" s="203"/>
      <c r="BQ250" s="203"/>
      <c r="BR250" s="642"/>
      <c r="BS250" s="203"/>
      <c r="BT250" s="203"/>
      <c r="BU250" s="203"/>
      <c r="BV250" s="203"/>
      <c r="BW250" s="642"/>
      <c r="BX250" s="203"/>
      <c r="BY250" s="203"/>
      <c r="BZ250" s="203"/>
      <c r="CA250" s="203"/>
      <c r="CB250" s="642"/>
      <c r="CC250" s="203"/>
      <c r="CD250" s="203"/>
      <c r="CE250" s="203"/>
      <c r="CF250" s="203"/>
      <c r="CG250" s="642"/>
      <c r="CH250" s="203"/>
      <c r="CI250" s="203"/>
      <c r="CJ250" s="203"/>
      <c r="CK250" s="203"/>
      <c r="CL250" s="642"/>
      <c r="CM250" s="203"/>
      <c r="CN250" s="203"/>
      <c r="CO250" s="203"/>
      <c r="CP250" s="203"/>
      <c r="CQ250" s="642"/>
    </row>
    <row r="251" spans="5:95" ht="13.5" hidden="1" x14ac:dyDescent="0.25">
      <c r="E251" s="358"/>
      <c r="F251" s="578"/>
      <c r="G251" s="578"/>
      <c r="H251" s="578"/>
      <c r="I251" s="578"/>
      <c r="J251" s="578"/>
      <c r="K251" s="192"/>
      <c r="L251" s="192"/>
      <c r="M251" s="192"/>
      <c r="N251" s="192"/>
      <c r="O251" s="578"/>
      <c r="P251" s="192"/>
      <c r="Q251" s="192"/>
      <c r="R251" s="192"/>
      <c r="S251" s="192"/>
      <c r="T251" s="578"/>
      <c r="U251" s="192"/>
      <c r="V251" s="192"/>
      <c r="W251" s="192"/>
      <c r="X251" s="192"/>
      <c r="Y251" s="578"/>
      <c r="Z251" s="195"/>
      <c r="AA251" s="195"/>
      <c r="AB251" s="195"/>
      <c r="AC251" s="195"/>
      <c r="AD251" s="578"/>
      <c r="AE251" s="195"/>
      <c r="AF251" s="195"/>
      <c r="AG251" s="195"/>
      <c r="AH251" s="195"/>
      <c r="AI251" s="578"/>
      <c r="AJ251" s="195"/>
      <c r="AK251" s="195"/>
      <c r="AL251" s="366"/>
      <c r="AM251" s="195"/>
      <c r="AN251" s="578"/>
      <c r="AO251" s="195"/>
      <c r="AP251" s="195"/>
      <c r="AQ251" s="366"/>
      <c r="AR251" s="195"/>
      <c r="AS251" s="578"/>
      <c r="AT251" s="194"/>
      <c r="AU251" s="194"/>
      <c r="AV251" s="194"/>
      <c r="AW251" s="194"/>
      <c r="AX251" s="578"/>
      <c r="AY251" s="194"/>
      <c r="AZ251" s="194"/>
      <c r="BA251" s="194"/>
      <c r="BB251" s="194"/>
      <c r="BC251" s="578"/>
      <c r="BD251" s="194"/>
      <c r="BE251" s="194"/>
      <c r="BF251" s="194"/>
      <c r="BG251" s="194"/>
      <c r="BH251" s="578"/>
      <c r="BI251" s="194"/>
      <c r="BJ251" s="194"/>
      <c r="BK251" s="194"/>
      <c r="BL251" s="194"/>
      <c r="BM251" s="578"/>
      <c r="BN251" s="194"/>
      <c r="BO251" s="194"/>
      <c r="BP251" s="194"/>
      <c r="BQ251" s="194"/>
      <c r="BR251" s="578"/>
      <c r="BS251" s="194"/>
      <c r="BT251" s="194"/>
      <c r="BU251" s="194"/>
      <c r="BV251" s="194"/>
      <c r="BW251" s="578"/>
      <c r="BX251" s="194"/>
      <c r="BY251" s="194"/>
      <c r="BZ251" s="194"/>
      <c r="CA251" s="194"/>
      <c r="CB251" s="578"/>
      <c r="CC251" s="194"/>
      <c r="CD251" s="194"/>
      <c r="CE251" s="194"/>
      <c r="CF251" s="194"/>
      <c r="CG251" s="578"/>
      <c r="CH251" s="194"/>
      <c r="CI251" s="194"/>
      <c r="CJ251" s="194"/>
      <c r="CK251" s="194"/>
      <c r="CL251" s="578"/>
      <c r="CM251" s="194"/>
      <c r="CN251" s="194"/>
      <c r="CO251" s="194"/>
      <c r="CP251" s="194"/>
      <c r="CQ251" s="578"/>
    </row>
    <row r="252" spans="5:95" hidden="1" x14ac:dyDescent="0.25">
      <c r="E252" s="190" t="s">
        <v>307</v>
      </c>
      <c r="F252" s="578"/>
      <c r="G252" s="578"/>
      <c r="H252" s="578"/>
      <c r="I252" s="578"/>
      <c r="J252" s="578"/>
      <c r="K252" s="192"/>
      <c r="L252" s="192"/>
      <c r="M252" s="192"/>
      <c r="N252" s="192"/>
      <c r="O252" s="578"/>
      <c r="P252" s="192"/>
      <c r="Q252" s="192"/>
      <c r="R252" s="192"/>
      <c r="S252" s="192"/>
      <c r="T252" s="578"/>
      <c r="U252" s="192"/>
      <c r="V252" s="192"/>
      <c r="W252" s="192"/>
      <c r="X252" s="192"/>
      <c r="Y252" s="578"/>
      <c r="Z252" s="195"/>
      <c r="AA252" s="195"/>
      <c r="AB252" s="195"/>
      <c r="AC252" s="195"/>
      <c r="AD252" s="578"/>
      <c r="AE252" s="195"/>
      <c r="AF252" s="195"/>
      <c r="AG252" s="195"/>
      <c r="AH252" s="195"/>
      <c r="AI252" s="578"/>
      <c r="AJ252" s="195"/>
      <c r="AK252" s="195"/>
      <c r="AL252" s="195"/>
      <c r="AM252" s="195"/>
      <c r="AN252" s="578"/>
      <c r="AO252" s="195"/>
      <c r="AP252" s="195"/>
      <c r="AQ252" s="195"/>
      <c r="AR252" s="195"/>
      <c r="AS252" s="578"/>
      <c r="AT252" s="194"/>
      <c r="AU252" s="194"/>
      <c r="AV252" s="194"/>
      <c r="AW252" s="194"/>
      <c r="AX252" s="578"/>
      <c r="AY252" s="194"/>
      <c r="AZ252" s="194"/>
      <c r="BA252" s="194"/>
      <c r="BB252" s="194"/>
      <c r="BC252" s="578"/>
      <c r="BD252" s="194"/>
      <c r="BE252" s="194"/>
      <c r="BF252" s="194"/>
      <c r="BG252" s="194"/>
      <c r="BH252" s="578"/>
      <c r="BI252" s="194"/>
      <c r="BJ252" s="194"/>
      <c r="BK252" s="194"/>
      <c r="BL252" s="194"/>
      <c r="BM252" s="578"/>
      <c r="BN252" s="194"/>
      <c r="BO252" s="194"/>
      <c r="BP252" s="194"/>
      <c r="BQ252" s="194"/>
      <c r="BR252" s="578"/>
      <c r="BS252" s="194"/>
      <c r="BT252" s="194"/>
      <c r="BU252" s="194"/>
      <c r="BV252" s="194"/>
      <c r="BW252" s="578"/>
      <c r="BX252" s="194"/>
      <c r="BY252" s="194"/>
      <c r="BZ252" s="194"/>
      <c r="CA252" s="194"/>
      <c r="CB252" s="578"/>
      <c r="CC252" s="194"/>
      <c r="CD252" s="194"/>
      <c r="CE252" s="194"/>
      <c r="CF252" s="194"/>
      <c r="CG252" s="578"/>
      <c r="CH252" s="194"/>
      <c r="CI252" s="194"/>
      <c r="CJ252" s="194"/>
      <c r="CK252" s="194"/>
      <c r="CL252" s="578"/>
      <c r="CM252" s="194"/>
      <c r="CN252" s="194"/>
      <c r="CO252" s="194"/>
      <c r="CP252" s="194"/>
      <c r="CQ252" s="578"/>
    </row>
    <row r="253" spans="5:95" ht="13.5" hidden="1" x14ac:dyDescent="0.25">
      <c r="E253" s="27" t="s">
        <v>308</v>
      </c>
      <c r="F253" s="578"/>
      <c r="G253" s="578"/>
      <c r="H253" s="578"/>
      <c r="I253" s="578"/>
      <c r="J253" s="578"/>
      <c r="K253" s="192"/>
      <c r="L253" s="192"/>
      <c r="M253" s="192"/>
      <c r="N253" s="192"/>
      <c r="O253" s="578"/>
      <c r="P253" s="192"/>
      <c r="Q253" s="192"/>
      <c r="R253" s="192"/>
      <c r="S253" s="192"/>
      <c r="T253" s="578"/>
      <c r="U253" s="192"/>
      <c r="V253" s="192"/>
      <c r="W253" s="192"/>
      <c r="X253" s="192"/>
      <c r="Y253" s="578"/>
      <c r="Z253" s="195"/>
      <c r="AA253" s="195"/>
      <c r="AB253" s="195"/>
      <c r="AC253" s="195"/>
      <c r="AD253" s="578"/>
      <c r="AE253" s="183">
        <f t="shared" ref="AE253:AZ253" si="51">AE247/AE210</f>
        <v>0.14172684615128622</v>
      </c>
      <c r="AF253" s="183">
        <f t="shared" si="51"/>
        <v>0.1463435537254166</v>
      </c>
      <c r="AG253" s="183">
        <f t="shared" si="51"/>
        <v>0.17463191713741488</v>
      </c>
      <c r="AH253" s="183">
        <f t="shared" si="51"/>
        <v>4.2636629119733004E-3</v>
      </c>
      <c r="AI253" s="641">
        <f t="shared" si="51"/>
        <v>0.11721736368689104</v>
      </c>
      <c r="AJ253" s="183">
        <f t="shared" si="51"/>
        <v>0.10832083482963308</v>
      </c>
      <c r="AK253" s="183">
        <f t="shared" si="51"/>
        <v>0.12211639305665548</v>
      </c>
      <c r="AL253" s="183">
        <f t="shared" si="51"/>
        <v>0.13137612137945359</v>
      </c>
      <c r="AM253" s="183">
        <f t="shared" si="51"/>
        <v>0.15018388651575026</v>
      </c>
      <c r="AN253" s="641">
        <f t="shared" si="51"/>
        <v>0.1275691053200067</v>
      </c>
      <c r="AO253" s="183">
        <f t="shared" si="51"/>
        <v>7.9457772693978704E-2</v>
      </c>
      <c r="AP253" s="183">
        <f t="shared" si="51"/>
        <v>9.5003639165988779E-2</v>
      </c>
      <c r="AQ253" s="183">
        <f t="shared" si="51"/>
        <v>0.12624805349454979</v>
      </c>
      <c r="AR253" s="183">
        <f t="shared" si="51"/>
        <v>0.12475118820327416</v>
      </c>
      <c r="AS253" s="641">
        <f t="shared" si="51"/>
        <v>0.10714571619623464</v>
      </c>
      <c r="AT253" s="183">
        <f t="shared" si="51"/>
        <v>9.9114195655476231E-2</v>
      </c>
      <c r="AU253" s="183">
        <f t="shared" si="51"/>
        <v>0.10174480459607065</v>
      </c>
      <c r="AV253" s="183">
        <f t="shared" si="51"/>
        <v>0.11336008041306198</v>
      </c>
      <c r="AW253" s="183">
        <f t="shared" si="51"/>
        <v>9.4323910294091456E-2</v>
      </c>
      <c r="AX253" s="641">
        <f t="shared" si="51"/>
        <v>0.10228582555388688</v>
      </c>
      <c r="AY253" s="183">
        <f t="shared" si="51"/>
        <v>8.9413308274675973E-2</v>
      </c>
      <c r="AZ253" s="183">
        <f t="shared" si="51"/>
        <v>0.10063081225206477</v>
      </c>
      <c r="BA253" s="357"/>
      <c r="BB253" s="357"/>
      <c r="BC253" s="641"/>
      <c r="BD253" s="432"/>
      <c r="BE253" s="432"/>
      <c r="BF253" s="432"/>
      <c r="BG253" s="432"/>
      <c r="BH253" s="641"/>
      <c r="BI253" s="379"/>
      <c r="BJ253" s="379"/>
      <c r="BK253" s="379"/>
      <c r="BL253" s="379"/>
      <c r="BM253" s="641"/>
      <c r="BN253" s="379"/>
      <c r="BO253" s="379"/>
      <c r="BP253" s="379"/>
      <c r="BQ253" s="379"/>
      <c r="BR253" s="641"/>
      <c r="BS253" s="379"/>
      <c r="BT253" s="379"/>
      <c r="BU253" s="379"/>
      <c r="BV253" s="379"/>
      <c r="BW253" s="641"/>
      <c r="BX253" s="379"/>
      <c r="BY253" s="379"/>
      <c r="BZ253" s="379"/>
      <c r="CA253" s="379"/>
      <c r="CB253" s="641"/>
      <c r="CC253" s="379"/>
      <c r="CD253" s="379"/>
      <c r="CE253" s="379"/>
      <c r="CF253" s="379"/>
      <c r="CG253" s="641"/>
      <c r="CH253" s="379"/>
      <c r="CI253" s="379"/>
      <c r="CJ253" s="379"/>
      <c r="CK253" s="379"/>
      <c r="CL253" s="641"/>
      <c r="CM253" s="379"/>
      <c r="CN253" s="379"/>
      <c r="CO253" s="379"/>
      <c r="CP253" s="379"/>
      <c r="CQ253" s="641"/>
    </row>
    <row r="254" spans="5:95" ht="13.5" hidden="1" x14ac:dyDescent="0.25">
      <c r="E254" s="27" t="s">
        <v>309</v>
      </c>
      <c r="F254" s="578"/>
      <c r="G254" s="578"/>
      <c r="H254" s="578"/>
      <c r="I254" s="578"/>
      <c r="J254" s="578"/>
      <c r="K254" s="192"/>
      <c r="L254" s="192"/>
      <c r="M254" s="192"/>
      <c r="N254" s="192"/>
      <c r="O254" s="578"/>
      <c r="P254" s="192"/>
      <c r="Q254" s="192"/>
      <c r="R254" s="192"/>
      <c r="S254" s="192"/>
      <c r="T254" s="578"/>
      <c r="U254" s="192"/>
      <c r="V254" s="192"/>
      <c r="W254" s="192"/>
      <c r="X254" s="192"/>
      <c r="Y254" s="578"/>
      <c r="Z254" s="195"/>
      <c r="AA254" s="195"/>
      <c r="AB254" s="195"/>
      <c r="AC254" s="195"/>
      <c r="AD254" s="578"/>
      <c r="AE254" s="183">
        <f t="shared" ref="AE254:AZ254" si="52">AE248/AE216</f>
        <v>2.2953636623991008E-2</v>
      </c>
      <c r="AF254" s="183">
        <f t="shared" si="52"/>
        <v>0.11244353261864169</v>
      </c>
      <c r="AG254" s="183">
        <f t="shared" si="52"/>
        <v>0.11352991622138664</v>
      </c>
      <c r="AH254" s="183">
        <f t="shared" si="52"/>
        <v>0.18036822075079251</v>
      </c>
      <c r="AI254" s="641">
        <f t="shared" si="52"/>
        <v>0.11049033816425119</v>
      </c>
      <c r="AJ254" s="183">
        <f t="shared" si="52"/>
        <v>-6.6329017355739681E-3</v>
      </c>
      <c r="AK254" s="183">
        <f t="shared" si="52"/>
        <v>3.5623623203608519E-2</v>
      </c>
      <c r="AL254" s="183">
        <f t="shared" si="52"/>
        <v>4.6877604774447371E-2</v>
      </c>
      <c r="AM254" s="183">
        <f t="shared" si="52"/>
        <v>9.1903320108582168E-2</v>
      </c>
      <c r="AN254" s="641">
        <f t="shared" si="52"/>
        <v>3.9299719887955178E-2</v>
      </c>
      <c r="AO254" s="183">
        <f t="shared" si="52"/>
        <v>-5.2863824905127525E-2</v>
      </c>
      <c r="AP254" s="183">
        <f t="shared" si="52"/>
        <v>2.0511725678250017E-2</v>
      </c>
      <c r="AQ254" s="183">
        <f t="shared" si="52"/>
        <v>4.325843554768051E-2</v>
      </c>
      <c r="AR254" s="183">
        <f t="shared" si="52"/>
        <v>8.6391471649523113E-2</v>
      </c>
      <c r="AS254" s="641">
        <f t="shared" si="52"/>
        <v>2.7445627154197509E-2</v>
      </c>
      <c r="AT254" s="183">
        <f t="shared" si="52"/>
        <v>1.9083011098277508E-2</v>
      </c>
      <c r="AU254" s="183">
        <f t="shared" si="52"/>
        <v>6.7125671483695248E-2</v>
      </c>
      <c r="AV254" s="183">
        <f t="shared" si="52"/>
        <v>6.8539630836047777E-2</v>
      </c>
      <c r="AW254" s="183">
        <f t="shared" si="52"/>
        <v>0.18419989224137934</v>
      </c>
      <c r="AX254" s="641">
        <f t="shared" si="52"/>
        <v>8.9332372285791523E-2</v>
      </c>
      <c r="AY254" s="183">
        <f t="shared" si="52"/>
        <v>3.6349281541133746E-2</v>
      </c>
      <c r="AZ254" s="183">
        <f t="shared" si="52"/>
        <v>0.11820579714322778</v>
      </c>
      <c r="BA254" s="357"/>
      <c r="BB254" s="357"/>
      <c r="BC254" s="641"/>
      <c r="BD254" s="432"/>
      <c r="BE254" s="432"/>
      <c r="BF254" s="432"/>
      <c r="BG254" s="432"/>
      <c r="BH254" s="641"/>
      <c r="BI254" s="379"/>
      <c r="BJ254" s="379"/>
      <c r="BK254" s="379"/>
      <c r="BL254" s="379"/>
      <c r="BM254" s="641"/>
      <c r="BN254" s="379"/>
      <c r="BO254" s="379"/>
      <c r="BP254" s="379"/>
      <c r="BQ254" s="379"/>
      <c r="BR254" s="641"/>
      <c r="BS254" s="379"/>
      <c r="BT254" s="379"/>
      <c r="BU254" s="379"/>
      <c r="BV254" s="379"/>
      <c r="BW254" s="641"/>
      <c r="BX254" s="379"/>
      <c r="BY254" s="379"/>
      <c r="BZ254" s="379"/>
      <c r="CA254" s="379"/>
      <c r="CB254" s="641"/>
      <c r="CC254" s="379"/>
      <c r="CD254" s="379"/>
      <c r="CE254" s="379"/>
      <c r="CF254" s="379"/>
      <c r="CG254" s="641"/>
      <c r="CH254" s="379"/>
      <c r="CI254" s="379"/>
      <c r="CJ254" s="379"/>
      <c r="CK254" s="379"/>
      <c r="CL254" s="641"/>
      <c r="CM254" s="379"/>
      <c r="CN254" s="379"/>
      <c r="CO254" s="379"/>
      <c r="CP254" s="379"/>
      <c r="CQ254" s="641"/>
    </row>
    <row r="255" spans="5:95" ht="13.5" hidden="1" x14ac:dyDescent="0.25">
      <c r="E255" s="358" t="s">
        <v>310</v>
      </c>
      <c r="F255" s="578"/>
      <c r="G255" s="578"/>
      <c r="H255" s="578"/>
      <c r="I255" s="578"/>
      <c r="J255" s="578"/>
      <c r="K255" s="192"/>
      <c r="L255" s="192"/>
      <c r="M255" s="192"/>
      <c r="N255" s="192"/>
      <c r="O255" s="578"/>
      <c r="P255" s="192"/>
      <c r="Q255" s="192"/>
      <c r="R255" s="192"/>
      <c r="S255" s="192"/>
      <c r="T255" s="578"/>
      <c r="U255" s="192"/>
      <c r="V255" s="192"/>
      <c r="W255" s="192"/>
      <c r="X255" s="192"/>
      <c r="Y255" s="578"/>
      <c r="Z255" s="195"/>
      <c r="AA255" s="195"/>
      <c r="AB255" s="195"/>
      <c r="AC255" s="195"/>
      <c r="AD255" s="578"/>
      <c r="AE255" s="183">
        <f t="shared" ref="AE255:AZ255" si="53">AE250/AE220</f>
        <v>1.9093492376049258E-3</v>
      </c>
      <c r="AF255" s="183">
        <f t="shared" si="53"/>
        <v>5.2127824247392901E-2</v>
      </c>
      <c r="AG255" s="183">
        <f t="shared" si="53"/>
        <v>0.27762651849275427</v>
      </c>
      <c r="AH255" s="183">
        <f t="shared" si="53"/>
        <v>-0.21714594464789583</v>
      </c>
      <c r="AI255" s="641">
        <f t="shared" si="53"/>
        <v>2.9085014789296783E-2</v>
      </c>
      <c r="AJ255" s="183">
        <f t="shared" si="53"/>
        <v>7.7197476085334657E-2</v>
      </c>
      <c r="AK255" s="183">
        <f t="shared" si="53"/>
        <v>0.10425463997446303</v>
      </c>
      <c r="AL255" s="183">
        <f t="shared" si="53"/>
        <v>-2.6783489484700478E-2</v>
      </c>
      <c r="AM255" s="183">
        <f t="shared" si="53"/>
        <v>0.14080451018412299</v>
      </c>
      <c r="AN255" s="641">
        <f t="shared" si="53"/>
        <v>7.2703172880740213E-2</v>
      </c>
      <c r="AO255" s="183">
        <f t="shared" si="53"/>
        <v>4.8816123071634222E-2</v>
      </c>
      <c r="AP255" s="183">
        <f t="shared" si="53"/>
        <v>7.8371848545766398E-2</v>
      </c>
      <c r="AQ255" s="183">
        <f t="shared" si="53"/>
        <v>0.10520882148784209</v>
      </c>
      <c r="AR255" s="183">
        <f t="shared" si="53"/>
        <v>0.12211540462367605</v>
      </c>
      <c r="AS255" s="641">
        <f t="shared" si="53"/>
        <v>8.9892516158965097E-2</v>
      </c>
      <c r="AT255" s="183">
        <f t="shared" si="53"/>
        <v>8.1643521514820919E-2</v>
      </c>
      <c r="AU255" s="183">
        <f t="shared" si="53"/>
        <v>9.3633536645992554E-2</v>
      </c>
      <c r="AV255" s="183">
        <f t="shared" si="53"/>
        <v>0.1155929256795159</v>
      </c>
      <c r="AW255" s="183">
        <f t="shared" si="53"/>
        <v>-0.17750237620316203</v>
      </c>
      <c r="AX255" s="641">
        <f t="shared" si="53"/>
        <v>2.6659310154572975E-2</v>
      </c>
      <c r="AY255" s="183">
        <f t="shared" si="53"/>
        <v>7.6937985837596118E-2</v>
      </c>
      <c r="AZ255" s="183">
        <f t="shared" si="53"/>
        <v>9.6479065705886671E-2</v>
      </c>
      <c r="BA255" s="183"/>
      <c r="BB255" s="183"/>
      <c r="BC255" s="641"/>
      <c r="BD255" s="183"/>
      <c r="BE255" s="183"/>
      <c r="BF255" s="183"/>
      <c r="BG255" s="183"/>
      <c r="BH255" s="641"/>
      <c r="BI255" s="183"/>
      <c r="BJ255" s="183"/>
      <c r="BK255" s="183"/>
      <c r="BL255" s="183"/>
      <c r="BM255" s="641"/>
      <c r="BN255" s="183"/>
      <c r="BO255" s="183"/>
      <c r="BP255" s="183"/>
      <c r="BQ255" s="183"/>
      <c r="BR255" s="641"/>
      <c r="BS255" s="183"/>
      <c r="BT255" s="183"/>
      <c r="BU255" s="183"/>
      <c r="BV255" s="183"/>
      <c r="BW255" s="641"/>
      <c r="BX255" s="183"/>
      <c r="BY255" s="183"/>
      <c r="BZ255" s="183"/>
      <c r="CA255" s="183"/>
      <c r="CB255" s="641"/>
      <c r="CC255" s="183"/>
      <c r="CD255" s="183"/>
      <c r="CE255" s="183"/>
      <c r="CF255" s="183"/>
      <c r="CG255" s="641"/>
      <c r="CH255" s="183"/>
      <c r="CI255" s="183"/>
      <c r="CJ255" s="183"/>
      <c r="CK255" s="183"/>
      <c r="CL255" s="641"/>
      <c r="CM255" s="183"/>
      <c r="CN255" s="183"/>
      <c r="CO255" s="183"/>
      <c r="CP255" s="183"/>
      <c r="CQ255" s="641"/>
    </row>
    <row r="256" spans="5:95" ht="13.5" hidden="1" x14ac:dyDescent="0.25">
      <c r="E256" s="358"/>
      <c r="F256" s="578"/>
      <c r="G256" s="578"/>
      <c r="H256" s="578"/>
      <c r="I256" s="578"/>
      <c r="J256" s="578"/>
      <c r="K256" s="192"/>
      <c r="L256" s="192"/>
      <c r="M256" s="192"/>
      <c r="N256" s="192"/>
      <c r="O256" s="578"/>
      <c r="P256" s="192"/>
      <c r="Q256" s="192"/>
      <c r="R256" s="192"/>
      <c r="S256" s="192"/>
      <c r="T256" s="578"/>
      <c r="U256" s="192"/>
      <c r="V256" s="192"/>
      <c r="W256" s="192"/>
      <c r="X256" s="192"/>
      <c r="Y256" s="578"/>
      <c r="Z256" s="195"/>
      <c r="AA256" s="195"/>
      <c r="AB256" s="195"/>
      <c r="AC256" s="195"/>
      <c r="AD256" s="578"/>
      <c r="AE256" s="183"/>
      <c r="AF256" s="183"/>
      <c r="AG256" s="183"/>
      <c r="AH256" s="183"/>
      <c r="AI256" s="641"/>
      <c r="AJ256" s="183"/>
      <c r="AK256" s="183"/>
      <c r="AL256" s="183"/>
      <c r="AM256" s="183"/>
      <c r="AN256" s="641"/>
      <c r="AO256" s="183"/>
      <c r="AP256" s="183"/>
      <c r="AQ256" s="183"/>
      <c r="AR256" s="183"/>
      <c r="AS256" s="641"/>
      <c r="AT256" s="183"/>
      <c r="AU256" s="183"/>
      <c r="AV256" s="183"/>
      <c r="AW256" s="183"/>
      <c r="AX256" s="641"/>
      <c r="AY256" s="183"/>
      <c r="AZ256" s="183"/>
      <c r="BA256" s="183"/>
      <c r="BB256" s="183"/>
      <c r="BC256" s="641"/>
      <c r="BD256" s="183"/>
      <c r="BE256" s="183"/>
      <c r="BF256" s="183"/>
      <c r="BG256" s="183"/>
      <c r="BH256" s="641"/>
      <c r="BI256" s="183"/>
      <c r="BJ256" s="183"/>
      <c r="BK256" s="183"/>
      <c r="BL256" s="183"/>
      <c r="BM256" s="641"/>
      <c r="BN256" s="183"/>
      <c r="BO256" s="183"/>
      <c r="BP256" s="183"/>
      <c r="BQ256" s="183"/>
      <c r="BR256" s="641"/>
      <c r="BS256" s="183"/>
      <c r="BT256" s="183"/>
      <c r="BU256" s="183"/>
      <c r="BV256" s="183"/>
      <c r="BW256" s="641"/>
      <c r="BX256" s="183"/>
      <c r="BY256" s="183"/>
      <c r="BZ256" s="183"/>
      <c r="CA256" s="183"/>
      <c r="CB256" s="641"/>
      <c r="CC256" s="183"/>
      <c r="CD256" s="183"/>
      <c r="CE256" s="183"/>
      <c r="CF256" s="183"/>
      <c r="CG256" s="641"/>
      <c r="CH256" s="183"/>
      <c r="CI256" s="183"/>
      <c r="CJ256" s="183"/>
      <c r="CK256" s="183"/>
      <c r="CL256" s="641"/>
      <c r="CM256" s="183"/>
      <c r="CN256" s="183"/>
      <c r="CO256" s="183"/>
      <c r="CP256" s="183"/>
      <c r="CQ256" s="641"/>
    </row>
    <row r="257" spans="5:95" ht="13.5" hidden="1" x14ac:dyDescent="0.25">
      <c r="E257" s="190" t="s">
        <v>409</v>
      </c>
      <c r="F257" s="578"/>
      <c r="G257" s="578"/>
      <c r="H257" s="578"/>
      <c r="I257" s="578"/>
      <c r="J257" s="578"/>
      <c r="K257" s="192"/>
      <c r="L257" s="192"/>
      <c r="M257" s="192"/>
      <c r="N257" s="192"/>
      <c r="O257" s="578"/>
      <c r="P257" s="192"/>
      <c r="Q257" s="192"/>
      <c r="R257" s="192"/>
      <c r="S257" s="192"/>
      <c r="T257" s="578"/>
      <c r="U257" s="192"/>
      <c r="V257" s="192"/>
      <c r="W257" s="192"/>
      <c r="X257" s="192"/>
      <c r="Y257" s="578"/>
      <c r="Z257" s="195"/>
      <c r="AA257" s="195"/>
      <c r="AB257" s="195"/>
      <c r="AC257" s="195"/>
      <c r="AD257" s="578"/>
      <c r="AE257" s="183"/>
      <c r="AF257" s="183"/>
      <c r="AG257" s="183"/>
      <c r="AH257" s="183"/>
      <c r="AI257" s="641"/>
      <c r="AJ257" s="183"/>
      <c r="AK257" s="183"/>
      <c r="AL257" s="183"/>
      <c r="AM257" s="183"/>
      <c r="AN257" s="641"/>
      <c r="AO257" s="183"/>
      <c r="AP257" s="183"/>
      <c r="AQ257" s="183"/>
      <c r="AR257" s="183"/>
      <c r="AS257" s="641"/>
      <c r="AT257" s="183"/>
      <c r="AU257" s="183"/>
      <c r="AV257" s="183"/>
      <c r="AW257" s="183"/>
      <c r="AX257" s="641"/>
      <c r="AY257" s="183"/>
      <c r="AZ257" s="183"/>
      <c r="BA257" s="183"/>
      <c r="BB257" s="183"/>
      <c r="BC257" s="641"/>
      <c r="BD257" s="183"/>
      <c r="BE257" s="183"/>
      <c r="BF257" s="183"/>
      <c r="BG257" s="183"/>
      <c r="BH257" s="641"/>
      <c r="BI257" s="183"/>
      <c r="BJ257" s="183"/>
      <c r="BK257" s="183"/>
      <c r="BL257" s="183"/>
      <c r="BM257" s="641"/>
      <c r="BN257" s="183"/>
      <c r="BO257" s="183"/>
      <c r="BP257" s="183"/>
      <c r="BQ257" s="183"/>
      <c r="BR257" s="641"/>
      <c r="BS257" s="183"/>
      <c r="BT257" s="183"/>
      <c r="BU257" s="183"/>
      <c r="BV257" s="183"/>
      <c r="BW257" s="641"/>
      <c r="BX257" s="183"/>
      <c r="BY257" s="183"/>
      <c r="BZ257" s="183"/>
      <c r="CA257" s="183"/>
      <c r="CB257" s="641"/>
      <c r="CC257" s="183"/>
      <c r="CD257" s="183"/>
      <c r="CE257" s="183"/>
      <c r="CF257" s="183"/>
      <c r="CG257" s="641"/>
      <c r="CH257" s="183"/>
      <c r="CI257" s="183"/>
      <c r="CJ257" s="183"/>
      <c r="CK257" s="183"/>
      <c r="CL257" s="641"/>
      <c r="CM257" s="183"/>
      <c r="CN257" s="183"/>
      <c r="CO257" s="183"/>
      <c r="CP257" s="183"/>
      <c r="CQ257" s="641"/>
    </row>
    <row r="258" spans="5:95" ht="13.5" hidden="1" x14ac:dyDescent="0.25">
      <c r="E258" s="27" t="s">
        <v>410</v>
      </c>
      <c r="F258" s="578"/>
      <c r="G258" s="578"/>
      <c r="H258" s="578"/>
      <c r="I258" s="578"/>
      <c r="J258" s="578"/>
      <c r="K258" s="192"/>
      <c r="L258" s="192"/>
      <c r="M258" s="192"/>
      <c r="N258" s="192"/>
      <c r="O258" s="578"/>
      <c r="P258" s="192"/>
      <c r="Q258" s="192"/>
      <c r="R258" s="192"/>
      <c r="S258" s="192"/>
      <c r="T258" s="578"/>
      <c r="U258" s="192"/>
      <c r="V258" s="192"/>
      <c r="W258" s="192"/>
      <c r="X258" s="192"/>
      <c r="Y258" s="578"/>
      <c r="Z258" s="195"/>
      <c r="AA258" s="195"/>
      <c r="AB258" s="195"/>
      <c r="AC258" s="195"/>
      <c r="AD258" s="578"/>
      <c r="AE258" s="183"/>
      <c r="AF258" s="183"/>
      <c r="AG258" s="183"/>
      <c r="AH258" s="183"/>
      <c r="AI258" s="641"/>
      <c r="AJ258" s="183"/>
      <c r="AK258" s="183"/>
      <c r="AL258" s="183"/>
      <c r="AM258" s="183"/>
      <c r="AN258" s="641"/>
      <c r="AO258" s="183"/>
      <c r="AP258" s="183"/>
      <c r="AQ258" s="183"/>
      <c r="AR258" s="183"/>
      <c r="AS258" s="641">
        <f t="shared" ref="AS258:AZ258" si="54">((AS247-AN247)/(AS210-AN210))</f>
        <v>0.37249752929549662</v>
      </c>
      <c r="AT258" s="183">
        <f t="shared" si="54"/>
        <v>0.44492497793468638</v>
      </c>
      <c r="AU258" s="183">
        <f t="shared" si="54"/>
        <v>0.19393663392102009</v>
      </c>
      <c r="AV258" s="183">
        <f t="shared" si="54"/>
        <v>-8.1269885184672902E-2</v>
      </c>
      <c r="AW258" s="183">
        <f t="shared" si="54"/>
        <v>-2.1505161505161396</v>
      </c>
      <c r="AX258" s="641">
        <f t="shared" si="54"/>
        <v>8.8084778769079684E-3</v>
      </c>
      <c r="AY258" s="183">
        <f t="shared" si="54"/>
        <v>-4.7297297297297321E-2</v>
      </c>
      <c r="AZ258" s="183">
        <f t="shared" si="54"/>
        <v>5.1074738710312935E-2</v>
      </c>
      <c r="BA258" s="183"/>
      <c r="BB258" s="183"/>
      <c r="BC258" s="641"/>
      <c r="BD258" s="183"/>
      <c r="BE258" s="183"/>
      <c r="BF258" s="183"/>
      <c r="BG258" s="183"/>
      <c r="BH258" s="641"/>
      <c r="BI258" s="183"/>
      <c r="BJ258" s="183"/>
      <c r="BK258" s="183"/>
      <c r="BL258" s="183"/>
      <c r="BM258" s="641"/>
      <c r="BN258" s="183"/>
      <c r="BO258" s="183"/>
      <c r="BP258" s="183"/>
      <c r="BQ258" s="183"/>
      <c r="BR258" s="641"/>
      <c r="BS258" s="183"/>
      <c r="BT258" s="183"/>
      <c r="BU258" s="183"/>
      <c r="BV258" s="183"/>
      <c r="BW258" s="641"/>
      <c r="BX258" s="183"/>
      <c r="BY258" s="183"/>
      <c r="BZ258" s="183"/>
      <c r="CA258" s="183"/>
      <c r="CB258" s="641"/>
      <c r="CC258" s="183"/>
      <c r="CD258" s="183"/>
      <c r="CE258" s="183"/>
      <c r="CF258" s="183"/>
      <c r="CG258" s="641"/>
      <c r="CH258" s="183"/>
      <c r="CI258" s="183"/>
      <c r="CJ258" s="183"/>
      <c r="CK258" s="183"/>
      <c r="CL258" s="641"/>
      <c r="CM258" s="183"/>
      <c r="CN258" s="183"/>
      <c r="CO258" s="183"/>
      <c r="CP258" s="183"/>
      <c r="CQ258" s="641"/>
    </row>
    <row r="259" spans="5:95" ht="13.5" hidden="1" x14ac:dyDescent="0.25">
      <c r="E259" s="27" t="s">
        <v>411</v>
      </c>
      <c r="F259" s="578"/>
      <c r="G259" s="578"/>
      <c r="H259" s="578"/>
      <c r="I259" s="578"/>
      <c r="J259" s="578"/>
      <c r="K259" s="192"/>
      <c r="L259" s="192"/>
      <c r="M259" s="192"/>
      <c r="N259" s="192"/>
      <c r="O259" s="578"/>
      <c r="P259" s="192"/>
      <c r="Q259" s="192"/>
      <c r="R259" s="192"/>
      <c r="S259" s="192"/>
      <c r="T259" s="578"/>
      <c r="U259" s="192"/>
      <c r="V259" s="192"/>
      <c r="W259" s="192"/>
      <c r="X259" s="192"/>
      <c r="Y259" s="578"/>
      <c r="Z259" s="195"/>
      <c r="AA259" s="195"/>
      <c r="AB259" s="195"/>
      <c r="AC259" s="195"/>
      <c r="AD259" s="578"/>
      <c r="AE259" s="183"/>
      <c r="AF259" s="183"/>
      <c r="AG259" s="183"/>
      <c r="AH259" s="183"/>
      <c r="AI259" s="641"/>
      <c r="AJ259" s="183"/>
      <c r="AK259" s="183"/>
      <c r="AL259" s="183"/>
      <c r="AM259" s="183"/>
      <c r="AN259" s="641"/>
      <c r="AO259" s="183"/>
      <c r="AP259" s="183"/>
      <c r="AQ259" s="183"/>
      <c r="AR259" s="183"/>
      <c r="AS259" s="641">
        <f t="shared" ref="AS259:AZ259" si="55">((AS248-AN248)/(AS216-AN216))</f>
        <v>6.6923514650596552E-2</v>
      </c>
      <c r="AT259" s="183">
        <f t="shared" si="55"/>
        <v>1.3407911802853454</v>
      </c>
      <c r="AU259" s="183">
        <f t="shared" si="55"/>
        <v>0.61371076449066153</v>
      </c>
      <c r="AV259" s="183">
        <f t="shared" si="55"/>
        <v>2.0272189349112453</v>
      </c>
      <c r="AW259" s="183">
        <f t="shared" si="55"/>
        <v>1.0609314186015311</v>
      </c>
      <c r="AX259" s="641">
        <f t="shared" si="55"/>
        <v>1.0221444518192251</v>
      </c>
      <c r="AY259" s="183">
        <f t="shared" si="55"/>
        <v>0.32358674463937614</v>
      </c>
      <c r="AZ259" s="183">
        <f t="shared" si="55"/>
        <v>1.1429872495446229</v>
      </c>
      <c r="BA259" s="183"/>
      <c r="BB259" s="183"/>
      <c r="BC259" s="641"/>
      <c r="BD259" s="183"/>
      <c r="BE259" s="183"/>
      <c r="BF259" s="183"/>
      <c r="BG259" s="183"/>
      <c r="BH259" s="641"/>
      <c r="BI259" s="183"/>
      <c r="BJ259" s="183"/>
      <c r="BK259" s="183"/>
      <c r="BL259" s="183"/>
      <c r="BM259" s="641"/>
      <c r="BN259" s="183"/>
      <c r="BO259" s="183"/>
      <c r="BP259" s="183"/>
      <c r="BQ259" s="183"/>
      <c r="BR259" s="641"/>
      <c r="BS259" s="183"/>
      <c r="BT259" s="183"/>
      <c r="BU259" s="183"/>
      <c r="BV259" s="183"/>
      <c r="BW259" s="641"/>
      <c r="BX259" s="183"/>
      <c r="BY259" s="183"/>
      <c r="BZ259" s="183"/>
      <c r="CA259" s="183"/>
      <c r="CB259" s="641"/>
      <c r="CC259" s="183"/>
      <c r="CD259" s="183"/>
      <c r="CE259" s="183"/>
      <c r="CF259" s="183"/>
      <c r="CG259" s="641"/>
      <c r="CH259" s="183"/>
      <c r="CI259" s="183"/>
      <c r="CJ259" s="183"/>
      <c r="CK259" s="183"/>
      <c r="CL259" s="641"/>
      <c r="CM259" s="183"/>
      <c r="CN259" s="183"/>
      <c r="CO259" s="183"/>
      <c r="CP259" s="183"/>
      <c r="CQ259" s="641"/>
    </row>
    <row r="260" spans="5:95" ht="13.5" hidden="1" x14ac:dyDescent="0.25">
      <c r="E260" s="358" t="s">
        <v>412</v>
      </c>
      <c r="F260" s="578"/>
      <c r="G260" s="578"/>
      <c r="H260" s="578"/>
      <c r="I260" s="578"/>
      <c r="J260" s="578"/>
      <c r="K260" s="192"/>
      <c r="L260" s="192"/>
      <c r="M260" s="192"/>
      <c r="N260" s="192"/>
      <c r="O260" s="578"/>
      <c r="P260" s="192"/>
      <c r="Q260" s="192"/>
      <c r="R260" s="192"/>
      <c r="S260" s="192"/>
      <c r="T260" s="578"/>
      <c r="U260" s="192"/>
      <c r="V260" s="192"/>
      <c r="W260" s="192"/>
      <c r="X260" s="192"/>
      <c r="Y260" s="578"/>
      <c r="Z260" s="195"/>
      <c r="AA260" s="195"/>
      <c r="AB260" s="195"/>
      <c r="AC260" s="195"/>
      <c r="AD260" s="578"/>
      <c r="AE260" s="195"/>
      <c r="AF260" s="195"/>
      <c r="AG260" s="195"/>
      <c r="AH260" s="195"/>
      <c r="AI260" s="578"/>
      <c r="AJ260" s="195"/>
      <c r="AK260" s="195"/>
      <c r="AL260" s="195"/>
      <c r="AM260" s="195"/>
      <c r="AN260" s="578"/>
      <c r="AO260" s="195"/>
      <c r="AP260" s="195"/>
      <c r="AQ260" s="195"/>
      <c r="AR260" s="195"/>
      <c r="AS260" s="641">
        <f t="shared" ref="AS260:AZ260" si="56">((AS250-AN250)/(AS220-AN220))</f>
        <v>-3.3433130929578121E-2</v>
      </c>
      <c r="AT260" s="183">
        <f t="shared" si="56"/>
        <v>0.66463160815873512</v>
      </c>
      <c r="AU260" s="183">
        <f t="shared" si="56"/>
        <v>0.29483563509044997</v>
      </c>
      <c r="AV260" s="183">
        <f t="shared" si="56"/>
        <v>0.30817486767300539</v>
      </c>
      <c r="AW260" s="183">
        <f t="shared" si="56"/>
        <v>-8.4415534723550714</v>
      </c>
      <c r="AX260" s="641">
        <f t="shared" si="56"/>
        <v>-1.1177904009220399</v>
      </c>
      <c r="AY260" s="183">
        <f t="shared" si="56"/>
        <v>8.306812665192273E-3</v>
      </c>
      <c r="AZ260" s="183">
        <f t="shared" si="56"/>
        <v>0.19569635385534909</v>
      </c>
      <c r="BA260" s="183"/>
      <c r="BB260" s="183"/>
      <c r="BC260" s="641"/>
      <c r="BD260" s="183"/>
      <c r="BE260" s="183"/>
      <c r="BF260" s="183"/>
      <c r="BG260" s="183"/>
      <c r="BH260" s="641"/>
      <c r="BI260" s="194"/>
      <c r="BJ260" s="194"/>
      <c r="BK260" s="194"/>
      <c r="BL260" s="194"/>
      <c r="BM260" s="641"/>
      <c r="BN260" s="194"/>
      <c r="BO260" s="194"/>
      <c r="BP260" s="194"/>
      <c r="BQ260" s="194"/>
      <c r="BR260" s="578"/>
      <c r="BS260" s="194"/>
      <c r="BT260" s="194"/>
      <c r="BU260" s="194"/>
      <c r="BV260" s="194"/>
      <c r="BW260" s="578"/>
      <c r="BX260" s="194"/>
      <c r="BY260" s="194"/>
      <c r="BZ260" s="194"/>
      <c r="CA260" s="194"/>
      <c r="CB260" s="578"/>
      <c r="CC260" s="194"/>
      <c r="CD260" s="194"/>
      <c r="CE260" s="194"/>
      <c r="CF260" s="194"/>
      <c r="CG260" s="578"/>
      <c r="CH260" s="194"/>
      <c r="CI260" s="194"/>
      <c r="CJ260" s="194"/>
      <c r="CK260" s="194"/>
      <c r="CL260" s="578"/>
      <c r="CM260" s="194"/>
      <c r="CN260" s="194"/>
      <c r="CO260" s="194"/>
      <c r="CP260" s="194"/>
      <c r="CQ260" s="578"/>
    </row>
    <row r="261" spans="5:95" ht="13.5" hidden="1" x14ac:dyDescent="0.25">
      <c r="E261" s="358"/>
      <c r="F261" s="578"/>
      <c r="G261" s="578"/>
      <c r="H261" s="578"/>
      <c r="I261" s="578"/>
      <c r="J261" s="578"/>
      <c r="K261" s="192"/>
      <c r="L261" s="192"/>
      <c r="M261" s="192"/>
      <c r="N261" s="192"/>
      <c r="O261" s="578"/>
      <c r="P261" s="192"/>
      <c r="Q261" s="192"/>
      <c r="R261" s="192"/>
      <c r="S261" s="192"/>
      <c r="T261" s="578"/>
      <c r="U261" s="192"/>
      <c r="V261" s="192"/>
      <c r="W261" s="192"/>
      <c r="X261" s="192"/>
      <c r="Y261" s="578"/>
      <c r="Z261" s="195"/>
      <c r="AA261" s="195"/>
      <c r="AB261" s="195"/>
      <c r="AC261" s="195"/>
      <c r="AD261" s="578"/>
      <c r="AE261" s="195"/>
      <c r="AF261" s="195"/>
      <c r="AG261" s="195"/>
      <c r="AH261" s="195"/>
      <c r="AI261" s="578"/>
      <c r="AJ261" s="195"/>
      <c r="AK261" s="195"/>
      <c r="AL261" s="195"/>
      <c r="AM261" s="195"/>
      <c r="AN261" s="578"/>
      <c r="AO261" s="195"/>
      <c r="AP261" s="195"/>
      <c r="AQ261" s="195"/>
      <c r="AR261" s="195"/>
      <c r="AS261" s="578"/>
      <c r="AT261" s="194"/>
      <c r="AU261" s="194"/>
      <c r="AV261" s="194"/>
      <c r="AW261" s="194"/>
      <c r="AX261" s="578"/>
      <c r="AY261" s="194"/>
      <c r="AZ261" s="194"/>
      <c r="BA261" s="194"/>
      <c r="BB261" s="194"/>
      <c r="BC261" s="578"/>
      <c r="BD261" s="194"/>
      <c r="BE261" s="194"/>
      <c r="BF261" s="194"/>
      <c r="BG261" s="194"/>
      <c r="BH261" s="578"/>
      <c r="BI261" s="194"/>
      <c r="BJ261" s="194"/>
      <c r="BK261" s="194"/>
      <c r="BL261" s="194"/>
      <c r="BM261" s="578"/>
      <c r="BN261" s="194"/>
      <c r="BO261" s="194"/>
      <c r="BP261" s="194"/>
      <c r="BQ261" s="194"/>
      <c r="BR261" s="578"/>
      <c r="BS261" s="194"/>
      <c r="BT261" s="194"/>
      <c r="BU261" s="194"/>
      <c r="BV261" s="194"/>
      <c r="BW261" s="578"/>
      <c r="BX261" s="194"/>
      <c r="BY261" s="194"/>
      <c r="BZ261" s="194"/>
      <c r="CA261" s="194"/>
      <c r="CB261" s="578"/>
      <c r="CC261" s="194"/>
      <c r="CD261" s="194"/>
      <c r="CE261" s="194"/>
      <c r="CF261" s="194"/>
      <c r="CG261" s="578"/>
      <c r="CH261" s="194"/>
      <c r="CI261" s="194"/>
      <c r="CJ261" s="194"/>
      <c r="CK261" s="194"/>
      <c r="CL261" s="578"/>
      <c r="CM261" s="194"/>
      <c r="CN261" s="194"/>
      <c r="CO261" s="194"/>
      <c r="CP261" s="194"/>
      <c r="CQ261" s="578"/>
    </row>
    <row r="262" spans="5:95" ht="13.5" hidden="1" x14ac:dyDescent="0.25">
      <c r="E262" s="352" t="s">
        <v>413</v>
      </c>
      <c r="F262" s="578"/>
      <c r="G262" s="578"/>
      <c r="H262" s="578"/>
      <c r="I262" s="578"/>
      <c r="J262" s="578"/>
      <c r="K262" s="192"/>
      <c r="L262" s="192"/>
      <c r="M262" s="192"/>
      <c r="N262" s="192"/>
      <c r="O262" s="578"/>
      <c r="P262" s="192"/>
      <c r="Q262" s="192"/>
      <c r="R262" s="192"/>
      <c r="S262" s="192"/>
      <c r="T262" s="578"/>
      <c r="U262" s="192"/>
      <c r="V262" s="192"/>
      <c r="W262" s="192"/>
      <c r="X262" s="192"/>
      <c r="Y262" s="578"/>
      <c r="Z262" s="195"/>
      <c r="AA262" s="195"/>
      <c r="AB262" s="195"/>
      <c r="AC262" s="195"/>
      <c r="AD262" s="578"/>
      <c r="AE262" s="195"/>
      <c r="AF262" s="195"/>
      <c r="AG262" s="195"/>
      <c r="AH262" s="195"/>
      <c r="AI262" s="578"/>
      <c r="AJ262" s="195"/>
      <c r="AK262" s="195"/>
      <c r="AL262" s="195"/>
      <c r="AM262" s="195"/>
      <c r="AN262" s="578"/>
      <c r="AO262" s="195"/>
      <c r="AP262" s="195"/>
      <c r="AQ262" s="195"/>
      <c r="AR262" s="195"/>
      <c r="AS262" s="578"/>
      <c r="AT262" s="194"/>
      <c r="AU262" s="194"/>
      <c r="AV262" s="194"/>
      <c r="AW262" s="194"/>
      <c r="AX262" s="578"/>
      <c r="AY262" s="194"/>
      <c r="AZ262" s="194"/>
      <c r="BA262" s="194"/>
      <c r="BB262" s="194"/>
      <c r="BC262" s="578"/>
      <c r="BD262" s="194"/>
      <c r="BE262" s="194"/>
      <c r="BF262" s="194"/>
      <c r="BG262" s="194"/>
      <c r="BH262" s="578"/>
      <c r="BI262" s="194"/>
      <c r="BJ262" s="194"/>
      <c r="BK262" s="194"/>
      <c r="BL262" s="194"/>
      <c r="BM262" s="578"/>
      <c r="BN262" s="194"/>
      <c r="BO262" s="194"/>
      <c r="BP262" s="194"/>
      <c r="BQ262" s="194"/>
      <c r="BR262" s="578"/>
      <c r="BS262" s="194"/>
      <c r="BT262" s="194"/>
      <c r="BU262" s="194"/>
      <c r="BV262" s="194"/>
      <c r="BW262" s="578"/>
      <c r="BX262" s="194"/>
      <c r="BY262" s="194"/>
      <c r="BZ262" s="194"/>
      <c r="CA262" s="194"/>
      <c r="CB262" s="578"/>
      <c r="CC262" s="194"/>
      <c r="CD262" s="194"/>
      <c r="CE262" s="194"/>
      <c r="CF262" s="194"/>
      <c r="CG262" s="578"/>
      <c r="CH262" s="194"/>
      <c r="CI262" s="194"/>
      <c r="CJ262" s="194"/>
      <c r="CK262" s="194"/>
      <c r="CL262" s="578"/>
      <c r="CM262" s="194"/>
      <c r="CN262" s="194"/>
      <c r="CO262" s="194"/>
      <c r="CP262" s="194"/>
      <c r="CQ262" s="578"/>
    </row>
    <row r="263" spans="5:95" ht="13.5" hidden="1" x14ac:dyDescent="0.25">
      <c r="E263" s="193" t="s">
        <v>271</v>
      </c>
      <c r="F263" s="578"/>
      <c r="G263" s="578"/>
      <c r="H263" s="578"/>
      <c r="I263" s="578"/>
      <c r="J263" s="578"/>
      <c r="K263" s="192"/>
      <c r="L263" s="192"/>
      <c r="M263" s="192"/>
      <c r="N263" s="192"/>
      <c r="O263" s="578"/>
      <c r="P263" s="192"/>
      <c r="Q263" s="192"/>
      <c r="R263" s="192"/>
      <c r="S263" s="192"/>
      <c r="T263" s="578"/>
      <c r="U263" s="192"/>
      <c r="V263" s="192"/>
      <c r="W263" s="192"/>
      <c r="X263" s="192"/>
      <c r="Y263" s="578"/>
      <c r="Z263" s="195"/>
      <c r="AA263" s="195"/>
      <c r="AB263" s="195"/>
      <c r="AC263" s="195"/>
      <c r="AD263" s="578"/>
      <c r="AE263" s="195"/>
      <c r="AF263" s="195"/>
      <c r="AG263" s="195"/>
      <c r="AH263" s="195"/>
      <c r="AI263" s="643"/>
      <c r="AJ263" s="362"/>
      <c r="AK263" s="362"/>
      <c r="AL263" s="362"/>
      <c r="AM263" s="362"/>
      <c r="AN263" s="643"/>
      <c r="AO263" s="365"/>
      <c r="AP263" s="365"/>
      <c r="AQ263" s="365"/>
      <c r="AR263" s="365"/>
      <c r="AS263" s="643"/>
      <c r="AT263" s="201"/>
      <c r="AU263" s="194"/>
      <c r="AV263" s="194"/>
      <c r="AW263" s="194"/>
      <c r="AX263" s="578"/>
      <c r="AY263" s="194"/>
      <c r="AZ263" s="194"/>
      <c r="BA263" s="194"/>
      <c r="BB263" s="194"/>
      <c r="BC263" s="578"/>
      <c r="BD263" s="194"/>
      <c r="BE263" s="194"/>
      <c r="BF263" s="194"/>
      <c r="BG263" s="194"/>
      <c r="BH263" s="578"/>
      <c r="BI263" s="194"/>
      <c r="BJ263" s="194"/>
      <c r="BK263" s="194"/>
      <c r="BL263" s="194"/>
      <c r="BM263" s="578"/>
      <c r="BN263" s="194"/>
      <c r="BO263" s="194"/>
      <c r="BP263" s="194"/>
      <c r="BQ263" s="194"/>
      <c r="BR263" s="578"/>
      <c r="BS263" s="194"/>
      <c r="BT263" s="194"/>
      <c r="BU263" s="194"/>
      <c r="BV263" s="194"/>
      <c r="BW263" s="578"/>
      <c r="BX263" s="194"/>
      <c r="BY263" s="194"/>
      <c r="BZ263" s="194"/>
      <c r="CA263" s="194"/>
      <c r="CB263" s="578"/>
      <c r="CC263" s="194"/>
      <c r="CD263" s="194"/>
      <c r="CE263" s="194"/>
      <c r="CF263" s="194"/>
      <c r="CG263" s="578"/>
      <c r="CH263" s="194"/>
      <c r="CI263" s="194"/>
      <c r="CJ263" s="194"/>
      <c r="CK263" s="194"/>
      <c r="CL263" s="578"/>
      <c r="CM263" s="194"/>
      <c r="CN263" s="194"/>
      <c r="CO263" s="194"/>
      <c r="CP263" s="194"/>
      <c r="CQ263" s="578"/>
    </row>
    <row r="264" spans="5:95" ht="13.5" hidden="1" x14ac:dyDescent="0.25">
      <c r="E264" s="193" t="s">
        <v>272</v>
      </c>
      <c r="F264" s="578"/>
      <c r="G264" s="578"/>
      <c r="H264" s="578"/>
      <c r="I264" s="578"/>
      <c r="J264" s="578"/>
      <c r="K264" s="192"/>
      <c r="L264" s="192"/>
      <c r="M264" s="192"/>
      <c r="N264" s="192"/>
      <c r="O264" s="578"/>
      <c r="P264" s="192"/>
      <c r="Q264" s="192"/>
      <c r="R264" s="192"/>
      <c r="S264" s="192"/>
      <c r="T264" s="578"/>
      <c r="U264" s="192"/>
      <c r="V264" s="192"/>
      <c r="W264" s="192"/>
      <c r="X264" s="192"/>
      <c r="Y264" s="578"/>
      <c r="Z264" s="195"/>
      <c r="AA264" s="195"/>
      <c r="AB264" s="195"/>
      <c r="AC264" s="195"/>
      <c r="AD264" s="578"/>
      <c r="AE264" s="195"/>
      <c r="AF264" s="195"/>
      <c r="AG264" s="195"/>
      <c r="AH264" s="195"/>
      <c r="AI264" s="643"/>
      <c r="AJ264" s="362"/>
      <c r="AK264" s="362"/>
      <c r="AL264" s="362"/>
      <c r="AM264" s="362"/>
      <c r="AN264" s="643"/>
      <c r="AO264" s="365"/>
      <c r="AP264" s="365"/>
      <c r="AQ264" s="365"/>
      <c r="AR264" s="365"/>
      <c r="AS264" s="643"/>
      <c r="AT264" s="194"/>
      <c r="AU264" s="194"/>
      <c r="AV264" s="194"/>
      <c r="AW264" s="194"/>
      <c r="AX264" s="578"/>
      <c r="AY264" s="194"/>
      <c r="AZ264" s="194"/>
      <c r="BA264" s="194"/>
      <c r="BB264" s="194"/>
      <c r="BC264" s="578"/>
      <c r="BD264" s="194"/>
      <c r="BE264" s="194"/>
      <c r="BF264" s="194"/>
      <c r="BG264" s="194"/>
      <c r="BH264" s="578"/>
      <c r="BI264" s="194"/>
      <c r="BJ264" s="194"/>
      <c r="BK264" s="194"/>
      <c r="BL264" s="194"/>
      <c r="BM264" s="578"/>
      <c r="BN264" s="194"/>
      <c r="BO264" s="194"/>
      <c r="BP264" s="194"/>
      <c r="BQ264" s="194"/>
      <c r="BR264" s="578"/>
      <c r="BS264" s="194"/>
      <c r="BT264" s="194"/>
      <c r="BU264" s="194"/>
      <c r="BV264" s="194"/>
      <c r="BW264" s="578"/>
      <c r="BX264" s="194"/>
      <c r="BY264" s="194"/>
      <c r="BZ264" s="194"/>
      <c r="CA264" s="194"/>
      <c r="CB264" s="578"/>
      <c r="CC264" s="194"/>
      <c r="CD264" s="194"/>
      <c r="CE264" s="194"/>
      <c r="CF264" s="194"/>
      <c r="CG264" s="578"/>
      <c r="CH264" s="194"/>
      <c r="CI264" s="194"/>
      <c r="CJ264" s="194"/>
      <c r="CK264" s="194"/>
      <c r="CL264" s="578"/>
      <c r="CM264" s="194"/>
      <c r="CN264" s="194"/>
      <c r="CO264" s="194"/>
      <c r="CP264" s="194"/>
      <c r="CQ264" s="578"/>
    </row>
    <row r="265" spans="5:95" ht="13.5" hidden="1" x14ac:dyDescent="0.25">
      <c r="E265" s="193" t="s">
        <v>273</v>
      </c>
      <c r="F265" s="578"/>
      <c r="G265" s="578"/>
      <c r="H265" s="578"/>
      <c r="I265" s="578"/>
      <c r="J265" s="578"/>
      <c r="K265" s="192"/>
      <c r="L265" s="192"/>
      <c r="M265" s="192"/>
      <c r="N265" s="192"/>
      <c r="O265" s="578"/>
      <c r="P265" s="192"/>
      <c r="Q265" s="192"/>
      <c r="R265" s="192"/>
      <c r="S265" s="192"/>
      <c r="T265" s="578"/>
      <c r="U265" s="192"/>
      <c r="V265" s="192"/>
      <c r="W265" s="192"/>
      <c r="X265" s="192"/>
      <c r="Y265" s="578"/>
      <c r="Z265" s="195"/>
      <c r="AA265" s="195"/>
      <c r="AB265" s="195"/>
      <c r="AC265" s="195"/>
      <c r="AD265" s="578"/>
      <c r="AE265" s="195"/>
      <c r="AF265" s="195"/>
      <c r="AG265" s="195"/>
      <c r="AH265" s="195"/>
      <c r="AI265" s="643"/>
      <c r="AJ265" s="362"/>
      <c r="AK265" s="362"/>
      <c r="AL265" s="362"/>
      <c r="AM265" s="362"/>
      <c r="AN265" s="643"/>
      <c r="AO265" s="365"/>
      <c r="AP265" s="365"/>
      <c r="AQ265" s="365"/>
      <c r="AR265" s="365"/>
      <c r="AS265" s="643"/>
      <c r="AT265" s="194"/>
      <c r="AU265" s="194"/>
      <c r="AV265" s="194"/>
      <c r="AW265" s="194"/>
      <c r="AX265" s="578"/>
      <c r="AY265" s="194"/>
      <c r="AZ265" s="194"/>
      <c r="BA265" s="194"/>
      <c r="BB265" s="194"/>
      <c r="BC265" s="578"/>
      <c r="BD265" s="194"/>
      <c r="BE265" s="194"/>
      <c r="BF265" s="194"/>
      <c r="BG265" s="194"/>
      <c r="BH265" s="578"/>
      <c r="BI265" s="194"/>
      <c r="BJ265" s="194"/>
      <c r="BK265" s="194"/>
      <c r="BL265" s="194"/>
      <c r="BM265" s="578"/>
      <c r="BN265" s="194"/>
      <c r="BO265" s="194"/>
      <c r="BP265" s="194"/>
      <c r="BQ265" s="194"/>
      <c r="BR265" s="578"/>
      <c r="BS265" s="194"/>
      <c r="BT265" s="194"/>
      <c r="BU265" s="194"/>
      <c r="BV265" s="194"/>
      <c r="BW265" s="578"/>
      <c r="BX265" s="194"/>
      <c r="BY265" s="194"/>
      <c r="BZ265" s="194"/>
      <c r="CA265" s="194"/>
      <c r="CB265" s="578"/>
      <c r="CC265" s="194"/>
      <c r="CD265" s="194"/>
      <c r="CE265" s="194"/>
      <c r="CF265" s="194"/>
      <c r="CG265" s="578"/>
      <c r="CH265" s="194"/>
      <c r="CI265" s="194"/>
      <c r="CJ265" s="194"/>
      <c r="CK265" s="194"/>
      <c r="CL265" s="578"/>
      <c r="CM265" s="194"/>
      <c r="CN265" s="194"/>
      <c r="CO265" s="194"/>
      <c r="CP265" s="194"/>
      <c r="CQ265" s="578"/>
    </row>
    <row r="266" spans="5:95" ht="13.5" hidden="1" x14ac:dyDescent="0.25">
      <c r="E266" s="193" t="s">
        <v>274</v>
      </c>
      <c r="F266" s="578"/>
      <c r="G266" s="578"/>
      <c r="H266" s="578"/>
      <c r="I266" s="578"/>
      <c r="J266" s="578"/>
      <c r="K266" s="192"/>
      <c r="L266" s="192"/>
      <c r="M266" s="192"/>
      <c r="N266" s="192"/>
      <c r="O266" s="578"/>
      <c r="P266" s="192"/>
      <c r="Q266" s="192"/>
      <c r="R266" s="192"/>
      <c r="S266" s="192"/>
      <c r="T266" s="578"/>
      <c r="U266" s="192"/>
      <c r="V266" s="192"/>
      <c r="W266" s="192"/>
      <c r="X266" s="192"/>
      <c r="Y266" s="578"/>
      <c r="Z266" s="195"/>
      <c r="AA266" s="195"/>
      <c r="AB266" s="195"/>
      <c r="AC266" s="195"/>
      <c r="AD266" s="578"/>
      <c r="AE266" s="195"/>
      <c r="AF266" s="195"/>
      <c r="AG266" s="195"/>
      <c r="AH266" s="195"/>
      <c r="AI266" s="643"/>
      <c r="AJ266" s="362"/>
      <c r="AK266" s="362"/>
      <c r="AL266" s="362"/>
      <c r="AM266" s="362"/>
      <c r="AN266" s="643"/>
      <c r="AO266" s="365"/>
      <c r="AP266" s="365"/>
      <c r="AQ266" s="365"/>
      <c r="AR266" s="365"/>
      <c r="AS266" s="643"/>
      <c r="AT266" s="194"/>
      <c r="AU266" s="194"/>
      <c r="AV266" s="194"/>
      <c r="AW266" s="194"/>
      <c r="AX266" s="578"/>
      <c r="AY266" s="194"/>
      <c r="AZ266" s="194"/>
      <c r="BA266" s="194"/>
      <c r="BB266" s="194"/>
      <c r="BC266" s="578"/>
      <c r="BD266" s="194"/>
      <c r="BE266" s="194"/>
      <c r="BF266" s="194"/>
      <c r="BG266" s="194"/>
      <c r="BH266" s="578"/>
      <c r="BI266" s="194"/>
      <c r="BJ266" s="194"/>
      <c r="BK266" s="194"/>
      <c r="BL266" s="194"/>
      <c r="BM266" s="578"/>
      <c r="BN266" s="194"/>
      <c r="BO266" s="194"/>
      <c r="BP266" s="194"/>
      <c r="BQ266" s="194"/>
      <c r="BR266" s="578"/>
      <c r="BS266" s="194"/>
      <c r="BT266" s="194"/>
      <c r="BU266" s="194"/>
      <c r="BV266" s="194"/>
      <c r="BW266" s="578"/>
      <c r="BX266" s="194"/>
      <c r="BY266" s="194"/>
      <c r="BZ266" s="194"/>
      <c r="CA266" s="194"/>
      <c r="CB266" s="578"/>
      <c r="CC266" s="194"/>
      <c r="CD266" s="194"/>
      <c r="CE266" s="194"/>
      <c r="CF266" s="194"/>
      <c r="CG266" s="578"/>
      <c r="CH266" s="194"/>
      <c r="CI266" s="194"/>
      <c r="CJ266" s="194"/>
      <c r="CK266" s="194"/>
      <c r="CL266" s="578"/>
      <c r="CM266" s="194"/>
      <c r="CN266" s="194"/>
      <c r="CO266" s="194"/>
      <c r="CP266" s="194"/>
      <c r="CQ266" s="578"/>
    </row>
    <row r="267" spans="5:95" ht="13.5" hidden="1" x14ac:dyDescent="0.25">
      <c r="E267" s="193" t="s">
        <v>278</v>
      </c>
      <c r="F267" s="578"/>
      <c r="G267" s="578"/>
      <c r="H267" s="578"/>
      <c r="I267" s="578"/>
      <c r="J267" s="578"/>
      <c r="K267" s="192"/>
      <c r="L267" s="192"/>
      <c r="M267" s="192"/>
      <c r="N267" s="192"/>
      <c r="O267" s="578"/>
      <c r="P267" s="192"/>
      <c r="Q267" s="192"/>
      <c r="R267" s="192"/>
      <c r="S267" s="192"/>
      <c r="T267" s="578"/>
      <c r="U267" s="192"/>
      <c r="V267" s="192"/>
      <c r="W267" s="192"/>
      <c r="X267" s="192"/>
      <c r="Y267" s="578"/>
      <c r="Z267" s="195"/>
      <c r="AA267" s="195"/>
      <c r="AB267" s="195"/>
      <c r="AC267" s="195"/>
      <c r="AD267" s="578"/>
      <c r="AE267" s="195"/>
      <c r="AF267" s="195"/>
      <c r="AG267" s="195"/>
      <c r="AH267" s="195"/>
      <c r="AI267" s="643"/>
      <c r="AJ267" s="362"/>
      <c r="AK267" s="362"/>
      <c r="AL267" s="362"/>
      <c r="AM267" s="362"/>
      <c r="AN267" s="643"/>
      <c r="AO267" s="365"/>
      <c r="AP267" s="365"/>
      <c r="AQ267" s="365"/>
      <c r="AR267" s="365"/>
      <c r="AS267" s="643"/>
      <c r="AT267" s="194"/>
      <c r="AU267" s="194"/>
      <c r="AV267" s="194"/>
      <c r="AW267" s="194"/>
      <c r="AX267" s="578"/>
      <c r="AY267" s="194"/>
      <c r="AZ267" s="194"/>
      <c r="BA267" s="194"/>
      <c r="BB267" s="194"/>
      <c r="BC267" s="578"/>
      <c r="BD267" s="194"/>
      <c r="BE267" s="194"/>
      <c r="BF267" s="194"/>
      <c r="BG267" s="194"/>
      <c r="BH267" s="578"/>
      <c r="BI267" s="194"/>
      <c r="BJ267" s="194"/>
      <c r="BK267" s="194"/>
      <c r="BL267" s="194"/>
      <c r="BM267" s="578"/>
      <c r="BN267" s="194"/>
      <c r="BO267" s="194"/>
      <c r="BP267" s="194"/>
      <c r="BQ267" s="194"/>
      <c r="BR267" s="578"/>
      <c r="BS267" s="194"/>
      <c r="BT267" s="194"/>
      <c r="BU267" s="194"/>
      <c r="BV267" s="194"/>
      <c r="BW267" s="578"/>
      <c r="BX267" s="194"/>
      <c r="BY267" s="194"/>
      <c r="BZ267" s="194"/>
      <c r="CA267" s="194"/>
      <c r="CB267" s="578"/>
      <c r="CC267" s="194"/>
      <c r="CD267" s="194"/>
      <c r="CE267" s="194"/>
      <c r="CF267" s="194"/>
      <c r="CG267" s="578"/>
      <c r="CH267" s="194"/>
      <c r="CI267" s="194"/>
      <c r="CJ267" s="194"/>
      <c r="CK267" s="194"/>
      <c r="CL267" s="578"/>
      <c r="CM267" s="194"/>
      <c r="CN267" s="194"/>
      <c r="CO267" s="194"/>
      <c r="CP267" s="194"/>
      <c r="CQ267" s="578"/>
    </row>
    <row r="268" spans="5:95" ht="13.5" hidden="1" x14ac:dyDescent="0.25">
      <c r="E268" s="194" t="s">
        <v>275</v>
      </c>
      <c r="F268" s="578"/>
      <c r="G268" s="578"/>
      <c r="H268" s="578"/>
      <c r="I268" s="578"/>
      <c r="J268" s="578"/>
      <c r="K268" s="192"/>
      <c r="L268" s="192"/>
      <c r="M268" s="192"/>
      <c r="N268" s="192"/>
      <c r="O268" s="578"/>
      <c r="P268" s="192"/>
      <c r="Q268" s="192"/>
      <c r="R268" s="192"/>
      <c r="S268" s="192"/>
      <c r="T268" s="578"/>
      <c r="U268" s="192"/>
      <c r="V268" s="192"/>
      <c r="W268" s="192"/>
      <c r="X268" s="192"/>
      <c r="Y268" s="578"/>
      <c r="Z268" s="195"/>
      <c r="AA268" s="195"/>
      <c r="AB268" s="195"/>
      <c r="AC268" s="195"/>
      <c r="AD268" s="578"/>
      <c r="AE268" s="195"/>
      <c r="AF268" s="195"/>
      <c r="AG268" s="195"/>
      <c r="AH268" s="195"/>
      <c r="AI268" s="643"/>
      <c r="AJ268" s="362"/>
      <c r="AK268" s="362"/>
      <c r="AL268" s="362"/>
      <c r="AM268" s="362"/>
      <c r="AN268" s="643"/>
      <c r="AO268" s="362"/>
      <c r="AP268" s="362"/>
      <c r="AQ268" s="362"/>
      <c r="AR268" s="361"/>
      <c r="AS268" s="643"/>
      <c r="AT268" s="194"/>
      <c r="AU268" s="194"/>
      <c r="AV268" s="194"/>
      <c r="AW268" s="194"/>
      <c r="AX268" s="578"/>
      <c r="AY268" s="194"/>
      <c r="AZ268" s="194"/>
      <c r="BA268" s="194"/>
      <c r="BB268" s="194"/>
      <c r="BC268" s="578"/>
      <c r="BD268" s="194"/>
      <c r="BE268" s="194"/>
      <c r="BF268" s="194"/>
      <c r="BG268" s="194"/>
      <c r="BH268" s="578"/>
      <c r="BI268" s="194"/>
      <c r="BJ268" s="194"/>
      <c r="BK268" s="194"/>
      <c r="BL268" s="194"/>
      <c r="BM268" s="578"/>
      <c r="BN268" s="194"/>
      <c r="BO268" s="194"/>
      <c r="BP268" s="194"/>
      <c r="BQ268" s="194"/>
      <c r="BR268" s="578"/>
      <c r="BS268" s="194"/>
      <c r="BT268" s="194"/>
      <c r="BU268" s="194"/>
      <c r="BV268" s="194"/>
      <c r="BW268" s="578"/>
      <c r="BX268" s="194"/>
      <c r="BY268" s="194"/>
      <c r="BZ268" s="194"/>
      <c r="CA268" s="194"/>
      <c r="CB268" s="578"/>
      <c r="CC268" s="194"/>
      <c r="CD268" s="194"/>
      <c r="CE268" s="194"/>
      <c r="CF268" s="194"/>
      <c r="CG268" s="578"/>
      <c r="CH268" s="194"/>
      <c r="CI268" s="194"/>
      <c r="CJ268" s="194"/>
      <c r="CK268" s="194"/>
      <c r="CL268" s="578"/>
      <c r="CM268" s="194"/>
      <c r="CN268" s="194"/>
      <c r="CO268" s="194"/>
      <c r="CP268" s="194"/>
      <c r="CQ268" s="578"/>
    </row>
    <row r="269" spans="5:95" ht="13.5" hidden="1" x14ac:dyDescent="0.25">
      <c r="E269" s="194" t="s">
        <v>276</v>
      </c>
      <c r="F269" s="578"/>
      <c r="G269" s="578"/>
      <c r="H269" s="578"/>
      <c r="I269" s="578"/>
      <c r="J269" s="578"/>
      <c r="K269" s="192"/>
      <c r="L269" s="192"/>
      <c r="M269" s="192"/>
      <c r="N269" s="192"/>
      <c r="O269" s="578"/>
      <c r="P269" s="192"/>
      <c r="Q269" s="192"/>
      <c r="R269" s="192"/>
      <c r="S269" s="192"/>
      <c r="T269" s="578"/>
      <c r="U269" s="192"/>
      <c r="V269" s="192"/>
      <c r="W269" s="192"/>
      <c r="X269" s="192"/>
      <c r="Y269" s="578"/>
      <c r="Z269" s="195"/>
      <c r="AA269" s="195"/>
      <c r="AB269" s="195"/>
      <c r="AC269" s="195"/>
      <c r="AD269" s="578"/>
      <c r="AE269" s="195"/>
      <c r="AF269" s="195"/>
      <c r="AG269" s="195"/>
      <c r="AH269" s="195"/>
      <c r="AI269" s="643"/>
      <c r="AJ269" s="362"/>
      <c r="AK269" s="362"/>
      <c r="AL269" s="362"/>
      <c r="AM269" s="362"/>
      <c r="AN269" s="643"/>
      <c r="AO269" s="362"/>
      <c r="AP269" s="362"/>
      <c r="AQ269" s="362"/>
      <c r="AR269" s="361"/>
      <c r="AS269" s="643"/>
      <c r="AT269" s="194"/>
      <c r="AU269" s="194"/>
      <c r="AV269" s="194"/>
      <c r="AW269" s="194"/>
      <c r="AX269" s="578"/>
      <c r="AY269" s="194"/>
      <c r="AZ269" s="194"/>
      <c r="BA269" s="194"/>
      <c r="BB269" s="194"/>
      <c r="BC269" s="578"/>
      <c r="BD269" s="194"/>
      <c r="BE269" s="194"/>
      <c r="BF269" s="194"/>
      <c r="BG269" s="194"/>
      <c r="BH269" s="578"/>
      <c r="BI269" s="194"/>
      <c r="BJ269" s="194"/>
      <c r="BK269" s="194"/>
      <c r="BL269" s="194"/>
      <c r="BM269" s="578"/>
      <c r="BN269" s="194"/>
      <c r="BO269" s="194"/>
      <c r="BP269" s="194"/>
      <c r="BQ269" s="194"/>
      <c r="BR269" s="578"/>
      <c r="BS269" s="194"/>
      <c r="BT269" s="194"/>
      <c r="BU269" s="194"/>
      <c r="BV269" s="194"/>
      <c r="BW269" s="578"/>
      <c r="BX269" s="194"/>
      <c r="BY269" s="194"/>
      <c r="BZ269" s="194"/>
      <c r="CA269" s="194"/>
      <c r="CB269" s="578"/>
      <c r="CC269" s="194"/>
      <c r="CD269" s="194"/>
      <c r="CE269" s="194"/>
      <c r="CF269" s="194"/>
      <c r="CG269" s="578"/>
      <c r="CH269" s="194"/>
      <c r="CI269" s="194"/>
      <c r="CJ269" s="194"/>
      <c r="CK269" s="194"/>
      <c r="CL269" s="578"/>
      <c r="CM269" s="194"/>
      <c r="CN269" s="194"/>
      <c r="CO269" s="194"/>
      <c r="CP269" s="194"/>
      <c r="CQ269" s="578"/>
    </row>
    <row r="270" spans="5:95" ht="13.5" hidden="1" x14ac:dyDescent="0.25">
      <c r="E270" s="194" t="s">
        <v>277</v>
      </c>
      <c r="F270" s="578"/>
      <c r="G270" s="578"/>
      <c r="H270" s="578"/>
      <c r="I270" s="578"/>
      <c r="J270" s="578"/>
      <c r="K270" s="192"/>
      <c r="L270" s="192"/>
      <c r="M270" s="192"/>
      <c r="N270" s="192"/>
      <c r="O270" s="578"/>
      <c r="P270" s="192"/>
      <c r="Q270" s="192"/>
      <c r="R270" s="192"/>
      <c r="S270" s="192"/>
      <c r="T270" s="578"/>
      <c r="U270" s="192"/>
      <c r="V270" s="192"/>
      <c r="W270" s="192"/>
      <c r="X270" s="192"/>
      <c r="Y270" s="578"/>
      <c r="Z270" s="195"/>
      <c r="AA270" s="195"/>
      <c r="AB270" s="195"/>
      <c r="AC270" s="195"/>
      <c r="AD270" s="578"/>
      <c r="AE270" s="195"/>
      <c r="AF270" s="195"/>
      <c r="AG270" s="195"/>
      <c r="AH270" s="195"/>
      <c r="AI270" s="643"/>
      <c r="AJ270" s="363"/>
      <c r="AK270" s="363"/>
      <c r="AL270" s="363"/>
      <c r="AM270" s="363"/>
      <c r="AN270" s="643"/>
      <c r="AO270" s="363"/>
      <c r="AP270" s="363"/>
      <c r="AQ270" s="363"/>
      <c r="AR270" s="363"/>
      <c r="AS270" s="643"/>
      <c r="AT270" s="194"/>
      <c r="AU270" s="194"/>
      <c r="AV270" s="194"/>
      <c r="AW270" s="194"/>
      <c r="AX270" s="578"/>
      <c r="AY270" s="194"/>
      <c r="AZ270" s="194"/>
      <c r="BA270" s="194"/>
      <c r="BB270" s="194"/>
      <c r="BC270" s="578"/>
      <c r="BD270" s="194"/>
      <c r="BE270" s="194"/>
      <c r="BF270" s="194"/>
      <c r="BG270" s="194"/>
      <c r="BH270" s="578"/>
      <c r="BI270" s="194"/>
      <c r="BJ270" s="194"/>
      <c r="BK270" s="194"/>
      <c r="BL270" s="194"/>
      <c r="BM270" s="578"/>
      <c r="BN270" s="194"/>
      <c r="BO270" s="194"/>
      <c r="BP270" s="194"/>
      <c r="BQ270" s="194"/>
      <c r="BR270" s="578"/>
      <c r="BS270" s="194"/>
      <c r="BT270" s="194"/>
      <c r="BU270" s="194"/>
      <c r="BV270" s="194"/>
      <c r="BW270" s="578"/>
      <c r="BX270" s="194"/>
      <c r="BY270" s="194"/>
      <c r="BZ270" s="194"/>
      <c r="CA270" s="194"/>
      <c r="CB270" s="578"/>
      <c r="CC270" s="194"/>
      <c r="CD270" s="194"/>
      <c r="CE270" s="194"/>
      <c r="CF270" s="194"/>
      <c r="CG270" s="578"/>
      <c r="CH270" s="194"/>
      <c r="CI270" s="194"/>
      <c r="CJ270" s="194"/>
      <c r="CK270" s="194"/>
      <c r="CL270" s="578"/>
      <c r="CM270" s="194"/>
      <c r="CN270" s="194"/>
      <c r="CO270" s="194"/>
      <c r="CP270" s="194"/>
      <c r="CQ270" s="578"/>
    </row>
    <row r="271" spans="5:95" ht="13.5" hidden="1" x14ac:dyDescent="0.25">
      <c r="E271" s="194"/>
      <c r="F271" s="578"/>
      <c r="G271" s="578"/>
      <c r="H271" s="578"/>
      <c r="I271" s="578"/>
      <c r="J271" s="578"/>
      <c r="K271" s="192"/>
      <c r="L271" s="192"/>
      <c r="M271" s="192"/>
      <c r="N271" s="192"/>
      <c r="O271" s="578"/>
      <c r="P271" s="192"/>
      <c r="Q271" s="192"/>
      <c r="R271" s="192"/>
      <c r="S271" s="192"/>
      <c r="T271" s="578"/>
      <c r="U271" s="192"/>
      <c r="V271" s="192"/>
      <c r="W271" s="192"/>
      <c r="X271" s="192"/>
      <c r="Y271" s="578"/>
      <c r="Z271" s="195"/>
      <c r="AA271" s="195"/>
      <c r="AB271" s="195"/>
      <c r="AC271" s="195"/>
      <c r="AD271" s="578"/>
      <c r="AE271" s="195"/>
      <c r="AF271" s="195"/>
      <c r="AG271" s="195"/>
      <c r="AH271" s="195"/>
      <c r="AI271" s="584"/>
      <c r="AJ271" s="195"/>
      <c r="AK271" s="195"/>
      <c r="AL271" s="195"/>
      <c r="AM271" s="195"/>
      <c r="AN271" s="584"/>
      <c r="AO271" s="195"/>
      <c r="AP271" s="195"/>
      <c r="AQ271" s="195"/>
      <c r="AR271" s="195"/>
      <c r="AS271" s="584"/>
      <c r="AT271" s="194"/>
      <c r="AU271" s="194"/>
      <c r="AV271" s="194"/>
      <c r="AW271" s="194"/>
      <c r="AX271" s="578"/>
      <c r="AY271" s="194"/>
      <c r="AZ271" s="194"/>
      <c r="BA271" s="194"/>
      <c r="BB271" s="194"/>
      <c r="BC271" s="578"/>
      <c r="BD271" s="194"/>
      <c r="BE271" s="194"/>
      <c r="BF271" s="194"/>
      <c r="BG271" s="194"/>
      <c r="BH271" s="578"/>
      <c r="BI271" s="194"/>
      <c r="BJ271" s="194"/>
      <c r="BK271" s="194"/>
      <c r="BL271" s="194"/>
      <c r="BM271" s="578"/>
      <c r="BN271" s="194"/>
      <c r="BO271" s="194"/>
      <c r="BP271" s="194"/>
      <c r="BQ271" s="194"/>
      <c r="BR271" s="578"/>
      <c r="BS271" s="194"/>
      <c r="BT271" s="194"/>
      <c r="BU271" s="194"/>
      <c r="BV271" s="194"/>
      <c r="BW271" s="578"/>
      <c r="BX271" s="194"/>
      <c r="BY271" s="194"/>
      <c r="BZ271" s="194"/>
      <c r="CA271" s="194"/>
      <c r="CB271" s="578"/>
      <c r="CC271" s="194"/>
      <c r="CD271" s="194"/>
      <c r="CE271" s="194"/>
      <c r="CF271" s="194"/>
      <c r="CG271" s="578"/>
      <c r="CH271" s="194"/>
      <c r="CI271" s="194"/>
      <c r="CJ271" s="194"/>
      <c r="CK271" s="194"/>
      <c r="CL271" s="578"/>
      <c r="CM271" s="194"/>
      <c r="CN271" s="194"/>
      <c r="CO271" s="194"/>
      <c r="CP271" s="194"/>
      <c r="CQ271" s="578"/>
    </row>
    <row r="272" spans="5:95" ht="13.5" hidden="1" x14ac:dyDescent="0.25">
      <c r="E272" s="352" t="s">
        <v>288</v>
      </c>
      <c r="F272" s="578"/>
      <c r="G272" s="578"/>
      <c r="H272" s="578"/>
      <c r="I272" s="578"/>
      <c r="J272" s="578"/>
      <c r="K272" s="192"/>
      <c r="L272" s="192"/>
      <c r="M272" s="192"/>
      <c r="N272" s="192"/>
      <c r="O272" s="578"/>
      <c r="P272" s="192"/>
      <c r="Q272" s="192"/>
      <c r="R272" s="192"/>
      <c r="S272" s="192"/>
      <c r="T272" s="578"/>
      <c r="U272" s="192"/>
      <c r="V272" s="192"/>
      <c r="W272" s="192"/>
      <c r="X272" s="192"/>
      <c r="Y272" s="578"/>
      <c r="Z272" s="195"/>
      <c r="AA272" s="195"/>
      <c r="AB272" s="195"/>
      <c r="AC272" s="195"/>
      <c r="AD272" s="578"/>
      <c r="AE272" s="195"/>
      <c r="AF272" s="195"/>
      <c r="AG272" s="195"/>
      <c r="AH272" s="195"/>
      <c r="AI272" s="584"/>
      <c r="AJ272" s="195"/>
      <c r="AK272" s="195"/>
      <c r="AL272" s="195"/>
      <c r="AM272" s="195"/>
      <c r="AN272" s="584"/>
      <c r="AO272" s="195"/>
      <c r="AP272" s="195"/>
      <c r="AQ272" s="195"/>
      <c r="AR272" s="195"/>
      <c r="AS272" s="578"/>
      <c r="AT272" s="194"/>
      <c r="AU272" s="194"/>
      <c r="AV272" s="194"/>
      <c r="AW272" s="194"/>
      <c r="AX272" s="578"/>
      <c r="AY272" s="194"/>
      <c r="AZ272" s="194"/>
      <c r="BA272" s="194"/>
      <c r="BB272" s="194"/>
      <c r="BC272" s="578"/>
      <c r="BD272" s="194"/>
      <c r="BE272" s="194"/>
      <c r="BF272" s="194"/>
      <c r="BG272" s="194"/>
      <c r="BH272" s="578"/>
      <c r="BI272" s="194"/>
      <c r="BJ272" s="194"/>
      <c r="BK272" s="194"/>
      <c r="BL272" s="194"/>
      <c r="BM272" s="578"/>
      <c r="BN272" s="194"/>
      <c r="BO272" s="194"/>
      <c r="BP272" s="194"/>
      <c r="BQ272" s="194"/>
      <c r="BR272" s="578"/>
      <c r="BS272" s="194"/>
      <c r="BT272" s="194"/>
      <c r="BU272" s="194"/>
      <c r="BV272" s="194"/>
      <c r="BW272" s="578"/>
      <c r="BX272" s="194"/>
      <c r="BY272" s="194"/>
      <c r="BZ272" s="194"/>
      <c r="CA272" s="194"/>
      <c r="CB272" s="578"/>
      <c r="CC272" s="194"/>
      <c r="CD272" s="194"/>
      <c r="CE272" s="194"/>
      <c r="CF272" s="194"/>
      <c r="CG272" s="578"/>
      <c r="CH272" s="194"/>
      <c r="CI272" s="194"/>
      <c r="CJ272" s="194"/>
      <c r="CK272" s="194"/>
      <c r="CL272" s="578"/>
      <c r="CM272" s="194"/>
      <c r="CN272" s="194"/>
      <c r="CO272" s="194"/>
      <c r="CP272" s="194"/>
      <c r="CQ272" s="578"/>
    </row>
    <row r="273" spans="5:95" hidden="1" x14ac:dyDescent="0.25">
      <c r="E273" s="194" t="s">
        <v>279</v>
      </c>
      <c r="F273" s="578"/>
      <c r="G273" s="578"/>
      <c r="H273" s="578"/>
      <c r="I273" s="578"/>
      <c r="J273" s="578"/>
      <c r="K273" s="192"/>
      <c r="L273" s="192"/>
      <c r="M273" s="192"/>
      <c r="N273" s="192"/>
      <c r="O273" s="578"/>
      <c r="P273" s="192"/>
      <c r="Q273" s="192"/>
      <c r="R273" s="192"/>
      <c r="S273" s="192"/>
      <c r="T273" s="578"/>
      <c r="U273" s="192"/>
      <c r="V273" s="192"/>
      <c r="W273" s="192"/>
      <c r="X273" s="192"/>
      <c r="Y273" s="578"/>
      <c r="Z273" s="195"/>
      <c r="AA273" s="195"/>
      <c r="AB273" s="195"/>
      <c r="AC273" s="195"/>
      <c r="AD273" s="578"/>
      <c r="AE273" s="195"/>
      <c r="AF273" s="195"/>
      <c r="AG273" s="195"/>
      <c r="AH273" s="195"/>
      <c r="AI273" s="585">
        <v>327</v>
      </c>
      <c r="AJ273" s="196"/>
      <c r="AK273" s="194"/>
      <c r="AL273" s="194"/>
      <c r="AM273" s="194"/>
      <c r="AN273" s="585">
        <v>303</v>
      </c>
      <c r="AO273" s="195"/>
      <c r="AP273" s="195"/>
      <c r="AQ273" s="195"/>
      <c r="AR273" s="410"/>
      <c r="AS273" s="578"/>
      <c r="AT273" s="194"/>
      <c r="AU273" s="194"/>
      <c r="AV273" s="194"/>
      <c r="AW273" s="194"/>
      <c r="AX273" s="578"/>
      <c r="AY273" s="194"/>
      <c r="AZ273" s="194"/>
      <c r="BA273" s="194"/>
      <c r="BB273" s="194"/>
      <c r="BC273" s="578"/>
      <c r="BD273" s="194"/>
      <c r="BE273" s="194"/>
      <c r="BF273" s="194"/>
      <c r="BG273" s="194"/>
      <c r="BH273" s="578"/>
      <c r="BI273" s="194"/>
      <c r="BJ273" s="194"/>
      <c r="BK273" s="194"/>
      <c r="BL273" s="194"/>
      <c r="BM273" s="578"/>
      <c r="BN273" s="194"/>
      <c r="BO273" s="194"/>
      <c r="BP273" s="194"/>
      <c r="BQ273" s="194"/>
      <c r="BR273" s="578"/>
      <c r="BS273" s="194"/>
      <c r="BT273" s="194"/>
      <c r="BU273" s="194"/>
      <c r="BV273" s="194"/>
      <c r="BW273" s="578"/>
      <c r="BX273" s="194"/>
      <c r="BY273" s="194"/>
      <c r="BZ273" s="194"/>
      <c r="CA273" s="194"/>
      <c r="CB273" s="578"/>
      <c r="CC273" s="194"/>
      <c r="CD273" s="194"/>
      <c r="CE273" s="194"/>
      <c r="CF273" s="194"/>
      <c r="CG273" s="578"/>
      <c r="CH273" s="194"/>
      <c r="CI273" s="194"/>
      <c r="CJ273" s="194"/>
      <c r="CK273" s="194"/>
      <c r="CL273" s="578"/>
      <c r="CM273" s="194"/>
      <c r="CN273" s="194"/>
      <c r="CO273" s="194"/>
      <c r="CP273" s="194"/>
      <c r="CQ273" s="578"/>
    </row>
    <row r="274" spans="5:95" hidden="1" x14ac:dyDescent="0.25">
      <c r="E274" s="194" t="s">
        <v>280</v>
      </c>
      <c r="F274" s="578"/>
      <c r="G274" s="578"/>
      <c r="H274" s="578"/>
      <c r="I274" s="578"/>
      <c r="J274" s="578"/>
      <c r="K274" s="192"/>
      <c r="L274" s="192"/>
      <c r="M274" s="192"/>
      <c r="N274" s="192"/>
      <c r="O274" s="578"/>
      <c r="P274" s="192"/>
      <c r="Q274" s="192"/>
      <c r="R274" s="192"/>
      <c r="S274" s="192"/>
      <c r="T274" s="578"/>
      <c r="U274" s="192"/>
      <c r="V274" s="192"/>
      <c r="W274" s="192"/>
      <c r="X274" s="192"/>
      <c r="Y274" s="578"/>
      <c r="Z274" s="195"/>
      <c r="AA274" s="195"/>
      <c r="AB274" s="195"/>
      <c r="AC274" s="195"/>
      <c r="AD274" s="578"/>
      <c r="AE274" s="195"/>
      <c r="AF274" s="195"/>
      <c r="AG274" s="195"/>
      <c r="AH274" s="195"/>
      <c r="AI274" s="586">
        <v>95</v>
      </c>
      <c r="AJ274" s="196"/>
      <c r="AK274" s="194"/>
      <c r="AL274" s="194"/>
      <c r="AM274" s="194"/>
      <c r="AN274" s="586">
        <v>88</v>
      </c>
      <c r="AO274" s="195"/>
      <c r="AP274" s="195"/>
      <c r="AQ274" s="195"/>
      <c r="AR274" s="410"/>
      <c r="AS274" s="578"/>
      <c r="AT274" s="194"/>
      <c r="AU274" s="194"/>
      <c r="AV274" s="194"/>
      <c r="AW274" s="194"/>
      <c r="AX274" s="578"/>
      <c r="AY274" s="194"/>
      <c r="AZ274" s="194"/>
      <c r="BA274" s="194"/>
      <c r="BB274" s="194"/>
      <c r="BC274" s="578"/>
      <c r="BD274" s="194"/>
      <c r="BE274" s="194"/>
      <c r="BF274" s="194"/>
      <c r="BG274" s="194"/>
      <c r="BH274" s="578"/>
      <c r="BI274" s="194"/>
      <c r="BJ274" s="194"/>
      <c r="BK274" s="194"/>
      <c r="BL274" s="194"/>
      <c r="BM274" s="578"/>
      <c r="BN274" s="194"/>
      <c r="BO274" s="194"/>
      <c r="BP274" s="194"/>
      <c r="BQ274" s="194"/>
      <c r="BR274" s="578"/>
      <c r="BS274" s="194"/>
      <c r="BT274" s="194"/>
      <c r="BU274" s="194"/>
      <c r="BV274" s="194"/>
      <c r="BW274" s="578"/>
      <c r="BX274" s="194"/>
      <c r="BY274" s="194"/>
      <c r="BZ274" s="194"/>
      <c r="CA274" s="194"/>
      <c r="CB274" s="578"/>
      <c r="CC274" s="194"/>
      <c r="CD274" s="194"/>
      <c r="CE274" s="194"/>
      <c r="CF274" s="194"/>
      <c r="CG274" s="578"/>
      <c r="CH274" s="194"/>
      <c r="CI274" s="194"/>
      <c r="CJ274" s="194"/>
      <c r="CK274" s="194"/>
      <c r="CL274" s="578"/>
      <c r="CM274" s="194"/>
      <c r="CN274" s="194"/>
      <c r="CO274" s="194"/>
      <c r="CP274" s="194"/>
      <c r="CQ274" s="578"/>
    </row>
    <row r="275" spans="5:95" ht="13.5" hidden="1" x14ac:dyDescent="0.25">
      <c r="E275" s="194" t="s">
        <v>281</v>
      </c>
      <c r="F275" s="578"/>
      <c r="G275" s="578"/>
      <c r="H275" s="578"/>
      <c r="I275" s="578"/>
      <c r="J275" s="578"/>
      <c r="K275" s="192"/>
      <c r="L275" s="192"/>
      <c r="M275" s="192"/>
      <c r="N275" s="192"/>
      <c r="O275" s="578"/>
      <c r="P275" s="192"/>
      <c r="Q275" s="192"/>
      <c r="R275" s="192"/>
      <c r="S275" s="192"/>
      <c r="T275" s="578"/>
      <c r="U275" s="192"/>
      <c r="V275" s="192"/>
      <c r="W275" s="192"/>
      <c r="X275" s="192"/>
      <c r="Y275" s="578"/>
      <c r="Z275" s="195"/>
      <c r="AA275" s="195"/>
      <c r="AB275" s="195"/>
      <c r="AC275" s="195"/>
      <c r="AD275" s="578"/>
      <c r="AE275" s="195"/>
      <c r="AF275" s="195"/>
      <c r="AG275" s="195"/>
      <c r="AH275" s="195"/>
      <c r="AI275" s="586">
        <v>77</v>
      </c>
      <c r="AJ275" s="196"/>
      <c r="AK275" s="194"/>
      <c r="AL275" s="194"/>
      <c r="AM275" s="194"/>
      <c r="AN275" s="586">
        <v>78</v>
      </c>
      <c r="AO275" s="195"/>
      <c r="AP275" s="195"/>
      <c r="AQ275" s="195"/>
      <c r="AR275" s="411">
        <v>0.09</v>
      </c>
      <c r="AS275" s="578"/>
      <c r="AT275" s="194"/>
      <c r="AU275" s="194"/>
      <c r="AV275" s="194"/>
      <c r="AW275" s="194"/>
      <c r="AX275" s="578"/>
      <c r="AY275" s="194"/>
      <c r="AZ275" s="194"/>
      <c r="BA275" s="194"/>
      <c r="BB275" s="194"/>
      <c r="BC275" s="578"/>
      <c r="BD275" s="194"/>
      <c r="BE275" s="194"/>
      <c r="BF275" s="194"/>
      <c r="BG275" s="194"/>
      <c r="BH275" s="578"/>
      <c r="BI275" s="194"/>
      <c r="BJ275" s="194"/>
      <c r="BK275" s="194"/>
      <c r="BL275" s="194"/>
      <c r="BM275" s="578"/>
      <c r="BN275" s="194"/>
      <c r="BO275" s="194"/>
      <c r="BP275" s="194"/>
      <c r="BQ275" s="194"/>
      <c r="BR275" s="578"/>
      <c r="BS275" s="194"/>
      <c r="BT275" s="194"/>
      <c r="BU275" s="194"/>
      <c r="BV275" s="194"/>
      <c r="BW275" s="578"/>
      <c r="BX275" s="194"/>
      <c r="BY275" s="194"/>
      <c r="BZ275" s="194"/>
      <c r="CA275" s="194"/>
      <c r="CB275" s="578"/>
      <c r="CC275" s="194"/>
      <c r="CD275" s="194"/>
      <c r="CE275" s="194"/>
      <c r="CF275" s="194"/>
      <c r="CG275" s="578"/>
      <c r="CH275" s="194"/>
      <c r="CI275" s="194"/>
      <c r="CJ275" s="194"/>
      <c r="CK275" s="194"/>
      <c r="CL275" s="578"/>
      <c r="CM275" s="194"/>
      <c r="CN275" s="194"/>
      <c r="CO275" s="194"/>
      <c r="CP275" s="194"/>
      <c r="CQ275" s="578"/>
    </row>
    <row r="276" spans="5:95" hidden="1" x14ac:dyDescent="0.25">
      <c r="E276" s="194" t="s">
        <v>282</v>
      </c>
      <c r="F276" s="578"/>
      <c r="G276" s="578"/>
      <c r="H276" s="578"/>
      <c r="I276" s="578"/>
      <c r="J276" s="578"/>
      <c r="K276" s="192"/>
      <c r="L276" s="192"/>
      <c r="M276" s="192"/>
      <c r="N276" s="192"/>
      <c r="O276" s="578"/>
      <c r="P276" s="192"/>
      <c r="Q276" s="192"/>
      <c r="R276" s="192"/>
      <c r="S276" s="192"/>
      <c r="T276" s="578"/>
      <c r="U276" s="192"/>
      <c r="V276" s="192"/>
      <c r="W276" s="192"/>
      <c r="X276" s="192"/>
      <c r="Y276" s="578"/>
      <c r="Z276" s="195"/>
      <c r="AA276" s="195"/>
      <c r="AB276" s="195"/>
      <c r="AC276" s="195"/>
      <c r="AD276" s="578"/>
      <c r="AE276" s="195"/>
      <c r="AF276" s="195"/>
      <c r="AG276" s="195"/>
      <c r="AH276" s="195"/>
      <c r="AI276" s="586">
        <v>65</v>
      </c>
      <c r="AJ276" s="196"/>
      <c r="AK276" s="194"/>
      <c r="AL276" s="194"/>
      <c r="AM276" s="194"/>
      <c r="AN276" s="586">
        <v>76</v>
      </c>
      <c r="AO276" s="195"/>
      <c r="AP276" s="195"/>
      <c r="AQ276" s="195"/>
      <c r="AR276" s="410"/>
      <c r="AS276" s="578"/>
      <c r="AT276" s="194"/>
      <c r="AU276" s="194"/>
      <c r="AV276" s="194"/>
      <c r="AW276" s="194"/>
      <c r="AX276" s="578"/>
      <c r="AY276" s="194"/>
      <c r="AZ276" s="194"/>
      <c r="BA276" s="194"/>
      <c r="BB276" s="194"/>
      <c r="BC276" s="578"/>
      <c r="BD276" s="194"/>
      <c r="BE276" s="194"/>
      <c r="BF276" s="194"/>
      <c r="BG276" s="194"/>
      <c r="BH276" s="578"/>
      <c r="BI276" s="194"/>
      <c r="BJ276" s="194"/>
      <c r="BK276" s="194"/>
      <c r="BL276" s="194"/>
      <c r="BM276" s="578"/>
      <c r="BN276" s="194"/>
      <c r="BO276" s="194"/>
      <c r="BP276" s="194"/>
      <c r="BQ276" s="194"/>
      <c r="BR276" s="578"/>
      <c r="BS276" s="194"/>
      <c r="BT276" s="194"/>
      <c r="BU276" s="194"/>
      <c r="BV276" s="194"/>
      <c r="BW276" s="578"/>
      <c r="BX276" s="194"/>
      <c r="BY276" s="194"/>
      <c r="BZ276" s="194"/>
      <c r="CA276" s="194"/>
      <c r="CB276" s="578"/>
      <c r="CC276" s="194"/>
      <c r="CD276" s="194"/>
      <c r="CE276" s="194"/>
      <c r="CF276" s="194"/>
      <c r="CG276" s="578"/>
      <c r="CH276" s="194"/>
      <c r="CI276" s="194"/>
      <c r="CJ276" s="194"/>
      <c r="CK276" s="194"/>
      <c r="CL276" s="578"/>
      <c r="CM276" s="194"/>
      <c r="CN276" s="194"/>
      <c r="CO276" s="194"/>
      <c r="CP276" s="194"/>
      <c r="CQ276" s="578"/>
    </row>
    <row r="277" spans="5:95" ht="13.5" hidden="1" x14ac:dyDescent="0.25">
      <c r="E277" s="194" t="s">
        <v>283</v>
      </c>
      <c r="F277" s="578"/>
      <c r="G277" s="578"/>
      <c r="H277" s="578"/>
      <c r="I277" s="578"/>
      <c r="J277" s="578"/>
      <c r="K277" s="192"/>
      <c r="L277" s="192"/>
      <c r="M277" s="192"/>
      <c r="N277" s="192"/>
      <c r="O277" s="578"/>
      <c r="P277" s="192"/>
      <c r="Q277" s="192"/>
      <c r="R277" s="192"/>
      <c r="S277" s="192"/>
      <c r="T277" s="578"/>
      <c r="U277" s="192"/>
      <c r="V277" s="192"/>
      <c r="W277" s="192"/>
      <c r="X277" s="192"/>
      <c r="Y277" s="578"/>
      <c r="Z277" s="195"/>
      <c r="AA277" s="195"/>
      <c r="AB277" s="195"/>
      <c r="AC277" s="195"/>
      <c r="AD277" s="578"/>
      <c r="AE277" s="195"/>
      <c r="AF277" s="195"/>
      <c r="AG277" s="195"/>
      <c r="AH277" s="195"/>
      <c r="AI277" s="586">
        <v>408</v>
      </c>
      <c r="AJ277" s="196"/>
      <c r="AK277" s="194"/>
      <c r="AL277" s="194"/>
      <c r="AM277" s="194"/>
      <c r="AN277" s="586">
        <v>366</v>
      </c>
      <c r="AO277" s="195"/>
      <c r="AP277" s="195"/>
      <c r="AQ277" s="195"/>
      <c r="AR277" s="411">
        <v>0.1</v>
      </c>
      <c r="AS277" s="578"/>
      <c r="AT277" s="194"/>
      <c r="AU277" s="194"/>
      <c r="AV277" s="194"/>
      <c r="AW277" s="194"/>
      <c r="AX277" s="578"/>
      <c r="AY277" s="194"/>
      <c r="AZ277" s="194"/>
      <c r="BA277" s="194"/>
      <c r="BB277" s="194"/>
      <c r="BC277" s="578"/>
      <c r="BD277" s="194"/>
      <c r="BE277" s="194"/>
      <c r="BF277" s="194"/>
      <c r="BG277" s="194"/>
      <c r="BH277" s="578"/>
      <c r="BI277" s="194"/>
      <c r="BJ277" s="194"/>
      <c r="BK277" s="194"/>
      <c r="BL277" s="194"/>
      <c r="BM277" s="578"/>
      <c r="BN277" s="194"/>
      <c r="BO277" s="194"/>
      <c r="BP277" s="194"/>
      <c r="BQ277" s="194"/>
      <c r="BR277" s="578"/>
      <c r="BS277" s="194"/>
      <c r="BT277" s="194"/>
      <c r="BU277" s="194"/>
      <c r="BV277" s="194"/>
      <c r="BW277" s="578"/>
      <c r="BX277" s="194"/>
      <c r="BY277" s="194"/>
      <c r="BZ277" s="194"/>
      <c r="CA277" s="194"/>
      <c r="CB277" s="578"/>
      <c r="CC277" s="194"/>
      <c r="CD277" s="194"/>
      <c r="CE277" s="194"/>
      <c r="CF277" s="194"/>
      <c r="CG277" s="578"/>
      <c r="CH277" s="194"/>
      <c r="CI277" s="194"/>
      <c r="CJ277" s="194"/>
      <c r="CK277" s="194"/>
      <c r="CL277" s="578"/>
      <c r="CM277" s="194"/>
      <c r="CN277" s="194"/>
      <c r="CO277" s="194"/>
      <c r="CP277" s="194"/>
      <c r="CQ277" s="578"/>
    </row>
    <row r="278" spans="5:95" hidden="1" x14ac:dyDescent="0.25">
      <c r="E278" s="194" t="s">
        <v>284</v>
      </c>
      <c r="F278" s="578"/>
      <c r="G278" s="578"/>
      <c r="H278" s="578"/>
      <c r="I278" s="578"/>
      <c r="J278" s="578"/>
      <c r="K278" s="192"/>
      <c r="L278" s="192"/>
      <c r="M278" s="192"/>
      <c r="N278" s="192"/>
      <c r="O278" s="578"/>
      <c r="P278" s="192"/>
      <c r="Q278" s="192"/>
      <c r="R278" s="192"/>
      <c r="S278" s="192"/>
      <c r="T278" s="578"/>
      <c r="U278" s="192"/>
      <c r="V278" s="192"/>
      <c r="W278" s="192"/>
      <c r="X278" s="192"/>
      <c r="Y278" s="578"/>
      <c r="Z278" s="195"/>
      <c r="AA278" s="195"/>
      <c r="AB278" s="195"/>
      <c r="AC278" s="195"/>
      <c r="AD278" s="578"/>
      <c r="AE278" s="195"/>
      <c r="AF278" s="195"/>
      <c r="AG278" s="195"/>
      <c r="AH278" s="195"/>
      <c r="AI278" s="586">
        <v>189</v>
      </c>
      <c r="AJ278" s="196"/>
      <c r="AK278" s="194"/>
      <c r="AL278" s="194"/>
      <c r="AM278" s="194"/>
      <c r="AN278" s="586">
        <v>158</v>
      </c>
      <c r="AO278" s="195"/>
      <c r="AP278" s="195"/>
      <c r="AQ278" s="195"/>
      <c r="AR278" s="410"/>
      <c r="AS278" s="578"/>
      <c r="AT278" s="194"/>
      <c r="AU278" s="194"/>
      <c r="AV278" s="194"/>
      <c r="AW278" s="194"/>
      <c r="AX278" s="578"/>
      <c r="AY278" s="194"/>
      <c r="AZ278" s="194"/>
      <c r="BA278" s="194"/>
      <c r="BB278" s="194"/>
      <c r="BC278" s="578"/>
      <c r="BD278" s="194"/>
      <c r="BE278" s="194"/>
      <c r="BF278" s="194"/>
      <c r="BG278" s="194"/>
      <c r="BH278" s="578"/>
      <c r="BI278" s="194"/>
      <c r="BJ278" s="194"/>
      <c r="BK278" s="194"/>
      <c r="BL278" s="194"/>
      <c r="BM278" s="578"/>
      <c r="BN278" s="194"/>
      <c r="BO278" s="194"/>
      <c r="BP278" s="194"/>
      <c r="BQ278" s="194"/>
      <c r="BR278" s="578"/>
      <c r="BS278" s="194"/>
      <c r="BT278" s="194"/>
      <c r="BU278" s="194"/>
      <c r="BV278" s="194"/>
      <c r="BW278" s="578"/>
      <c r="BX278" s="194"/>
      <c r="BY278" s="194"/>
      <c r="BZ278" s="194"/>
      <c r="CA278" s="194"/>
      <c r="CB278" s="578"/>
      <c r="CC278" s="194"/>
      <c r="CD278" s="194"/>
      <c r="CE278" s="194"/>
      <c r="CF278" s="194"/>
      <c r="CG278" s="578"/>
      <c r="CH278" s="194"/>
      <c r="CI278" s="194"/>
      <c r="CJ278" s="194"/>
      <c r="CK278" s="194"/>
      <c r="CL278" s="578"/>
      <c r="CM278" s="194"/>
      <c r="CN278" s="194"/>
      <c r="CO278" s="194"/>
      <c r="CP278" s="194"/>
      <c r="CQ278" s="578"/>
    </row>
    <row r="279" spans="5:95" hidden="1" x14ac:dyDescent="0.25">
      <c r="E279" s="194" t="s">
        <v>395</v>
      </c>
      <c r="F279" s="578"/>
      <c r="G279" s="578"/>
      <c r="H279" s="578"/>
      <c r="I279" s="578"/>
      <c r="J279" s="578"/>
      <c r="K279" s="192"/>
      <c r="L279" s="192"/>
      <c r="M279" s="192"/>
      <c r="N279" s="192"/>
      <c r="O279" s="578"/>
      <c r="P279" s="192"/>
      <c r="Q279" s="192"/>
      <c r="R279" s="192"/>
      <c r="S279" s="192"/>
      <c r="T279" s="578"/>
      <c r="U279" s="192"/>
      <c r="V279" s="192"/>
      <c r="W279" s="192"/>
      <c r="X279" s="192"/>
      <c r="Y279" s="578"/>
      <c r="Z279" s="195"/>
      <c r="AA279" s="195"/>
      <c r="AB279" s="195"/>
      <c r="AC279" s="195"/>
      <c r="AD279" s="578"/>
      <c r="AE279" s="195"/>
      <c r="AF279" s="195"/>
      <c r="AG279" s="195"/>
      <c r="AH279" s="195"/>
      <c r="AI279" s="586">
        <v>20</v>
      </c>
      <c r="AJ279" s="196"/>
      <c r="AK279" s="194"/>
      <c r="AL279" s="194"/>
      <c r="AM279" s="194"/>
      <c r="AN279" s="586">
        <v>22</v>
      </c>
      <c r="AO279" s="195"/>
      <c r="AP279" s="195"/>
      <c r="AQ279" s="195"/>
      <c r="AR279" s="410"/>
      <c r="AS279" s="578"/>
      <c r="AT279" s="194"/>
      <c r="AU279" s="194"/>
      <c r="AV279" s="194"/>
      <c r="AW279" s="194"/>
      <c r="AX279" s="578"/>
      <c r="AY279" s="194"/>
      <c r="AZ279" s="194"/>
      <c r="BA279" s="194"/>
      <c r="BB279" s="194"/>
      <c r="BC279" s="578"/>
      <c r="BD279" s="194"/>
      <c r="BE279" s="194"/>
      <c r="BF279" s="194"/>
      <c r="BG279" s="194"/>
      <c r="BH279" s="578"/>
      <c r="BI279" s="194"/>
      <c r="BJ279" s="194"/>
      <c r="BK279" s="194"/>
      <c r="BL279" s="194"/>
      <c r="BM279" s="578"/>
      <c r="BN279" s="194"/>
      <c r="BO279" s="194"/>
      <c r="BP279" s="194"/>
      <c r="BQ279" s="194"/>
      <c r="BR279" s="578"/>
      <c r="BS279" s="194"/>
      <c r="BT279" s="194"/>
      <c r="BU279" s="194"/>
      <c r="BV279" s="194"/>
      <c r="BW279" s="578"/>
      <c r="BX279" s="194"/>
      <c r="BY279" s="194"/>
      <c r="BZ279" s="194"/>
      <c r="CA279" s="194"/>
      <c r="CB279" s="578"/>
      <c r="CC279" s="194"/>
      <c r="CD279" s="194"/>
      <c r="CE279" s="194"/>
      <c r="CF279" s="194"/>
      <c r="CG279" s="578"/>
      <c r="CH279" s="194"/>
      <c r="CI279" s="194"/>
      <c r="CJ279" s="194"/>
      <c r="CK279" s="194"/>
      <c r="CL279" s="578"/>
      <c r="CM279" s="194"/>
      <c r="CN279" s="194"/>
      <c r="CO279" s="194"/>
      <c r="CP279" s="194"/>
      <c r="CQ279" s="578"/>
    </row>
    <row r="280" spans="5:95" hidden="1" x14ac:dyDescent="0.25">
      <c r="E280" s="194" t="s">
        <v>114</v>
      </c>
      <c r="F280" s="578"/>
      <c r="G280" s="578"/>
      <c r="H280" s="578"/>
      <c r="I280" s="578"/>
      <c r="J280" s="578"/>
      <c r="K280" s="192"/>
      <c r="L280" s="192"/>
      <c r="M280" s="192"/>
      <c r="N280" s="192"/>
      <c r="O280" s="578"/>
      <c r="P280" s="192"/>
      <c r="Q280" s="192"/>
      <c r="R280" s="192"/>
      <c r="S280" s="192"/>
      <c r="T280" s="578"/>
      <c r="U280" s="192"/>
      <c r="V280" s="192"/>
      <c r="W280" s="192"/>
      <c r="X280" s="192"/>
      <c r="Y280" s="578"/>
      <c r="Z280" s="195"/>
      <c r="AA280" s="195"/>
      <c r="AB280" s="195"/>
      <c r="AC280" s="195"/>
      <c r="AD280" s="578"/>
      <c r="AE280" s="195"/>
      <c r="AF280" s="195"/>
      <c r="AG280" s="195"/>
      <c r="AH280" s="195"/>
      <c r="AI280" s="586">
        <v>121</v>
      </c>
      <c r="AJ280" s="196"/>
      <c r="AK280" s="194"/>
      <c r="AL280" s="194"/>
      <c r="AM280" s="194"/>
      <c r="AN280" s="586">
        <v>115</v>
      </c>
      <c r="AO280" s="195"/>
      <c r="AP280" s="195"/>
      <c r="AQ280" s="195"/>
      <c r="AR280" s="410"/>
      <c r="AS280" s="578"/>
      <c r="AT280" s="194"/>
      <c r="AU280" s="194"/>
      <c r="AV280" s="194"/>
      <c r="AW280" s="194"/>
      <c r="AX280" s="578"/>
      <c r="AY280" s="194"/>
      <c r="AZ280" s="194"/>
      <c r="BA280" s="194"/>
      <c r="BB280" s="194"/>
      <c r="BC280" s="578"/>
      <c r="BD280" s="194"/>
      <c r="BE280" s="194"/>
      <c r="BF280" s="194"/>
      <c r="BG280" s="194"/>
      <c r="BH280" s="578"/>
      <c r="BI280" s="194"/>
      <c r="BJ280" s="194"/>
      <c r="BK280" s="194"/>
      <c r="BL280" s="194"/>
      <c r="BM280" s="578"/>
      <c r="BN280" s="194"/>
      <c r="BO280" s="194"/>
      <c r="BP280" s="194"/>
      <c r="BQ280" s="194"/>
      <c r="BR280" s="578"/>
      <c r="BS280" s="194"/>
      <c r="BT280" s="194"/>
      <c r="BU280" s="194"/>
      <c r="BV280" s="194"/>
      <c r="BW280" s="578"/>
      <c r="BX280" s="194"/>
      <c r="BY280" s="194"/>
      <c r="BZ280" s="194"/>
      <c r="CA280" s="194"/>
      <c r="CB280" s="578"/>
      <c r="CC280" s="194"/>
      <c r="CD280" s="194"/>
      <c r="CE280" s="194"/>
      <c r="CF280" s="194"/>
      <c r="CG280" s="578"/>
      <c r="CH280" s="194"/>
      <c r="CI280" s="194"/>
      <c r="CJ280" s="194"/>
      <c r="CK280" s="194"/>
      <c r="CL280" s="578"/>
      <c r="CM280" s="194"/>
      <c r="CN280" s="194"/>
      <c r="CO280" s="194"/>
      <c r="CP280" s="194"/>
      <c r="CQ280" s="578"/>
    </row>
    <row r="281" spans="5:95" hidden="1" x14ac:dyDescent="0.25">
      <c r="E281" s="194" t="s">
        <v>277</v>
      </c>
      <c r="F281" s="578"/>
      <c r="G281" s="578"/>
      <c r="H281" s="578"/>
      <c r="I281" s="578"/>
      <c r="J281" s="578"/>
      <c r="K281" s="192"/>
      <c r="L281" s="192"/>
      <c r="M281" s="192"/>
      <c r="N281" s="192"/>
      <c r="O281" s="578"/>
      <c r="P281" s="192"/>
      <c r="Q281" s="192"/>
      <c r="R281" s="192"/>
      <c r="S281" s="192"/>
      <c r="T281" s="578"/>
      <c r="U281" s="192"/>
      <c r="V281" s="192"/>
      <c r="W281" s="192"/>
      <c r="X281" s="192"/>
      <c r="Y281" s="578"/>
      <c r="Z281" s="195"/>
      <c r="AA281" s="195"/>
      <c r="AB281" s="195"/>
      <c r="AC281" s="195"/>
      <c r="AD281" s="578"/>
      <c r="AE281" s="195"/>
      <c r="AF281" s="195"/>
      <c r="AG281" s="195"/>
      <c r="AH281" s="195"/>
      <c r="AI281" s="574">
        <f>AI220-AI280-AI279-AI278-AI277-AI276-AI275-AI274-AI273</f>
        <v>81.770999999999958</v>
      </c>
      <c r="AJ281" s="196"/>
      <c r="AK281" s="194"/>
      <c r="AL281" s="194"/>
      <c r="AM281" s="194"/>
      <c r="AN281" s="574">
        <f>AN220-AN280-AN279-AN278-AN277-AN276-AN275-AN274-AN273</f>
        <v>71.261999999999944</v>
      </c>
      <c r="AO281" s="195"/>
      <c r="AP281" s="195"/>
      <c r="AQ281" s="195"/>
      <c r="AR281" s="410"/>
      <c r="AS281" s="578"/>
      <c r="AT281" s="194"/>
      <c r="AU281" s="194"/>
      <c r="AV281" s="194"/>
      <c r="AW281" s="194"/>
      <c r="AX281" s="578"/>
      <c r="AY281" s="194"/>
      <c r="AZ281" s="194"/>
      <c r="BA281" s="194"/>
      <c r="BB281" s="194"/>
      <c r="BC281" s="578"/>
      <c r="BD281" s="194"/>
      <c r="BE281" s="194"/>
      <c r="BF281" s="194"/>
      <c r="BG281" s="194"/>
      <c r="BH281" s="578"/>
      <c r="BI281" s="194"/>
      <c r="BJ281" s="194"/>
      <c r="BK281" s="194"/>
      <c r="BL281" s="194"/>
      <c r="BM281" s="578"/>
      <c r="BN281" s="194"/>
      <c r="BO281" s="194"/>
      <c r="BP281" s="194"/>
      <c r="BQ281" s="194"/>
      <c r="BR281" s="578"/>
      <c r="BS281" s="194"/>
      <c r="BT281" s="194"/>
      <c r="BU281" s="194"/>
      <c r="BV281" s="194"/>
      <c r="BW281" s="578"/>
      <c r="BX281" s="194"/>
      <c r="BY281" s="194"/>
      <c r="BZ281" s="194"/>
      <c r="CA281" s="194"/>
      <c r="CB281" s="578"/>
      <c r="CC281" s="194"/>
      <c r="CD281" s="194"/>
      <c r="CE281" s="194"/>
      <c r="CF281" s="194"/>
      <c r="CG281" s="578"/>
      <c r="CH281" s="194"/>
      <c r="CI281" s="194"/>
      <c r="CJ281" s="194"/>
      <c r="CK281" s="194"/>
      <c r="CL281" s="578"/>
      <c r="CM281" s="194"/>
      <c r="CN281" s="194"/>
      <c r="CO281" s="194"/>
      <c r="CP281" s="194"/>
      <c r="CQ281" s="578"/>
    </row>
    <row r="282" spans="5:95" ht="13.5" hidden="1" x14ac:dyDescent="0.25">
      <c r="E282" s="194"/>
      <c r="F282" s="578"/>
      <c r="G282" s="578"/>
      <c r="H282" s="578"/>
      <c r="I282" s="578"/>
      <c r="J282" s="578"/>
      <c r="K282" s="192"/>
      <c r="L282" s="192"/>
      <c r="M282" s="192"/>
      <c r="N282" s="192"/>
      <c r="O282" s="578"/>
      <c r="P282" s="192"/>
      <c r="Q282" s="192"/>
      <c r="R282" s="192"/>
      <c r="S282" s="192"/>
      <c r="T282" s="578"/>
      <c r="U282" s="192"/>
      <c r="V282" s="192"/>
      <c r="W282" s="192"/>
      <c r="X282" s="192"/>
      <c r="Y282" s="578"/>
      <c r="Z282" s="195"/>
      <c r="AA282" s="195"/>
      <c r="AB282" s="195"/>
      <c r="AC282" s="195"/>
      <c r="AD282" s="578"/>
      <c r="AE282" s="195"/>
      <c r="AF282" s="195"/>
      <c r="AG282" s="195"/>
      <c r="AH282" s="195"/>
      <c r="AI282" s="584"/>
      <c r="AJ282" s="195"/>
      <c r="AK282" s="195"/>
      <c r="AL282" s="195"/>
      <c r="AM282" s="195"/>
      <c r="AN282" s="584"/>
      <c r="AO282" s="195"/>
      <c r="AP282" s="195"/>
      <c r="AQ282" s="195"/>
      <c r="AR282" s="195"/>
      <c r="AS282" s="578"/>
      <c r="AT282" s="194"/>
      <c r="AU282" s="194"/>
      <c r="AV282" s="194"/>
      <c r="AW282" s="194"/>
      <c r="AX282" s="578"/>
      <c r="AY282" s="194"/>
      <c r="AZ282" s="194"/>
      <c r="BA282" s="194"/>
      <c r="BB282" s="194"/>
      <c r="BC282" s="578"/>
      <c r="BD282" s="194"/>
      <c r="BE282" s="194"/>
      <c r="BF282" s="194"/>
      <c r="BG282" s="194"/>
      <c r="BH282" s="578"/>
      <c r="BI282" s="194"/>
      <c r="BJ282" s="194"/>
      <c r="BK282" s="194"/>
      <c r="BL282" s="194"/>
      <c r="BM282" s="578"/>
      <c r="BN282" s="194"/>
      <c r="BO282" s="194"/>
      <c r="BP282" s="194"/>
      <c r="BQ282" s="194"/>
      <c r="BR282" s="578"/>
      <c r="BS282" s="194"/>
      <c r="BT282" s="194"/>
      <c r="BU282" s="194"/>
      <c r="BV282" s="194"/>
      <c r="BW282" s="578"/>
      <c r="BX282" s="194"/>
      <c r="BY282" s="194"/>
      <c r="BZ282" s="194"/>
      <c r="CA282" s="194"/>
      <c r="CB282" s="578"/>
      <c r="CC282" s="194"/>
      <c r="CD282" s="194"/>
      <c r="CE282" s="194"/>
      <c r="CF282" s="194"/>
      <c r="CG282" s="578"/>
      <c r="CH282" s="194"/>
      <c r="CI282" s="194"/>
      <c r="CJ282" s="194"/>
      <c r="CK282" s="194"/>
      <c r="CL282" s="578"/>
      <c r="CM282" s="194"/>
      <c r="CN282" s="194"/>
      <c r="CO282" s="194"/>
      <c r="CP282" s="194"/>
      <c r="CQ282" s="578"/>
    </row>
    <row r="283" spans="5:95" ht="13.5" hidden="1" x14ac:dyDescent="0.25">
      <c r="E283" s="352" t="s">
        <v>286</v>
      </c>
      <c r="F283" s="578"/>
      <c r="G283" s="578"/>
      <c r="H283" s="578"/>
      <c r="I283" s="578"/>
      <c r="J283" s="578"/>
      <c r="K283" s="192"/>
      <c r="L283" s="192"/>
      <c r="M283" s="192"/>
      <c r="N283" s="192"/>
      <c r="O283" s="578"/>
      <c r="P283" s="192"/>
      <c r="Q283" s="192"/>
      <c r="R283" s="192"/>
      <c r="S283" s="192"/>
      <c r="T283" s="578"/>
      <c r="U283" s="192"/>
      <c r="V283" s="192"/>
      <c r="W283" s="192"/>
      <c r="X283" s="192"/>
      <c r="Y283" s="578"/>
      <c r="Z283" s="195"/>
      <c r="AA283" s="195"/>
      <c r="AB283" s="195"/>
      <c r="AC283" s="195"/>
      <c r="AD283" s="578"/>
      <c r="AE283" s="195"/>
      <c r="AF283" s="195"/>
      <c r="AG283" s="195"/>
      <c r="AH283" s="195"/>
      <c r="AI283" s="584"/>
      <c r="AJ283" s="195"/>
      <c r="AK283" s="195"/>
      <c r="AL283" s="195"/>
      <c r="AM283" s="195"/>
      <c r="AN283" s="584"/>
      <c r="AO283" s="195"/>
      <c r="AP283" s="195"/>
      <c r="AQ283" s="195"/>
      <c r="AR283" s="195"/>
      <c r="AS283" s="578"/>
      <c r="AT283" s="194"/>
      <c r="AU283" s="194"/>
      <c r="AV283" s="194"/>
      <c r="AW283" s="194"/>
      <c r="AX283" s="578"/>
      <c r="AY283" s="194"/>
      <c r="AZ283" s="194"/>
      <c r="BA283" s="194"/>
      <c r="BB283" s="194"/>
      <c r="BC283" s="578"/>
      <c r="BD283" s="194"/>
      <c r="BE283" s="194"/>
      <c r="BF283" s="194"/>
      <c r="BG283" s="194"/>
      <c r="BH283" s="578"/>
      <c r="BI283" s="194"/>
      <c r="BJ283" s="194"/>
      <c r="BK283" s="194"/>
      <c r="BL283" s="194"/>
      <c r="BM283" s="578"/>
      <c r="BN283" s="194"/>
      <c r="BO283" s="194"/>
      <c r="BP283" s="194"/>
      <c r="BQ283" s="194"/>
      <c r="BR283" s="578"/>
      <c r="BS283" s="194"/>
      <c r="BT283" s="194"/>
      <c r="BU283" s="194"/>
      <c r="BV283" s="194"/>
      <c r="BW283" s="578"/>
      <c r="BX283" s="194"/>
      <c r="BY283" s="194"/>
      <c r="BZ283" s="194"/>
      <c r="CA283" s="194"/>
      <c r="CB283" s="578"/>
      <c r="CC283" s="194"/>
      <c r="CD283" s="194"/>
      <c r="CE283" s="194"/>
      <c r="CF283" s="194"/>
      <c r="CG283" s="578"/>
      <c r="CH283" s="194"/>
      <c r="CI283" s="194"/>
      <c r="CJ283" s="194"/>
      <c r="CK283" s="194"/>
      <c r="CL283" s="578"/>
      <c r="CM283" s="194"/>
      <c r="CN283" s="194"/>
      <c r="CO283" s="194"/>
      <c r="CP283" s="194"/>
      <c r="CQ283" s="578"/>
    </row>
    <row r="284" spans="5:95" ht="13.5" hidden="1" x14ac:dyDescent="0.25">
      <c r="E284" s="194" t="s">
        <v>287</v>
      </c>
      <c r="F284" s="578"/>
      <c r="G284" s="578"/>
      <c r="H284" s="578"/>
      <c r="I284" s="578"/>
      <c r="J284" s="578"/>
      <c r="K284" s="192"/>
      <c r="L284" s="192"/>
      <c r="M284" s="192"/>
      <c r="N284" s="192"/>
      <c r="O284" s="578"/>
      <c r="P284" s="192"/>
      <c r="Q284" s="192"/>
      <c r="R284" s="192"/>
      <c r="S284" s="192"/>
      <c r="T284" s="578"/>
      <c r="U284" s="192"/>
      <c r="V284" s="192"/>
      <c r="W284" s="192"/>
      <c r="X284" s="192"/>
      <c r="Y284" s="578"/>
      <c r="Z284" s="195"/>
      <c r="AA284" s="195"/>
      <c r="AB284" s="195"/>
      <c r="AC284" s="195"/>
      <c r="AD284" s="578"/>
      <c r="AE284" s="195"/>
      <c r="AF284" s="195"/>
      <c r="AG284" s="195"/>
      <c r="AH284" s="195"/>
      <c r="AI284" s="587" t="e">
        <f>SUM(AI273:AI277, AI280,AI281)/AI$159</f>
        <v>#DIV/0!</v>
      </c>
      <c r="AJ284" s="195"/>
      <c r="AK284" s="195"/>
      <c r="AL284" s="195"/>
      <c r="AM284" s="195"/>
      <c r="AN284" s="587" t="e">
        <f>SUM(AN273:AN277, AN280,AN281)/AN$159</f>
        <v>#DIV/0!</v>
      </c>
      <c r="AO284" s="195"/>
      <c r="AP284" s="195"/>
      <c r="AQ284" s="195"/>
      <c r="AR284" s="195"/>
      <c r="AS284" s="578"/>
      <c r="AT284" s="194"/>
      <c r="AU284" s="194"/>
      <c r="AV284" s="194"/>
      <c r="AW284" s="194"/>
      <c r="AX284" s="578"/>
      <c r="AY284" s="194"/>
      <c r="AZ284" s="194"/>
      <c r="BA284" s="194"/>
      <c r="BB284" s="194"/>
      <c r="BC284" s="578"/>
      <c r="BD284" s="194"/>
      <c r="BE284" s="194"/>
      <c r="BF284" s="194"/>
      <c r="BG284" s="194"/>
      <c r="BH284" s="578"/>
      <c r="BI284" s="194"/>
      <c r="BJ284" s="194"/>
      <c r="BK284" s="194"/>
      <c r="BL284" s="194"/>
      <c r="BM284" s="578"/>
      <c r="BN284" s="194"/>
      <c r="BO284" s="194"/>
      <c r="BP284" s="194"/>
      <c r="BQ284" s="194"/>
      <c r="BR284" s="578"/>
      <c r="BS284" s="194"/>
      <c r="BT284" s="194"/>
      <c r="BU284" s="194"/>
      <c r="BV284" s="194"/>
      <c r="BW284" s="578"/>
      <c r="BX284" s="194"/>
      <c r="BY284" s="194"/>
      <c r="BZ284" s="194"/>
      <c r="CA284" s="194"/>
      <c r="CB284" s="578"/>
      <c r="CC284" s="194"/>
      <c r="CD284" s="194"/>
      <c r="CE284" s="194"/>
      <c r="CF284" s="194"/>
      <c r="CG284" s="578"/>
      <c r="CH284" s="194"/>
      <c r="CI284" s="194"/>
      <c r="CJ284" s="194"/>
      <c r="CK284" s="194"/>
      <c r="CL284" s="578"/>
      <c r="CM284" s="194"/>
      <c r="CN284" s="194"/>
      <c r="CO284" s="194"/>
      <c r="CP284" s="194"/>
      <c r="CQ284" s="578"/>
    </row>
    <row r="285" spans="5:95" ht="13.5" hidden="1" x14ac:dyDescent="0.25">
      <c r="E285" s="194" t="s">
        <v>284</v>
      </c>
      <c r="F285" s="578"/>
      <c r="G285" s="578"/>
      <c r="H285" s="578"/>
      <c r="I285" s="578"/>
      <c r="J285" s="578"/>
      <c r="K285" s="192"/>
      <c r="L285" s="192"/>
      <c r="M285" s="192"/>
      <c r="N285" s="192"/>
      <c r="O285" s="578"/>
      <c r="P285" s="192"/>
      <c r="Q285" s="192"/>
      <c r="R285" s="192"/>
      <c r="S285" s="192"/>
      <c r="T285" s="578"/>
      <c r="U285" s="192"/>
      <c r="V285" s="192"/>
      <c r="W285" s="192"/>
      <c r="X285" s="192"/>
      <c r="Y285" s="578"/>
      <c r="Z285" s="195"/>
      <c r="AA285" s="195"/>
      <c r="AB285" s="195"/>
      <c r="AC285" s="195"/>
      <c r="AD285" s="578"/>
      <c r="AE285" s="195"/>
      <c r="AF285" s="195"/>
      <c r="AG285" s="195"/>
      <c r="AH285" s="195"/>
      <c r="AI285" s="587" t="e">
        <f>AI278/AI$159</f>
        <v>#DIV/0!</v>
      </c>
      <c r="AJ285" s="195"/>
      <c r="AK285" s="195"/>
      <c r="AL285" s="195"/>
      <c r="AM285" s="195"/>
      <c r="AN285" s="587" t="e">
        <f>AN278/AN$159</f>
        <v>#DIV/0!</v>
      </c>
      <c r="AO285" s="412"/>
      <c r="AP285" s="195"/>
      <c r="AQ285" s="195"/>
      <c r="AR285" s="195"/>
      <c r="AS285" s="578"/>
      <c r="AT285" s="194"/>
      <c r="AU285" s="194"/>
      <c r="AV285" s="194"/>
      <c r="AW285" s="194"/>
      <c r="AX285" s="578"/>
      <c r="AY285" s="194"/>
      <c r="AZ285" s="194"/>
      <c r="BA285" s="194"/>
      <c r="BB285" s="194"/>
      <c r="BC285" s="578"/>
      <c r="BD285" s="194"/>
      <c r="BE285" s="194"/>
      <c r="BF285" s="194"/>
      <c r="BG285" s="194"/>
      <c r="BH285" s="578"/>
      <c r="BI285" s="194"/>
      <c r="BJ285" s="194"/>
      <c r="BK285" s="194"/>
      <c r="BL285" s="194"/>
      <c r="BM285" s="578"/>
      <c r="BN285" s="194"/>
      <c r="BO285" s="194"/>
      <c r="BP285" s="194"/>
      <c r="BQ285" s="194"/>
      <c r="BR285" s="578"/>
      <c r="BS285" s="194"/>
      <c r="BT285" s="194"/>
      <c r="BU285" s="194"/>
      <c r="BV285" s="194"/>
      <c r="BW285" s="578"/>
      <c r="BX285" s="194"/>
      <c r="BY285" s="194"/>
      <c r="BZ285" s="194"/>
      <c r="CA285" s="194"/>
      <c r="CB285" s="578"/>
      <c r="CC285" s="194"/>
      <c r="CD285" s="194"/>
      <c r="CE285" s="194"/>
      <c r="CF285" s="194"/>
      <c r="CG285" s="578"/>
      <c r="CH285" s="194"/>
      <c r="CI285" s="194"/>
      <c r="CJ285" s="194"/>
      <c r="CK285" s="194"/>
      <c r="CL285" s="578"/>
      <c r="CM285" s="194"/>
      <c r="CN285" s="194"/>
      <c r="CO285" s="194"/>
      <c r="CP285" s="194"/>
      <c r="CQ285" s="578"/>
    </row>
    <row r="286" spans="5:95" ht="13.5" hidden="1" x14ac:dyDescent="0.25">
      <c r="E286" s="194" t="s">
        <v>285</v>
      </c>
      <c r="F286" s="578"/>
      <c r="G286" s="578"/>
      <c r="H286" s="578"/>
      <c r="I286" s="578"/>
      <c r="J286" s="578"/>
      <c r="K286" s="192"/>
      <c r="L286" s="192"/>
      <c r="M286" s="192"/>
      <c r="N286" s="192"/>
      <c r="O286" s="578"/>
      <c r="P286" s="192"/>
      <c r="Q286" s="192"/>
      <c r="R286" s="192"/>
      <c r="S286" s="192"/>
      <c r="T286" s="578"/>
      <c r="U286" s="192"/>
      <c r="V286" s="192"/>
      <c r="W286" s="192"/>
      <c r="X286" s="192"/>
      <c r="Y286" s="578"/>
      <c r="Z286" s="195"/>
      <c r="AA286" s="195"/>
      <c r="AB286" s="195"/>
      <c r="AC286" s="195"/>
      <c r="AD286" s="578"/>
      <c r="AE286" s="195"/>
      <c r="AF286" s="195"/>
      <c r="AG286" s="195"/>
      <c r="AH286" s="195"/>
      <c r="AI286" s="587" t="e">
        <f>AI279/AI$159</f>
        <v>#DIV/0!</v>
      </c>
      <c r="AJ286" s="195"/>
      <c r="AK286" s="195"/>
      <c r="AL286" s="195"/>
      <c r="AM286" s="195"/>
      <c r="AN286" s="587" t="e">
        <f>AN279/AN$159</f>
        <v>#DIV/0!</v>
      </c>
      <c r="AO286" s="195"/>
      <c r="AP286" s="195"/>
      <c r="AQ286" s="195"/>
      <c r="AR286" s="195"/>
      <c r="AS286" s="578"/>
      <c r="AT286" s="194"/>
      <c r="AU286" s="194"/>
      <c r="AV286" s="194"/>
      <c r="AW286" s="194"/>
      <c r="AX286" s="578"/>
      <c r="AY286" s="194"/>
      <c r="AZ286" s="194"/>
      <c r="BA286" s="194"/>
      <c r="BB286" s="194"/>
      <c r="BC286" s="578"/>
      <c r="BD286" s="194"/>
      <c r="BE286" s="194"/>
      <c r="BF286" s="194"/>
      <c r="BG286" s="194"/>
      <c r="BH286" s="578"/>
      <c r="BI286" s="194"/>
      <c r="BJ286" s="194"/>
      <c r="BK286" s="194"/>
      <c r="BL286" s="194"/>
      <c r="BM286" s="578"/>
      <c r="BN286" s="194"/>
      <c r="BO286" s="194"/>
      <c r="BP286" s="194"/>
      <c r="BQ286" s="194"/>
      <c r="BR286" s="578"/>
      <c r="BS286" s="194"/>
      <c r="BT286" s="194"/>
      <c r="BU286" s="194"/>
      <c r="BV286" s="194"/>
      <c r="BW286" s="578"/>
      <c r="BX286" s="194"/>
      <c r="BY286" s="194"/>
      <c r="BZ286" s="194"/>
      <c r="CA286" s="194"/>
      <c r="CB286" s="578"/>
      <c r="CC286" s="194"/>
      <c r="CD286" s="194"/>
      <c r="CE286" s="194"/>
      <c r="CF286" s="194"/>
      <c r="CG286" s="578"/>
      <c r="CH286" s="194"/>
      <c r="CI286" s="194"/>
      <c r="CJ286" s="194"/>
      <c r="CK286" s="194"/>
      <c r="CL286" s="578"/>
      <c r="CM286" s="194"/>
      <c r="CN286" s="194"/>
      <c r="CO286" s="194"/>
      <c r="CP286" s="194"/>
      <c r="CQ286" s="578"/>
    </row>
    <row r="287" spans="5:95" hidden="1" x14ac:dyDescent="0.25">
      <c r="E287" s="59"/>
      <c r="F287" s="542"/>
      <c r="G287" s="542"/>
      <c r="H287" s="542"/>
      <c r="I287" s="542"/>
      <c r="J287" s="542"/>
      <c r="O287" s="542"/>
      <c r="T287" s="542"/>
      <c r="Y287" s="542"/>
      <c r="Z287" s="59"/>
      <c r="AA287" s="59"/>
      <c r="AB287" s="59"/>
      <c r="AC287" s="59"/>
      <c r="AD287" s="542"/>
      <c r="AE287" s="59"/>
      <c r="AF287" s="59"/>
      <c r="AG287" s="59"/>
      <c r="AH287" s="59"/>
      <c r="AI287" s="542"/>
      <c r="AJ287" s="59"/>
      <c r="AK287" s="59"/>
      <c r="AL287" s="59"/>
      <c r="AM287" s="59"/>
      <c r="AN287" s="542"/>
      <c r="AO287" s="59"/>
      <c r="AP287" s="59"/>
      <c r="AQ287" s="59"/>
      <c r="AR287" s="59"/>
      <c r="AS287" s="542"/>
      <c r="AT287" s="59"/>
      <c r="AU287" s="59"/>
      <c r="AV287" s="59"/>
      <c r="AW287" s="59"/>
      <c r="AX287" s="542"/>
      <c r="BC287" s="542"/>
      <c r="BD287" s="59"/>
      <c r="BE287" s="59"/>
      <c r="BF287" s="59"/>
      <c r="BG287" s="59"/>
      <c r="BH287" s="542"/>
      <c r="BM287" s="542"/>
      <c r="BR287" s="574"/>
      <c r="BW287" s="574"/>
      <c r="CB287" s="574"/>
      <c r="CG287" s="574"/>
      <c r="CL287" s="574"/>
      <c r="CQ287" s="574"/>
    </row>
    <row r="288" spans="5:95" ht="13.5" hidden="1" x14ac:dyDescent="0.25">
      <c r="E288" s="462"/>
      <c r="F288" s="542"/>
      <c r="G288" s="542"/>
      <c r="H288" s="542"/>
      <c r="I288" s="542"/>
      <c r="J288" s="542"/>
      <c r="O288" s="542"/>
      <c r="T288" s="542"/>
      <c r="Y288" s="542"/>
      <c r="Z288" s="59"/>
      <c r="AA288" s="59"/>
      <c r="AB288" s="59"/>
      <c r="AC288" s="59"/>
      <c r="AD288" s="542"/>
      <c r="AE288" s="59"/>
      <c r="AF288" s="59"/>
      <c r="AG288" s="59"/>
      <c r="AH288" s="59"/>
      <c r="AI288" s="542"/>
      <c r="AJ288" s="59"/>
      <c r="AK288" s="59"/>
      <c r="AL288" s="59"/>
      <c r="AM288" s="59"/>
      <c r="AN288" s="542"/>
      <c r="AO288" s="59"/>
      <c r="AP288" s="59"/>
      <c r="AQ288" s="59"/>
      <c r="AR288" s="59"/>
      <c r="AS288" s="542"/>
      <c r="AT288" s="59"/>
      <c r="AU288" s="59"/>
      <c r="AV288" s="59"/>
      <c r="AW288" s="59"/>
      <c r="AX288" s="542"/>
      <c r="BC288" s="542"/>
      <c r="BD288" s="59"/>
      <c r="BE288" s="59"/>
      <c r="BF288" s="59"/>
      <c r="BG288" s="59"/>
      <c r="BH288" s="542"/>
      <c r="BM288" s="542"/>
      <c r="BN288" s="463"/>
      <c r="BO288" s="463"/>
      <c r="BP288" s="463"/>
      <c r="BQ288" s="463"/>
      <c r="BR288" s="644"/>
      <c r="BS288" s="463"/>
      <c r="BT288" s="463"/>
      <c r="BU288" s="463"/>
      <c r="BV288" s="463"/>
      <c r="BW288" s="644"/>
      <c r="BX288" s="463"/>
      <c r="BY288" s="463"/>
      <c r="BZ288" s="463"/>
      <c r="CA288" s="463"/>
      <c r="CB288" s="644"/>
      <c r="CC288" s="463"/>
      <c r="CD288" s="463"/>
      <c r="CE288" s="463"/>
      <c r="CF288" s="463"/>
      <c r="CG288" s="644"/>
      <c r="CH288" s="463"/>
      <c r="CI288" s="463"/>
      <c r="CJ288" s="463"/>
      <c r="CK288" s="463"/>
      <c r="CL288" s="644"/>
      <c r="CM288" s="463"/>
      <c r="CN288" s="463"/>
      <c r="CO288" s="463"/>
      <c r="CP288" s="463"/>
      <c r="CQ288" s="644"/>
    </row>
    <row r="289" spans="5:95" ht="13.5" hidden="1" x14ac:dyDescent="0.25">
      <c r="E289" s="365" t="s">
        <v>580</v>
      </c>
      <c r="F289" s="542"/>
      <c r="G289" s="542"/>
      <c r="H289" s="542"/>
      <c r="I289" s="542"/>
      <c r="J289" s="542"/>
      <c r="O289" s="542"/>
      <c r="T289" s="542"/>
      <c r="Y289" s="542"/>
      <c r="Z289" s="59"/>
      <c r="AA289" s="59"/>
      <c r="AB289" s="59"/>
      <c r="AC289" s="59"/>
      <c r="AD289" s="542"/>
      <c r="AE289" s="59"/>
      <c r="AF289" s="59"/>
      <c r="AG289" s="59"/>
      <c r="AH289" s="59"/>
      <c r="AI289" s="542"/>
      <c r="AJ289" s="59"/>
      <c r="AK289" s="59"/>
      <c r="AL289" s="59"/>
      <c r="AM289" s="59"/>
      <c r="AN289" s="542"/>
      <c r="AO289" s="59"/>
      <c r="AP289" s="59"/>
      <c r="AQ289" s="59"/>
      <c r="AR289" s="59"/>
      <c r="AS289" s="542"/>
      <c r="AT289" s="59"/>
      <c r="AU289" s="59"/>
      <c r="AV289" s="59"/>
      <c r="AW289" s="59"/>
      <c r="AX289" s="542"/>
      <c r="BC289" s="542"/>
      <c r="BD289" s="59"/>
      <c r="BE289" s="59"/>
      <c r="BF289" s="59"/>
      <c r="BG289" s="59"/>
      <c r="BH289" s="542"/>
      <c r="BM289" s="542"/>
      <c r="BN289" s="463"/>
      <c r="BO289" s="463"/>
      <c r="BP289" s="463"/>
      <c r="BQ289" s="463"/>
      <c r="BR289" s="644"/>
      <c r="BS289" s="463"/>
      <c r="BT289" s="463"/>
      <c r="BU289" s="463"/>
      <c r="BW289" s="574"/>
      <c r="BY289" s="719"/>
      <c r="CB289" s="574"/>
      <c r="CG289" s="574"/>
      <c r="CL289" s="574"/>
      <c r="CQ289" s="574"/>
    </row>
    <row r="290" spans="5:95" ht="13.5" hidden="1" x14ac:dyDescent="0.25">
      <c r="E290" s="365"/>
      <c r="F290" s="542"/>
      <c r="G290" s="542"/>
      <c r="H290" s="542"/>
      <c r="I290" s="542"/>
      <c r="J290" s="542"/>
      <c r="O290" s="542"/>
      <c r="T290" s="542"/>
      <c r="Y290" s="542"/>
      <c r="Z290" s="59"/>
      <c r="AA290" s="59"/>
      <c r="AB290" s="59"/>
      <c r="AC290" s="59"/>
      <c r="AD290" s="542"/>
      <c r="AE290" s="59"/>
      <c r="AF290" s="59"/>
      <c r="AG290" s="59"/>
      <c r="AH290" s="59"/>
      <c r="AI290" s="542"/>
      <c r="AJ290" s="59"/>
      <c r="AK290" s="59"/>
      <c r="AL290" s="59"/>
      <c r="AM290" s="59"/>
      <c r="AN290" s="542"/>
      <c r="AO290" s="59"/>
      <c r="AP290" s="59"/>
      <c r="AQ290" s="59"/>
      <c r="AR290" s="59"/>
      <c r="AS290" s="542"/>
      <c r="AT290" s="59"/>
      <c r="AU290" s="59"/>
      <c r="AV290" s="59"/>
      <c r="AW290" s="59"/>
      <c r="AX290" s="542"/>
      <c r="BC290" s="542"/>
      <c r="BD290" s="59"/>
      <c r="BE290" s="59"/>
      <c r="BF290" s="59"/>
      <c r="BG290" s="59"/>
      <c r="BH290" s="542"/>
      <c r="BM290" s="542"/>
      <c r="BN290" s="463"/>
      <c r="BO290" s="463"/>
      <c r="BP290" s="463"/>
      <c r="BQ290" s="463"/>
      <c r="BR290" s="644"/>
      <c r="BS290" s="463"/>
      <c r="BT290" s="463"/>
      <c r="BU290" s="463"/>
      <c r="BW290" s="574"/>
      <c r="BY290" s="719"/>
      <c r="CB290" s="574"/>
      <c r="CG290" s="574"/>
      <c r="CL290" s="574"/>
      <c r="CQ290" s="574"/>
    </row>
  </sheetData>
  <dataConsolidate/>
  <pageMargins left="0.15" right="0.15" top="0.3" bottom="0.3" header="0.25" footer="0.25"/>
  <pageSetup scale="80" fitToWidth="0" fitToHeight="0" pageOrder="overThenDown" orientation="portrait" horizontalDpi="1200" verticalDpi="1200" r:id="rId1"/>
  <headerFooter alignWithMargins="0">
    <oddFooter>&amp;R&amp;"Book Antiqua,Regular"&amp;8Daniel Salmon
BMO Capital Markets
 (212) 885-4029</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pageSetUpPr fitToPage="1"/>
  </sheetPr>
  <dimension ref="A1:IG102"/>
  <sheetViews>
    <sheetView showGridLines="0" zoomScaleNormal="100" workbookViewId="0">
      <pane xSplit="5" ySplit="6" topLeftCell="BL7" activePane="bottomRight" state="frozen"/>
      <selection activeCell="E1" sqref="E1"/>
      <selection pane="topRight" activeCell="F1" sqref="F1"/>
      <selection pane="bottomLeft" activeCell="E7" sqref="E7"/>
      <selection pane="bottomRight" activeCell="BO20" sqref="BO20"/>
    </sheetView>
  </sheetViews>
  <sheetFormatPr defaultColWidth="9" defaultRowHeight="12.75" outlineLevelCol="1" x14ac:dyDescent="0.25"/>
  <cols>
    <col min="1" max="4" width="9.33203125" style="2" hidden="1" customWidth="1" outlineLevel="1"/>
    <col min="5" max="5" width="42.33203125" style="6" customWidth="1" collapsed="1"/>
    <col min="6" max="10" width="9.33203125" style="2" customWidth="1"/>
    <col min="11" max="11" width="10.33203125" style="2" customWidth="1"/>
    <col min="12" max="12" width="9.83203125" style="2" customWidth="1"/>
    <col min="13" max="13" width="9.6640625" style="2" customWidth="1"/>
    <col min="14" max="14" width="9.33203125" style="2" customWidth="1"/>
    <col min="15" max="15" width="9.33203125" style="6" customWidth="1"/>
    <col min="16" max="19" width="9.33203125" style="2" customWidth="1"/>
    <col min="20" max="20" width="9.33203125" style="6" customWidth="1"/>
    <col min="21" max="24" width="9.33203125" style="2" customWidth="1"/>
    <col min="25" max="29" width="9.33203125" style="6" customWidth="1"/>
    <col min="30" max="30" width="9.33203125" style="20" customWidth="1"/>
    <col min="31" max="31" width="7.1640625" style="6" customWidth="1"/>
    <col min="32" max="32" width="7.5" style="6" customWidth="1"/>
    <col min="33" max="33" width="7" style="6" customWidth="1"/>
    <col min="34" max="34" width="7.33203125" style="6" customWidth="1"/>
    <col min="35" max="35" width="9.33203125" style="20" customWidth="1"/>
    <col min="36" max="36" width="7.1640625" style="6" customWidth="1"/>
    <col min="37" max="37" width="7.5" style="6" customWidth="1"/>
    <col min="38" max="38" width="7" style="6" customWidth="1"/>
    <col min="39" max="39" width="7.33203125" style="6" customWidth="1"/>
    <col min="40" max="40" width="9.33203125" style="20" customWidth="1"/>
    <col min="41" max="41" width="7.1640625" style="6" customWidth="1"/>
    <col min="42" max="42" width="7.5" style="6" customWidth="1"/>
    <col min="43" max="43" width="7" style="6" customWidth="1"/>
    <col min="44" max="44" width="8.33203125" style="6" customWidth="1"/>
    <col min="45" max="45" width="9.33203125" style="20" customWidth="1"/>
    <col min="46" max="49" width="9.33203125" style="6" customWidth="1"/>
    <col min="50" max="50" width="9.33203125" style="20" customWidth="1"/>
    <col min="51" max="54" width="9.33203125" style="6" customWidth="1"/>
    <col min="55" max="55" width="9.33203125" style="20" customWidth="1"/>
    <col min="56" max="59" width="9.33203125" style="6" customWidth="1"/>
    <col min="60" max="60" width="9.33203125" style="20" customWidth="1"/>
    <col min="61" max="64" width="9.33203125" style="6" customWidth="1"/>
    <col min="65" max="74" width="9.33203125" style="20" customWidth="1"/>
    <col min="75" max="75" width="9.83203125" style="20" customWidth="1"/>
    <col min="76" max="76" width="9.6640625" style="20" customWidth="1"/>
    <col min="77" max="90" width="9.33203125" style="20" customWidth="1"/>
    <col min="91" max="94" width="9" style="20" customWidth="1"/>
    <col min="95" max="16384" width="9" style="20"/>
  </cols>
  <sheetData>
    <row r="1" spans="1:241" s="159" customFormat="1" ht="12.75"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E1" s="2"/>
      <c r="AF1" s="2"/>
      <c r="AG1" s="2"/>
      <c r="AH1" s="2"/>
      <c r="AJ1" s="6"/>
      <c r="AK1" s="2"/>
      <c r="AL1" s="2"/>
      <c r="AM1" s="2"/>
      <c r="AO1" s="2"/>
      <c r="AP1" s="2"/>
      <c r="AQ1" s="2"/>
      <c r="AR1" s="2"/>
      <c r="AT1" s="2"/>
      <c r="AU1" s="2"/>
      <c r="AV1" s="2"/>
      <c r="AW1" s="2"/>
      <c r="AY1" s="2"/>
      <c r="AZ1" s="2"/>
      <c r="BA1" s="2"/>
      <c r="BB1" s="2"/>
      <c r="BD1" s="2"/>
      <c r="BE1" s="2"/>
      <c r="BF1" s="2"/>
      <c r="BG1" s="2"/>
      <c r="BI1" s="2"/>
      <c r="BJ1" s="2"/>
      <c r="BK1" s="2"/>
      <c r="BL1" s="2"/>
      <c r="BZ1" s="678"/>
    </row>
    <row r="2" spans="1:241" ht="12.75" customHeight="1" x14ac:dyDescent="0.25">
      <c r="E2" s="13" t="str">
        <f>Income!E2</f>
        <v>LiveRamp</v>
      </c>
      <c r="BS2" s="114"/>
      <c r="BT2" s="114"/>
      <c r="BU2" s="114"/>
      <c r="BV2" s="114"/>
      <c r="BW2" s="355"/>
      <c r="BX2" s="114"/>
      <c r="BY2" s="114"/>
      <c r="BZ2" s="114"/>
      <c r="CA2" s="114"/>
      <c r="CB2" s="731"/>
      <c r="CG2" s="731"/>
      <c r="CH2" s="114"/>
      <c r="CI2" s="114"/>
      <c r="CJ2" s="114"/>
      <c r="CK2" s="114"/>
      <c r="CL2" s="731"/>
      <c r="CQ2" s="709"/>
    </row>
    <row r="3" spans="1:241" ht="13.5" x14ac:dyDescent="0.25">
      <c r="E3" s="13" t="s">
        <v>727</v>
      </c>
      <c r="BM3" s="85"/>
      <c r="BN3" s="21"/>
      <c r="BO3" s="511"/>
      <c r="BS3" s="530"/>
      <c r="BT3" s="530"/>
      <c r="BU3" s="530"/>
      <c r="BV3" s="530"/>
      <c r="CL3" s="355"/>
      <c r="CQ3" s="718"/>
    </row>
    <row r="4" spans="1:241"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row>
    <row r="5" spans="1:241"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0"/>
      <c r="HJ5" s="20"/>
      <c r="HK5" s="20"/>
      <c r="HL5" s="20"/>
      <c r="HM5" s="20"/>
      <c r="HN5" s="20"/>
      <c r="HO5" s="20"/>
      <c r="HP5" s="20"/>
      <c r="HQ5" s="20"/>
      <c r="HR5" s="20"/>
      <c r="HS5" s="20"/>
      <c r="HT5" s="20"/>
      <c r="HU5" s="20"/>
      <c r="HV5" s="20"/>
      <c r="HW5" s="20"/>
      <c r="HX5" s="20"/>
      <c r="HY5" s="20"/>
      <c r="HZ5" s="20"/>
      <c r="IA5" s="20"/>
      <c r="IB5" s="20"/>
      <c r="IC5" s="20"/>
      <c r="ID5" s="20"/>
      <c r="IE5" s="20"/>
      <c r="IF5" s="20"/>
      <c r="IG5" s="20"/>
    </row>
    <row r="6" spans="1:241" s="113" customFormat="1" ht="12" customHeight="1" x14ac:dyDescent="0.25">
      <c r="A6" s="2"/>
      <c r="B6" s="2"/>
      <c r="C6" s="2"/>
      <c r="D6" s="2"/>
      <c r="E6" s="112" t="str">
        <f>Income!E6</f>
        <v>Calendar quarter</v>
      </c>
      <c r="F6" s="88"/>
      <c r="G6" s="88"/>
      <c r="H6" s="88"/>
      <c r="I6" s="88"/>
      <c r="J6" s="88"/>
      <c r="K6" s="88"/>
      <c r="L6" s="88"/>
      <c r="M6" s="88"/>
      <c r="N6" s="88"/>
      <c r="O6" s="88"/>
      <c r="P6" s="88"/>
      <c r="Q6" s="88"/>
      <c r="R6" s="88"/>
      <c r="S6" s="88"/>
      <c r="T6" s="88"/>
      <c r="U6" s="88"/>
      <c r="V6" s="88"/>
      <c r="W6" s="88"/>
      <c r="X6" s="88"/>
      <c r="Y6" s="88"/>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row>
    <row r="7" spans="1:241" s="113" customFormat="1" ht="3.75" customHeight="1" x14ac:dyDescent="0.25">
      <c r="A7" s="2"/>
      <c r="B7" s="2"/>
      <c r="C7" s="2"/>
      <c r="D7" s="2"/>
      <c r="E7" s="40"/>
      <c r="F7" s="106"/>
      <c r="G7" s="106"/>
      <c r="H7" s="106"/>
      <c r="I7" s="106"/>
      <c r="J7" s="106"/>
      <c r="K7" s="41"/>
      <c r="L7" s="41"/>
      <c r="M7" s="41"/>
      <c r="N7" s="41"/>
      <c r="O7" s="106"/>
      <c r="P7" s="41"/>
      <c r="Q7" s="41"/>
      <c r="R7" s="41"/>
      <c r="S7" s="41"/>
      <c r="T7" s="106"/>
      <c r="U7" s="41"/>
      <c r="V7" s="41"/>
      <c r="W7" s="41"/>
      <c r="X7" s="41"/>
      <c r="Y7" s="106"/>
      <c r="Z7" s="41"/>
      <c r="AA7" s="41"/>
      <c r="AB7" s="41"/>
      <c r="AC7" s="41"/>
      <c r="AD7" s="106"/>
      <c r="AE7" s="41"/>
      <c r="AF7" s="41"/>
      <c r="AG7" s="41"/>
      <c r="AH7" s="41"/>
      <c r="AI7" s="106"/>
      <c r="AJ7" s="41"/>
      <c r="AK7" s="41"/>
      <c r="AL7" s="41"/>
      <c r="AM7" s="41"/>
      <c r="AN7" s="106"/>
      <c r="AO7" s="41"/>
      <c r="AP7" s="41"/>
      <c r="AQ7" s="41"/>
      <c r="AR7" s="41"/>
      <c r="AS7" s="106"/>
      <c r="AT7" s="41"/>
      <c r="AU7" s="41"/>
      <c r="AV7" s="41"/>
      <c r="AW7" s="41"/>
      <c r="AX7" s="106"/>
      <c r="AY7" s="41"/>
      <c r="AZ7" s="41"/>
      <c r="BA7" s="41"/>
      <c r="BB7" s="41"/>
      <c r="BC7" s="106"/>
      <c r="BD7" s="41"/>
      <c r="BE7" s="41"/>
      <c r="BF7" s="41"/>
      <c r="BG7" s="41"/>
      <c r="BH7" s="106"/>
      <c r="BI7" s="41"/>
      <c r="BJ7" s="41"/>
      <c r="BK7" s="41"/>
      <c r="BL7" s="41"/>
      <c r="BM7" s="106"/>
      <c r="BN7" s="41"/>
      <c r="BO7" s="41"/>
      <c r="BP7" s="41"/>
      <c r="BQ7" s="41"/>
      <c r="BR7" s="106"/>
      <c r="BS7" s="41"/>
      <c r="BT7" s="41"/>
      <c r="BU7" s="41"/>
      <c r="BV7" s="41"/>
      <c r="BW7" s="106"/>
      <c r="BX7" s="41"/>
      <c r="BY7" s="41"/>
      <c r="BZ7" s="41"/>
      <c r="CA7" s="41"/>
      <c r="CB7" s="106"/>
      <c r="CC7" s="19"/>
      <c r="CD7" s="19"/>
      <c r="CE7" s="19"/>
      <c r="CF7" s="19"/>
      <c r="CG7" s="88"/>
      <c r="CH7" s="19"/>
      <c r="CI7" s="19"/>
      <c r="CJ7" s="19"/>
      <c r="CK7" s="19"/>
      <c r="CL7" s="88"/>
      <c r="CM7" s="19"/>
      <c r="CN7" s="19"/>
      <c r="CO7" s="19"/>
      <c r="CP7" s="19"/>
      <c r="CQ7" s="88"/>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0"/>
      <c r="HJ7" s="20"/>
      <c r="HK7" s="20"/>
      <c r="HL7" s="20"/>
      <c r="HM7" s="20"/>
      <c r="HN7" s="20"/>
      <c r="HO7" s="20"/>
      <c r="HP7" s="20"/>
      <c r="HQ7" s="20"/>
      <c r="HR7" s="20"/>
      <c r="HS7" s="20"/>
      <c r="HT7" s="20"/>
      <c r="HU7" s="20"/>
      <c r="HV7" s="20"/>
      <c r="HW7" s="20"/>
      <c r="HX7" s="20"/>
      <c r="HY7" s="20"/>
      <c r="HZ7" s="20"/>
      <c r="IA7" s="20"/>
      <c r="IB7" s="20"/>
      <c r="IC7" s="20"/>
      <c r="ID7" s="20"/>
      <c r="IE7" s="20"/>
      <c r="IF7" s="20"/>
      <c r="IG7" s="20"/>
    </row>
    <row r="8" spans="1:241" ht="13.5" x14ac:dyDescent="0.3">
      <c r="E8" s="497" t="s">
        <v>620</v>
      </c>
      <c r="F8" s="557"/>
      <c r="G8" s="557"/>
      <c r="H8" s="557"/>
      <c r="I8" s="557"/>
      <c r="J8" s="557"/>
      <c r="K8" s="174"/>
      <c r="L8" s="174"/>
      <c r="M8" s="174"/>
      <c r="N8" s="174"/>
      <c r="O8" s="557"/>
      <c r="P8" s="174"/>
      <c r="Q8" s="174"/>
      <c r="R8" s="477"/>
      <c r="S8" s="174"/>
      <c r="T8" s="557"/>
      <c r="U8" s="174"/>
      <c r="V8" s="174"/>
      <c r="W8" s="174"/>
      <c r="X8" s="174"/>
      <c r="Y8" s="557"/>
      <c r="Z8" s="174"/>
      <c r="AA8" s="174"/>
      <c r="AB8" s="174"/>
      <c r="AC8" s="174"/>
      <c r="AD8" s="557"/>
      <c r="AE8" s="174"/>
      <c r="AF8" s="174"/>
      <c r="AG8" s="174"/>
      <c r="AH8" s="174"/>
      <c r="AI8" s="557"/>
      <c r="AJ8" s="174"/>
      <c r="AK8" s="174"/>
      <c r="AL8" s="174"/>
      <c r="AM8" s="174"/>
      <c r="AN8" s="557"/>
      <c r="AO8" s="174"/>
      <c r="AP8" s="174"/>
      <c r="AQ8" s="174"/>
      <c r="AR8" s="174"/>
      <c r="AS8" s="557"/>
      <c r="AT8" s="174"/>
      <c r="AU8" s="174"/>
      <c r="AV8" s="174"/>
      <c r="AW8" s="174"/>
      <c r="AX8" s="557"/>
      <c r="AY8" s="174"/>
      <c r="AZ8" s="174"/>
      <c r="BA8" s="174"/>
      <c r="BB8" s="174"/>
      <c r="BC8" s="557"/>
      <c r="BD8" s="174"/>
      <c r="BE8" s="174"/>
      <c r="BF8" s="174"/>
      <c r="BG8" s="174"/>
      <c r="BH8" s="557"/>
      <c r="BI8" s="174"/>
      <c r="BJ8" s="174"/>
      <c r="BK8" s="177"/>
      <c r="BL8" s="174"/>
      <c r="BM8" s="483"/>
      <c r="BN8" s="174"/>
      <c r="BO8" s="174"/>
      <c r="BP8" s="174"/>
      <c r="BQ8" s="174"/>
      <c r="BR8" s="483"/>
      <c r="BS8" s="174"/>
      <c r="BT8" s="174"/>
      <c r="BU8" s="174"/>
      <c r="BV8" s="174"/>
      <c r="BW8" s="483"/>
      <c r="BX8" s="174"/>
      <c r="BY8" s="174"/>
      <c r="BZ8" s="174"/>
      <c r="CA8" s="174"/>
      <c r="CB8" s="483"/>
      <c r="CC8" s="174"/>
      <c r="CD8" s="174"/>
      <c r="CE8" s="174"/>
      <c r="CF8" s="174"/>
      <c r="CG8" s="483"/>
      <c r="CH8" s="174"/>
      <c r="CI8" s="174"/>
      <c r="CJ8" s="174"/>
      <c r="CK8" s="174"/>
      <c r="CL8" s="483"/>
      <c r="CM8" s="174"/>
      <c r="CN8" s="174"/>
      <c r="CO8" s="174"/>
      <c r="CP8" s="174"/>
      <c r="CQ8" s="483"/>
    </row>
    <row r="9" spans="1:241" x14ac:dyDescent="0.25">
      <c r="E9" s="174" t="s">
        <v>518</v>
      </c>
      <c r="F9" s="557"/>
      <c r="G9" s="557"/>
      <c r="H9" s="557"/>
      <c r="I9" s="557"/>
      <c r="J9" s="557"/>
      <c r="K9" s="174"/>
      <c r="L9" s="174"/>
      <c r="M9" s="174"/>
      <c r="N9" s="174"/>
      <c r="O9" s="557"/>
      <c r="P9" s="174"/>
      <c r="Q9" s="174"/>
      <c r="R9" s="174"/>
      <c r="S9" s="174"/>
      <c r="T9" s="557"/>
      <c r="U9" s="174"/>
      <c r="V9" s="174"/>
      <c r="W9" s="174"/>
      <c r="X9" s="174"/>
      <c r="Y9" s="557"/>
      <c r="Z9" s="174"/>
      <c r="AA9" s="174"/>
      <c r="AB9" s="174"/>
      <c r="AC9" s="174"/>
      <c r="AD9" s="557"/>
      <c r="AE9" s="174"/>
      <c r="AF9" s="174"/>
      <c r="AG9" s="174"/>
      <c r="AH9" s="174"/>
      <c r="AI9" s="557"/>
      <c r="AJ9" s="174"/>
      <c r="AK9" s="174"/>
      <c r="AL9" s="174"/>
      <c r="AM9" s="174"/>
      <c r="AN9" s="557"/>
      <c r="AO9" s="174"/>
      <c r="AP9" s="174"/>
      <c r="AQ9" s="174"/>
      <c r="AR9" s="174"/>
      <c r="AS9" s="557"/>
      <c r="AT9" s="174"/>
      <c r="AU9" s="174"/>
      <c r="AV9" s="174"/>
      <c r="AW9" s="174"/>
      <c r="AX9" s="557"/>
      <c r="AY9" s="174"/>
      <c r="AZ9" s="174"/>
      <c r="BA9" s="174"/>
      <c r="BB9" s="174"/>
      <c r="BC9" s="557"/>
      <c r="BD9" s="174"/>
      <c r="BE9" s="174"/>
      <c r="BF9" s="174"/>
      <c r="BG9" s="174"/>
      <c r="BH9" s="557"/>
      <c r="BI9" s="174"/>
      <c r="BJ9" s="502">
        <v>23</v>
      </c>
      <c r="BK9" s="502">
        <v>7</v>
      </c>
      <c r="BL9" s="502">
        <v>8</v>
      </c>
      <c r="BM9" s="187">
        <f>SUM(BI9:BL9)</f>
        <v>38</v>
      </c>
      <c r="BN9" s="502">
        <v>8</v>
      </c>
      <c r="BO9" s="502">
        <v>89</v>
      </c>
      <c r="BP9" s="502">
        <v>23</v>
      </c>
      <c r="BQ9" s="502">
        <v>19</v>
      </c>
      <c r="BR9" s="187">
        <f>SUM(BN9:BQ9)</f>
        <v>139</v>
      </c>
      <c r="BS9" s="502">
        <v>30</v>
      </c>
      <c r="BT9" s="502">
        <v>40</v>
      </c>
      <c r="BU9" s="502">
        <v>41</v>
      </c>
      <c r="BV9" s="598">
        <f>BV11/BV10</f>
        <v>41.666666666666671</v>
      </c>
      <c r="BW9" s="187">
        <f>SUM(BS9:BV9)</f>
        <v>152.66666666666669</v>
      </c>
      <c r="BX9" s="598">
        <f>BX11/BX10</f>
        <v>40</v>
      </c>
      <c r="BY9" s="598">
        <f>BY11/BY10</f>
        <v>44.8</v>
      </c>
      <c r="BZ9" s="175">
        <v>56</v>
      </c>
      <c r="CA9" s="175">
        <v>25</v>
      </c>
      <c r="CB9" s="187">
        <f>SUM(BX9:CA9)</f>
        <v>165.8</v>
      </c>
      <c r="CC9" s="175">
        <v>48</v>
      </c>
      <c r="CD9" s="175">
        <v>43</v>
      </c>
      <c r="CE9" s="175">
        <v>67</v>
      </c>
      <c r="CF9" s="561">
        <v>45</v>
      </c>
      <c r="CG9" s="187">
        <f>SUM(CC9:CF9)</f>
        <v>203</v>
      </c>
      <c r="CH9" s="561"/>
      <c r="CI9" s="561"/>
      <c r="CJ9" s="561"/>
      <c r="CK9" s="561"/>
      <c r="CL9" s="187"/>
      <c r="CM9" s="561"/>
      <c r="CN9" s="561"/>
      <c r="CO9" s="561"/>
      <c r="CP9" s="561"/>
      <c r="CQ9" s="187"/>
    </row>
    <row r="10" spans="1:241" x14ac:dyDescent="0.25">
      <c r="E10" s="174" t="s">
        <v>653</v>
      </c>
      <c r="F10" s="557"/>
      <c r="G10" s="557"/>
      <c r="H10" s="557"/>
      <c r="I10" s="557"/>
      <c r="J10" s="557"/>
      <c r="K10" s="174"/>
      <c r="L10" s="174"/>
      <c r="M10" s="174"/>
      <c r="N10" s="174"/>
      <c r="O10" s="557"/>
      <c r="P10" s="174"/>
      <c r="Q10" s="174"/>
      <c r="R10" s="477"/>
      <c r="S10" s="174"/>
      <c r="T10" s="557"/>
      <c r="U10" s="174"/>
      <c r="V10" s="174"/>
      <c r="W10" s="174"/>
      <c r="X10" s="174"/>
      <c r="Y10" s="557"/>
      <c r="Z10" s="174"/>
      <c r="AA10" s="174"/>
      <c r="AB10" s="174"/>
      <c r="AC10" s="174"/>
      <c r="AD10" s="557"/>
      <c r="AE10" s="174"/>
      <c r="AF10" s="174"/>
      <c r="AG10" s="174"/>
      <c r="AH10" s="174"/>
      <c r="AI10" s="557"/>
      <c r="AJ10" s="174"/>
      <c r="AK10" s="174"/>
      <c r="AL10" s="174"/>
      <c r="AM10" s="174"/>
      <c r="AN10" s="557"/>
      <c r="AO10" s="174"/>
      <c r="AP10" s="174"/>
      <c r="AQ10" s="174"/>
      <c r="AR10" s="174"/>
      <c r="AS10" s="557"/>
      <c r="AT10" s="174"/>
      <c r="AU10" s="174"/>
      <c r="AV10" s="174"/>
      <c r="AW10" s="174"/>
      <c r="AX10" s="557"/>
      <c r="AY10" s="174"/>
      <c r="AZ10" s="174"/>
      <c r="BA10" s="174"/>
      <c r="BB10" s="174"/>
      <c r="BC10" s="557"/>
      <c r="BD10" s="174"/>
      <c r="BE10" s="174"/>
      <c r="BF10" s="174"/>
      <c r="BG10" s="174"/>
      <c r="BH10" s="557"/>
      <c r="BI10" s="174"/>
      <c r="BJ10" s="487">
        <v>1</v>
      </c>
      <c r="BK10" s="487">
        <v>1</v>
      </c>
      <c r="BL10" s="487">
        <v>1</v>
      </c>
      <c r="BM10" s="534">
        <f>BM11/BM9</f>
        <v>1</v>
      </c>
      <c r="BN10" s="499">
        <v>1.3</v>
      </c>
      <c r="BO10" s="499">
        <v>1.35</v>
      </c>
      <c r="BP10" s="499">
        <v>1.35</v>
      </c>
      <c r="BQ10" s="499">
        <v>1.3</v>
      </c>
      <c r="BR10" s="534">
        <f>BR11/BR9</f>
        <v>1.3402877697841726</v>
      </c>
      <c r="BS10" s="554">
        <f>BS11/BS9</f>
        <v>1.3333333333333333</v>
      </c>
      <c r="BT10" s="554">
        <f>BT11/BT9</f>
        <v>1.25</v>
      </c>
      <c r="BU10" s="499">
        <v>1.2</v>
      </c>
      <c r="BV10" s="499">
        <v>1.2</v>
      </c>
      <c r="BW10" s="534">
        <f>BW11/BW9</f>
        <v>1.2393013100436678</v>
      </c>
      <c r="BX10" s="499">
        <v>1.25</v>
      </c>
      <c r="BY10" s="499">
        <v>1.25</v>
      </c>
      <c r="BZ10" s="499">
        <v>1.25</v>
      </c>
      <c r="CA10" s="499">
        <v>1.25</v>
      </c>
      <c r="CB10" s="534">
        <f>CB11/CB9</f>
        <v>1.25</v>
      </c>
      <c r="CC10" s="499">
        <v>1.25</v>
      </c>
      <c r="CD10" s="499">
        <v>1.25</v>
      </c>
      <c r="CE10" s="499">
        <v>1.3</v>
      </c>
      <c r="CF10" s="499">
        <v>1.25</v>
      </c>
      <c r="CG10" s="534">
        <f>CG11/CG9</f>
        <v>1.2665024630541872</v>
      </c>
      <c r="CH10" s="499"/>
      <c r="CI10" s="499"/>
      <c r="CJ10" s="499"/>
      <c r="CK10" s="499"/>
      <c r="CL10" s="534"/>
      <c r="CM10" s="499"/>
      <c r="CN10" s="499"/>
      <c r="CO10" s="499"/>
      <c r="CP10" s="499"/>
      <c r="CQ10" s="534"/>
    </row>
    <row r="11" spans="1:241" x14ac:dyDescent="0.25">
      <c r="E11" s="174" t="s">
        <v>652</v>
      </c>
      <c r="F11" s="557"/>
      <c r="G11" s="557"/>
      <c r="H11" s="557"/>
      <c r="I11" s="557"/>
      <c r="J11" s="557"/>
      <c r="K11" s="174"/>
      <c r="L11" s="174"/>
      <c r="M11" s="174"/>
      <c r="N11" s="174"/>
      <c r="O11" s="557"/>
      <c r="P11" s="174"/>
      <c r="Q11" s="174"/>
      <c r="R11" s="477"/>
      <c r="S11" s="174"/>
      <c r="T11" s="557"/>
      <c r="U11" s="174"/>
      <c r="V11" s="174"/>
      <c r="W11" s="174"/>
      <c r="X11" s="174"/>
      <c r="Y11" s="557"/>
      <c r="Z11" s="174"/>
      <c r="AA11" s="174"/>
      <c r="AB11" s="174"/>
      <c r="AC11" s="174"/>
      <c r="AD11" s="557"/>
      <c r="AE11" s="174"/>
      <c r="AF11" s="174"/>
      <c r="AG11" s="174"/>
      <c r="AH11" s="174"/>
      <c r="AI11" s="557"/>
      <c r="AJ11" s="174"/>
      <c r="AK11" s="174"/>
      <c r="AL11" s="174"/>
      <c r="AM11" s="174"/>
      <c r="AN11" s="557"/>
      <c r="AO11" s="174"/>
      <c r="AP11" s="174"/>
      <c r="AQ11" s="174"/>
      <c r="AR11" s="174"/>
      <c r="AS11" s="557"/>
      <c r="AT11" s="174"/>
      <c r="AU11" s="174"/>
      <c r="AV11" s="174"/>
      <c r="AW11" s="174"/>
      <c r="AX11" s="557"/>
      <c r="AY11" s="174"/>
      <c r="AZ11" s="174"/>
      <c r="BA11" s="174"/>
      <c r="BB11" s="174"/>
      <c r="BC11" s="557"/>
      <c r="BD11" s="174"/>
      <c r="BE11" s="174"/>
      <c r="BF11" s="174"/>
      <c r="BG11" s="174"/>
      <c r="BH11" s="557"/>
      <c r="BI11" s="174"/>
      <c r="BJ11" s="177">
        <f>BJ9*BJ10</f>
        <v>23</v>
      </c>
      <c r="BK11" s="177">
        <f>BK9*BK10</f>
        <v>7</v>
      </c>
      <c r="BL11" s="177">
        <f>BL9*BL10</f>
        <v>8</v>
      </c>
      <c r="BM11" s="187">
        <f>SUM(BI11:BL11)</f>
        <v>38</v>
      </c>
      <c r="BN11" s="177">
        <f>BN9*BN10</f>
        <v>10.4</v>
      </c>
      <c r="BO11" s="177">
        <f>BO9*BO10</f>
        <v>120.15</v>
      </c>
      <c r="BP11" s="177">
        <f>BP9*BP10</f>
        <v>31.05</v>
      </c>
      <c r="BQ11" s="177">
        <f>BQ9*BQ10</f>
        <v>24.7</v>
      </c>
      <c r="BR11" s="187">
        <f>SUM(BN11:BQ11)</f>
        <v>186.3</v>
      </c>
      <c r="BS11" s="502">
        <v>40</v>
      </c>
      <c r="BT11" s="563">
        <v>50</v>
      </c>
      <c r="BU11" s="177">
        <f>BU9*BU10</f>
        <v>49.199999999999996</v>
      </c>
      <c r="BV11" s="563">
        <v>50</v>
      </c>
      <c r="BW11" s="187">
        <f>SUM(BS11:BV11)</f>
        <v>189.2</v>
      </c>
      <c r="BX11" s="563">
        <v>50</v>
      </c>
      <c r="BY11" s="175">
        <v>56</v>
      </c>
      <c r="BZ11" s="177">
        <f>BZ9*BZ10</f>
        <v>70</v>
      </c>
      <c r="CA11" s="177">
        <f>CA9*CA10</f>
        <v>31.25</v>
      </c>
      <c r="CB11" s="187">
        <f>SUM(BX11:CA11)</f>
        <v>207.25</v>
      </c>
      <c r="CC11" s="177">
        <f>CC9*CC10</f>
        <v>60</v>
      </c>
      <c r="CD11" s="177">
        <f>CD9*CD10</f>
        <v>53.75</v>
      </c>
      <c r="CE11" s="177">
        <f>CE9*CE10</f>
        <v>87.100000000000009</v>
      </c>
      <c r="CF11" s="177">
        <f>CF9*CF10</f>
        <v>56.25</v>
      </c>
      <c r="CG11" s="187">
        <f>SUM(CC11:CF11)</f>
        <v>257.10000000000002</v>
      </c>
      <c r="CH11" s="177"/>
      <c r="CI11" s="177"/>
      <c r="CJ11" s="177"/>
      <c r="CK11" s="177"/>
      <c r="CL11" s="187"/>
      <c r="CM11" s="177"/>
      <c r="CN11" s="177"/>
      <c r="CO11" s="177"/>
      <c r="CP11" s="177"/>
      <c r="CQ11" s="187"/>
    </row>
    <row r="12" spans="1:241" ht="3.75" customHeight="1" x14ac:dyDescent="0.25">
      <c r="E12" s="174"/>
      <c r="F12" s="557"/>
      <c r="G12" s="557"/>
      <c r="H12" s="557"/>
      <c r="I12" s="557"/>
      <c r="J12" s="557"/>
      <c r="K12" s="174"/>
      <c r="L12" s="174"/>
      <c r="M12" s="174"/>
      <c r="N12" s="174"/>
      <c r="O12" s="557"/>
      <c r="P12" s="174"/>
      <c r="Q12" s="174"/>
      <c r="R12" s="477"/>
      <c r="S12" s="174"/>
      <c r="T12" s="557"/>
      <c r="U12" s="174"/>
      <c r="V12" s="174"/>
      <c r="W12" s="174"/>
      <c r="X12" s="174"/>
      <c r="Y12" s="557"/>
      <c r="Z12" s="174"/>
      <c r="AA12" s="174"/>
      <c r="AB12" s="174"/>
      <c r="AC12" s="174"/>
      <c r="AD12" s="557"/>
      <c r="AE12" s="174"/>
      <c r="AF12" s="174"/>
      <c r="AG12" s="174"/>
      <c r="AH12" s="174"/>
      <c r="AI12" s="557"/>
      <c r="AJ12" s="174"/>
      <c r="AK12" s="174"/>
      <c r="AL12" s="174"/>
      <c r="AM12" s="174"/>
      <c r="AN12" s="557"/>
      <c r="AO12" s="174"/>
      <c r="AP12" s="174"/>
      <c r="AQ12" s="174"/>
      <c r="AR12" s="174"/>
      <c r="AS12" s="557"/>
      <c r="AT12" s="174"/>
      <c r="AU12" s="174"/>
      <c r="AV12" s="174"/>
      <c r="AW12" s="174"/>
      <c r="AX12" s="557"/>
      <c r="AY12" s="174"/>
      <c r="AZ12" s="174"/>
      <c r="BA12" s="174"/>
      <c r="BB12" s="174"/>
      <c r="BC12" s="557"/>
      <c r="BD12" s="174"/>
      <c r="BE12" s="174"/>
      <c r="BF12" s="174"/>
      <c r="BG12" s="174"/>
      <c r="BH12" s="557"/>
      <c r="BI12" s="174"/>
      <c r="BJ12" s="174"/>
      <c r="BK12" s="174"/>
      <c r="BL12" s="174"/>
      <c r="BM12" s="483"/>
      <c r="BN12" s="174"/>
      <c r="BO12" s="174"/>
      <c r="BP12" s="174"/>
      <c r="BQ12" s="174"/>
      <c r="BR12" s="483"/>
      <c r="BS12" s="174"/>
      <c r="BT12" s="174"/>
      <c r="BU12" s="174"/>
      <c r="BV12" s="174"/>
      <c r="BW12" s="483"/>
      <c r="BX12" s="174"/>
      <c r="BY12" s="174"/>
      <c r="BZ12" s="174"/>
      <c r="CA12" s="174"/>
      <c r="CB12" s="483"/>
      <c r="CC12" s="174"/>
      <c r="CD12" s="174"/>
      <c r="CE12" s="174"/>
      <c r="CF12" s="174"/>
      <c r="CG12" s="483"/>
      <c r="CH12" s="174"/>
      <c r="CI12" s="174"/>
      <c r="CJ12" s="174"/>
      <c r="CK12" s="174"/>
      <c r="CL12" s="483"/>
      <c r="CM12" s="174"/>
      <c r="CN12" s="174"/>
      <c r="CO12" s="174"/>
      <c r="CP12" s="174"/>
      <c r="CQ12" s="483"/>
    </row>
    <row r="13" spans="1:241" ht="13.5" x14ac:dyDescent="0.3">
      <c r="E13" s="479" t="s">
        <v>519</v>
      </c>
      <c r="F13" s="557"/>
      <c r="G13" s="557"/>
      <c r="H13" s="557"/>
      <c r="I13" s="557"/>
      <c r="J13" s="557"/>
      <c r="K13" s="174"/>
      <c r="L13" s="174"/>
      <c r="M13" s="174"/>
      <c r="N13" s="174"/>
      <c r="O13" s="557"/>
      <c r="P13" s="174"/>
      <c r="Q13" s="174"/>
      <c r="R13" s="477"/>
      <c r="S13" s="174"/>
      <c r="T13" s="557"/>
      <c r="U13" s="174"/>
      <c r="V13" s="174"/>
      <c r="W13" s="174"/>
      <c r="X13" s="174"/>
      <c r="Y13" s="557"/>
      <c r="Z13" s="174"/>
      <c r="AA13" s="174"/>
      <c r="AB13" s="174"/>
      <c r="AC13" s="174"/>
      <c r="AD13" s="557"/>
      <c r="AE13" s="174"/>
      <c r="AF13" s="174"/>
      <c r="AG13" s="174"/>
      <c r="AH13" s="174"/>
      <c r="AI13" s="557"/>
      <c r="AJ13" s="174"/>
      <c r="AK13" s="174"/>
      <c r="AL13" s="174"/>
      <c r="AM13" s="174"/>
      <c r="AN13" s="557"/>
      <c r="AO13" s="174"/>
      <c r="AP13" s="174"/>
      <c r="AQ13" s="174"/>
      <c r="AR13" s="174"/>
      <c r="AS13" s="557"/>
      <c r="AT13" s="174"/>
      <c r="AU13" s="174"/>
      <c r="AV13" s="174"/>
      <c r="AW13" s="174"/>
      <c r="AX13" s="557"/>
      <c r="AY13" s="174"/>
      <c r="AZ13" s="174"/>
      <c r="BA13" s="174"/>
      <c r="BB13" s="174"/>
      <c r="BC13" s="557"/>
      <c r="BD13" s="174"/>
      <c r="BE13" s="174"/>
      <c r="BF13" s="174"/>
      <c r="BG13" s="174"/>
      <c r="BH13" s="557"/>
      <c r="BI13" s="174"/>
      <c r="BJ13" s="488">
        <v>0</v>
      </c>
      <c r="BK13" s="488">
        <v>0</v>
      </c>
      <c r="BL13" s="488">
        <v>0</v>
      </c>
      <c r="BM13" s="189"/>
      <c r="BN13" s="488">
        <v>0</v>
      </c>
      <c r="BO13" s="488">
        <v>0</v>
      </c>
      <c r="BP13" s="488">
        <v>0</v>
      </c>
      <c r="BQ13" s="488">
        <v>0</v>
      </c>
      <c r="BR13" s="189">
        <f>(BR14-BR11)/-BM17</f>
        <v>0</v>
      </c>
      <c r="BS13" s="488">
        <v>7.0000000000000007E-2</v>
      </c>
      <c r="BT13" s="488">
        <v>7.0000000000000007E-2</v>
      </c>
      <c r="BU13" s="488">
        <v>7.0000000000000007E-2</v>
      </c>
      <c r="BV13" s="488">
        <v>7.0000000000000007E-2</v>
      </c>
      <c r="BW13" s="189">
        <f>(BW14-BW11)/-BR17</f>
        <v>0.3323078651671868</v>
      </c>
      <c r="BX13" s="488">
        <v>5.1999999999999998E-2</v>
      </c>
      <c r="BY13" s="488">
        <v>0.05</v>
      </c>
      <c r="BZ13" s="488">
        <v>4.0000000000000001E-3</v>
      </c>
      <c r="CA13" s="488">
        <v>0</v>
      </c>
      <c r="CB13" s="189">
        <f>(CB14-CB11)/-BW17</f>
        <v>0.11159919972993217</v>
      </c>
      <c r="CC13" s="488">
        <v>0.02</v>
      </c>
      <c r="CD13" s="488">
        <v>0.04</v>
      </c>
      <c r="CE13" s="488">
        <v>3.3999999999999998E-3</v>
      </c>
      <c r="CF13" s="488">
        <v>0.02</v>
      </c>
      <c r="CG13" s="189">
        <f>(CG14-CG11)/-CB17</f>
        <v>9.440844226785125E-2</v>
      </c>
      <c r="CH13" s="488"/>
      <c r="CI13" s="488"/>
      <c r="CJ13" s="488"/>
      <c r="CK13" s="488"/>
      <c r="CL13" s="189"/>
      <c r="CM13" s="488"/>
      <c r="CN13" s="488"/>
      <c r="CO13" s="488"/>
      <c r="CP13" s="488"/>
      <c r="CQ13" s="189"/>
    </row>
    <row r="14" spans="1:241" x14ac:dyDescent="0.25">
      <c r="E14" s="174" t="s">
        <v>520</v>
      </c>
      <c r="F14" s="557"/>
      <c r="G14" s="557"/>
      <c r="H14" s="557"/>
      <c r="I14" s="557"/>
      <c r="J14" s="557"/>
      <c r="K14" s="174"/>
      <c r="L14" s="174"/>
      <c r="M14" s="174"/>
      <c r="N14" s="174"/>
      <c r="O14" s="557"/>
      <c r="P14" s="174"/>
      <c r="Q14" s="174"/>
      <c r="R14" s="477"/>
      <c r="S14" s="174"/>
      <c r="T14" s="557"/>
      <c r="U14" s="174"/>
      <c r="V14" s="174"/>
      <c r="W14" s="174"/>
      <c r="X14" s="174"/>
      <c r="Y14" s="557"/>
      <c r="Z14" s="174"/>
      <c r="AA14" s="174"/>
      <c r="AB14" s="174"/>
      <c r="AC14" s="174"/>
      <c r="AD14" s="557"/>
      <c r="AE14" s="174"/>
      <c r="AF14" s="174"/>
      <c r="AG14" s="174"/>
      <c r="AH14" s="174"/>
      <c r="AI14" s="557"/>
      <c r="AJ14" s="174"/>
      <c r="AK14" s="174"/>
      <c r="AL14" s="174"/>
      <c r="AM14" s="174"/>
      <c r="AN14" s="557"/>
      <c r="AO14" s="174"/>
      <c r="AP14" s="174"/>
      <c r="AQ14" s="174"/>
      <c r="AR14" s="174"/>
      <c r="AS14" s="557"/>
      <c r="AT14" s="174"/>
      <c r="AU14" s="174"/>
      <c r="AV14" s="174"/>
      <c r="AW14" s="174"/>
      <c r="AX14" s="557"/>
      <c r="AY14" s="174"/>
      <c r="AZ14" s="174"/>
      <c r="BA14" s="174"/>
      <c r="BB14" s="174"/>
      <c r="BC14" s="557"/>
      <c r="BD14" s="174"/>
      <c r="BE14" s="174"/>
      <c r="BF14" s="174"/>
      <c r="BG14" s="174"/>
      <c r="BH14" s="557"/>
      <c r="BI14" s="174"/>
      <c r="BJ14" s="177">
        <f>BJ11*(1-BJ13)</f>
        <v>23</v>
      </c>
      <c r="BK14" s="177">
        <f>BK11*(1-BK13)</f>
        <v>7</v>
      </c>
      <c r="BL14" s="177">
        <f>BL11*(1-BL13)</f>
        <v>8</v>
      </c>
      <c r="BM14" s="187">
        <f>SUM(BI14:BL14)</f>
        <v>38</v>
      </c>
      <c r="BN14" s="177">
        <f>BN11*(1-BN13)</f>
        <v>10.4</v>
      </c>
      <c r="BO14" s="177">
        <f>BO11*(1-BO13)</f>
        <v>120.15</v>
      </c>
      <c r="BP14" s="177">
        <f>BP11-(BP13*BO17)</f>
        <v>31.05</v>
      </c>
      <c r="BQ14" s="177">
        <f>BQ11-(BQ13*BP17)</f>
        <v>24.7</v>
      </c>
      <c r="BR14" s="187">
        <f>SUM(BN14:BQ14)</f>
        <v>186.3</v>
      </c>
      <c r="BS14" s="177">
        <f>BS11-(BS13*BQ17)</f>
        <v>24.298999999999999</v>
      </c>
      <c r="BT14" s="177">
        <f>BT11-(BT13*BS17)</f>
        <v>32.598069999999993</v>
      </c>
      <c r="BU14" s="177">
        <f>BU11-(BU13*BT17)</f>
        <v>29.516205099999993</v>
      </c>
      <c r="BV14" s="177">
        <f>BV11-(BV13*BU17)</f>
        <v>28.250070742999998</v>
      </c>
      <c r="BW14" s="187">
        <f>SUM(BS14:BV14)</f>
        <v>114.66334584299999</v>
      </c>
      <c r="BX14" s="177">
        <f>BX11-(BX13*BV17)</f>
        <v>32.373906016164</v>
      </c>
      <c r="BY14" s="177">
        <f>BY11-(BY13*BX17)</f>
        <v>37.433137407041798</v>
      </c>
      <c r="BZ14" s="177">
        <f>BZ11-(BZ13*BY17)</f>
        <v>68.364918442935178</v>
      </c>
      <c r="CA14" s="177">
        <f>CA11-(CA13*BZ17)</f>
        <v>31.25</v>
      </c>
      <c r="CB14" s="187">
        <f>SUM(BX14:CA14)</f>
        <v>169.42196186614098</v>
      </c>
      <c r="CC14" s="177">
        <f>CC11-(CC13*CB17)</f>
        <v>49.832293845817183</v>
      </c>
      <c r="CD14" s="177">
        <f>CD11-(CD13*CC17)</f>
        <v>31.421295937801673</v>
      </c>
      <c r="CE14" s="177">
        <f>CE11-(CE13*CD17)</f>
        <v>85.095227748524621</v>
      </c>
      <c r="CF14" s="177">
        <f>CF11-(CF13*CE17)</f>
        <v>42.75531749517431</v>
      </c>
      <c r="CG14" s="187">
        <f>SUM(CC14:CF14)</f>
        <v>209.1041350273178</v>
      </c>
      <c r="CH14" s="177"/>
      <c r="CI14" s="177"/>
      <c r="CJ14" s="177"/>
      <c r="CK14" s="177"/>
      <c r="CL14" s="187"/>
      <c r="CM14" s="177"/>
      <c r="CN14" s="177"/>
      <c r="CO14" s="177"/>
      <c r="CP14" s="177"/>
      <c r="CQ14" s="187"/>
    </row>
    <row r="15" spans="1:241" ht="3.75" customHeight="1" x14ac:dyDescent="0.25">
      <c r="E15" s="174"/>
      <c r="F15" s="557"/>
      <c r="G15" s="557"/>
      <c r="H15" s="557"/>
      <c r="I15" s="557"/>
      <c r="J15" s="557"/>
      <c r="K15" s="174"/>
      <c r="L15" s="174"/>
      <c r="M15" s="174"/>
      <c r="N15" s="174"/>
      <c r="O15" s="557"/>
      <c r="P15" s="174"/>
      <c r="Q15" s="174"/>
      <c r="R15" s="477"/>
      <c r="S15" s="174"/>
      <c r="T15" s="557"/>
      <c r="U15" s="174"/>
      <c r="V15" s="174"/>
      <c r="W15" s="174"/>
      <c r="X15" s="174"/>
      <c r="Y15" s="557"/>
      <c r="Z15" s="174"/>
      <c r="AA15" s="174"/>
      <c r="AB15" s="174"/>
      <c r="AC15" s="174"/>
      <c r="AD15" s="557"/>
      <c r="AE15" s="174"/>
      <c r="AF15" s="174"/>
      <c r="AG15" s="174"/>
      <c r="AH15" s="174"/>
      <c r="AI15" s="557"/>
      <c r="AJ15" s="174"/>
      <c r="AK15" s="174"/>
      <c r="AL15" s="174"/>
      <c r="AM15" s="174"/>
      <c r="AN15" s="557"/>
      <c r="AO15" s="174"/>
      <c r="AP15" s="174"/>
      <c r="AQ15" s="174"/>
      <c r="AR15" s="174"/>
      <c r="AS15" s="557"/>
      <c r="AT15" s="174"/>
      <c r="AU15" s="174"/>
      <c r="AV15" s="174"/>
      <c r="AW15" s="174"/>
      <c r="AX15" s="557"/>
      <c r="AY15" s="174"/>
      <c r="AZ15" s="174"/>
      <c r="BA15" s="174"/>
      <c r="BB15" s="174"/>
      <c r="BC15" s="557"/>
      <c r="BD15" s="174"/>
      <c r="BE15" s="174"/>
      <c r="BF15" s="174"/>
      <c r="BG15" s="174"/>
      <c r="BH15" s="557"/>
      <c r="BI15" s="174"/>
      <c r="BJ15" s="174"/>
      <c r="BK15" s="174"/>
      <c r="BL15" s="174"/>
      <c r="BM15" s="483"/>
      <c r="BN15" s="174"/>
      <c r="BO15" s="174"/>
      <c r="BP15" s="174"/>
      <c r="BQ15" s="174"/>
      <c r="BR15" s="483"/>
      <c r="BS15" s="174"/>
      <c r="BT15" s="174"/>
      <c r="BU15" s="174"/>
      <c r="BV15" s="174"/>
      <c r="BW15" s="483"/>
      <c r="BX15" s="174"/>
      <c r="BY15" s="174"/>
      <c r="BZ15" s="174"/>
      <c r="CA15" s="174"/>
      <c r="CB15" s="483"/>
      <c r="CC15" s="174"/>
      <c r="CD15" s="174"/>
      <c r="CE15" s="174"/>
      <c r="CF15" s="174"/>
      <c r="CG15" s="483"/>
      <c r="CH15" s="174"/>
      <c r="CI15" s="174"/>
      <c r="CJ15" s="174"/>
      <c r="CK15" s="174"/>
      <c r="CL15" s="483"/>
      <c r="CM15" s="174"/>
      <c r="CN15" s="174"/>
      <c r="CO15" s="174"/>
      <c r="CP15" s="174"/>
      <c r="CQ15" s="483"/>
    </row>
    <row r="16" spans="1:241" x14ac:dyDescent="0.25">
      <c r="E16" s="174" t="s">
        <v>677</v>
      </c>
      <c r="F16" s="557"/>
      <c r="G16" s="557"/>
      <c r="H16" s="557"/>
      <c r="I16" s="557"/>
      <c r="J16" s="557"/>
      <c r="K16" s="174"/>
      <c r="L16" s="174"/>
      <c r="M16" s="174"/>
      <c r="N16" s="174"/>
      <c r="O16" s="557"/>
      <c r="P16" s="174"/>
      <c r="Q16" s="174"/>
      <c r="R16" s="477"/>
      <c r="S16" s="174"/>
      <c r="T16" s="557"/>
      <c r="U16" s="174"/>
      <c r="V16" s="174"/>
      <c r="W16" s="174"/>
      <c r="X16" s="174"/>
      <c r="Y16" s="557"/>
      <c r="Z16" s="174"/>
      <c r="AA16" s="174"/>
      <c r="AB16" s="174"/>
      <c r="AC16" s="174"/>
      <c r="AD16" s="557"/>
      <c r="AE16" s="174"/>
      <c r="AF16" s="174"/>
      <c r="AG16" s="174"/>
      <c r="AH16" s="174"/>
      <c r="AI16" s="557"/>
      <c r="AJ16" s="174"/>
      <c r="AK16" s="174"/>
      <c r="AL16" s="174"/>
      <c r="AM16" s="174"/>
      <c r="AN16" s="557"/>
      <c r="AO16" s="174"/>
      <c r="AP16" s="174"/>
      <c r="AQ16" s="174"/>
      <c r="AR16" s="174"/>
      <c r="AS16" s="557"/>
      <c r="AT16" s="174"/>
      <c r="AU16" s="174"/>
      <c r="AV16" s="174"/>
      <c r="AW16" s="174"/>
      <c r="AX16" s="557"/>
      <c r="AY16" s="174"/>
      <c r="AZ16" s="174"/>
      <c r="BA16" s="174"/>
      <c r="BB16" s="174"/>
      <c r="BC16" s="557"/>
      <c r="BD16" s="174"/>
      <c r="BE16" s="174"/>
      <c r="BF16" s="174"/>
      <c r="BG16" s="174"/>
      <c r="BH16" s="557"/>
      <c r="BI16" s="174"/>
      <c r="BJ16" s="174"/>
      <c r="BK16" s="174"/>
      <c r="BL16" s="174"/>
      <c r="BM16" s="483"/>
      <c r="BN16" s="175">
        <v>51</v>
      </c>
      <c r="BO16" s="599">
        <f>BN16*(1-BO13)+BO9</f>
        <v>140</v>
      </c>
      <c r="BP16" s="599">
        <f>BO16*(1-BP13)+BP9</f>
        <v>163</v>
      </c>
      <c r="BQ16" s="599">
        <f>BP16*(1-BQ13)+BQ9</f>
        <v>182</v>
      </c>
      <c r="BR16" s="483"/>
      <c r="BS16" s="599">
        <f>BQ16*(1-BS13)+BS9</f>
        <v>199.26</v>
      </c>
      <c r="BT16" s="599">
        <f>BS16*(1-BT13)+BT9</f>
        <v>225.31179999999998</v>
      </c>
      <c r="BU16" s="599">
        <f>BT16*(1-BU13)+BU9</f>
        <v>250.53997399999997</v>
      </c>
      <c r="BV16" s="599">
        <f>BU16*(1-BV13)+BV9</f>
        <v>274.66884248666662</v>
      </c>
      <c r="BW16" s="483"/>
      <c r="BX16" s="177">
        <f>BV16*(1-BX13)+BX9</f>
        <v>300.38606267735992</v>
      </c>
      <c r="BY16" s="177">
        <f>BX16*(1-BY13)+BY9</f>
        <v>330.16675954349193</v>
      </c>
      <c r="BZ16" s="177">
        <f>BY16*(1-BZ13)+BZ9</f>
        <v>384.84609250531798</v>
      </c>
      <c r="CA16" s="177">
        <f>BZ16*(1-CA13)+CA9</f>
        <v>409.84609250531798</v>
      </c>
      <c r="CB16" s="483"/>
      <c r="CC16" s="177">
        <f>CA16*(1-CC13)+CC9</f>
        <v>449.64917065521161</v>
      </c>
      <c r="CD16" s="177">
        <f>CC16*(1-CD13)+CD9</f>
        <v>474.66320382900312</v>
      </c>
      <c r="CE16" s="177">
        <f>CD16*(1-CE13)+CE9</f>
        <v>540.04934893598454</v>
      </c>
      <c r="CF16" s="177">
        <f>CE16*(1-CF13)+CF9</f>
        <v>574.24836195726482</v>
      </c>
      <c r="CG16" s="483"/>
      <c r="CH16" s="599"/>
      <c r="CI16" s="599"/>
      <c r="CJ16" s="599"/>
      <c r="CK16" s="599"/>
      <c r="CL16" s="483"/>
      <c r="CM16" s="599"/>
      <c r="CN16" s="599"/>
      <c r="CO16" s="599"/>
      <c r="CP16" s="599"/>
      <c r="CQ16" s="483"/>
    </row>
    <row r="17" spans="5:95" x14ac:dyDescent="0.25">
      <c r="E17" s="174" t="s">
        <v>521</v>
      </c>
      <c r="F17" s="557"/>
      <c r="G17" s="557"/>
      <c r="H17" s="557"/>
      <c r="I17" s="557"/>
      <c r="J17" s="557"/>
      <c r="K17" s="174"/>
      <c r="L17" s="174"/>
      <c r="M17" s="174"/>
      <c r="N17" s="174"/>
      <c r="O17" s="557"/>
      <c r="P17" s="174"/>
      <c r="Q17" s="174"/>
      <c r="R17" s="477"/>
      <c r="S17" s="174"/>
      <c r="T17" s="557"/>
      <c r="U17" s="174"/>
      <c r="V17" s="174"/>
      <c r="W17" s="174"/>
      <c r="X17" s="174"/>
      <c r="Y17" s="557"/>
      <c r="Z17" s="174"/>
      <c r="AA17" s="174"/>
      <c r="AB17" s="174"/>
      <c r="AC17" s="174"/>
      <c r="AD17" s="557"/>
      <c r="AE17" s="174"/>
      <c r="AF17" s="174"/>
      <c r="AG17" s="174"/>
      <c r="AH17" s="174"/>
      <c r="AI17" s="557"/>
      <c r="AJ17" s="174"/>
      <c r="AK17" s="174"/>
      <c r="AL17" s="174"/>
      <c r="AM17" s="174"/>
      <c r="AN17" s="557"/>
      <c r="AO17" s="174"/>
      <c r="AP17" s="174"/>
      <c r="AQ17" s="174"/>
      <c r="AR17" s="174"/>
      <c r="AS17" s="557"/>
      <c r="AT17" s="174"/>
      <c r="AU17" s="174"/>
      <c r="AV17" s="174"/>
      <c r="AW17" s="174"/>
      <c r="AX17" s="557"/>
      <c r="AY17" s="174"/>
      <c r="AZ17" s="174"/>
      <c r="BA17" s="174"/>
      <c r="BB17" s="174"/>
      <c r="BC17" s="557"/>
      <c r="BD17" s="174"/>
      <c r="BE17" s="174"/>
      <c r="BF17" s="174"/>
      <c r="BG17" s="174"/>
      <c r="BH17" s="557"/>
      <c r="BI17" s="174"/>
      <c r="BJ17" s="177">
        <f>BJ9</f>
        <v>23</v>
      </c>
      <c r="BK17" s="502">
        <f>BJ17+BK14</f>
        <v>30</v>
      </c>
      <c r="BL17" s="177">
        <f>BK17+BL14</f>
        <v>38</v>
      </c>
      <c r="BM17" s="187">
        <f>BL17</f>
        <v>38</v>
      </c>
      <c r="BN17" s="177">
        <f>BL17+BN14</f>
        <v>48.4</v>
      </c>
      <c r="BO17" s="177">
        <f>BN17+BO14</f>
        <v>168.55</v>
      </c>
      <c r="BP17" s="177">
        <f>BO17+BP14</f>
        <v>199.60000000000002</v>
      </c>
      <c r="BQ17" s="177">
        <f>BP17+BQ14</f>
        <v>224.3</v>
      </c>
      <c r="BR17" s="187">
        <f>BQ17</f>
        <v>224.3</v>
      </c>
      <c r="BS17" s="177">
        <f>BQ17+BS14</f>
        <v>248.59900000000002</v>
      </c>
      <c r="BT17" s="177">
        <f>BS17+BT14</f>
        <v>281.19707</v>
      </c>
      <c r="BU17" s="177">
        <f>BT17+BU14</f>
        <v>310.71327509999998</v>
      </c>
      <c r="BV17" s="177">
        <f>BU17+BV14</f>
        <v>338.96334584299996</v>
      </c>
      <c r="BW17" s="187">
        <f>BV17</f>
        <v>338.96334584299996</v>
      </c>
      <c r="BX17" s="177">
        <f>BV17+BX14</f>
        <v>371.33725185916398</v>
      </c>
      <c r="BY17" s="177">
        <f>BX17+BY14</f>
        <v>408.77038926620577</v>
      </c>
      <c r="BZ17" s="177">
        <f>BY17+BZ14</f>
        <v>477.13530770914093</v>
      </c>
      <c r="CA17" s="177">
        <f>BZ17+CA14</f>
        <v>508.38530770914093</v>
      </c>
      <c r="CB17" s="187">
        <f>CA17</f>
        <v>508.38530770914093</v>
      </c>
      <c r="CC17" s="177">
        <f>CA17+CC14</f>
        <v>558.21760155495815</v>
      </c>
      <c r="CD17" s="177">
        <f>CC17+CD14</f>
        <v>589.63889749275984</v>
      </c>
      <c r="CE17" s="177">
        <f>CD17+CE14</f>
        <v>674.73412524128446</v>
      </c>
      <c r="CF17" s="177">
        <f>CE17+CF14</f>
        <v>717.48944273645873</v>
      </c>
      <c r="CG17" s="187">
        <f>CF17</f>
        <v>717.48944273645873</v>
      </c>
      <c r="CH17" s="177"/>
      <c r="CI17" s="177"/>
      <c r="CJ17" s="177"/>
      <c r="CK17" s="177"/>
      <c r="CL17" s="187"/>
      <c r="CM17" s="177"/>
      <c r="CN17" s="177"/>
      <c r="CO17" s="177"/>
      <c r="CP17" s="177"/>
      <c r="CQ17" s="187"/>
    </row>
    <row r="18" spans="5:95" x14ac:dyDescent="0.25">
      <c r="E18" s="174" t="s">
        <v>522</v>
      </c>
      <c r="F18" s="557"/>
      <c r="G18" s="557"/>
      <c r="H18" s="557"/>
      <c r="I18" s="557"/>
      <c r="J18" s="557"/>
      <c r="K18" s="174"/>
      <c r="L18" s="174"/>
      <c r="M18" s="174"/>
      <c r="N18" s="174"/>
      <c r="O18" s="557"/>
      <c r="P18" s="174"/>
      <c r="Q18" s="174"/>
      <c r="R18" s="477"/>
      <c r="S18" s="174"/>
      <c r="T18" s="557"/>
      <c r="U18" s="174"/>
      <c r="V18" s="174"/>
      <c r="W18" s="174"/>
      <c r="X18" s="174"/>
      <c r="Y18" s="557"/>
      <c r="Z18" s="174"/>
      <c r="AA18" s="174"/>
      <c r="AB18" s="174"/>
      <c r="AC18" s="174"/>
      <c r="AD18" s="557"/>
      <c r="AE18" s="174"/>
      <c r="AF18" s="174"/>
      <c r="AG18" s="174"/>
      <c r="AH18" s="174"/>
      <c r="AI18" s="557"/>
      <c r="AJ18" s="174"/>
      <c r="AK18" s="174"/>
      <c r="AL18" s="174"/>
      <c r="AM18" s="174"/>
      <c r="AN18" s="557"/>
      <c r="AO18" s="174"/>
      <c r="AP18" s="174"/>
      <c r="AQ18" s="174"/>
      <c r="AR18" s="174"/>
      <c r="AS18" s="557"/>
      <c r="AT18" s="174"/>
      <c r="AU18" s="174"/>
      <c r="AV18" s="174"/>
      <c r="AW18" s="174"/>
      <c r="AX18" s="557"/>
      <c r="AY18" s="174"/>
      <c r="AZ18" s="174"/>
      <c r="BA18" s="174"/>
      <c r="BB18" s="174"/>
      <c r="BC18" s="557"/>
      <c r="BD18" s="174"/>
      <c r="BE18" s="174"/>
      <c r="BF18" s="174"/>
      <c r="BG18" s="174"/>
      <c r="BH18" s="557"/>
      <c r="BI18" s="174"/>
      <c r="BJ18" s="6">
        <f>BJ17/2</f>
        <v>11.5</v>
      </c>
      <c r="BK18" s="6">
        <f>AVERAGE(BJ17,BK17)</f>
        <v>26.5</v>
      </c>
      <c r="BL18" s="6">
        <f>AVERAGE(BK17,BL17)</f>
        <v>34</v>
      </c>
      <c r="BM18" s="187">
        <f>AVERAGE(BI18:BL18)</f>
        <v>24</v>
      </c>
      <c r="BN18" s="6">
        <f>AVERAGE(BL17,BN17)</f>
        <v>43.2</v>
      </c>
      <c r="BO18" s="6">
        <f>AVERAGE(BN17,BO17)*1.4</f>
        <v>151.86500000000001</v>
      </c>
      <c r="BP18" s="6">
        <f>AVERAGE(BO17,BP17)</f>
        <v>184.07500000000002</v>
      </c>
      <c r="BQ18" s="6">
        <f>AVERAGE(BP17,BQ17)</f>
        <v>211.95000000000002</v>
      </c>
      <c r="BR18" s="187">
        <f>AVERAGE(BN18:BQ18)</f>
        <v>147.77250000000001</v>
      </c>
      <c r="BS18" s="6">
        <f>AVERAGE(BQ17,BS17)</f>
        <v>236.4495</v>
      </c>
      <c r="BT18" s="6">
        <f>AVERAGE(BS17,BT17)</f>
        <v>264.89803499999999</v>
      </c>
      <c r="BU18" s="6">
        <f>AVERAGE(BT17,BU17)</f>
        <v>295.95517254999999</v>
      </c>
      <c r="BV18" s="6">
        <f>AVERAGE(BU17,BV17)</f>
        <v>324.83831047149999</v>
      </c>
      <c r="BW18" s="187">
        <f>AVERAGE(BS18:BV18)</f>
        <v>280.53525450537495</v>
      </c>
      <c r="BX18" s="6">
        <f>AVERAGE(BV17,BX17)</f>
        <v>355.15029885108197</v>
      </c>
      <c r="BY18" s="6">
        <f>AVERAGE(BX17,BY17)</f>
        <v>390.0538205626849</v>
      </c>
      <c r="BZ18" s="6">
        <f>AVERAGE(BY17,BZ17)</f>
        <v>442.95284848767335</v>
      </c>
      <c r="CA18" s="6">
        <f>AVERAGE(BZ17,CA17)</f>
        <v>492.76030770914093</v>
      </c>
      <c r="CB18" s="187">
        <f>AVERAGE(BX18:CA18)</f>
        <v>420.22931890264528</v>
      </c>
      <c r="CC18" s="6">
        <f>AVERAGE(CA17,CC17)</f>
        <v>533.30145463204951</v>
      </c>
      <c r="CD18" s="6">
        <f>AVERAGE(CC17,CD17)</f>
        <v>573.92824952385899</v>
      </c>
      <c r="CE18" s="6">
        <f>AVERAGE(CD17,CE17)</f>
        <v>632.18651136702215</v>
      </c>
      <c r="CF18" s="6">
        <f>AVERAGE(CE17,CF17)</f>
        <v>696.11178398887159</v>
      </c>
      <c r="CG18" s="187">
        <f>AVERAGE(CC18:CF18)</f>
        <v>608.88199987795065</v>
      </c>
      <c r="CH18" s="6"/>
      <c r="CI18" s="6"/>
      <c r="CJ18" s="6"/>
      <c r="CK18" s="6"/>
      <c r="CL18" s="187"/>
      <c r="CM18" s="6"/>
      <c r="CN18" s="6"/>
      <c r="CO18" s="6"/>
      <c r="CP18" s="6"/>
      <c r="CQ18" s="187"/>
    </row>
    <row r="19" spans="5:95" ht="3.75" customHeight="1" x14ac:dyDescent="0.25">
      <c r="E19" s="174"/>
      <c r="F19" s="557"/>
      <c r="G19" s="557"/>
      <c r="H19" s="557"/>
      <c r="I19" s="557"/>
      <c r="J19" s="557"/>
      <c r="K19" s="174"/>
      <c r="L19" s="174"/>
      <c r="M19" s="174"/>
      <c r="N19" s="174"/>
      <c r="O19" s="557"/>
      <c r="P19" s="174"/>
      <c r="Q19" s="174"/>
      <c r="R19" s="477"/>
      <c r="S19" s="174"/>
      <c r="T19" s="557"/>
      <c r="U19" s="174"/>
      <c r="V19" s="174"/>
      <c r="W19" s="174"/>
      <c r="X19" s="174"/>
      <c r="Y19" s="557"/>
      <c r="Z19" s="174"/>
      <c r="AA19" s="174"/>
      <c r="AB19" s="174"/>
      <c r="AC19" s="174"/>
      <c r="AD19" s="557"/>
      <c r="AE19" s="174"/>
      <c r="AF19" s="174"/>
      <c r="AG19" s="174"/>
      <c r="AH19" s="174"/>
      <c r="AI19" s="557"/>
      <c r="AJ19" s="174"/>
      <c r="AK19" s="174"/>
      <c r="AL19" s="174"/>
      <c r="AM19" s="174"/>
      <c r="AN19" s="557"/>
      <c r="AO19" s="174"/>
      <c r="AP19" s="174"/>
      <c r="AQ19" s="174"/>
      <c r="AR19" s="174"/>
      <c r="AS19" s="557"/>
      <c r="AT19" s="174"/>
      <c r="AU19" s="174"/>
      <c r="AV19" s="174"/>
      <c r="AW19" s="174"/>
      <c r="AX19" s="557"/>
      <c r="AY19" s="174"/>
      <c r="AZ19" s="174"/>
      <c r="BA19" s="174"/>
      <c r="BB19" s="174"/>
      <c r="BC19" s="557"/>
      <c r="BD19" s="174"/>
      <c r="BE19" s="174"/>
      <c r="BF19" s="174"/>
      <c r="BG19" s="174"/>
      <c r="BH19" s="557"/>
      <c r="BI19" s="174"/>
      <c r="BJ19" s="174"/>
      <c r="BK19" s="174"/>
      <c r="BL19" s="174"/>
      <c r="BM19" s="483"/>
      <c r="BN19" s="174"/>
      <c r="BO19" s="174"/>
      <c r="BP19" s="174"/>
      <c r="BQ19" s="174"/>
      <c r="BR19" s="483"/>
      <c r="BS19" s="174"/>
      <c r="BT19" s="174"/>
      <c r="BU19" s="174"/>
      <c r="BV19" s="174"/>
      <c r="BW19" s="483"/>
      <c r="BX19" s="174"/>
      <c r="BY19" s="174"/>
      <c r="BZ19" s="174"/>
      <c r="CA19" s="174"/>
      <c r="CB19" s="483"/>
      <c r="CC19" s="174"/>
      <c r="CD19" s="174"/>
      <c r="CE19" s="174"/>
      <c r="CF19" s="174"/>
      <c r="CG19" s="483"/>
      <c r="CH19" s="174"/>
      <c r="CI19" s="174"/>
      <c r="CJ19" s="174"/>
      <c r="CK19" s="174"/>
      <c r="CL19" s="483"/>
      <c r="CM19" s="174"/>
      <c r="CN19" s="174"/>
      <c r="CO19" s="174"/>
      <c r="CP19" s="174"/>
      <c r="CQ19" s="483"/>
    </row>
    <row r="20" spans="5:95" x14ac:dyDescent="0.25">
      <c r="E20" s="174" t="s">
        <v>570</v>
      </c>
      <c r="F20" s="557"/>
      <c r="G20" s="557"/>
      <c r="H20" s="557"/>
      <c r="I20" s="557"/>
      <c r="J20" s="557"/>
      <c r="K20" s="174"/>
      <c r="L20" s="174"/>
      <c r="M20" s="174"/>
      <c r="N20" s="174"/>
      <c r="O20" s="557"/>
      <c r="P20" s="174"/>
      <c r="Q20" s="174"/>
      <c r="R20" s="477"/>
      <c r="S20" s="174"/>
      <c r="T20" s="557"/>
      <c r="U20" s="174"/>
      <c r="V20" s="174"/>
      <c r="W20" s="174"/>
      <c r="X20" s="174"/>
      <c r="Y20" s="557"/>
      <c r="Z20" s="174"/>
      <c r="AA20" s="174"/>
      <c r="AB20" s="174"/>
      <c r="AC20" s="174"/>
      <c r="AD20" s="557"/>
      <c r="AE20" s="174"/>
      <c r="AF20" s="174"/>
      <c r="AG20" s="174"/>
      <c r="AH20" s="174"/>
      <c r="AI20" s="557"/>
      <c r="AJ20" s="174"/>
      <c r="AK20" s="174"/>
      <c r="AL20" s="174"/>
      <c r="AM20" s="174"/>
      <c r="AN20" s="557"/>
      <c r="AO20" s="174"/>
      <c r="AP20" s="174"/>
      <c r="AQ20" s="174"/>
      <c r="AR20" s="174"/>
      <c r="AS20" s="557"/>
      <c r="AT20" s="174"/>
      <c r="AU20" s="174"/>
      <c r="AV20" s="174"/>
      <c r="AW20" s="174"/>
      <c r="AX20" s="557"/>
      <c r="AY20" s="174"/>
      <c r="AZ20" s="174"/>
      <c r="BA20" s="174"/>
      <c r="BB20" s="174"/>
      <c r="BC20" s="557"/>
      <c r="BD20" s="174"/>
      <c r="BE20" s="174"/>
      <c r="BF20" s="174"/>
      <c r="BG20" s="174"/>
      <c r="BH20" s="557"/>
      <c r="BI20" s="174"/>
      <c r="BJ20" s="489">
        <v>15000</v>
      </c>
      <c r="BK20" s="490">
        <f>BJ20*(1+BK21)</f>
        <v>15000</v>
      </c>
      <c r="BL20" s="490">
        <f>BK20*(1+BL21)</f>
        <v>15000</v>
      </c>
      <c r="BM20" s="491">
        <f>(BM24*1000000)/BM18/12</f>
        <v>11250</v>
      </c>
      <c r="BN20" s="490">
        <f>BN24/BN18*1000000/3</f>
        <v>27268.518518518515</v>
      </c>
      <c r="BO20" s="490">
        <f>BO24/BO18*1000000/3</f>
        <v>26936.204304261453</v>
      </c>
      <c r="BP20" s="490">
        <f>BP24/BP18*1000000/3</f>
        <v>28267.46344334284</v>
      </c>
      <c r="BQ20" s="490">
        <f>BQ24/BQ18*1000000/3</f>
        <v>27924.825037351577</v>
      </c>
      <c r="BR20" s="491">
        <f>(BR24*1000000)/BR18/12</f>
        <v>27729.561770063214</v>
      </c>
      <c r="BS20" s="490">
        <f>BS24/BS18*1000000/3</f>
        <v>25684.131283847077</v>
      </c>
      <c r="BT20" s="490">
        <f>BT24/BT18*1000000/3</f>
        <v>24467.275996718261</v>
      </c>
      <c r="BU20" s="490">
        <f>BU24/BU18*1000000/3</f>
        <v>27956.936615467173</v>
      </c>
      <c r="BV20" s="490">
        <f>BV24/BV18*1000000/3</f>
        <v>28716.850915131708</v>
      </c>
      <c r="BW20" s="491">
        <f>(BW24*1000000)/BW18/12</f>
        <v>26874.221851222694</v>
      </c>
      <c r="BX20" s="490">
        <f>BX24/BX18*1000000/3</f>
        <v>26319.373413374942</v>
      </c>
      <c r="BY20" s="490">
        <f>BY24/BY18*1000000/3</f>
        <v>26886.887861281517</v>
      </c>
      <c r="BZ20" s="490">
        <f>BZ24/BZ18*1000000/3</f>
        <v>28209.172547359874</v>
      </c>
      <c r="CA20" s="490">
        <f>CA24/CA18*1000000/3</f>
        <v>29631.039212311021</v>
      </c>
      <c r="CB20" s="491">
        <f>(CB24*1000000)/CB18/12</f>
        <v>27919.874868888262</v>
      </c>
      <c r="CC20" s="490">
        <f>CC24/CC18*1000000/3</f>
        <v>27992.92320881944</v>
      </c>
      <c r="CD20" s="490">
        <f>CD24/CD18*1000000/3</f>
        <v>30424.244403058332</v>
      </c>
      <c r="CE20" s="490">
        <f>CE24/CE18*1000000/3</f>
        <v>29515.55118280667</v>
      </c>
      <c r="CF20" s="490">
        <f>CF24/CF18*1000000/3</f>
        <v>27511.386016568507</v>
      </c>
      <c r="CG20" s="491">
        <f>(CG24*1000000)/CG18/12</f>
        <v>28823.455672611799</v>
      </c>
      <c r="CH20" s="490"/>
      <c r="CI20" s="490"/>
      <c r="CJ20" s="490"/>
      <c r="CK20" s="490"/>
      <c r="CL20" s="491"/>
      <c r="CM20" s="490"/>
      <c r="CN20" s="490"/>
      <c r="CO20" s="490"/>
      <c r="CP20" s="490"/>
      <c r="CQ20" s="491"/>
    </row>
    <row r="21" spans="5:95" ht="13.5" x14ac:dyDescent="0.3">
      <c r="E21" s="479" t="s">
        <v>516</v>
      </c>
      <c r="F21" s="557"/>
      <c r="G21" s="557"/>
      <c r="H21" s="557"/>
      <c r="I21" s="557"/>
      <c r="J21" s="557"/>
      <c r="K21" s="174"/>
      <c r="L21" s="174"/>
      <c r="M21" s="174"/>
      <c r="N21" s="174"/>
      <c r="O21" s="557"/>
      <c r="P21" s="174"/>
      <c r="Q21" s="174"/>
      <c r="R21" s="477"/>
      <c r="S21" s="174"/>
      <c r="T21" s="557"/>
      <c r="U21" s="174"/>
      <c r="V21" s="174"/>
      <c r="W21" s="174"/>
      <c r="X21" s="174"/>
      <c r="Y21" s="557"/>
      <c r="Z21" s="174"/>
      <c r="AA21" s="174"/>
      <c r="AB21" s="174"/>
      <c r="AC21" s="174"/>
      <c r="AD21" s="557"/>
      <c r="AE21" s="174"/>
      <c r="AF21" s="174"/>
      <c r="AG21" s="174"/>
      <c r="AH21" s="174"/>
      <c r="AI21" s="557"/>
      <c r="AJ21" s="174"/>
      <c r="AK21" s="174"/>
      <c r="AL21" s="174"/>
      <c r="AM21" s="174"/>
      <c r="AN21" s="557"/>
      <c r="AO21" s="174"/>
      <c r="AP21" s="174"/>
      <c r="AQ21" s="174"/>
      <c r="AR21" s="174"/>
      <c r="AS21" s="557"/>
      <c r="AT21" s="174"/>
      <c r="AU21" s="174"/>
      <c r="AV21" s="174"/>
      <c r="AW21" s="174"/>
      <c r="AX21" s="557"/>
      <c r="AY21" s="174"/>
      <c r="AZ21" s="174"/>
      <c r="BA21" s="174"/>
      <c r="BB21" s="174"/>
      <c r="BC21" s="557"/>
      <c r="BD21" s="174"/>
      <c r="BE21" s="174"/>
      <c r="BF21" s="174"/>
      <c r="BG21" s="174"/>
      <c r="BH21" s="557"/>
      <c r="BI21" s="174"/>
      <c r="BJ21" s="492"/>
      <c r="BK21" s="488">
        <v>0</v>
      </c>
      <c r="BL21" s="488">
        <v>0</v>
      </c>
      <c r="BM21" s="486"/>
      <c r="BN21" s="488"/>
      <c r="BO21" s="482">
        <f>BO20/BN20-1</f>
        <v>-1.2186735191770048E-2</v>
      </c>
      <c r="BP21" s="482">
        <f>BP20/BO20-1</f>
        <v>4.9422670100210508E-2</v>
      </c>
      <c r="BQ21" s="482">
        <f>BQ20/BP20-1</f>
        <v>-1.2121300047951644E-2</v>
      </c>
      <c r="BR21" s="486"/>
      <c r="BS21" s="482">
        <f>BS20/BQ20-1</f>
        <v>-8.0240207432182742E-2</v>
      </c>
      <c r="BT21" s="482">
        <f>BT20/BS20-1</f>
        <v>-4.7377708581255562E-2</v>
      </c>
      <c r="BU21" s="482">
        <f>BU20/BT20-1</f>
        <v>0.14262562858313177</v>
      </c>
      <c r="BV21" s="482">
        <f>BV20/BU20-1</f>
        <v>2.71816011216377E-2</v>
      </c>
      <c r="BW21" s="486"/>
      <c r="BX21" s="482">
        <f>BX20/BV20-1</f>
        <v>-8.3486783033492995E-2</v>
      </c>
      <c r="BY21" s="482">
        <f>BY20/BX20-1</f>
        <v>2.1562612414556037E-2</v>
      </c>
      <c r="BZ21" s="482">
        <f>BZ20/BY20-1</f>
        <v>4.9179536616527297E-2</v>
      </c>
      <c r="CA21" s="482">
        <f>CA20/BZ20-1</f>
        <v>5.0404408798733868E-2</v>
      </c>
      <c r="CB21" s="486"/>
      <c r="CC21" s="482">
        <f>CC20/CA20-1</f>
        <v>-5.5283785079363046E-2</v>
      </c>
      <c r="CD21" s="482">
        <f>CD20/CC20-1</f>
        <v>8.6854851710266523E-2</v>
      </c>
      <c r="CE21" s="482">
        <f>CE20/CD20-1</f>
        <v>-2.9867404699139177E-2</v>
      </c>
      <c r="CF21" s="482">
        <f>CF20/CE20-1</f>
        <v>-6.790200710890415E-2</v>
      </c>
      <c r="CG21" s="486"/>
      <c r="CH21" s="488"/>
      <c r="CI21" s="488"/>
      <c r="CJ21" s="488"/>
      <c r="CK21" s="488"/>
      <c r="CL21" s="486"/>
      <c r="CM21" s="488"/>
      <c r="CN21" s="488"/>
      <c r="CO21" s="488"/>
      <c r="CP21" s="488"/>
      <c r="CQ21" s="486"/>
    </row>
    <row r="22" spans="5:95" ht="13.5" x14ac:dyDescent="0.3">
      <c r="E22" s="479" t="s">
        <v>517</v>
      </c>
      <c r="F22" s="557"/>
      <c r="G22" s="557"/>
      <c r="H22" s="557"/>
      <c r="I22" s="557"/>
      <c r="J22" s="557"/>
      <c r="K22" s="174"/>
      <c r="L22" s="174"/>
      <c r="M22" s="174"/>
      <c r="N22" s="174"/>
      <c r="O22" s="557"/>
      <c r="P22" s="174"/>
      <c r="Q22" s="174"/>
      <c r="R22" s="174"/>
      <c r="S22" s="174"/>
      <c r="T22" s="557"/>
      <c r="U22" s="174"/>
      <c r="V22" s="174"/>
      <c r="W22" s="174"/>
      <c r="X22" s="174"/>
      <c r="Y22" s="557"/>
      <c r="Z22" s="174"/>
      <c r="AA22" s="174"/>
      <c r="AB22" s="174"/>
      <c r="AC22" s="174"/>
      <c r="AD22" s="557"/>
      <c r="AE22" s="174"/>
      <c r="AF22" s="174"/>
      <c r="AG22" s="174"/>
      <c r="AH22" s="174"/>
      <c r="AI22" s="557"/>
      <c r="AJ22" s="174"/>
      <c r="AK22" s="174"/>
      <c r="AL22" s="174"/>
      <c r="AM22" s="174"/>
      <c r="AN22" s="557"/>
      <c r="AO22" s="174"/>
      <c r="AP22" s="174"/>
      <c r="AQ22" s="174"/>
      <c r="AR22" s="174"/>
      <c r="AS22" s="557"/>
      <c r="AT22" s="174"/>
      <c r="AU22" s="174"/>
      <c r="AV22" s="174"/>
      <c r="AW22" s="174"/>
      <c r="AX22" s="557"/>
      <c r="AY22" s="174"/>
      <c r="AZ22" s="174"/>
      <c r="BA22" s="174"/>
      <c r="BB22" s="174"/>
      <c r="BC22" s="557"/>
      <c r="BD22" s="174"/>
      <c r="BE22" s="174"/>
      <c r="BF22" s="174"/>
      <c r="BG22" s="174"/>
      <c r="BH22" s="557"/>
      <c r="BI22" s="174"/>
      <c r="BJ22" s="475" t="s">
        <v>490</v>
      </c>
      <c r="BK22" s="480" t="s">
        <v>490</v>
      </c>
      <c r="BL22" s="480" t="s">
        <v>490</v>
      </c>
      <c r="BM22" s="535"/>
      <c r="BN22" s="480" t="s">
        <v>490</v>
      </c>
      <c r="BO22" s="482">
        <f t="shared" ref="BO22:CG22" si="0">BO20/BJ20-1</f>
        <v>0.7957469536174302</v>
      </c>
      <c r="BP22" s="482">
        <f t="shared" si="0"/>
        <v>0.88449756288952264</v>
      </c>
      <c r="BQ22" s="482">
        <f t="shared" si="0"/>
        <v>0.86165500249010507</v>
      </c>
      <c r="BR22" s="535">
        <f t="shared" si="0"/>
        <v>1.4648499351167299</v>
      </c>
      <c r="BS22" s="482">
        <f t="shared" si="0"/>
        <v>-5.8103165142450064E-2</v>
      </c>
      <c r="BT22" s="482">
        <f t="shared" si="0"/>
        <v>-9.1658359865966488E-2</v>
      </c>
      <c r="BU22" s="482">
        <f t="shared" si="0"/>
        <v>-1.0985309258401021E-2</v>
      </c>
      <c r="BV22" s="482">
        <f t="shared" si="0"/>
        <v>2.8362787473895867E-2</v>
      </c>
      <c r="BW22" s="535">
        <f t="shared" si="0"/>
        <v>-3.0845778448758021E-2</v>
      </c>
      <c r="BX22" s="482">
        <f t="shared" si="0"/>
        <v>2.473286413729614E-2</v>
      </c>
      <c r="BY22" s="482">
        <f t="shared" si="0"/>
        <v>9.8891755048162722E-2</v>
      </c>
      <c r="BZ22" s="482">
        <f t="shared" si="0"/>
        <v>9.022302241553648E-3</v>
      </c>
      <c r="CA22" s="482">
        <f t="shared" si="0"/>
        <v>3.1834559432754483E-2</v>
      </c>
      <c r="CB22" s="535">
        <f t="shared" si="0"/>
        <v>3.8909145851901084E-2</v>
      </c>
      <c r="CC22" s="482">
        <f t="shared" si="0"/>
        <v>6.3586232436446899E-2</v>
      </c>
      <c r="CD22" s="482">
        <f t="shared" si="0"/>
        <v>0.1315643729399707</v>
      </c>
      <c r="CE22" s="482">
        <f>CE20/BZ20-1</f>
        <v>4.6310420245526229E-2</v>
      </c>
      <c r="CF22" s="482">
        <f t="shared" si="0"/>
        <v>-7.1534892197160804E-2</v>
      </c>
      <c r="CG22" s="535">
        <f t="shared" si="0"/>
        <v>3.2363354347637818E-2</v>
      </c>
      <c r="CH22" s="482"/>
      <c r="CI22" s="482"/>
      <c r="CJ22" s="482"/>
      <c r="CK22" s="482"/>
      <c r="CL22" s="535"/>
      <c r="CM22" s="482"/>
      <c r="CN22" s="482"/>
      <c r="CO22" s="482"/>
      <c r="CP22" s="482"/>
      <c r="CQ22" s="535"/>
    </row>
    <row r="23" spans="5:95" ht="3.75" customHeight="1" x14ac:dyDescent="0.25">
      <c r="E23" s="174"/>
      <c r="F23" s="557"/>
      <c r="G23" s="557"/>
      <c r="H23" s="557"/>
      <c r="I23" s="557"/>
      <c r="J23" s="557"/>
      <c r="K23" s="174"/>
      <c r="L23" s="174"/>
      <c r="M23" s="174"/>
      <c r="N23" s="174"/>
      <c r="O23" s="557"/>
      <c r="P23" s="174"/>
      <c r="Q23" s="174"/>
      <c r="R23" s="477"/>
      <c r="S23" s="174"/>
      <c r="T23" s="557"/>
      <c r="U23" s="174"/>
      <c r="V23" s="174"/>
      <c r="W23" s="174"/>
      <c r="X23" s="174"/>
      <c r="Y23" s="557"/>
      <c r="Z23" s="174"/>
      <c r="AA23" s="174"/>
      <c r="AB23" s="174"/>
      <c r="AC23" s="174"/>
      <c r="AD23" s="557"/>
      <c r="AE23" s="174"/>
      <c r="AF23" s="174"/>
      <c r="AG23" s="174"/>
      <c r="AH23" s="174"/>
      <c r="AI23" s="557"/>
      <c r="AJ23" s="174"/>
      <c r="AK23" s="174"/>
      <c r="AL23" s="174"/>
      <c r="AM23" s="174"/>
      <c r="AN23" s="557"/>
      <c r="AO23" s="174"/>
      <c r="AP23" s="174"/>
      <c r="AQ23" s="174"/>
      <c r="AR23" s="174"/>
      <c r="AS23" s="557"/>
      <c r="AT23" s="174"/>
      <c r="AU23" s="174"/>
      <c r="AV23" s="174"/>
      <c r="AW23" s="174"/>
      <c r="AX23" s="557"/>
      <c r="AY23" s="174"/>
      <c r="AZ23" s="174"/>
      <c r="BA23" s="174"/>
      <c r="BB23" s="174"/>
      <c r="BC23" s="557"/>
      <c r="BD23" s="174"/>
      <c r="BE23" s="174"/>
      <c r="BF23" s="174"/>
      <c r="BG23" s="174"/>
      <c r="BH23" s="557"/>
      <c r="BI23" s="174"/>
      <c r="BJ23" s="478"/>
      <c r="BK23" s="174"/>
      <c r="BL23" s="174"/>
      <c r="BM23" s="483"/>
      <c r="BN23" s="174"/>
      <c r="BO23" s="174"/>
      <c r="BP23" s="174"/>
      <c r="BQ23" s="174"/>
      <c r="BR23" s="483"/>
      <c r="BS23" s="174"/>
      <c r="BT23" s="174"/>
      <c r="BU23" s="174"/>
      <c r="BV23" s="174"/>
      <c r="BW23" s="483"/>
      <c r="BX23" s="174"/>
      <c r="BY23" s="174"/>
      <c r="BZ23" s="174"/>
      <c r="CA23" s="174"/>
      <c r="CB23" s="483"/>
      <c r="CC23" s="174"/>
      <c r="CD23" s="174"/>
      <c r="CE23" s="174"/>
      <c r="CF23" s="174"/>
      <c r="CG23" s="483"/>
      <c r="CH23" s="174"/>
      <c r="CI23" s="174"/>
      <c r="CJ23" s="174"/>
      <c r="CK23" s="174"/>
      <c r="CL23" s="483"/>
      <c r="CM23" s="174"/>
      <c r="CN23" s="174"/>
      <c r="CO23" s="174"/>
      <c r="CP23" s="174"/>
      <c r="CQ23" s="483"/>
    </row>
    <row r="24" spans="5:95" ht="13.5" x14ac:dyDescent="0.3">
      <c r="E24" s="493" t="s">
        <v>621</v>
      </c>
      <c r="F24" s="558"/>
      <c r="G24" s="558"/>
      <c r="H24" s="558"/>
      <c r="I24" s="558"/>
      <c r="J24" s="558"/>
      <c r="K24" s="493"/>
      <c r="L24" s="493"/>
      <c r="M24" s="493"/>
      <c r="N24" s="493"/>
      <c r="O24" s="558"/>
      <c r="P24" s="493"/>
      <c r="Q24" s="493"/>
      <c r="R24" s="493"/>
      <c r="S24" s="493"/>
      <c r="T24" s="558"/>
      <c r="U24" s="493"/>
      <c r="V24" s="493"/>
      <c r="W24" s="493"/>
      <c r="X24" s="493"/>
      <c r="Y24" s="558"/>
      <c r="Z24" s="493"/>
      <c r="AA24" s="493"/>
      <c r="AB24" s="493"/>
      <c r="AC24" s="493"/>
      <c r="AD24" s="558"/>
      <c r="AE24" s="493"/>
      <c r="AF24" s="493"/>
      <c r="AG24" s="493"/>
      <c r="AH24" s="493"/>
      <c r="AI24" s="558"/>
      <c r="AJ24" s="493"/>
      <c r="AK24" s="493"/>
      <c r="AL24" s="493"/>
      <c r="AM24" s="493"/>
      <c r="AN24" s="558"/>
      <c r="AO24" s="493"/>
      <c r="AP24" s="493"/>
      <c r="AQ24" s="493"/>
      <c r="AR24" s="493"/>
      <c r="AS24" s="558"/>
      <c r="AT24" s="493"/>
      <c r="AU24" s="493"/>
      <c r="AV24" s="493"/>
      <c r="AW24" s="493"/>
      <c r="AX24" s="558"/>
      <c r="AY24" s="493"/>
      <c r="AZ24" s="493"/>
      <c r="BA24" s="493"/>
      <c r="BB24" s="493"/>
      <c r="BC24" s="558"/>
      <c r="BD24" s="493"/>
      <c r="BE24" s="493"/>
      <c r="BF24" s="493"/>
      <c r="BG24" s="493"/>
      <c r="BH24" s="558"/>
      <c r="BI24" s="493"/>
      <c r="BJ24" s="35">
        <f>(BJ18*BJ20*3)/1000000</f>
        <v>0.51749999999999996</v>
      </c>
      <c r="BK24" s="35">
        <f>(BK18*BK20*3)/1000000</f>
        <v>1.1924999999999999</v>
      </c>
      <c r="BL24" s="35">
        <f>(BL18*BL20*3)/1000000</f>
        <v>1.53</v>
      </c>
      <c r="BM24" s="181">
        <f>SUM(BI24:BL24)</f>
        <v>3.24</v>
      </c>
      <c r="BN24" s="35">
        <f>BN45-BN33</f>
        <v>3.5339999999999998</v>
      </c>
      <c r="BO24" s="35">
        <f>BO45-BO33</f>
        <v>12.271999999999998</v>
      </c>
      <c r="BP24" s="35">
        <f>BP45-BP33</f>
        <v>15.61</v>
      </c>
      <c r="BQ24" s="35">
        <f>BQ45-BQ33</f>
        <v>17.756</v>
      </c>
      <c r="BR24" s="35">
        <f>SUM(BN24:BQ24)</f>
        <v>49.171999999999997</v>
      </c>
      <c r="BS24" s="35">
        <f>BS45-BS33</f>
        <v>18.219000000000001</v>
      </c>
      <c r="BT24" s="35">
        <f>BT45-BT33</f>
        <v>19.443999999999999</v>
      </c>
      <c r="BU24" s="35">
        <f>BU45-BU33</f>
        <v>24.821999999999999</v>
      </c>
      <c r="BV24" s="35">
        <f>BV45-BV33</f>
        <v>27.984999999999999</v>
      </c>
      <c r="BW24" s="35">
        <f>SUM(BS24:BV24)</f>
        <v>90.47</v>
      </c>
      <c r="BX24" s="35">
        <f>BX45-BX33</f>
        <v>28.041999999999998</v>
      </c>
      <c r="BY24" s="35">
        <f>BY45-BY33</f>
        <v>31.461999999999996</v>
      </c>
      <c r="BZ24" s="35">
        <f>BZ45-BZ33</f>
        <v>37.485999999999997</v>
      </c>
      <c r="CA24" s="35">
        <f>CA45-CA33</f>
        <v>43.803000000000004</v>
      </c>
      <c r="CB24" s="35">
        <f>SUM(BX24:CA24)</f>
        <v>140.79299999999998</v>
      </c>
      <c r="CC24" s="35">
        <f>CC45-CC33</f>
        <v>44.786000000000001</v>
      </c>
      <c r="CD24" s="35">
        <f>CD45-CD33</f>
        <v>52.384</v>
      </c>
      <c r="CE24" s="35">
        <f>CE45-CE33</f>
        <v>55.978000000000002</v>
      </c>
      <c r="CF24" s="35">
        <f>CF45-CF33</f>
        <v>57.453000000000003</v>
      </c>
      <c r="CG24" s="35">
        <f>SUM(CC24:CF24)</f>
        <v>210.601</v>
      </c>
      <c r="CH24" s="35"/>
      <c r="CI24" s="35"/>
      <c r="CJ24" s="35"/>
      <c r="CK24" s="35"/>
      <c r="CL24" s="35"/>
      <c r="CM24" s="35"/>
      <c r="CN24" s="35"/>
      <c r="CO24" s="35"/>
      <c r="CP24" s="35"/>
      <c r="CQ24" s="35"/>
    </row>
    <row r="25" spans="5:95" ht="13.5" x14ac:dyDescent="0.3">
      <c r="E25" s="498" t="s">
        <v>516</v>
      </c>
      <c r="F25" s="557"/>
      <c r="G25" s="557"/>
      <c r="H25" s="557"/>
      <c r="I25" s="557"/>
      <c r="J25" s="557"/>
      <c r="K25" s="483"/>
      <c r="L25" s="483"/>
      <c r="M25" s="483"/>
      <c r="N25" s="483"/>
      <c r="O25" s="557"/>
      <c r="P25" s="483"/>
      <c r="Q25" s="483"/>
      <c r="R25" s="494"/>
      <c r="S25" s="483"/>
      <c r="T25" s="557"/>
      <c r="U25" s="483"/>
      <c r="V25" s="483"/>
      <c r="W25" s="483"/>
      <c r="X25" s="483"/>
      <c r="Y25" s="557"/>
      <c r="Z25" s="483"/>
      <c r="AA25" s="483"/>
      <c r="AB25" s="483"/>
      <c r="AC25" s="483"/>
      <c r="AD25" s="557"/>
      <c r="AE25" s="483"/>
      <c r="AF25" s="483"/>
      <c r="AG25" s="483"/>
      <c r="AH25" s="483"/>
      <c r="AI25" s="557"/>
      <c r="AJ25" s="483"/>
      <c r="AK25" s="483"/>
      <c r="AL25" s="483"/>
      <c r="AM25" s="483"/>
      <c r="AN25" s="557"/>
      <c r="AO25" s="483"/>
      <c r="AP25" s="483"/>
      <c r="AQ25" s="483"/>
      <c r="AR25" s="483"/>
      <c r="AS25" s="557"/>
      <c r="AT25" s="483"/>
      <c r="AU25" s="483"/>
      <c r="AV25" s="483"/>
      <c r="AW25" s="483"/>
      <c r="AX25" s="557"/>
      <c r="AY25" s="483"/>
      <c r="AZ25" s="483"/>
      <c r="BA25" s="483"/>
      <c r="BB25" s="483"/>
      <c r="BC25" s="557"/>
      <c r="BD25" s="483"/>
      <c r="BE25" s="483"/>
      <c r="BF25" s="483"/>
      <c r="BG25" s="483"/>
      <c r="BH25" s="557"/>
      <c r="BI25" s="483"/>
      <c r="BJ25" s="484" t="s">
        <v>490</v>
      </c>
      <c r="BK25" s="189">
        <f>BK24/BJ24-1</f>
        <v>1.3043478260869565</v>
      </c>
      <c r="BL25" s="189">
        <f>BL24/BK24-1</f>
        <v>0.28301886792452846</v>
      </c>
      <c r="BM25" s="483"/>
      <c r="BN25" s="189">
        <f>BN24/BL24-1</f>
        <v>1.3098039215686272</v>
      </c>
      <c r="BO25" s="189">
        <f>BO24/BN24-1</f>
        <v>2.4725523486134691</v>
      </c>
      <c r="BP25" s="189">
        <f>BP24/BO24-1</f>
        <v>0.27200130378096499</v>
      </c>
      <c r="BQ25" s="189">
        <f>BQ24/BP24-1</f>
        <v>0.1374759769378604</v>
      </c>
      <c r="BR25" s="483"/>
      <c r="BS25" s="189">
        <f>BS24/BQ24-1</f>
        <v>2.6075692723586341E-2</v>
      </c>
      <c r="BT25" s="189">
        <f>BT24/BS24-1</f>
        <v>6.7237499313902882E-2</v>
      </c>
      <c r="BU25" s="189">
        <f>BU24/BT24-1</f>
        <v>0.27658917918123849</v>
      </c>
      <c r="BV25" s="189">
        <f>BV24/BU24-1</f>
        <v>0.12742728224961719</v>
      </c>
      <c r="BW25" s="483"/>
      <c r="BX25" s="189">
        <f>BX24/BV24-1</f>
        <v>2.0368054314809925E-3</v>
      </c>
      <c r="BY25" s="189">
        <f>BY24/BX24-1</f>
        <v>0.12195991726695654</v>
      </c>
      <c r="BZ25" s="189">
        <f>BZ24/BY24-1</f>
        <v>0.19146907380331823</v>
      </c>
      <c r="CA25" s="189">
        <f>CA24/BZ24-1</f>
        <v>0.16851624606519788</v>
      </c>
      <c r="CB25" s="483"/>
      <c r="CC25" s="189">
        <f>CC24/CA24-1</f>
        <v>2.2441385293244576E-2</v>
      </c>
      <c r="CD25" s="189">
        <f>CD24/CC24-1</f>
        <v>0.16965123029518159</v>
      </c>
      <c r="CE25" s="189">
        <f>CE24/CD24-1</f>
        <v>6.8608735491753281E-2</v>
      </c>
      <c r="CF25" s="189">
        <f>CF24/CE24-1</f>
        <v>2.6349637357533373E-2</v>
      </c>
      <c r="CG25" s="483"/>
      <c r="CH25" s="189"/>
      <c r="CI25" s="189"/>
      <c r="CJ25" s="189"/>
      <c r="CK25" s="189"/>
      <c r="CL25" s="483"/>
      <c r="CM25" s="189"/>
      <c r="CN25" s="189"/>
      <c r="CO25" s="189"/>
      <c r="CP25" s="189"/>
      <c r="CQ25" s="483"/>
    </row>
    <row r="26" spans="5:95" ht="13.5" x14ac:dyDescent="0.3">
      <c r="E26" s="498" t="s">
        <v>517</v>
      </c>
      <c r="F26" s="557"/>
      <c r="G26" s="557"/>
      <c r="H26" s="557"/>
      <c r="I26" s="557"/>
      <c r="J26" s="557"/>
      <c r="K26" s="483"/>
      <c r="L26" s="483"/>
      <c r="M26" s="483"/>
      <c r="N26" s="483"/>
      <c r="O26" s="557"/>
      <c r="P26" s="483"/>
      <c r="Q26" s="483"/>
      <c r="R26" s="494"/>
      <c r="S26" s="483"/>
      <c r="T26" s="557"/>
      <c r="U26" s="483"/>
      <c r="V26" s="483"/>
      <c r="W26" s="483"/>
      <c r="X26" s="483"/>
      <c r="Y26" s="557"/>
      <c r="Z26" s="483"/>
      <c r="AA26" s="483"/>
      <c r="AB26" s="483"/>
      <c r="AC26" s="483"/>
      <c r="AD26" s="557"/>
      <c r="AE26" s="483"/>
      <c r="AF26" s="483"/>
      <c r="AG26" s="483"/>
      <c r="AH26" s="483"/>
      <c r="AI26" s="557"/>
      <c r="AJ26" s="483"/>
      <c r="AK26" s="483"/>
      <c r="AL26" s="483"/>
      <c r="AM26" s="483"/>
      <c r="AN26" s="557"/>
      <c r="AO26" s="483"/>
      <c r="AP26" s="483"/>
      <c r="AQ26" s="483"/>
      <c r="AR26" s="483"/>
      <c r="AS26" s="557"/>
      <c r="AT26" s="483"/>
      <c r="AU26" s="483"/>
      <c r="AV26" s="483"/>
      <c r="AW26" s="483"/>
      <c r="AX26" s="557"/>
      <c r="AY26" s="483"/>
      <c r="AZ26" s="483"/>
      <c r="BA26" s="483"/>
      <c r="BB26" s="483"/>
      <c r="BC26" s="557"/>
      <c r="BD26" s="483"/>
      <c r="BE26" s="483"/>
      <c r="BF26" s="483"/>
      <c r="BG26" s="483"/>
      <c r="BH26" s="557"/>
      <c r="BI26" s="483"/>
      <c r="BJ26" s="484" t="s">
        <v>490</v>
      </c>
      <c r="BK26" s="484" t="s">
        <v>490</v>
      </c>
      <c r="BL26" s="484" t="s">
        <v>490</v>
      </c>
      <c r="BM26" s="483"/>
      <c r="BN26" s="484" t="s">
        <v>490</v>
      </c>
      <c r="BO26" s="189">
        <f t="shared" ref="BO26:CF26" si="1">BO24/BJ24-1</f>
        <v>22.714009661835746</v>
      </c>
      <c r="BP26" s="189">
        <f t="shared" si="1"/>
        <v>12.090146750524109</v>
      </c>
      <c r="BQ26" s="189">
        <f t="shared" si="1"/>
        <v>10.605228758169934</v>
      </c>
      <c r="BR26" s="189">
        <f t="shared" si="1"/>
        <v>14.176543209876542</v>
      </c>
      <c r="BS26" s="189">
        <f t="shared" si="1"/>
        <v>4.155348047538201</v>
      </c>
      <c r="BT26" s="189">
        <f t="shared" si="1"/>
        <v>0.58441981747066496</v>
      </c>
      <c r="BU26" s="189">
        <f t="shared" si="1"/>
        <v>0.59013452914798203</v>
      </c>
      <c r="BV26" s="189">
        <f t="shared" si="1"/>
        <v>0.57608695652173902</v>
      </c>
      <c r="BW26" s="189">
        <f t="shared" si="1"/>
        <v>0.83986821768486131</v>
      </c>
      <c r="BX26" s="189">
        <f t="shared" si="1"/>
        <v>0.53916241286568956</v>
      </c>
      <c r="BY26" s="189">
        <f t="shared" si="1"/>
        <v>0.61808269903312074</v>
      </c>
      <c r="BZ26" s="189">
        <f t="shared" si="1"/>
        <v>0.51019257110627669</v>
      </c>
      <c r="CA26" s="189">
        <f t="shared" si="1"/>
        <v>0.56523137395033074</v>
      </c>
      <c r="CB26" s="189">
        <f t="shared" si="1"/>
        <v>0.55623963744887783</v>
      </c>
      <c r="CC26" s="189">
        <f t="shared" si="1"/>
        <v>0.59710434348477293</v>
      </c>
      <c r="CD26" s="189">
        <f t="shared" si="1"/>
        <v>0.66499268959379587</v>
      </c>
      <c r="CE26" s="189">
        <f>CE24/BZ24-1</f>
        <v>0.49330416688897194</v>
      </c>
      <c r="CF26" s="189">
        <f t="shared" si="1"/>
        <v>0.31162249161016353</v>
      </c>
      <c r="CG26" s="189">
        <f>CG24/CB24-1</f>
        <v>0.4958201046927051</v>
      </c>
      <c r="CH26" s="189"/>
      <c r="CI26" s="189"/>
      <c r="CJ26" s="189"/>
      <c r="CK26" s="189"/>
      <c r="CL26" s="189"/>
      <c r="CM26" s="189"/>
      <c r="CN26" s="189"/>
      <c r="CO26" s="189"/>
      <c r="CP26" s="189"/>
      <c r="CQ26" s="189"/>
    </row>
    <row r="27" spans="5:95" ht="3.75" customHeight="1" x14ac:dyDescent="0.25">
      <c r="E27" s="174"/>
      <c r="F27" s="557"/>
      <c r="G27" s="557"/>
      <c r="H27" s="557"/>
      <c r="I27" s="557"/>
      <c r="J27" s="557"/>
      <c r="K27" s="174"/>
      <c r="L27" s="174"/>
      <c r="M27" s="174"/>
      <c r="N27" s="174"/>
      <c r="O27" s="557"/>
      <c r="P27" s="174"/>
      <c r="Q27" s="174"/>
      <c r="R27" s="477"/>
      <c r="S27" s="174"/>
      <c r="T27" s="557"/>
      <c r="U27" s="174"/>
      <c r="V27" s="174"/>
      <c r="W27" s="174"/>
      <c r="X27" s="174"/>
      <c r="Y27" s="557"/>
      <c r="Z27" s="174"/>
      <c r="AA27" s="174"/>
      <c r="AB27" s="174"/>
      <c r="AC27" s="174"/>
      <c r="AD27" s="557"/>
      <c r="AE27" s="174"/>
      <c r="AF27" s="174"/>
      <c r="AG27" s="174"/>
      <c r="AH27" s="174"/>
      <c r="AI27" s="557"/>
      <c r="AJ27" s="174"/>
      <c r="AK27" s="174"/>
      <c r="AL27" s="174"/>
      <c r="AM27" s="174"/>
      <c r="AN27" s="557"/>
      <c r="AO27" s="174"/>
      <c r="AP27" s="174"/>
      <c r="AQ27" s="174"/>
      <c r="AR27" s="174"/>
      <c r="AS27" s="557"/>
      <c r="AT27" s="174"/>
      <c r="AU27" s="174"/>
      <c r="AV27" s="174"/>
      <c r="AW27" s="174"/>
      <c r="AX27" s="557"/>
      <c r="AY27" s="174"/>
      <c r="AZ27" s="174"/>
      <c r="BA27" s="174"/>
      <c r="BB27" s="174"/>
      <c r="BC27" s="557"/>
      <c r="BD27" s="174"/>
      <c r="BE27" s="174"/>
      <c r="BF27" s="174"/>
      <c r="BG27" s="174"/>
      <c r="BH27" s="557"/>
      <c r="BI27" s="174"/>
      <c r="BJ27" s="174"/>
      <c r="BK27" s="174"/>
      <c r="BL27" s="174"/>
      <c r="BM27" s="483"/>
      <c r="BN27" s="174"/>
      <c r="BO27" s="174"/>
      <c r="BP27" s="174"/>
      <c r="BQ27" s="174"/>
      <c r="BR27" s="483"/>
      <c r="BS27" s="174"/>
      <c r="BT27" s="174"/>
      <c r="BU27" s="174"/>
      <c r="BV27" s="174"/>
      <c r="BW27" s="483"/>
      <c r="BX27" s="174"/>
      <c r="BY27" s="174"/>
      <c r="BZ27" s="174"/>
      <c r="CA27" s="174"/>
      <c r="CB27" s="483"/>
      <c r="CC27" s="174"/>
      <c r="CD27" s="174"/>
      <c r="CE27" s="174"/>
      <c r="CF27" s="174"/>
      <c r="CG27" s="483"/>
      <c r="CH27" s="174"/>
      <c r="CI27" s="174"/>
      <c r="CJ27" s="174"/>
      <c r="CK27" s="174"/>
      <c r="CL27" s="483"/>
      <c r="CM27" s="174"/>
      <c r="CN27" s="174"/>
      <c r="CO27" s="174"/>
      <c r="CP27" s="174"/>
      <c r="CQ27" s="483"/>
    </row>
    <row r="28" spans="5:95" ht="13.5" x14ac:dyDescent="0.3">
      <c r="E28" s="497" t="s">
        <v>642</v>
      </c>
      <c r="F28" s="557"/>
      <c r="G28" s="557"/>
      <c r="H28" s="557"/>
      <c r="I28" s="557"/>
      <c r="J28" s="557"/>
      <c r="K28" s="174"/>
      <c r="L28" s="174"/>
      <c r="M28" s="174"/>
      <c r="N28" s="174"/>
      <c r="O28" s="557"/>
      <c r="P28" s="174"/>
      <c r="Q28" s="174"/>
      <c r="R28" s="477"/>
      <c r="S28" s="174"/>
      <c r="T28" s="557"/>
      <c r="U28" s="174"/>
      <c r="V28" s="174"/>
      <c r="W28" s="174"/>
      <c r="X28" s="174"/>
      <c r="Y28" s="557"/>
      <c r="Z28" s="174"/>
      <c r="AA28" s="174"/>
      <c r="AB28" s="174"/>
      <c r="AC28" s="174"/>
      <c r="AD28" s="557"/>
      <c r="AE28" s="174"/>
      <c r="AF28" s="174"/>
      <c r="AG28" s="174"/>
      <c r="AH28" s="174"/>
      <c r="AI28" s="557"/>
      <c r="AJ28" s="174"/>
      <c r="AK28" s="174"/>
      <c r="AL28" s="174"/>
      <c r="AM28" s="174"/>
      <c r="AN28" s="557"/>
      <c r="AO28" s="174"/>
      <c r="AP28" s="174"/>
      <c r="AQ28" s="174"/>
      <c r="AR28" s="174"/>
      <c r="AS28" s="557"/>
      <c r="AT28" s="174"/>
      <c r="AU28" s="174"/>
      <c r="AV28" s="174"/>
      <c r="AW28" s="174"/>
      <c r="AX28" s="557"/>
      <c r="AY28" s="174"/>
      <c r="AZ28" s="174"/>
      <c r="BA28" s="174"/>
      <c r="BB28" s="174"/>
      <c r="BC28" s="557"/>
      <c r="BD28" s="174"/>
      <c r="BE28" s="174"/>
      <c r="BF28" s="174"/>
      <c r="BG28" s="174"/>
      <c r="BH28" s="557"/>
      <c r="BI28" s="174"/>
      <c r="BJ28" s="174"/>
      <c r="BK28" s="174"/>
      <c r="BL28" s="174"/>
      <c r="BM28" s="483"/>
      <c r="BN28" s="533">
        <f>BN30/(BN30+'Audience Solutions'!BN9)</f>
        <v>0.2857142857142857</v>
      </c>
      <c r="BO28" s="533">
        <f>BO30/(BO30+'Audience Solutions'!BO9)</f>
        <v>0.32432432432432434</v>
      </c>
      <c r="BP28" s="533">
        <f>BP30/(BP30+'Audience Solutions'!BP9)</f>
        <v>0.31506849315068491</v>
      </c>
      <c r="BQ28" s="533">
        <f>BQ30/(BQ30+'Audience Solutions'!BQ9)</f>
        <v>0.31914893617021278</v>
      </c>
      <c r="BR28" s="483"/>
      <c r="BS28" s="533"/>
      <c r="BT28" s="533"/>
      <c r="BU28" s="533"/>
      <c r="BV28" s="533"/>
      <c r="BW28" s="483"/>
      <c r="BX28" s="533"/>
      <c r="BY28" s="533"/>
      <c r="BZ28" s="533"/>
      <c r="CA28" s="533"/>
      <c r="CB28" s="483"/>
      <c r="CC28" s="533"/>
      <c r="CD28" s="533"/>
      <c r="CE28" s="533"/>
      <c r="CF28" s="533"/>
      <c r="CG28" s="483"/>
      <c r="CH28" s="533"/>
      <c r="CI28" s="533"/>
      <c r="CJ28" s="533"/>
      <c r="CK28" s="533"/>
      <c r="CL28" s="483"/>
      <c r="CM28" s="533"/>
      <c r="CN28" s="533"/>
      <c r="CO28" s="533"/>
      <c r="CP28" s="533"/>
      <c r="CQ28" s="483"/>
    </row>
    <row r="29" spans="5:95" x14ac:dyDescent="0.25">
      <c r="E29" s="174" t="s">
        <v>523</v>
      </c>
      <c r="F29" s="557"/>
      <c r="G29" s="557"/>
      <c r="H29" s="557"/>
      <c r="I29" s="557"/>
      <c r="J29" s="557"/>
      <c r="K29" s="174"/>
      <c r="L29" s="174"/>
      <c r="M29" s="174"/>
      <c r="N29" s="174"/>
      <c r="O29" s="557"/>
      <c r="P29" s="174"/>
      <c r="Q29" s="174"/>
      <c r="R29" s="477"/>
      <c r="S29" s="174"/>
      <c r="T29" s="557"/>
      <c r="U29" s="174"/>
      <c r="V29" s="174"/>
      <c r="W29" s="174"/>
      <c r="X29" s="174"/>
      <c r="Y29" s="557"/>
      <c r="Z29" s="174"/>
      <c r="AA29" s="174"/>
      <c r="AB29" s="174"/>
      <c r="AC29" s="174"/>
      <c r="AD29" s="557"/>
      <c r="AE29" s="174"/>
      <c r="AF29" s="174"/>
      <c r="AG29" s="174"/>
      <c r="AH29" s="174"/>
      <c r="AI29" s="557"/>
      <c r="AJ29" s="174"/>
      <c r="AK29" s="174"/>
      <c r="AL29" s="174"/>
      <c r="AM29" s="174"/>
      <c r="AN29" s="557"/>
      <c r="AO29" s="174"/>
      <c r="AP29" s="174"/>
      <c r="AQ29" s="174"/>
      <c r="AR29" s="174"/>
      <c r="AS29" s="557"/>
      <c r="AT29" s="174"/>
      <c r="AU29" s="174"/>
      <c r="AV29" s="174"/>
      <c r="AW29" s="174"/>
      <c r="AX29" s="557"/>
      <c r="AY29" s="174"/>
      <c r="AZ29" s="174"/>
      <c r="BA29" s="174"/>
      <c r="BB29" s="174"/>
      <c r="BC29" s="557"/>
      <c r="BD29" s="174"/>
      <c r="BE29" s="174"/>
      <c r="BF29" s="174"/>
      <c r="BG29" s="174"/>
      <c r="BH29" s="557"/>
      <c r="BI29" s="174"/>
      <c r="BJ29" s="489">
        <v>250000</v>
      </c>
      <c r="BK29" s="496">
        <f>(BK30/BK18)*1000000</f>
        <v>754716.98113207554</v>
      </c>
      <c r="BL29" s="496">
        <f>(BL30/BL18)*1000000</f>
        <v>441176.4705882353</v>
      </c>
      <c r="BM29" s="483"/>
      <c r="BN29" s="496">
        <f>(BN30/BN18)*1000000</f>
        <v>185185.18518518517</v>
      </c>
      <c r="BO29" s="496">
        <f>(BO30/BO18)*1000000</f>
        <v>79017.548480558398</v>
      </c>
      <c r="BP29" s="496">
        <f>(BP30/BP18)*1000000</f>
        <v>124949.06967268775</v>
      </c>
      <c r="BQ29" s="496">
        <f>(BQ30/BQ18)*1000000</f>
        <v>70771.40835102617</v>
      </c>
      <c r="BR29" s="483"/>
      <c r="BS29" s="496">
        <f>(('Audience Solutions'!BS9+BS30)/BS18)*1000000</f>
        <v>283358.60299979488</v>
      </c>
      <c r="BT29" s="496">
        <f>(('Audience Solutions'!BT9+BT30)/BT18)*1000000</f>
        <v>309553.07010865526</v>
      </c>
      <c r="BU29" s="496">
        <f>(('Audience Solutions'!BU9+BU30)/BU18)*1000000</f>
        <v>412224.5911393516</v>
      </c>
      <c r="BV29" s="496">
        <f>(('Audience Solutions'!BV9+BV30)/BV18)*1000000</f>
        <v>394042.19229625078</v>
      </c>
      <c r="BW29" s="483"/>
      <c r="BX29" s="496">
        <f>(('Audience Solutions'!BX9+BX30)/BX18)*1000000</f>
        <v>380120.75573842286</v>
      </c>
      <c r="BY29" s="496">
        <f>(('Audience Solutions'!BY9+BY30)/BY18)*1000000</f>
        <v>310213.60033199389</v>
      </c>
      <c r="BZ29" s="496">
        <f>(('Audience Solutions'!BZ9+BZ30)/BZ18)*1000000</f>
        <v>39507.591066968831</v>
      </c>
      <c r="CA29" s="496">
        <f>(('Audience Solutions'!CA9+CA30)/CA18)*1000000</f>
        <v>18264.45811319767</v>
      </c>
      <c r="CB29" s="483"/>
      <c r="CC29" s="489">
        <v>7550</v>
      </c>
      <c r="CD29" s="489"/>
      <c r="CE29" s="489"/>
      <c r="CF29" s="489"/>
      <c r="CG29" s="483"/>
      <c r="CH29" s="489"/>
      <c r="CI29" s="489"/>
      <c r="CJ29" s="489"/>
      <c r="CK29" s="489"/>
      <c r="CL29" s="483"/>
      <c r="CM29" s="489"/>
      <c r="CN29" s="489"/>
      <c r="CO29" s="489"/>
      <c r="CP29" s="489"/>
      <c r="CQ29" s="483"/>
    </row>
    <row r="30" spans="5:95" x14ac:dyDescent="0.25">
      <c r="E30" s="174" t="s">
        <v>617</v>
      </c>
      <c r="F30" s="557"/>
      <c r="G30" s="557"/>
      <c r="H30" s="557"/>
      <c r="I30" s="557"/>
      <c r="J30" s="557"/>
      <c r="K30" s="174"/>
      <c r="L30" s="174"/>
      <c r="M30" s="174"/>
      <c r="N30" s="174"/>
      <c r="O30" s="557"/>
      <c r="P30" s="174"/>
      <c r="Q30" s="174"/>
      <c r="R30" s="477"/>
      <c r="S30" s="174"/>
      <c r="T30" s="557"/>
      <c r="U30" s="174"/>
      <c r="V30" s="174"/>
      <c r="W30" s="174"/>
      <c r="X30" s="174"/>
      <c r="Y30" s="557"/>
      <c r="Z30" s="174"/>
      <c r="AA30" s="174"/>
      <c r="AB30" s="174"/>
      <c r="AC30" s="174"/>
      <c r="AD30" s="557"/>
      <c r="AE30" s="174"/>
      <c r="AF30" s="174"/>
      <c r="AG30" s="174"/>
      <c r="AH30" s="174"/>
      <c r="AI30" s="557"/>
      <c r="AJ30" s="174"/>
      <c r="AK30" s="174"/>
      <c r="AL30" s="174"/>
      <c r="AM30" s="174"/>
      <c r="AN30" s="557"/>
      <c r="AO30" s="174"/>
      <c r="AP30" s="174"/>
      <c r="AQ30" s="174"/>
      <c r="AR30" s="174"/>
      <c r="AS30" s="557"/>
      <c r="AT30" s="174"/>
      <c r="AU30" s="174"/>
      <c r="AV30" s="174"/>
      <c r="AW30" s="174"/>
      <c r="AX30" s="557"/>
      <c r="AY30" s="174"/>
      <c r="AZ30" s="174"/>
      <c r="BA30" s="174"/>
      <c r="BB30" s="174"/>
      <c r="BC30" s="557"/>
      <c r="BD30" s="174"/>
      <c r="BE30" s="174"/>
      <c r="BF30" s="174"/>
      <c r="BG30" s="174"/>
      <c r="BH30" s="557"/>
      <c r="BI30" s="174"/>
      <c r="BJ30" s="85">
        <f>BJ18*BJ29/1000000</f>
        <v>2.875</v>
      </c>
      <c r="BK30" s="503">
        <v>20</v>
      </c>
      <c r="BL30" s="503">
        <v>15</v>
      </c>
      <c r="BM30" s="188">
        <f>SUM(BI30:BL30)</f>
        <v>37.875</v>
      </c>
      <c r="BN30" s="417">
        <f>28-'Audience Solutions'!BN9</f>
        <v>8</v>
      </c>
      <c r="BO30" s="417">
        <f>37-'Audience Solutions'!BO9</f>
        <v>12</v>
      </c>
      <c r="BP30" s="417">
        <f>73-'Audience Solutions'!BP9</f>
        <v>23</v>
      </c>
      <c r="BQ30" s="417">
        <f>47-'Audience Solutions'!BQ9</f>
        <v>15</v>
      </c>
      <c r="BR30" s="188">
        <f>SUM(BN30:BQ30)</f>
        <v>58</v>
      </c>
      <c r="BS30" s="417">
        <f>67-'Audience Solutions'!BS9</f>
        <v>24</v>
      </c>
      <c r="BT30" s="417">
        <f>82-'Audience Solutions'!BT9</f>
        <v>28</v>
      </c>
      <c r="BU30" s="417">
        <f>122-'Audience Solutions'!BU9</f>
        <v>36</v>
      </c>
      <c r="BV30" s="417">
        <f>128-'Audience Solutions'!BV9</f>
        <v>32</v>
      </c>
      <c r="BW30" s="188">
        <f>SUM(BS30:BV30)</f>
        <v>120</v>
      </c>
      <c r="BX30" s="417">
        <f>135-'Audience Solutions'!BX9</f>
        <v>33</v>
      </c>
      <c r="BY30" s="487">
        <v>16</v>
      </c>
      <c r="BZ30" s="487">
        <v>12.5</v>
      </c>
      <c r="CA30" s="487">
        <v>4</v>
      </c>
      <c r="CB30" s="188">
        <f>SUM(BX30:CA30)</f>
        <v>65.5</v>
      </c>
      <c r="CC30" s="589">
        <v>4</v>
      </c>
      <c r="CD30" s="589"/>
      <c r="CE30" s="589"/>
      <c r="CF30" s="589"/>
      <c r="CG30" s="188">
        <f>SUM(CC30:CF30)</f>
        <v>4</v>
      </c>
      <c r="CH30" s="589"/>
      <c r="CI30" s="589"/>
      <c r="CJ30" s="589"/>
      <c r="CK30" s="589"/>
      <c r="CL30" s="188"/>
      <c r="CM30" s="589"/>
      <c r="CN30" s="589"/>
      <c r="CO30" s="589"/>
      <c r="CP30" s="589"/>
      <c r="CQ30" s="188"/>
    </row>
    <row r="31" spans="5:95" ht="13.5" x14ac:dyDescent="0.3">
      <c r="E31" s="479" t="s">
        <v>686</v>
      </c>
      <c r="F31" s="557"/>
      <c r="G31" s="557"/>
      <c r="H31" s="557"/>
      <c r="I31" s="557"/>
      <c r="J31" s="557"/>
      <c r="K31" s="174"/>
      <c r="L31" s="174"/>
      <c r="M31" s="174"/>
      <c r="N31" s="174"/>
      <c r="O31" s="557"/>
      <c r="P31" s="174"/>
      <c r="Q31" s="174"/>
      <c r="R31" s="477"/>
      <c r="S31" s="174"/>
      <c r="T31" s="557"/>
      <c r="U31" s="174"/>
      <c r="V31" s="174"/>
      <c r="W31" s="174"/>
      <c r="X31" s="174"/>
      <c r="Y31" s="557"/>
      <c r="Z31" s="174"/>
      <c r="AA31" s="174"/>
      <c r="AB31" s="174"/>
      <c r="AC31" s="174"/>
      <c r="AD31" s="557"/>
      <c r="AE31" s="174"/>
      <c r="AF31" s="174"/>
      <c r="AG31" s="174"/>
      <c r="AH31" s="174"/>
      <c r="AI31" s="557"/>
      <c r="AJ31" s="174"/>
      <c r="AK31" s="174"/>
      <c r="AL31" s="174"/>
      <c r="AM31" s="174"/>
      <c r="AN31" s="557"/>
      <c r="AO31" s="174"/>
      <c r="AP31" s="174"/>
      <c r="AQ31" s="174"/>
      <c r="AR31" s="174"/>
      <c r="AS31" s="557"/>
      <c r="AT31" s="174"/>
      <c r="AU31" s="174"/>
      <c r="AV31" s="174"/>
      <c r="AW31" s="174"/>
      <c r="AX31" s="557"/>
      <c r="AY31" s="174"/>
      <c r="AZ31" s="174"/>
      <c r="BA31" s="174"/>
      <c r="BB31" s="174"/>
      <c r="BC31" s="557"/>
      <c r="BD31" s="174"/>
      <c r="BE31" s="174"/>
      <c r="BF31" s="174"/>
      <c r="BG31" s="174"/>
      <c r="BH31" s="557"/>
      <c r="BI31" s="174"/>
      <c r="BJ31" s="85"/>
      <c r="BK31" s="503"/>
      <c r="BL31" s="503"/>
      <c r="BM31" s="188"/>
      <c r="BN31" s="417"/>
      <c r="BO31" s="417"/>
      <c r="BP31" s="417"/>
      <c r="BQ31" s="417"/>
      <c r="BR31" s="188"/>
      <c r="BS31" s="363">
        <f>BS30/('Audience Solutions'!BS9+BS30)</f>
        <v>0.35820895522388058</v>
      </c>
      <c r="BT31" s="363">
        <f>BT30/('Audience Solutions'!BT9+BT30)</f>
        <v>0.34146341463414637</v>
      </c>
      <c r="BU31" s="363">
        <f>BU30/('Audience Solutions'!BU9+BU30)</f>
        <v>0.29508196721311475</v>
      </c>
      <c r="BV31" s="363">
        <f>BV30/('Audience Solutions'!BV9+BV30)</f>
        <v>0.25</v>
      </c>
      <c r="BW31" s="525">
        <f>BW30/('Audience Solutions'!BW9+BW30)</f>
        <v>0.3007518796992481</v>
      </c>
      <c r="BX31" s="363">
        <f>BX30/('Audience Solutions'!BX9+BX30)</f>
        <v>0.24444444444444444</v>
      </c>
      <c r="BY31" s="363">
        <f>BY30/('Audience Solutions'!BY9+BY30)</f>
        <v>0.13223140495867769</v>
      </c>
      <c r="BZ31" s="363">
        <f>BZ30/('Audience Solutions'!BZ9+BZ30)</f>
        <v>0.7142857142857143</v>
      </c>
      <c r="CA31" s="363">
        <f>CA30/('Audience Solutions'!CA9+CA30)</f>
        <v>0.44444444444444442</v>
      </c>
      <c r="CB31" s="525">
        <f>CB30/('Audience Solutions'!CB9+CB30)</f>
        <v>0.23185840707964603</v>
      </c>
      <c r="CC31" s="363">
        <f>CC30/('Audience Solutions'!CC9+CC30)</f>
        <v>0.99343686371312612</v>
      </c>
      <c r="CD31" s="363"/>
      <c r="CE31" s="363"/>
      <c r="CF31" s="363"/>
      <c r="CG31" s="525"/>
      <c r="CH31" s="363"/>
      <c r="CI31" s="363"/>
      <c r="CJ31" s="363"/>
      <c r="CK31" s="363"/>
      <c r="CL31" s="525"/>
      <c r="CM31" s="363"/>
      <c r="CN31" s="363"/>
      <c r="CO31" s="363"/>
      <c r="CP31" s="363"/>
      <c r="CQ31" s="641"/>
    </row>
    <row r="32" spans="5:95" x14ac:dyDescent="0.25">
      <c r="E32" s="174" t="s">
        <v>619</v>
      </c>
      <c r="F32" s="557"/>
      <c r="G32" s="557"/>
      <c r="H32" s="557"/>
      <c r="I32" s="557"/>
      <c r="J32" s="557"/>
      <c r="K32" s="174"/>
      <c r="L32" s="174"/>
      <c r="M32" s="174"/>
      <c r="N32" s="174"/>
      <c r="O32" s="557"/>
      <c r="P32" s="174"/>
      <c r="Q32" s="174"/>
      <c r="R32" s="174"/>
      <c r="S32" s="174"/>
      <c r="T32" s="557"/>
      <c r="U32" s="174"/>
      <c r="V32" s="174"/>
      <c r="W32" s="174"/>
      <c r="X32" s="174"/>
      <c r="Y32" s="557"/>
      <c r="Z32" s="174"/>
      <c r="AA32" s="174"/>
      <c r="AB32" s="174"/>
      <c r="AC32" s="174"/>
      <c r="AD32" s="557"/>
      <c r="AE32" s="174"/>
      <c r="AF32" s="174"/>
      <c r="AG32" s="174"/>
      <c r="AH32" s="174"/>
      <c r="AI32" s="557"/>
      <c r="AJ32" s="174"/>
      <c r="AK32" s="174"/>
      <c r="AL32" s="174"/>
      <c r="AM32" s="174"/>
      <c r="AN32" s="557"/>
      <c r="AO32" s="174"/>
      <c r="AP32" s="174"/>
      <c r="AQ32" s="174"/>
      <c r="AR32" s="174"/>
      <c r="AS32" s="557"/>
      <c r="AT32" s="174"/>
      <c r="AU32" s="174"/>
      <c r="AV32" s="174"/>
      <c r="AW32" s="174"/>
      <c r="AX32" s="557"/>
      <c r="AY32" s="174"/>
      <c r="AZ32" s="174"/>
      <c r="BA32" s="174"/>
      <c r="BB32" s="174"/>
      <c r="BC32" s="557"/>
      <c r="BD32" s="174"/>
      <c r="BE32" s="174"/>
      <c r="BF32" s="174"/>
      <c r="BG32" s="174"/>
      <c r="BH32" s="557"/>
      <c r="BI32" s="174"/>
      <c r="BJ32" s="485">
        <v>0.14000000000000001</v>
      </c>
      <c r="BK32" s="485">
        <v>0.14000000000000001</v>
      </c>
      <c r="BL32" s="485">
        <v>0.14000000000000001</v>
      </c>
      <c r="BM32" s="495">
        <f>BM33/BM30</f>
        <v>0.14000000000000001</v>
      </c>
      <c r="BN32" s="485">
        <v>0.1</v>
      </c>
      <c r="BO32" s="485">
        <v>0.1</v>
      </c>
      <c r="BP32" s="485">
        <v>0.1</v>
      </c>
      <c r="BQ32" s="485">
        <v>0.1</v>
      </c>
      <c r="BR32" s="495">
        <f>BR33/BR30</f>
        <v>0.1</v>
      </c>
      <c r="BS32" s="485">
        <v>0.1</v>
      </c>
      <c r="BT32" s="485">
        <v>0.1</v>
      </c>
      <c r="BU32" s="485">
        <v>0.1</v>
      </c>
      <c r="BV32" s="485">
        <v>0.1</v>
      </c>
      <c r="BW32" s="495">
        <f>BW33/BW30</f>
        <v>0.1</v>
      </c>
      <c r="BX32" s="485">
        <v>0.1</v>
      </c>
      <c r="BY32" s="485">
        <v>0.1</v>
      </c>
      <c r="BZ32" s="485">
        <v>0.1</v>
      </c>
      <c r="CA32" s="485">
        <v>0.1</v>
      </c>
      <c r="CB32" s="495">
        <f>CB33/CB30</f>
        <v>0.1</v>
      </c>
      <c r="CC32" s="485">
        <v>0.1</v>
      </c>
      <c r="CD32" s="485"/>
      <c r="CE32" s="485"/>
      <c r="CF32" s="485"/>
      <c r="CG32" s="495">
        <f>CG33/CG30</f>
        <v>0.1</v>
      </c>
      <c r="CH32" s="485"/>
      <c r="CI32" s="485"/>
      <c r="CJ32" s="485"/>
      <c r="CK32" s="485"/>
      <c r="CL32" s="495"/>
      <c r="CM32" s="485"/>
      <c r="CN32" s="485"/>
      <c r="CO32" s="485"/>
      <c r="CP32" s="485"/>
      <c r="CQ32" s="495"/>
    </row>
    <row r="33" spans="5:95" ht="13.5" x14ac:dyDescent="0.3">
      <c r="E33" s="493" t="s">
        <v>618</v>
      </c>
      <c r="F33" s="557"/>
      <c r="G33" s="557"/>
      <c r="H33" s="557"/>
      <c r="I33" s="557"/>
      <c r="J33" s="557"/>
      <c r="K33" s="483"/>
      <c r="L33" s="483"/>
      <c r="M33" s="483"/>
      <c r="N33" s="483"/>
      <c r="O33" s="557"/>
      <c r="P33" s="483"/>
      <c r="Q33" s="483"/>
      <c r="R33" s="494"/>
      <c r="S33" s="483"/>
      <c r="T33" s="557"/>
      <c r="U33" s="483"/>
      <c r="V33" s="483"/>
      <c r="W33" s="483"/>
      <c r="X33" s="483"/>
      <c r="Y33" s="557"/>
      <c r="Z33" s="483"/>
      <c r="AA33" s="483"/>
      <c r="AB33" s="483"/>
      <c r="AC33" s="483"/>
      <c r="AD33" s="557"/>
      <c r="AE33" s="483"/>
      <c r="AF33" s="483"/>
      <c r="AG33" s="483"/>
      <c r="AH33" s="483"/>
      <c r="AI33" s="557"/>
      <c r="AJ33" s="483"/>
      <c r="AK33" s="483"/>
      <c r="AL33" s="483"/>
      <c r="AM33" s="483"/>
      <c r="AN33" s="557"/>
      <c r="AO33" s="483"/>
      <c r="AP33" s="483"/>
      <c r="AQ33" s="483"/>
      <c r="AR33" s="483"/>
      <c r="AS33" s="557"/>
      <c r="AT33" s="483"/>
      <c r="AU33" s="483"/>
      <c r="AV33" s="483"/>
      <c r="AW33" s="483"/>
      <c r="AX33" s="557"/>
      <c r="AY33" s="483"/>
      <c r="AZ33" s="483"/>
      <c r="BA33" s="483"/>
      <c r="BB33" s="483"/>
      <c r="BC33" s="557"/>
      <c r="BD33" s="483"/>
      <c r="BE33" s="483"/>
      <c r="BF33" s="483"/>
      <c r="BG33" s="483"/>
      <c r="BH33" s="557"/>
      <c r="BI33" s="483"/>
      <c r="BJ33" s="35">
        <f>BJ30*BJ32</f>
        <v>0.40250000000000002</v>
      </c>
      <c r="BK33" s="35">
        <f>BK30*BK32</f>
        <v>2.8000000000000003</v>
      </c>
      <c r="BL33" s="35">
        <f>BL30*BL32</f>
        <v>2.1</v>
      </c>
      <c r="BM33" s="181">
        <f>SUM(BI33:BL33)</f>
        <v>5.3025000000000002</v>
      </c>
      <c r="BN33" s="35">
        <f>BN30*BN32</f>
        <v>0.8</v>
      </c>
      <c r="BO33" s="35">
        <f>BO30*BO32</f>
        <v>1.2000000000000002</v>
      </c>
      <c r="BP33" s="35">
        <f>BP30*BP32</f>
        <v>2.3000000000000003</v>
      </c>
      <c r="BQ33" s="35">
        <f>BQ30*BQ32</f>
        <v>1.5</v>
      </c>
      <c r="BR33" s="181">
        <f>SUM(BN33:BQ33)</f>
        <v>5.8000000000000007</v>
      </c>
      <c r="BS33" s="35">
        <f>BS30*BS32</f>
        <v>2.4000000000000004</v>
      </c>
      <c r="BT33" s="35">
        <f>BT30*BT32</f>
        <v>2.8000000000000003</v>
      </c>
      <c r="BU33" s="35">
        <f>BU30*BU32</f>
        <v>3.6</v>
      </c>
      <c r="BV33" s="35">
        <f>BV30*BV32</f>
        <v>3.2</v>
      </c>
      <c r="BW33" s="181">
        <f>SUM(BS33:BV33)</f>
        <v>12</v>
      </c>
      <c r="BX33" s="35">
        <f>BX30*BX32</f>
        <v>3.3000000000000003</v>
      </c>
      <c r="BY33" s="35">
        <f>BY30*BY32</f>
        <v>1.6</v>
      </c>
      <c r="BZ33" s="35">
        <f>BZ30*BZ32</f>
        <v>1.25</v>
      </c>
      <c r="CA33" s="35">
        <f>CA30*CA32</f>
        <v>0.4</v>
      </c>
      <c r="CB33" s="181">
        <f>SUM(BX33:CA33)</f>
        <v>6.5500000000000007</v>
      </c>
      <c r="CC33" s="35">
        <f>CC30*CC32</f>
        <v>0.4</v>
      </c>
      <c r="CD33" s="35">
        <f>CD30*CD32</f>
        <v>0</v>
      </c>
      <c r="CE33" s="35">
        <f>CE30*CE32</f>
        <v>0</v>
      </c>
      <c r="CF33" s="35">
        <f>CF30*CF32</f>
        <v>0</v>
      </c>
      <c r="CG33" s="181">
        <f>SUM(CC33:CF33)</f>
        <v>0.4</v>
      </c>
      <c r="CH33" s="35"/>
      <c r="CI33" s="35"/>
      <c r="CJ33" s="35"/>
      <c r="CK33" s="35"/>
      <c r="CL33" s="181"/>
      <c r="CM33" s="35"/>
      <c r="CN33" s="35"/>
      <c r="CO33" s="35"/>
      <c r="CP33" s="35"/>
      <c r="CQ33" s="181"/>
    </row>
    <row r="34" spans="5:95" ht="13.5" x14ac:dyDescent="0.3">
      <c r="E34" s="498" t="s">
        <v>516</v>
      </c>
      <c r="F34" s="557"/>
      <c r="G34" s="557"/>
      <c r="H34" s="557"/>
      <c r="I34" s="557"/>
      <c r="J34" s="557"/>
      <c r="K34" s="483"/>
      <c r="L34" s="483"/>
      <c r="M34" s="483"/>
      <c r="N34" s="483"/>
      <c r="O34" s="557"/>
      <c r="P34" s="483"/>
      <c r="Q34" s="483"/>
      <c r="R34" s="494"/>
      <c r="S34" s="483"/>
      <c r="T34" s="557"/>
      <c r="U34" s="483"/>
      <c r="V34" s="483"/>
      <c r="W34" s="483"/>
      <c r="X34" s="483"/>
      <c r="Y34" s="557"/>
      <c r="Z34" s="483"/>
      <c r="AA34" s="483"/>
      <c r="AB34" s="483"/>
      <c r="AC34" s="483"/>
      <c r="AD34" s="557"/>
      <c r="AE34" s="483"/>
      <c r="AF34" s="483"/>
      <c r="AG34" s="483"/>
      <c r="AH34" s="483"/>
      <c r="AI34" s="557"/>
      <c r="AJ34" s="483"/>
      <c r="AK34" s="483"/>
      <c r="AL34" s="483"/>
      <c r="AM34" s="483"/>
      <c r="AN34" s="557"/>
      <c r="AO34" s="483"/>
      <c r="AP34" s="483"/>
      <c r="AQ34" s="483"/>
      <c r="AR34" s="483"/>
      <c r="AS34" s="557"/>
      <c r="AT34" s="483"/>
      <c r="AU34" s="483"/>
      <c r="AV34" s="483"/>
      <c r="AW34" s="483"/>
      <c r="AX34" s="557"/>
      <c r="AY34" s="483"/>
      <c r="AZ34" s="483"/>
      <c r="BA34" s="483"/>
      <c r="BB34" s="483"/>
      <c r="BC34" s="557"/>
      <c r="BD34" s="483"/>
      <c r="BE34" s="483"/>
      <c r="BF34" s="483"/>
      <c r="BG34" s="483"/>
      <c r="BH34" s="557"/>
      <c r="BI34" s="483"/>
      <c r="BJ34" s="518" t="s">
        <v>490</v>
      </c>
      <c r="BK34" s="189">
        <f>BK33/BJ33-1</f>
        <v>5.9565217391304346</v>
      </c>
      <c r="BL34" s="189">
        <f>BL33/BK33-1</f>
        <v>-0.25</v>
      </c>
      <c r="BM34" s="483"/>
      <c r="BN34" s="189"/>
      <c r="BO34" s="189">
        <f>BO33/BN33-1</f>
        <v>0.50000000000000022</v>
      </c>
      <c r="BP34" s="189">
        <f>BP33/BO33-1</f>
        <v>0.91666666666666652</v>
      </c>
      <c r="BQ34" s="189">
        <f>BQ33/BP33-1</f>
        <v>-0.34782608695652184</v>
      </c>
      <c r="BR34" s="483"/>
      <c r="BS34" s="189">
        <f>BS33/BQ33-1</f>
        <v>0.60000000000000031</v>
      </c>
      <c r="BT34" s="189">
        <f>BT33/BS33-1</f>
        <v>0.16666666666666652</v>
      </c>
      <c r="BU34" s="189">
        <f>BU33/BT33-1</f>
        <v>0.28571428571428559</v>
      </c>
      <c r="BV34" s="189">
        <f>BV33/BU33-1</f>
        <v>-0.11111111111111105</v>
      </c>
      <c r="BW34" s="483"/>
      <c r="BX34" s="189">
        <f>BX33/BV33-1</f>
        <v>3.125E-2</v>
      </c>
      <c r="BY34" s="189">
        <f>BY33/BX33-1</f>
        <v>-0.51515151515151514</v>
      </c>
      <c r="BZ34" s="189">
        <f>BZ33/BY33-1</f>
        <v>-0.21875</v>
      </c>
      <c r="CA34" s="189">
        <f>CA33/BZ33-1</f>
        <v>-0.67999999999999994</v>
      </c>
      <c r="CB34" s="483"/>
      <c r="CC34" s="189">
        <f>CC33/CA33-1</f>
        <v>0</v>
      </c>
      <c r="CD34" s="189"/>
      <c r="CE34" s="691"/>
      <c r="CF34" s="691"/>
      <c r="CG34" s="483"/>
      <c r="CH34" s="189"/>
      <c r="CI34" s="189"/>
      <c r="CJ34" s="189"/>
      <c r="CK34" s="189"/>
      <c r="CL34" s="483"/>
      <c r="CM34" s="189"/>
      <c r="CN34" s="189"/>
      <c r="CO34" s="189"/>
      <c r="CP34" s="189"/>
      <c r="CQ34" s="483"/>
    </row>
    <row r="35" spans="5:95" ht="13.5" x14ac:dyDescent="0.3">
      <c r="E35" s="498" t="s">
        <v>517</v>
      </c>
      <c r="F35" s="557"/>
      <c r="G35" s="557"/>
      <c r="H35" s="557"/>
      <c r="I35" s="557"/>
      <c r="J35" s="557"/>
      <c r="K35" s="483"/>
      <c r="L35" s="483"/>
      <c r="M35" s="483"/>
      <c r="N35" s="483"/>
      <c r="O35" s="557"/>
      <c r="P35" s="483"/>
      <c r="Q35" s="483"/>
      <c r="R35" s="494"/>
      <c r="S35" s="483"/>
      <c r="T35" s="557"/>
      <c r="U35" s="483"/>
      <c r="V35" s="483"/>
      <c r="W35" s="483"/>
      <c r="X35" s="483"/>
      <c r="Y35" s="557"/>
      <c r="Z35" s="483"/>
      <c r="AA35" s="483"/>
      <c r="AB35" s="483"/>
      <c r="AC35" s="483"/>
      <c r="AD35" s="557"/>
      <c r="AE35" s="483"/>
      <c r="AF35" s="483"/>
      <c r="AG35" s="483"/>
      <c r="AH35" s="483"/>
      <c r="AI35" s="557"/>
      <c r="AJ35" s="483"/>
      <c r="AK35" s="483"/>
      <c r="AL35" s="483"/>
      <c r="AM35" s="483"/>
      <c r="AN35" s="557"/>
      <c r="AO35" s="483"/>
      <c r="AP35" s="483"/>
      <c r="AQ35" s="483"/>
      <c r="AR35" s="483"/>
      <c r="AS35" s="557"/>
      <c r="AT35" s="483"/>
      <c r="AU35" s="483"/>
      <c r="AV35" s="483"/>
      <c r="AW35" s="483"/>
      <c r="AX35" s="557"/>
      <c r="AY35" s="483"/>
      <c r="AZ35" s="483"/>
      <c r="BA35" s="483"/>
      <c r="BB35" s="483"/>
      <c r="BC35" s="557"/>
      <c r="BD35" s="483"/>
      <c r="BE35" s="483"/>
      <c r="BF35" s="483"/>
      <c r="BG35" s="483"/>
      <c r="BH35" s="557"/>
      <c r="BI35" s="483"/>
      <c r="BJ35" s="518" t="s">
        <v>490</v>
      </c>
      <c r="BK35" s="518" t="s">
        <v>490</v>
      </c>
      <c r="BL35" s="518" t="s">
        <v>490</v>
      </c>
      <c r="BM35" s="483"/>
      <c r="BN35" s="518" t="s">
        <v>490</v>
      </c>
      <c r="BO35" s="189">
        <f t="shared" ref="BO35:CC35" si="2">BO33/BJ33-1</f>
        <v>1.9813664596273295</v>
      </c>
      <c r="BP35" s="189">
        <f t="shared" si="2"/>
        <v>-0.1785714285714286</v>
      </c>
      <c r="BQ35" s="189">
        <f t="shared" si="2"/>
        <v>-0.2857142857142857</v>
      </c>
      <c r="BR35" s="189">
        <f t="shared" si="2"/>
        <v>9.3823668081093992E-2</v>
      </c>
      <c r="BS35" s="189">
        <f t="shared" si="2"/>
        <v>2.0000000000000004</v>
      </c>
      <c r="BT35" s="189">
        <f t="shared" si="2"/>
        <v>1.333333333333333</v>
      </c>
      <c r="BU35" s="189">
        <f t="shared" si="2"/>
        <v>0.56521739130434767</v>
      </c>
      <c r="BV35" s="189">
        <f t="shared" si="2"/>
        <v>1.1333333333333333</v>
      </c>
      <c r="BW35" s="189">
        <f t="shared" si="2"/>
        <v>1.068965517241379</v>
      </c>
      <c r="BX35" s="189">
        <f t="shared" si="2"/>
        <v>0.375</v>
      </c>
      <c r="BY35" s="189">
        <f t="shared" si="2"/>
        <v>-0.4285714285714286</v>
      </c>
      <c r="BZ35" s="189">
        <f t="shared" si="2"/>
        <v>-0.65277777777777779</v>
      </c>
      <c r="CA35" s="189">
        <f t="shared" si="2"/>
        <v>-0.875</v>
      </c>
      <c r="CB35" s="189">
        <f t="shared" si="2"/>
        <v>-0.45416666666666661</v>
      </c>
      <c r="CC35" s="189">
        <f t="shared" si="2"/>
        <v>-0.87878787878787878</v>
      </c>
      <c r="CD35" s="189"/>
      <c r="CE35" s="189"/>
      <c r="CF35" s="189"/>
      <c r="CG35" s="189">
        <f>CG33/CB33-1</f>
        <v>-0.93893129770992367</v>
      </c>
      <c r="CH35" s="189"/>
      <c r="CI35" s="189"/>
      <c r="CJ35" s="189"/>
      <c r="CK35" s="189"/>
      <c r="CL35" s="189"/>
      <c r="CM35" s="189"/>
      <c r="CN35" s="189"/>
      <c r="CO35" s="189"/>
      <c r="CP35" s="189"/>
      <c r="CQ35" s="189"/>
    </row>
    <row r="36" spans="5:95" ht="3.75" customHeight="1" x14ac:dyDescent="0.25">
      <c r="E36" s="174"/>
      <c r="F36" s="557"/>
      <c r="G36" s="557"/>
      <c r="H36" s="557"/>
      <c r="I36" s="557"/>
      <c r="J36" s="557"/>
      <c r="K36" s="174"/>
      <c r="L36" s="174"/>
      <c r="M36" s="174"/>
      <c r="N36" s="174"/>
      <c r="O36" s="557"/>
      <c r="P36" s="174"/>
      <c r="Q36" s="174"/>
      <c r="R36" s="477"/>
      <c r="S36" s="174"/>
      <c r="T36" s="557"/>
      <c r="U36" s="174"/>
      <c r="V36" s="174"/>
      <c r="W36" s="174"/>
      <c r="X36" s="174"/>
      <c r="Y36" s="557"/>
      <c r="Z36" s="174"/>
      <c r="AA36" s="174"/>
      <c r="AB36" s="174"/>
      <c r="AC36" s="174"/>
      <c r="AD36" s="557"/>
      <c r="AE36" s="174"/>
      <c r="AF36" s="174"/>
      <c r="AG36" s="174"/>
      <c r="AH36" s="174"/>
      <c r="AI36" s="557"/>
      <c r="AJ36" s="174"/>
      <c r="AK36" s="174"/>
      <c r="AL36" s="174"/>
      <c r="AM36" s="174"/>
      <c r="AN36" s="557"/>
      <c r="AO36" s="174"/>
      <c r="AP36" s="174"/>
      <c r="AQ36" s="174"/>
      <c r="AR36" s="174"/>
      <c r="AS36" s="557"/>
      <c r="AT36" s="174"/>
      <c r="AU36" s="174"/>
      <c r="AV36" s="174"/>
      <c r="AW36" s="174"/>
      <c r="AX36" s="557"/>
      <c r="AY36" s="174"/>
      <c r="AZ36" s="174"/>
      <c r="BA36" s="174"/>
      <c r="BB36" s="174"/>
      <c r="BC36" s="557"/>
      <c r="BD36" s="174"/>
      <c r="BE36" s="174"/>
      <c r="BF36" s="174"/>
      <c r="BG36" s="174"/>
      <c r="BH36" s="557"/>
      <c r="BI36" s="174"/>
      <c r="BJ36" s="174"/>
      <c r="BK36" s="174"/>
      <c r="BL36" s="174"/>
      <c r="BM36" s="483"/>
      <c r="BN36" s="174"/>
      <c r="BO36" s="174"/>
      <c r="BP36" s="174"/>
      <c r="BQ36" s="174"/>
      <c r="BR36" s="483"/>
      <c r="BS36" s="174"/>
      <c r="BT36" s="174"/>
      <c r="BU36" s="174"/>
      <c r="BV36" s="174"/>
      <c r="BW36" s="483"/>
      <c r="BX36" s="174"/>
      <c r="BY36" s="174"/>
      <c r="BZ36" s="174"/>
      <c r="CA36" s="174"/>
      <c r="CB36" s="483"/>
      <c r="CC36" s="174"/>
      <c r="CD36" s="174"/>
      <c r="CE36" s="174"/>
      <c r="CF36" s="174"/>
      <c r="CG36" s="483"/>
      <c r="CH36" s="174"/>
      <c r="CI36" s="174"/>
      <c r="CJ36" s="174"/>
      <c r="CK36" s="174"/>
      <c r="CL36" s="483"/>
      <c r="CM36" s="174"/>
      <c r="CN36" s="174"/>
      <c r="CO36" s="174"/>
      <c r="CP36" s="174"/>
      <c r="CQ36" s="483"/>
    </row>
    <row r="37" spans="5:95" x14ac:dyDescent="0.25">
      <c r="E37" s="54" t="s">
        <v>622</v>
      </c>
      <c r="F37" s="557"/>
      <c r="G37" s="557"/>
      <c r="H37" s="557"/>
      <c r="I37" s="557"/>
      <c r="J37" s="557"/>
      <c r="K37" s="174"/>
      <c r="L37" s="174"/>
      <c r="M37" s="174"/>
      <c r="N37" s="174"/>
      <c r="O37" s="557"/>
      <c r="P37" s="174"/>
      <c r="Q37" s="174"/>
      <c r="R37" s="477"/>
      <c r="S37" s="174"/>
      <c r="T37" s="557"/>
      <c r="U37" s="174"/>
      <c r="V37" s="174"/>
      <c r="W37" s="174"/>
      <c r="X37" s="174"/>
      <c r="Y37" s="557"/>
      <c r="Z37" s="174"/>
      <c r="AA37" s="174"/>
      <c r="AB37" s="174"/>
      <c r="AC37" s="174"/>
      <c r="AD37" s="557"/>
      <c r="AE37" s="174"/>
      <c r="AF37" s="174"/>
      <c r="AG37" s="174"/>
      <c r="AH37" s="174"/>
      <c r="AI37" s="557"/>
      <c r="AJ37" s="174"/>
      <c r="AK37" s="174"/>
      <c r="AL37" s="174"/>
      <c r="AM37" s="174"/>
      <c r="AN37" s="557"/>
      <c r="AO37" s="174"/>
      <c r="AP37" s="174"/>
      <c r="AQ37" s="174"/>
      <c r="AR37" s="174"/>
      <c r="AS37" s="557"/>
      <c r="AT37" s="174"/>
      <c r="AU37" s="174"/>
      <c r="AV37" s="174"/>
      <c r="AW37" s="174"/>
      <c r="AX37" s="557"/>
      <c r="AY37" s="174"/>
      <c r="AZ37" s="174"/>
      <c r="BA37" s="174"/>
      <c r="BB37" s="174"/>
      <c r="BC37" s="557"/>
      <c r="BD37" s="174"/>
      <c r="BE37" s="174"/>
      <c r="BF37" s="174"/>
      <c r="BG37" s="174"/>
      <c r="BH37" s="557"/>
      <c r="BI37" s="174"/>
      <c r="BJ37" s="439">
        <f>BJ45*BJ39</f>
        <v>0.91999999999999993</v>
      </c>
      <c r="BK37" s="439">
        <f>BK45*BK39</f>
        <v>3.9126500000000002</v>
      </c>
      <c r="BL37" s="439">
        <f>BL45*BL39</f>
        <v>9.3541749999999997</v>
      </c>
      <c r="BM37" s="483"/>
      <c r="BN37" s="417">
        <v>2.831</v>
      </c>
      <c r="BO37" s="417">
        <v>11.667999999999999</v>
      </c>
      <c r="BP37" s="417">
        <v>16.614000000000001</v>
      </c>
      <c r="BQ37" s="417">
        <v>17.338000000000001</v>
      </c>
      <c r="BR37" s="188">
        <f>SUM(BN37:BQ37)</f>
        <v>48.451000000000001</v>
      </c>
      <c r="BS37" s="417">
        <v>18.917999999999999</v>
      </c>
      <c r="BT37" s="417">
        <v>20.533999999999999</v>
      </c>
      <c r="BU37" s="417">
        <v>26.591999999999999</v>
      </c>
      <c r="BV37" s="417">
        <v>29.233000000000001</v>
      </c>
      <c r="BW37" s="188">
        <f>SUM(BS37:BV37)</f>
        <v>95.277000000000001</v>
      </c>
      <c r="BX37" s="417">
        <v>28.907</v>
      </c>
      <c r="BY37" s="417">
        <v>30.698</v>
      </c>
      <c r="BZ37" s="417">
        <v>36.085000000000001</v>
      </c>
      <c r="CA37" s="417">
        <v>41.503999999999998</v>
      </c>
      <c r="CB37" s="188">
        <f>SUM(BX37:CA37)</f>
        <v>137.19399999999999</v>
      </c>
      <c r="CC37" s="417">
        <v>41.51</v>
      </c>
      <c r="CD37" s="417">
        <v>48.228999999999999</v>
      </c>
      <c r="CE37" s="417">
        <v>50.685000000000002</v>
      </c>
      <c r="CF37" s="417">
        <v>51.9</v>
      </c>
      <c r="CG37" s="188">
        <f>SUM(CC37:CF37)</f>
        <v>192.32400000000001</v>
      </c>
      <c r="CH37" s="555"/>
      <c r="CI37" s="555"/>
      <c r="CJ37" s="555"/>
      <c r="CK37" s="555"/>
      <c r="CL37" s="188"/>
      <c r="CM37" s="555"/>
      <c r="CN37" s="555"/>
      <c r="CO37" s="555"/>
      <c r="CP37" s="555"/>
      <c r="CQ37" s="188"/>
    </row>
    <row r="38" spans="5:95" ht="13.5" x14ac:dyDescent="0.25">
      <c r="E38" s="91" t="s">
        <v>2</v>
      </c>
      <c r="F38" s="557"/>
      <c r="G38" s="557"/>
      <c r="H38" s="557"/>
      <c r="I38" s="557"/>
      <c r="J38" s="557"/>
      <c r="K38" s="174"/>
      <c r="L38" s="174"/>
      <c r="M38" s="174"/>
      <c r="N38" s="174"/>
      <c r="O38" s="557"/>
      <c r="P38" s="174"/>
      <c r="Q38" s="174"/>
      <c r="R38" s="477"/>
      <c r="S38" s="174"/>
      <c r="T38" s="557"/>
      <c r="U38" s="174"/>
      <c r="V38" s="174"/>
      <c r="W38" s="174"/>
      <c r="X38" s="174"/>
      <c r="Y38" s="557"/>
      <c r="Z38" s="174"/>
      <c r="AA38" s="174"/>
      <c r="AB38" s="174"/>
      <c r="AC38" s="174"/>
      <c r="AD38" s="557"/>
      <c r="AE38" s="174"/>
      <c r="AF38" s="174"/>
      <c r="AG38" s="174"/>
      <c r="AH38" s="174"/>
      <c r="AI38" s="557"/>
      <c r="AJ38" s="174"/>
      <c r="AK38" s="174"/>
      <c r="AL38" s="174"/>
      <c r="AM38" s="174"/>
      <c r="AN38" s="557"/>
      <c r="AO38" s="174"/>
      <c r="AP38" s="174"/>
      <c r="AQ38" s="174"/>
      <c r="AR38" s="174"/>
      <c r="AS38" s="557"/>
      <c r="AT38" s="174"/>
      <c r="AU38" s="174"/>
      <c r="AV38" s="174"/>
      <c r="AW38" s="174"/>
      <c r="AX38" s="557"/>
      <c r="AY38" s="174"/>
      <c r="AZ38" s="174"/>
      <c r="BA38" s="174"/>
      <c r="BB38" s="174"/>
      <c r="BC38" s="557"/>
      <c r="BD38" s="174"/>
      <c r="BE38" s="174"/>
      <c r="BF38" s="174"/>
      <c r="BG38" s="174"/>
      <c r="BH38" s="557"/>
      <c r="BI38" s="174"/>
      <c r="BJ38" s="517" t="s">
        <v>490</v>
      </c>
      <c r="BK38" s="517" t="s">
        <v>490</v>
      </c>
      <c r="BL38" s="517" t="s">
        <v>490</v>
      </c>
      <c r="BM38" s="483"/>
      <c r="BN38" s="517" t="s">
        <v>490</v>
      </c>
      <c r="BO38" s="183">
        <f>BO37/BJ37-1</f>
        <v>11.682608695652174</v>
      </c>
      <c r="BP38" s="183">
        <f>BP37/BK37-1</f>
        <v>3.2462269817131615</v>
      </c>
      <c r="BQ38" s="183">
        <f>BQ37/BL37-1</f>
        <v>0.85350391670029713</v>
      </c>
      <c r="BR38" s="483"/>
      <c r="BS38" s="183">
        <f t="shared" ref="BS38:CG38" si="3">BS37/BN37-1</f>
        <v>5.6824443659484283</v>
      </c>
      <c r="BT38" s="183">
        <f t="shared" si="3"/>
        <v>0.75985601645526235</v>
      </c>
      <c r="BU38" s="183">
        <f t="shared" si="3"/>
        <v>0.60057782592993836</v>
      </c>
      <c r="BV38" s="183">
        <f t="shared" si="3"/>
        <v>0.68606529011419992</v>
      </c>
      <c r="BW38" s="525">
        <f t="shared" si="3"/>
        <v>0.96646096055808961</v>
      </c>
      <c r="BX38" s="183">
        <f t="shared" si="3"/>
        <v>0.52801564647425736</v>
      </c>
      <c r="BY38" s="183">
        <f t="shared" si="3"/>
        <v>0.49498392909321143</v>
      </c>
      <c r="BZ38" s="183">
        <f t="shared" si="3"/>
        <v>0.35698706377858014</v>
      </c>
      <c r="CA38" s="183">
        <f t="shared" si="3"/>
        <v>0.41976533369821767</v>
      </c>
      <c r="CB38" s="525">
        <f t="shared" si="3"/>
        <v>0.43994878092299272</v>
      </c>
      <c r="CC38" s="183">
        <f t="shared" si="3"/>
        <v>0.43598436364894311</v>
      </c>
      <c r="CD38" s="183">
        <f t="shared" si="3"/>
        <v>0.57107954915629677</v>
      </c>
      <c r="CE38" s="183">
        <f>CE37/BZ37-1</f>
        <v>0.40460024941111272</v>
      </c>
      <c r="CF38" s="183">
        <f t="shared" si="3"/>
        <v>0.25048188126445647</v>
      </c>
      <c r="CG38" s="525">
        <f t="shared" si="3"/>
        <v>0.40183973060046374</v>
      </c>
      <c r="CH38" s="183"/>
      <c r="CI38" s="183"/>
      <c r="CJ38" s="183"/>
      <c r="CK38" s="183"/>
      <c r="CL38" s="525"/>
      <c r="CM38" s="183"/>
      <c r="CN38" s="183"/>
      <c r="CO38" s="183"/>
      <c r="CP38" s="183"/>
      <c r="CQ38" s="641"/>
    </row>
    <row r="39" spans="5:95" ht="13.5" x14ac:dyDescent="0.3">
      <c r="E39" s="91" t="s">
        <v>623</v>
      </c>
      <c r="F39" s="557"/>
      <c r="G39" s="557"/>
      <c r="H39" s="557"/>
      <c r="I39" s="557"/>
      <c r="J39" s="557"/>
      <c r="K39" s="174"/>
      <c r="L39" s="174"/>
      <c r="M39" s="174"/>
      <c r="N39" s="174"/>
      <c r="O39" s="557"/>
      <c r="P39" s="174"/>
      <c r="Q39" s="174"/>
      <c r="R39" s="477"/>
      <c r="S39" s="174"/>
      <c r="T39" s="557"/>
      <c r="U39" s="174"/>
      <c r="V39" s="174"/>
      <c r="W39" s="174"/>
      <c r="X39" s="174"/>
      <c r="Y39" s="557"/>
      <c r="Z39" s="174"/>
      <c r="AA39" s="174"/>
      <c r="AB39" s="174"/>
      <c r="AC39" s="174"/>
      <c r="AD39" s="557"/>
      <c r="AE39" s="174"/>
      <c r="AF39" s="174"/>
      <c r="AG39" s="174"/>
      <c r="AH39" s="174"/>
      <c r="AI39" s="557"/>
      <c r="AJ39" s="174"/>
      <c r="AK39" s="174"/>
      <c r="AL39" s="174"/>
      <c r="AM39" s="174"/>
      <c r="AN39" s="557"/>
      <c r="AO39" s="174"/>
      <c r="AP39" s="174"/>
      <c r="AQ39" s="174"/>
      <c r="AR39" s="174"/>
      <c r="AS39" s="557"/>
      <c r="AT39" s="174"/>
      <c r="AU39" s="174"/>
      <c r="AV39" s="174"/>
      <c r="AW39" s="174"/>
      <c r="AX39" s="557"/>
      <c r="AY39" s="174"/>
      <c r="AZ39" s="174"/>
      <c r="BA39" s="174"/>
      <c r="BB39" s="174"/>
      <c r="BC39" s="557"/>
      <c r="BD39" s="174"/>
      <c r="BE39" s="174"/>
      <c r="BF39" s="174"/>
      <c r="BG39" s="174"/>
      <c r="BH39" s="557"/>
      <c r="BI39" s="174"/>
      <c r="BJ39" s="516">
        <v>1</v>
      </c>
      <c r="BK39" s="516">
        <v>0.98</v>
      </c>
      <c r="BL39" s="516">
        <v>0.95</v>
      </c>
      <c r="BM39" s="483"/>
      <c r="BN39" s="183">
        <f t="shared" ref="BN39:CC39" si="4">BN37/BN45</f>
        <v>0.65320719889247814</v>
      </c>
      <c r="BO39" s="183">
        <f t="shared" si="4"/>
        <v>0.86609263657957247</v>
      </c>
      <c r="BP39" s="183">
        <f t="shared" si="4"/>
        <v>0.92763819095477396</v>
      </c>
      <c r="BQ39" s="183">
        <f t="shared" si="4"/>
        <v>0.90039468217698382</v>
      </c>
      <c r="BR39" s="525">
        <f t="shared" si="4"/>
        <v>0.88137597322273165</v>
      </c>
      <c r="BS39" s="183">
        <f t="shared" si="4"/>
        <v>0.91750327367961582</v>
      </c>
      <c r="BT39" s="183">
        <f t="shared" si="4"/>
        <v>0.92312533716957379</v>
      </c>
      <c r="BU39" s="183">
        <f t="shared" si="4"/>
        <v>0.93561325733586653</v>
      </c>
      <c r="BV39" s="183">
        <f t="shared" si="4"/>
        <v>0.93740580407247076</v>
      </c>
      <c r="BW39" s="525">
        <f t="shared" si="4"/>
        <v>0.92980384502781299</v>
      </c>
      <c r="BX39" s="183">
        <f t="shared" si="4"/>
        <v>0.92230872311913725</v>
      </c>
      <c r="BY39" s="183">
        <f t="shared" si="4"/>
        <v>0.92849797350432528</v>
      </c>
      <c r="BZ39" s="183">
        <f t="shared" si="4"/>
        <v>0.93156237092110705</v>
      </c>
      <c r="CA39" s="183">
        <f t="shared" si="4"/>
        <v>0.93894079587358314</v>
      </c>
      <c r="CB39" s="525">
        <f t="shared" si="4"/>
        <v>0.93111990389770805</v>
      </c>
      <c r="CC39" s="183">
        <f t="shared" si="4"/>
        <v>0.91864736865400787</v>
      </c>
      <c r="CD39" s="183">
        <f>CD37/CD45</f>
        <v>0.92068188759926695</v>
      </c>
      <c r="CE39" s="183">
        <f>CE37/CE45</f>
        <v>0.90544499624852626</v>
      </c>
      <c r="CF39" s="183">
        <f>CF37/CF45</f>
        <v>0.90334708370320083</v>
      </c>
      <c r="CG39" s="525">
        <f>CG37/CG45</f>
        <v>0.91148383183018089</v>
      </c>
      <c r="CH39" s="453"/>
      <c r="CI39" s="727"/>
      <c r="CJ39" s="727"/>
      <c r="CK39" s="727"/>
      <c r="CL39" s="525"/>
      <c r="CM39" s="727"/>
      <c r="CN39" s="727"/>
      <c r="CO39" s="727"/>
      <c r="CP39" s="727"/>
      <c r="CQ39" s="641"/>
    </row>
    <row r="40" spans="5:95" ht="3.75" customHeight="1" x14ac:dyDescent="0.25">
      <c r="E40" s="174"/>
      <c r="F40" s="557"/>
      <c r="G40" s="557"/>
      <c r="H40" s="557"/>
      <c r="I40" s="557"/>
      <c r="J40" s="557"/>
      <c r="K40" s="174"/>
      <c r="L40" s="174"/>
      <c r="M40" s="174"/>
      <c r="N40" s="174"/>
      <c r="O40" s="557"/>
      <c r="P40" s="174"/>
      <c r="Q40" s="174"/>
      <c r="R40" s="477"/>
      <c r="S40" s="174"/>
      <c r="T40" s="557"/>
      <c r="U40" s="174"/>
      <c r="V40" s="174"/>
      <c r="W40" s="174"/>
      <c r="X40" s="174"/>
      <c r="Y40" s="557"/>
      <c r="Z40" s="174"/>
      <c r="AA40" s="174"/>
      <c r="AB40" s="174"/>
      <c r="AC40" s="174"/>
      <c r="AD40" s="557"/>
      <c r="AE40" s="174"/>
      <c r="AF40" s="174"/>
      <c r="AG40" s="174"/>
      <c r="AH40" s="174"/>
      <c r="AI40" s="557"/>
      <c r="AJ40" s="174"/>
      <c r="AK40" s="174"/>
      <c r="AL40" s="174"/>
      <c r="AM40" s="174"/>
      <c r="AN40" s="557"/>
      <c r="AO40" s="174"/>
      <c r="AP40" s="174"/>
      <c r="AQ40" s="174"/>
      <c r="AR40" s="174"/>
      <c r="AS40" s="557"/>
      <c r="AT40" s="174"/>
      <c r="AU40" s="174"/>
      <c r="AV40" s="174"/>
      <c r="AW40" s="174"/>
      <c r="AX40" s="557"/>
      <c r="AY40" s="174"/>
      <c r="AZ40" s="174"/>
      <c r="BA40" s="174"/>
      <c r="BB40" s="174"/>
      <c r="BC40" s="557"/>
      <c r="BD40" s="174"/>
      <c r="BE40" s="174"/>
      <c r="BF40" s="174"/>
      <c r="BG40" s="174"/>
      <c r="BH40" s="557"/>
      <c r="BI40" s="174"/>
      <c r="BJ40" s="174"/>
      <c r="BK40" s="174"/>
      <c r="BL40" s="174"/>
      <c r="BM40" s="483"/>
      <c r="BN40" s="174"/>
      <c r="BO40" s="174"/>
      <c r="BP40" s="174"/>
      <c r="BQ40" s="174"/>
      <c r="BR40" s="483"/>
      <c r="BS40" s="174"/>
      <c r="BT40" s="174"/>
      <c r="BU40" s="174"/>
      <c r="BV40" s="174"/>
      <c r="BW40" s="483"/>
      <c r="BX40" s="174"/>
      <c r="BY40" s="174"/>
      <c r="BZ40" s="174"/>
      <c r="CA40" s="174"/>
      <c r="CB40" s="483"/>
      <c r="CC40" s="174"/>
      <c r="CD40" s="174"/>
      <c r="CE40" s="174"/>
      <c r="CF40" s="174"/>
      <c r="CG40" s="483"/>
      <c r="CH40" s="174"/>
      <c r="CI40" s="174"/>
      <c r="CJ40" s="174"/>
      <c r="CK40" s="174"/>
      <c r="CL40" s="483"/>
      <c r="CM40" s="174"/>
      <c r="CN40" s="174"/>
      <c r="CO40" s="174"/>
      <c r="CP40" s="174"/>
      <c r="CQ40" s="483"/>
    </row>
    <row r="41" spans="5:95" x14ac:dyDescent="0.25">
      <c r="E41" s="54" t="s">
        <v>624</v>
      </c>
      <c r="F41" s="557"/>
      <c r="G41" s="557"/>
      <c r="H41" s="557"/>
      <c r="I41" s="557"/>
      <c r="J41" s="557"/>
      <c r="K41" s="174"/>
      <c r="L41" s="174"/>
      <c r="M41" s="174"/>
      <c r="N41" s="174"/>
      <c r="O41" s="557"/>
      <c r="P41" s="174"/>
      <c r="Q41" s="174"/>
      <c r="R41" s="477"/>
      <c r="S41" s="174"/>
      <c r="T41" s="557"/>
      <c r="U41" s="174"/>
      <c r="V41" s="174"/>
      <c r="W41" s="174"/>
      <c r="X41" s="174"/>
      <c r="Y41" s="557"/>
      <c r="Z41" s="174"/>
      <c r="AA41" s="174"/>
      <c r="AB41" s="174"/>
      <c r="AC41" s="174"/>
      <c r="AD41" s="557"/>
      <c r="AE41" s="174"/>
      <c r="AF41" s="174"/>
      <c r="AG41" s="174"/>
      <c r="AH41" s="174"/>
      <c r="AI41" s="557"/>
      <c r="AJ41" s="174"/>
      <c r="AK41" s="174"/>
      <c r="AL41" s="174"/>
      <c r="AM41" s="174"/>
      <c r="AN41" s="557"/>
      <c r="AO41" s="174"/>
      <c r="AP41" s="174"/>
      <c r="AQ41" s="174"/>
      <c r="AR41" s="174"/>
      <c r="AS41" s="557"/>
      <c r="AT41" s="174"/>
      <c r="AU41" s="174"/>
      <c r="AV41" s="174"/>
      <c r="AW41" s="174"/>
      <c r="AX41" s="557"/>
      <c r="AY41" s="174"/>
      <c r="AZ41" s="174"/>
      <c r="BA41" s="174"/>
      <c r="BB41" s="174"/>
      <c r="BC41" s="557"/>
      <c r="BD41" s="174"/>
      <c r="BE41" s="174"/>
      <c r="BF41" s="174"/>
      <c r="BG41" s="174"/>
      <c r="BH41" s="557"/>
      <c r="BI41" s="174"/>
      <c r="BJ41" s="439">
        <f>BJ45-BJ37</f>
        <v>0</v>
      </c>
      <c r="BK41" s="439">
        <f>BK45-BK37</f>
        <v>7.9849999999999977E-2</v>
      </c>
      <c r="BL41" s="439">
        <f>BL45-BL37</f>
        <v>0.49232500000000101</v>
      </c>
      <c r="BM41" s="483"/>
      <c r="BN41" s="439">
        <f>BN45-BN37</f>
        <v>1.5029999999999997</v>
      </c>
      <c r="BO41" s="439">
        <f>BO45-BO37</f>
        <v>1.8040000000000003</v>
      </c>
      <c r="BP41" s="439">
        <f>BP45-BP37</f>
        <v>1.2959999999999994</v>
      </c>
      <c r="BQ41" s="439">
        <f>BQ45-BQ37</f>
        <v>1.9179999999999993</v>
      </c>
      <c r="BR41" s="188">
        <f>SUM(BN41:BQ41)</f>
        <v>6.520999999999999</v>
      </c>
      <c r="BS41" s="439">
        <f>BS45-BS37</f>
        <v>1.7010000000000005</v>
      </c>
      <c r="BT41" s="439">
        <f>BT45-BT37</f>
        <v>1.7100000000000009</v>
      </c>
      <c r="BU41" s="439">
        <f>BU45-BU37</f>
        <v>1.8300000000000018</v>
      </c>
      <c r="BV41" s="439">
        <f>BV45-BV37</f>
        <v>1.9519999999999982</v>
      </c>
      <c r="BW41" s="188">
        <f>SUM(BS41:BV41)</f>
        <v>7.1930000000000014</v>
      </c>
      <c r="BX41" s="439">
        <f>BX45-BX37</f>
        <v>2.4349999999999987</v>
      </c>
      <c r="BY41" s="439">
        <f>BY45-BY37</f>
        <v>2.3639999999999972</v>
      </c>
      <c r="BZ41" s="439">
        <f>BZ45-BZ37</f>
        <v>2.6509999999999962</v>
      </c>
      <c r="CA41" s="439">
        <f>CA45-CA37</f>
        <v>2.6990000000000052</v>
      </c>
      <c r="CB41" s="188">
        <f>SUM(BX41:CA41)</f>
        <v>10.148999999999997</v>
      </c>
      <c r="CC41" s="439">
        <f>CC45-CC37</f>
        <v>3.6760000000000019</v>
      </c>
      <c r="CD41" s="439">
        <f>CD45-CD37</f>
        <v>4.1550000000000011</v>
      </c>
      <c r="CE41" s="439">
        <f>CE45-CE37</f>
        <v>5.2929999999999993</v>
      </c>
      <c r="CF41" s="439">
        <f>CF45-CF37</f>
        <v>5.5530000000000044</v>
      </c>
      <c r="CG41" s="188">
        <f>SUM(CC41:CF41)</f>
        <v>18.677000000000007</v>
      </c>
      <c r="CH41" s="439"/>
      <c r="CI41" s="439"/>
      <c r="CJ41" s="439"/>
      <c r="CK41" s="439"/>
      <c r="CL41" s="188"/>
      <c r="CM41" s="439"/>
      <c r="CN41" s="439"/>
      <c r="CO41" s="439"/>
      <c r="CP41" s="439"/>
      <c r="CQ41" s="188"/>
    </row>
    <row r="42" spans="5:95" ht="13.5" x14ac:dyDescent="0.25">
      <c r="E42" s="91" t="s">
        <v>2</v>
      </c>
      <c r="F42" s="557"/>
      <c r="G42" s="557"/>
      <c r="H42" s="557"/>
      <c r="I42" s="557"/>
      <c r="J42" s="557"/>
      <c r="K42" s="174"/>
      <c r="L42" s="174"/>
      <c r="M42" s="174"/>
      <c r="N42" s="174"/>
      <c r="O42" s="557"/>
      <c r="P42" s="174"/>
      <c r="Q42" s="174"/>
      <c r="R42" s="477"/>
      <c r="S42" s="174"/>
      <c r="T42" s="557"/>
      <c r="U42" s="174"/>
      <c r="V42" s="174"/>
      <c r="W42" s="174"/>
      <c r="X42" s="174"/>
      <c r="Y42" s="557"/>
      <c r="Z42" s="174"/>
      <c r="AA42" s="174"/>
      <c r="AB42" s="174"/>
      <c r="AC42" s="174"/>
      <c r="AD42" s="557"/>
      <c r="AE42" s="174"/>
      <c r="AF42" s="174"/>
      <c r="AG42" s="174"/>
      <c r="AH42" s="174"/>
      <c r="AI42" s="557"/>
      <c r="AJ42" s="174"/>
      <c r="AK42" s="174"/>
      <c r="AL42" s="174"/>
      <c r="AM42" s="174"/>
      <c r="AN42" s="557"/>
      <c r="AO42" s="174"/>
      <c r="AP42" s="174"/>
      <c r="AQ42" s="174"/>
      <c r="AR42" s="174"/>
      <c r="AS42" s="557"/>
      <c r="AT42" s="174"/>
      <c r="AU42" s="174"/>
      <c r="AV42" s="174"/>
      <c r="AW42" s="174"/>
      <c r="AX42" s="557"/>
      <c r="AY42" s="174"/>
      <c r="AZ42" s="174"/>
      <c r="BA42" s="174"/>
      <c r="BB42" s="174"/>
      <c r="BC42" s="557"/>
      <c r="BD42" s="174"/>
      <c r="BE42" s="174"/>
      <c r="BF42" s="174"/>
      <c r="BG42" s="174"/>
      <c r="BH42" s="557"/>
      <c r="BI42" s="174"/>
      <c r="BJ42" s="517" t="s">
        <v>490</v>
      </c>
      <c r="BK42" s="517" t="s">
        <v>490</v>
      </c>
      <c r="BL42" s="517" t="s">
        <v>490</v>
      </c>
      <c r="BM42" s="483"/>
      <c r="BN42" s="517" t="s">
        <v>490</v>
      </c>
      <c r="BO42" s="517" t="s">
        <v>490</v>
      </c>
      <c r="BP42" s="183">
        <f>BP41/BK41-1</f>
        <v>15.230432060112708</v>
      </c>
      <c r="BQ42" s="183">
        <f>BQ41/BL41-1</f>
        <v>2.8958005382623173</v>
      </c>
      <c r="BR42" s="483"/>
      <c r="BS42" s="183">
        <f t="shared" ref="BS42:CG42" si="5">BS41/BN41-1</f>
        <v>0.13173652694610838</v>
      </c>
      <c r="BT42" s="363">
        <f t="shared" si="5"/>
        <v>-5.2106430155210326E-2</v>
      </c>
      <c r="BU42" s="183">
        <f t="shared" si="5"/>
        <v>0.4120370370370392</v>
      </c>
      <c r="BV42" s="183">
        <f t="shared" si="5"/>
        <v>1.7726798748695982E-2</v>
      </c>
      <c r="BW42" s="525">
        <f t="shared" si="5"/>
        <v>0.10305167919030866</v>
      </c>
      <c r="BX42" s="183">
        <f t="shared" si="5"/>
        <v>0.43151087595531923</v>
      </c>
      <c r="BY42" s="183">
        <f t="shared" si="5"/>
        <v>0.38245614035087483</v>
      </c>
      <c r="BZ42" s="183">
        <f t="shared" si="5"/>
        <v>0.44863387978141733</v>
      </c>
      <c r="CA42" s="183">
        <f t="shared" si="5"/>
        <v>0.38268442622951215</v>
      </c>
      <c r="CB42" s="525">
        <f t="shared" si="5"/>
        <v>0.41095509523147444</v>
      </c>
      <c r="CC42" s="183">
        <f t="shared" si="5"/>
        <v>0.50965092402464229</v>
      </c>
      <c r="CD42" s="183">
        <f t="shared" si="5"/>
        <v>0.75761421319797217</v>
      </c>
      <c r="CE42" s="183">
        <f>CE41/BZ41-1</f>
        <v>0.99660505469634364</v>
      </c>
      <c r="CF42" s="183">
        <f>CF41/CA41-1</f>
        <v>1.057428677287882</v>
      </c>
      <c r="CG42" s="525">
        <f t="shared" si="5"/>
        <v>0.84027983052517596</v>
      </c>
      <c r="CH42" s="183"/>
      <c r="CI42" s="183"/>
      <c r="CJ42" s="183"/>
      <c r="CK42" s="183"/>
      <c r="CL42" s="525"/>
      <c r="CM42" s="183"/>
      <c r="CN42" s="183"/>
      <c r="CO42" s="183"/>
      <c r="CP42" s="183"/>
      <c r="CQ42" s="641"/>
    </row>
    <row r="43" spans="5:95" ht="13.5" x14ac:dyDescent="0.25">
      <c r="E43" s="91" t="s">
        <v>623</v>
      </c>
      <c r="F43" s="557"/>
      <c r="G43" s="557"/>
      <c r="H43" s="557"/>
      <c r="I43" s="557"/>
      <c r="J43" s="557"/>
      <c r="K43" s="174"/>
      <c r="L43" s="174"/>
      <c r="M43" s="174"/>
      <c r="N43" s="174"/>
      <c r="O43" s="557"/>
      <c r="P43" s="174"/>
      <c r="Q43" s="174"/>
      <c r="R43" s="477"/>
      <c r="S43" s="174"/>
      <c r="T43" s="557"/>
      <c r="U43" s="174"/>
      <c r="V43" s="174"/>
      <c r="W43" s="174"/>
      <c r="X43" s="174"/>
      <c r="Y43" s="557"/>
      <c r="Z43" s="174"/>
      <c r="AA43" s="174"/>
      <c r="AB43" s="174"/>
      <c r="AC43" s="174"/>
      <c r="AD43" s="557"/>
      <c r="AE43" s="174"/>
      <c r="AF43" s="174"/>
      <c r="AG43" s="174"/>
      <c r="AH43" s="174"/>
      <c r="AI43" s="557"/>
      <c r="AJ43" s="174"/>
      <c r="AK43" s="174"/>
      <c r="AL43" s="174"/>
      <c r="AM43" s="174"/>
      <c r="AN43" s="557"/>
      <c r="AO43" s="174"/>
      <c r="AP43" s="174"/>
      <c r="AQ43" s="174"/>
      <c r="AR43" s="174"/>
      <c r="AS43" s="557"/>
      <c r="AT43" s="174"/>
      <c r="AU43" s="174"/>
      <c r="AV43" s="174"/>
      <c r="AW43" s="174"/>
      <c r="AX43" s="557"/>
      <c r="AY43" s="174"/>
      <c r="AZ43" s="174"/>
      <c r="BA43" s="174"/>
      <c r="BB43" s="174"/>
      <c r="BC43" s="557"/>
      <c r="BD43" s="174"/>
      <c r="BE43" s="174"/>
      <c r="BF43" s="174"/>
      <c r="BG43" s="174"/>
      <c r="BH43" s="557"/>
      <c r="BI43" s="174"/>
      <c r="BJ43" s="183">
        <v>0</v>
      </c>
      <c r="BK43" s="183">
        <f>BK41/BK45</f>
        <v>1.9999999999999993E-2</v>
      </c>
      <c r="BL43" s="183">
        <f>BL41/BL45</f>
        <v>5.00000000000001E-2</v>
      </c>
      <c r="BM43" s="483"/>
      <c r="BN43" s="183">
        <f t="shared" ref="BN43:CG43" si="6">BN41/BN45</f>
        <v>0.34679280110752186</v>
      </c>
      <c r="BO43" s="183">
        <f t="shared" si="6"/>
        <v>0.13390736342042758</v>
      </c>
      <c r="BP43" s="183">
        <f t="shared" si="6"/>
        <v>7.23618090452261E-2</v>
      </c>
      <c r="BQ43" s="183">
        <f t="shared" si="6"/>
        <v>9.9605317823016168E-2</v>
      </c>
      <c r="BR43" s="525">
        <f t="shared" si="6"/>
        <v>0.11862402677726842</v>
      </c>
      <c r="BS43" s="183">
        <f t="shared" si="6"/>
        <v>8.2496726320384142E-2</v>
      </c>
      <c r="BT43" s="183">
        <f t="shared" si="6"/>
        <v>7.6874662830426224E-2</v>
      </c>
      <c r="BU43" s="183">
        <f t="shared" si="6"/>
        <v>6.4386742664133481E-2</v>
      </c>
      <c r="BV43" s="183">
        <f t="shared" si="6"/>
        <v>6.2594195927529211E-2</v>
      </c>
      <c r="BW43" s="525">
        <f t="shared" si="6"/>
        <v>7.0196154972186994E-2</v>
      </c>
      <c r="BX43" s="183">
        <f t="shared" si="6"/>
        <v>7.7691276880862706E-2</v>
      </c>
      <c r="BY43" s="183">
        <f t="shared" si="6"/>
        <v>7.150202649567472E-2</v>
      </c>
      <c r="BZ43" s="183">
        <f t="shared" si="6"/>
        <v>6.8437629078892934E-2</v>
      </c>
      <c r="CA43" s="183">
        <f t="shared" si="6"/>
        <v>6.1059204126416869E-2</v>
      </c>
      <c r="CB43" s="525">
        <f t="shared" si="6"/>
        <v>6.8880096102291913E-2</v>
      </c>
      <c r="CC43" s="183">
        <f t="shared" si="6"/>
        <v>8.135263134599216E-2</v>
      </c>
      <c r="CD43" s="183">
        <f t="shared" si="6"/>
        <v>7.9318112400733068E-2</v>
      </c>
      <c r="CE43" s="183">
        <f>CE41/CE45</f>
        <v>9.4555003751473771E-2</v>
      </c>
      <c r="CF43" s="183">
        <f>CF41/CF45</f>
        <v>9.6652916296799188E-2</v>
      </c>
      <c r="CG43" s="525">
        <f t="shared" si="6"/>
        <v>8.8516168169819123E-2</v>
      </c>
      <c r="CH43" s="183"/>
      <c r="CI43" s="183"/>
      <c r="CJ43" s="183"/>
      <c r="CK43" s="183"/>
      <c r="CL43" s="525"/>
      <c r="CM43" s="183"/>
      <c r="CN43" s="183"/>
      <c r="CO43" s="183"/>
      <c r="CP43" s="183"/>
      <c r="CQ43" s="641"/>
    </row>
    <row r="44" spans="5:95" ht="3.75" customHeight="1" x14ac:dyDescent="0.25">
      <c r="E44" s="174"/>
      <c r="F44" s="557"/>
      <c r="G44" s="557"/>
      <c r="H44" s="557"/>
      <c r="I44" s="557"/>
      <c r="J44" s="557"/>
      <c r="K44" s="174"/>
      <c r="L44" s="174"/>
      <c r="M44" s="174"/>
      <c r="N44" s="174"/>
      <c r="O44" s="557"/>
      <c r="P44" s="174"/>
      <c r="Q44" s="174"/>
      <c r="R44" s="477"/>
      <c r="S44" s="174"/>
      <c r="T44" s="557"/>
      <c r="U44" s="174"/>
      <c r="V44" s="174"/>
      <c r="W44" s="174"/>
      <c r="X44" s="174"/>
      <c r="Y44" s="557"/>
      <c r="Z44" s="174"/>
      <c r="AA44" s="174"/>
      <c r="AB44" s="174"/>
      <c r="AC44" s="174"/>
      <c r="AD44" s="557"/>
      <c r="AE44" s="174"/>
      <c r="AF44" s="174"/>
      <c r="AG44" s="174"/>
      <c r="AH44" s="174"/>
      <c r="AI44" s="557"/>
      <c r="AJ44" s="174"/>
      <c r="AK44" s="174"/>
      <c r="AL44" s="174"/>
      <c r="AM44" s="174"/>
      <c r="AN44" s="557"/>
      <c r="AO44" s="174"/>
      <c r="AP44" s="174"/>
      <c r="AQ44" s="174"/>
      <c r="AR44" s="174"/>
      <c r="AS44" s="557"/>
      <c r="AT44" s="174"/>
      <c r="AU44" s="174"/>
      <c r="AV44" s="174"/>
      <c r="AW44" s="174"/>
      <c r="AX44" s="557"/>
      <c r="AY44" s="174"/>
      <c r="AZ44" s="174"/>
      <c r="BA44" s="174"/>
      <c r="BB44" s="174"/>
      <c r="BC44" s="557"/>
      <c r="BD44" s="174"/>
      <c r="BE44" s="174"/>
      <c r="BF44" s="174"/>
      <c r="BG44" s="174"/>
      <c r="BH44" s="557"/>
      <c r="BI44" s="174"/>
      <c r="BJ44" s="174"/>
      <c r="BK44" s="174"/>
      <c r="BL44" s="174"/>
      <c r="BM44" s="483"/>
      <c r="BN44" s="174"/>
      <c r="BO44" s="174"/>
      <c r="BP44" s="174"/>
      <c r="BQ44" s="174"/>
      <c r="BR44" s="483"/>
      <c r="BS44" s="174"/>
      <c r="BT44" s="174"/>
      <c r="BU44" s="174"/>
      <c r="BV44" s="174"/>
      <c r="BW44" s="483"/>
      <c r="BX44" s="174"/>
      <c r="BY44" s="174"/>
      <c r="BZ44" s="174"/>
      <c r="CA44" s="174"/>
      <c r="CB44" s="483"/>
      <c r="CC44" s="174"/>
      <c r="CD44" s="174"/>
      <c r="CE44" s="174"/>
      <c r="CF44" s="174"/>
      <c r="CG44" s="483"/>
      <c r="CH44" s="174"/>
      <c r="CI44" s="174"/>
      <c r="CJ44" s="174"/>
      <c r="CK44" s="174"/>
      <c r="CL44" s="483"/>
      <c r="CM44" s="174"/>
      <c r="CN44" s="174"/>
      <c r="CO44" s="174"/>
      <c r="CP44" s="174"/>
      <c r="CQ44" s="483"/>
    </row>
    <row r="45" spans="5:95" ht="13.5" x14ac:dyDescent="0.3">
      <c r="E45" s="493" t="s">
        <v>603</v>
      </c>
      <c r="F45" s="558"/>
      <c r="G45" s="558"/>
      <c r="H45" s="558"/>
      <c r="I45" s="558"/>
      <c r="J45" s="558"/>
      <c r="K45" s="493"/>
      <c r="L45" s="493"/>
      <c r="M45" s="493"/>
      <c r="N45" s="493"/>
      <c r="O45" s="558"/>
      <c r="P45" s="493"/>
      <c r="Q45" s="493"/>
      <c r="R45" s="493"/>
      <c r="S45" s="493"/>
      <c r="T45" s="558"/>
      <c r="U45" s="493"/>
      <c r="V45" s="493"/>
      <c r="W45" s="493"/>
      <c r="X45" s="493"/>
      <c r="Y45" s="558"/>
      <c r="Z45" s="493"/>
      <c r="AA45" s="493"/>
      <c r="AB45" s="493"/>
      <c r="AC45" s="493"/>
      <c r="AD45" s="558"/>
      <c r="AE45" s="493"/>
      <c r="AF45" s="493"/>
      <c r="AG45" s="493"/>
      <c r="AH45" s="493"/>
      <c r="AI45" s="558"/>
      <c r="AJ45" s="493"/>
      <c r="AK45" s="493"/>
      <c r="AL45" s="493"/>
      <c r="AM45" s="493"/>
      <c r="AN45" s="558"/>
      <c r="AO45" s="493"/>
      <c r="AP45" s="493"/>
      <c r="AQ45" s="493"/>
      <c r="AR45" s="493"/>
      <c r="AS45" s="558"/>
      <c r="AT45" s="493"/>
      <c r="AU45" s="493"/>
      <c r="AV45" s="493"/>
      <c r="AW45" s="493"/>
      <c r="AX45" s="558"/>
      <c r="AY45" s="493"/>
      <c r="AZ45" s="493"/>
      <c r="BA45" s="493"/>
      <c r="BB45" s="493"/>
      <c r="BC45" s="558"/>
      <c r="BD45" s="493"/>
      <c r="BE45" s="493"/>
      <c r="BF45" s="493"/>
      <c r="BG45" s="493"/>
      <c r="BH45" s="558"/>
      <c r="BI45" s="493"/>
      <c r="BJ45" s="35">
        <f>+BJ33+BJ24</f>
        <v>0.91999999999999993</v>
      </c>
      <c r="BK45" s="35">
        <f>+BK33+BK24</f>
        <v>3.9925000000000002</v>
      </c>
      <c r="BL45" s="35">
        <f>BM45-BK45-BJ45</f>
        <v>9.8465000000000007</v>
      </c>
      <c r="BM45" s="545">
        <v>14.759</v>
      </c>
      <c r="BN45" s="545">
        <v>4.3339999999999996</v>
      </c>
      <c r="BO45" s="545">
        <v>13.472</v>
      </c>
      <c r="BP45" s="545">
        <v>17.91</v>
      </c>
      <c r="BQ45" s="545">
        <v>19.256</v>
      </c>
      <c r="BR45" s="35">
        <f>SUM(BN45:BQ45)</f>
        <v>54.971999999999994</v>
      </c>
      <c r="BS45" s="545">
        <v>20.619</v>
      </c>
      <c r="BT45" s="545">
        <v>22.244</v>
      </c>
      <c r="BU45" s="545">
        <v>28.422000000000001</v>
      </c>
      <c r="BV45" s="545">
        <v>31.184999999999999</v>
      </c>
      <c r="BW45" s="35">
        <f>SUM(BS45:BV45)</f>
        <v>102.47</v>
      </c>
      <c r="BX45" s="545">
        <v>31.341999999999999</v>
      </c>
      <c r="BY45" s="545">
        <v>33.061999999999998</v>
      </c>
      <c r="BZ45" s="545">
        <v>38.735999999999997</v>
      </c>
      <c r="CA45" s="545">
        <v>44.203000000000003</v>
      </c>
      <c r="CB45" s="35">
        <f>SUM(BX45:CA45)</f>
        <v>147.34299999999999</v>
      </c>
      <c r="CC45" s="545">
        <v>45.186</v>
      </c>
      <c r="CD45" s="545">
        <v>52.384</v>
      </c>
      <c r="CE45" s="545">
        <v>55.978000000000002</v>
      </c>
      <c r="CF45" s="545">
        <v>57.453000000000003</v>
      </c>
      <c r="CG45" s="35">
        <f>SUM(CC45:CF45)</f>
        <v>211.001</v>
      </c>
      <c r="CH45" s="35"/>
      <c r="CI45" s="35"/>
      <c r="CJ45" s="35"/>
      <c r="CK45" s="35"/>
      <c r="CL45" s="35"/>
      <c r="CM45" s="35"/>
      <c r="CN45" s="35"/>
      <c r="CO45" s="35"/>
      <c r="CP45" s="35"/>
      <c r="CQ45" s="35"/>
    </row>
    <row r="46" spans="5:95" ht="13.5" x14ac:dyDescent="0.25">
      <c r="E46" s="356" t="s">
        <v>2</v>
      </c>
      <c r="F46" s="448"/>
      <c r="G46" s="448"/>
      <c r="H46" s="448"/>
      <c r="I46" s="448"/>
      <c r="J46" s="448"/>
      <c r="K46" s="448"/>
      <c r="L46" s="448"/>
      <c r="M46" s="448"/>
      <c r="N46" s="448"/>
      <c r="O46" s="449"/>
      <c r="P46" s="448"/>
      <c r="Q46" s="448"/>
      <c r="R46" s="448"/>
      <c r="S46" s="448"/>
      <c r="T46" s="449"/>
      <c r="U46" s="448"/>
      <c r="V46" s="448"/>
      <c r="W46" s="448"/>
      <c r="X46" s="448"/>
      <c r="Y46" s="449"/>
      <c r="Z46" s="455"/>
      <c r="AA46" s="455"/>
      <c r="AB46" s="455"/>
      <c r="AC46" s="455"/>
      <c r="AD46" s="449"/>
      <c r="AE46" s="455"/>
      <c r="AF46" s="455"/>
      <c r="AG46" s="455"/>
      <c r="AH46" s="455"/>
      <c r="AI46" s="370"/>
      <c r="AJ46" s="127"/>
      <c r="AK46" s="127"/>
      <c r="AL46" s="127"/>
      <c r="AM46" s="127"/>
      <c r="AN46" s="370"/>
      <c r="AO46" s="127"/>
      <c r="AP46" s="127"/>
      <c r="AQ46" s="127"/>
      <c r="AR46" s="448"/>
      <c r="AS46" s="449"/>
      <c r="AT46" s="449"/>
      <c r="AU46" s="449"/>
      <c r="AV46" s="449"/>
      <c r="AW46" s="449"/>
      <c r="AX46" s="449"/>
      <c r="AY46" s="32"/>
      <c r="AZ46" s="32"/>
      <c r="BA46" s="32"/>
      <c r="BB46" s="32"/>
      <c r="BC46" s="32"/>
      <c r="BD46" s="32"/>
      <c r="BE46" s="32"/>
      <c r="BF46" s="32"/>
      <c r="BG46" s="32"/>
      <c r="BH46" s="32"/>
      <c r="BI46" s="32"/>
      <c r="BJ46" s="32"/>
      <c r="BK46" s="32"/>
      <c r="BL46" s="32"/>
      <c r="BM46" s="518" t="s">
        <v>490</v>
      </c>
      <c r="BN46" s="518" t="s">
        <v>490</v>
      </c>
      <c r="BO46" s="32">
        <f t="shared" ref="BO46:CG46" si="7">(BO45-BJ45)/ABS(BJ45)</f>
        <v>13.643478260869566</v>
      </c>
      <c r="BP46" s="32">
        <f t="shared" si="7"/>
        <v>3.485911083281152</v>
      </c>
      <c r="BQ46" s="32">
        <f t="shared" si="7"/>
        <v>0.95561874777839828</v>
      </c>
      <c r="BR46" s="32">
        <f t="shared" si="7"/>
        <v>2.7246425909614467</v>
      </c>
      <c r="BS46" s="32">
        <f t="shared" si="7"/>
        <v>3.7574988463313339</v>
      </c>
      <c r="BT46" s="32">
        <f t="shared" si="7"/>
        <v>0.65112826603325424</v>
      </c>
      <c r="BU46" s="32">
        <f t="shared" si="7"/>
        <v>0.58693467336683414</v>
      </c>
      <c r="BV46" s="32">
        <f t="shared" si="7"/>
        <v>0.61949522226838383</v>
      </c>
      <c r="BW46" s="32">
        <f t="shared" si="7"/>
        <v>0.86403987484537603</v>
      </c>
      <c r="BX46" s="32">
        <f t="shared" si="7"/>
        <v>0.52005431883214503</v>
      </c>
      <c r="BY46" s="32">
        <f t="shared" si="7"/>
        <v>0.4863333932745908</v>
      </c>
      <c r="BZ46" s="32">
        <f t="shared" si="7"/>
        <v>0.36288790373654201</v>
      </c>
      <c r="CA46" s="32">
        <f t="shared" si="7"/>
        <v>0.41744428411095091</v>
      </c>
      <c r="CB46" s="32">
        <f t="shared" si="7"/>
        <v>0.43791353566897617</v>
      </c>
      <c r="CC46" s="32">
        <f t="shared" si="7"/>
        <v>0.44170761278795234</v>
      </c>
      <c r="CD46" s="32">
        <f t="shared" si="7"/>
        <v>0.58441715564696639</v>
      </c>
      <c r="CE46" s="32">
        <f t="shared" si="7"/>
        <v>0.44511565468814557</v>
      </c>
      <c r="CF46" s="32">
        <f t="shared" si="7"/>
        <v>0.29975341040200887</v>
      </c>
      <c r="CG46" s="32">
        <f t="shared" si="7"/>
        <v>0.43203952681837632</v>
      </c>
      <c r="CH46" s="32"/>
      <c r="CI46" s="32"/>
      <c r="CJ46" s="32"/>
      <c r="CK46" s="32"/>
      <c r="CL46" s="32"/>
      <c r="CM46" s="32"/>
      <c r="CN46" s="32"/>
      <c r="CO46" s="32"/>
      <c r="CP46" s="32"/>
      <c r="CQ46" s="32"/>
    </row>
    <row r="47" spans="5:95" ht="3.75" customHeight="1" thickBot="1" x14ac:dyDescent="0.3">
      <c r="E47" s="682"/>
      <c r="F47" s="618"/>
      <c r="G47" s="618"/>
      <c r="H47" s="618"/>
      <c r="I47" s="618"/>
      <c r="J47" s="618"/>
      <c r="K47" s="674"/>
      <c r="L47" s="674"/>
      <c r="M47" s="674"/>
      <c r="N47" s="674"/>
      <c r="O47" s="619"/>
      <c r="P47" s="674"/>
      <c r="Q47" s="674"/>
      <c r="R47" s="674"/>
      <c r="S47" s="674"/>
      <c r="T47" s="619"/>
      <c r="U47" s="674"/>
      <c r="V47" s="674"/>
      <c r="W47" s="674"/>
      <c r="X47" s="674"/>
      <c r="Y47" s="619"/>
      <c r="Z47" s="674"/>
      <c r="AA47" s="674"/>
      <c r="AB47" s="674"/>
      <c r="AC47" s="674"/>
      <c r="AD47" s="619"/>
      <c r="AE47" s="674"/>
      <c r="AF47" s="674"/>
      <c r="AG47" s="674"/>
      <c r="AH47" s="674"/>
      <c r="AI47" s="621"/>
      <c r="AJ47" s="674"/>
      <c r="AK47" s="674"/>
      <c r="AL47" s="674"/>
      <c r="AM47" s="674"/>
      <c r="AN47" s="621"/>
      <c r="AO47" s="674"/>
      <c r="AP47" s="674"/>
      <c r="AQ47" s="674"/>
      <c r="AR47" s="674"/>
      <c r="AS47" s="619"/>
      <c r="AT47" s="674"/>
      <c r="AU47" s="674"/>
      <c r="AV47" s="674"/>
      <c r="AW47" s="674"/>
      <c r="AX47" s="619"/>
      <c r="AY47" s="674"/>
      <c r="AZ47" s="674"/>
      <c r="BA47" s="674"/>
      <c r="BB47" s="674"/>
      <c r="BC47" s="623"/>
      <c r="BD47" s="674"/>
      <c r="BE47" s="674"/>
      <c r="BF47" s="674"/>
      <c r="BG47" s="674"/>
      <c r="BH47" s="623"/>
      <c r="BI47" s="674"/>
      <c r="BJ47" s="674"/>
      <c r="BK47" s="674"/>
      <c r="BL47" s="674"/>
      <c r="BM47" s="624"/>
      <c r="BN47" s="674"/>
      <c r="BO47" s="674"/>
      <c r="BP47" s="674"/>
      <c r="BQ47" s="674"/>
      <c r="BR47" s="623"/>
      <c r="BS47" s="674"/>
      <c r="BT47" s="674"/>
      <c r="BU47" s="674"/>
      <c r="BV47" s="674"/>
      <c r="BW47" s="623"/>
      <c r="BX47" s="674"/>
      <c r="BY47" s="674"/>
      <c r="BZ47" s="674"/>
      <c r="CA47" s="674"/>
      <c r="CB47" s="623"/>
      <c r="CC47" s="674"/>
      <c r="CD47" s="674"/>
      <c r="CE47" s="674"/>
      <c r="CF47" s="674"/>
      <c r="CG47" s="623"/>
      <c r="CH47" s="674"/>
      <c r="CI47" s="674"/>
      <c r="CJ47" s="674"/>
      <c r="CK47" s="674"/>
      <c r="CL47" s="623"/>
      <c r="CM47" s="674"/>
      <c r="CN47" s="674"/>
      <c r="CO47" s="674"/>
      <c r="CP47" s="674"/>
      <c r="CQ47" s="623"/>
    </row>
    <row r="48" spans="5:95" ht="13.5" x14ac:dyDescent="0.3">
      <c r="E48" s="602" t="s">
        <v>683</v>
      </c>
      <c r="F48" s="603"/>
      <c r="G48" s="603"/>
      <c r="H48" s="603"/>
      <c r="I48" s="603"/>
      <c r="J48" s="603"/>
      <c r="K48" s="603"/>
      <c r="L48" s="603"/>
      <c r="M48" s="603"/>
      <c r="N48" s="603"/>
      <c r="O48" s="604"/>
      <c r="P48" s="603"/>
      <c r="Q48" s="603"/>
      <c r="R48" s="603"/>
      <c r="S48" s="603"/>
      <c r="T48" s="604"/>
      <c r="U48" s="603"/>
      <c r="V48" s="603"/>
      <c r="W48" s="603"/>
      <c r="X48" s="603"/>
      <c r="Y48" s="604"/>
      <c r="Z48" s="605"/>
      <c r="AA48" s="605"/>
      <c r="AB48" s="605"/>
      <c r="AC48" s="605"/>
      <c r="AD48" s="604"/>
      <c r="AE48" s="605"/>
      <c r="AF48" s="605"/>
      <c r="AG48" s="605"/>
      <c r="AH48" s="605"/>
      <c r="AI48" s="606"/>
      <c r="AJ48" s="607"/>
      <c r="AK48" s="607"/>
      <c r="AL48" s="607"/>
      <c r="AM48" s="607"/>
      <c r="AN48" s="606"/>
      <c r="AO48" s="607"/>
      <c r="AP48" s="607"/>
      <c r="AQ48" s="607"/>
      <c r="AR48" s="603"/>
      <c r="AS48" s="604"/>
      <c r="AT48" s="604"/>
      <c r="AU48" s="604"/>
      <c r="AV48" s="604"/>
      <c r="AW48" s="604"/>
      <c r="AX48" s="604"/>
      <c r="AY48" s="608"/>
      <c r="AZ48" s="608"/>
      <c r="BA48" s="608"/>
      <c r="BB48" s="608"/>
      <c r="BC48" s="608"/>
      <c r="BD48" s="608"/>
      <c r="BE48" s="608"/>
      <c r="BF48" s="608"/>
      <c r="BG48" s="608"/>
      <c r="BH48" s="608"/>
      <c r="BI48" s="608"/>
      <c r="BJ48" s="608"/>
      <c r="BK48" s="608"/>
      <c r="BL48" s="608"/>
      <c r="BM48" s="609"/>
      <c r="BN48" s="609"/>
      <c r="BO48" s="608"/>
      <c r="BP48" s="608"/>
      <c r="BQ48" s="608"/>
      <c r="BR48" s="608"/>
      <c r="BS48" s="611">
        <f>BX48/(1+BX49)</f>
        <v>16.328795061728393</v>
      </c>
      <c r="BT48" s="611">
        <f>BY48/(1+BY49)</f>
        <v>17.35755</v>
      </c>
      <c r="BU48" s="611">
        <f>BZ48/(1+BZ49)</f>
        <v>21.295652173913044</v>
      </c>
      <c r="BV48" s="628">
        <f>BW48-BS48-BT48-BU48</f>
        <v>26.58412276435855</v>
      </c>
      <c r="BW48" s="610">
        <f>0.796*BW45</f>
        <v>81.566119999999998</v>
      </c>
      <c r="BX48" s="611">
        <f>0.844*BX45</f>
        <v>26.452647999999996</v>
      </c>
      <c r="BY48" s="611">
        <f>0.882*BY45</f>
        <v>29.160684</v>
      </c>
      <c r="BZ48" s="611">
        <f>BZ45-BZ56-BZ60-BZ52</f>
        <v>34.286000000000001</v>
      </c>
      <c r="CA48" s="611">
        <f>CA45-CA56-CA60-CA52</f>
        <v>40.803000000000004</v>
      </c>
      <c r="CB48" s="611">
        <f>SUM(BX48:CA48)</f>
        <v>130.70233200000001</v>
      </c>
      <c r="CC48" s="611">
        <f>CC45-CC56-CC60-CC52</f>
        <v>41.786000000000001</v>
      </c>
      <c r="CD48" s="611">
        <f>CD45-CD56-CD60-CD52</f>
        <v>48.634</v>
      </c>
      <c r="CE48" s="611">
        <f>CE45-CE56-CE60-CE52</f>
        <v>51.728000000000002</v>
      </c>
      <c r="CF48" s="611">
        <f>CF45-CF56-CF60-CF52</f>
        <v>52.453000000000003</v>
      </c>
      <c r="CG48" s="611">
        <f>SUM(CC48:CF48)</f>
        <v>194.601</v>
      </c>
      <c r="CH48" s="611"/>
      <c r="CI48" s="611"/>
      <c r="CJ48" s="611"/>
      <c r="CK48" s="611"/>
      <c r="CL48" s="611"/>
      <c r="CM48" s="611"/>
      <c r="CN48" s="611"/>
      <c r="CO48" s="611"/>
      <c r="CP48" s="611"/>
      <c r="CQ48" s="612"/>
    </row>
    <row r="49" spans="5:95" ht="13.5" x14ac:dyDescent="0.25">
      <c r="E49" s="613" t="s">
        <v>2</v>
      </c>
      <c r="F49" s="448"/>
      <c r="G49" s="448"/>
      <c r="H49" s="448"/>
      <c r="I49" s="448"/>
      <c r="J49" s="448"/>
      <c r="K49" s="448"/>
      <c r="L49" s="448"/>
      <c r="M49" s="448"/>
      <c r="N49" s="448"/>
      <c r="O49" s="449"/>
      <c r="P49" s="448"/>
      <c r="Q49" s="448"/>
      <c r="R49" s="448"/>
      <c r="S49" s="448"/>
      <c r="T49" s="449"/>
      <c r="U49" s="448"/>
      <c r="V49" s="448"/>
      <c r="W49" s="448"/>
      <c r="X49" s="448"/>
      <c r="Y49" s="449"/>
      <c r="Z49" s="455"/>
      <c r="AA49" s="455"/>
      <c r="AB49" s="455"/>
      <c r="AC49" s="455"/>
      <c r="AD49" s="449"/>
      <c r="AE49" s="455"/>
      <c r="AF49" s="455"/>
      <c r="AG49" s="455"/>
      <c r="AH49" s="455"/>
      <c r="AI49" s="370"/>
      <c r="AJ49" s="127"/>
      <c r="AK49" s="127"/>
      <c r="AL49" s="127"/>
      <c r="AM49" s="127"/>
      <c r="AN49" s="370"/>
      <c r="AO49" s="127"/>
      <c r="AP49" s="127"/>
      <c r="AQ49" s="127"/>
      <c r="AR49" s="448"/>
      <c r="AS49" s="449"/>
      <c r="AT49" s="449"/>
      <c r="AU49" s="449"/>
      <c r="AV49" s="449"/>
      <c r="AW49" s="449"/>
      <c r="AX49" s="449"/>
      <c r="AY49" s="32"/>
      <c r="AZ49" s="32"/>
      <c r="BA49" s="32"/>
      <c r="BB49" s="32"/>
      <c r="BC49" s="32"/>
      <c r="BD49" s="32"/>
      <c r="BE49" s="32"/>
      <c r="BF49" s="32"/>
      <c r="BG49" s="32"/>
      <c r="BH49" s="32"/>
      <c r="BI49" s="32"/>
      <c r="BJ49" s="32"/>
      <c r="BK49" s="32"/>
      <c r="BL49" s="32"/>
      <c r="BM49" s="518"/>
      <c r="BN49" s="518"/>
      <c r="BO49" s="32"/>
      <c r="BP49" s="32"/>
      <c r="BQ49" s="32"/>
      <c r="BR49" s="32"/>
      <c r="BS49" s="32"/>
      <c r="BT49" s="32"/>
      <c r="BU49" s="32"/>
      <c r="BV49" s="32"/>
      <c r="BW49" s="32"/>
      <c r="BX49" s="522">
        <v>0.62</v>
      </c>
      <c r="BY49" s="522">
        <v>0.68</v>
      </c>
      <c r="BZ49" s="522">
        <v>0.61</v>
      </c>
      <c r="CA49" s="522">
        <v>0.59</v>
      </c>
      <c r="CB49" s="32">
        <f t="shared" ref="CB49:CG49" si="8">(CB48-BW48)/ABS(BW48)</f>
        <v>0.60240957887907398</v>
      </c>
      <c r="CC49" s="32">
        <f t="shared" si="8"/>
        <v>0.57965281963454118</v>
      </c>
      <c r="CD49" s="32">
        <f t="shared" si="8"/>
        <v>0.66779352637955958</v>
      </c>
      <c r="CE49" s="32">
        <f t="shared" si="8"/>
        <v>0.50872076066032779</v>
      </c>
      <c r="CF49" s="32">
        <f t="shared" si="8"/>
        <v>0.28551822169938479</v>
      </c>
      <c r="CG49" s="32">
        <f t="shared" si="8"/>
        <v>0.48888697716579366</v>
      </c>
      <c r="CH49" s="32"/>
      <c r="CI49" s="32"/>
      <c r="CJ49" s="32"/>
      <c r="CK49" s="32"/>
      <c r="CL49" s="32"/>
      <c r="CM49" s="32"/>
      <c r="CN49" s="32"/>
      <c r="CO49" s="32"/>
      <c r="CP49" s="32"/>
      <c r="CQ49" s="614"/>
    </row>
    <row r="50" spans="5:95" ht="13.5" x14ac:dyDescent="0.25">
      <c r="E50" s="613" t="s">
        <v>516</v>
      </c>
      <c r="F50" s="448"/>
      <c r="G50" s="448"/>
      <c r="H50" s="448"/>
      <c r="I50" s="448"/>
      <c r="J50" s="448"/>
      <c r="K50" s="448"/>
      <c r="L50" s="448"/>
      <c r="M50" s="448"/>
      <c r="N50" s="448"/>
      <c r="O50" s="449"/>
      <c r="P50" s="448"/>
      <c r="Q50" s="448"/>
      <c r="R50" s="448"/>
      <c r="S50" s="448"/>
      <c r="T50" s="449"/>
      <c r="U50" s="448"/>
      <c r="V50" s="448"/>
      <c r="W50" s="448"/>
      <c r="X50" s="448"/>
      <c r="Y50" s="449"/>
      <c r="Z50" s="455"/>
      <c r="AA50" s="455"/>
      <c r="AB50" s="455"/>
      <c r="AC50" s="455"/>
      <c r="AD50" s="449"/>
      <c r="AE50" s="455"/>
      <c r="AF50" s="455"/>
      <c r="AG50" s="455"/>
      <c r="AH50" s="455"/>
      <c r="AI50" s="370"/>
      <c r="AJ50" s="127"/>
      <c r="AK50" s="127"/>
      <c r="AL50" s="127"/>
      <c r="AM50" s="127"/>
      <c r="AN50" s="370"/>
      <c r="AO50" s="127"/>
      <c r="AP50" s="127"/>
      <c r="AQ50" s="127"/>
      <c r="AR50" s="448"/>
      <c r="AS50" s="449"/>
      <c r="AT50" s="449"/>
      <c r="AU50" s="449"/>
      <c r="AV50" s="449"/>
      <c r="AW50" s="449"/>
      <c r="AX50" s="449"/>
      <c r="AY50" s="32"/>
      <c r="AZ50" s="32"/>
      <c r="BA50" s="32"/>
      <c r="BB50" s="32"/>
      <c r="BC50" s="32"/>
      <c r="BD50" s="32"/>
      <c r="BE50" s="32"/>
      <c r="BF50" s="32"/>
      <c r="BG50" s="32"/>
      <c r="BH50" s="32"/>
      <c r="BI50" s="32"/>
      <c r="BJ50" s="32"/>
      <c r="BK50" s="32"/>
      <c r="BL50" s="32"/>
      <c r="BM50" s="518"/>
      <c r="BN50" s="518"/>
      <c r="BO50" s="32"/>
      <c r="BP50" s="32"/>
      <c r="BQ50" s="32"/>
      <c r="BR50" s="32"/>
      <c r="BS50" s="32"/>
      <c r="BT50" s="525">
        <f>BT48/BS48-1</f>
        <v>6.3002501677714928E-2</v>
      </c>
      <c r="BU50" s="525">
        <f>BU48/BT48-1</f>
        <v>0.22688122309387238</v>
      </c>
      <c r="BV50" s="525">
        <f>BV48/BU48-1</f>
        <v>0.24833569534554223</v>
      </c>
      <c r="BW50" s="32"/>
      <c r="BX50" s="525">
        <f>BX48/BV48-1</f>
        <v>-4.9456122936214486E-3</v>
      </c>
      <c r="BY50" s="525">
        <f>BY48/BX48-1</f>
        <v>0.10237296470281554</v>
      </c>
      <c r="BZ50" s="525">
        <f>BZ48/BY48-1</f>
        <v>0.17576117213162767</v>
      </c>
      <c r="CA50" s="525">
        <f>CA48/BZ48-1</f>
        <v>0.19007758268681108</v>
      </c>
      <c r="CB50" s="32"/>
      <c r="CC50" s="525">
        <f>CC48/CA48-1</f>
        <v>2.4091365830943623E-2</v>
      </c>
      <c r="CD50" s="525">
        <f>CD48/CC48-1</f>
        <v>0.16388264011869991</v>
      </c>
      <c r="CE50" s="525">
        <f>CE48/CD48-1</f>
        <v>6.3618044989102396E-2</v>
      </c>
      <c r="CF50" s="525">
        <f>CF48/CE48-1</f>
        <v>1.401562016702762E-2</v>
      </c>
      <c r="CG50" s="32"/>
      <c r="CH50" s="525"/>
      <c r="CI50" s="525"/>
      <c r="CJ50" s="525"/>
      <c r="CK50" s="525"/>
      <c r="CL50" s="32"/>
      <c r="CM50" s="641"/>
      <c r="CN50" s="641"/>
      <c r="CO50" s="641"/>
      <c r="CP50" s="641"/>
      <c r="CQ50" s="614"/>
    </row>
    <row r="51" spans="5:95" ht="13.5" x14ac:dyDescent="0.25">
      <c r="E51" s="613" t="s">
        <v>685</v>
      </c>
      <c r="F51" s="448"/>
      <c r="G51" s="448"/>
      <c r="H51" s="448"/>
      <c r="I51" s="448"/>
      <c r="J51" s="448"/>
      <c r="K51" s="448"/>
      <c r="L51" s="448"/>
      <c r="M51" s="448"/>
      <c r="N51" s="448"/>
      <c r="O51" s="449"/>
      <c r="P51" s="448"/>
      <c r="Q51" s="448"/>
      <c r="R51" s="448"/>
      <c r="S51" s="448"/>
      <c r="T51" s="449"/>
      <c r="U51" s="448"/>
      <c r="V51" s="448"/>
      <c r="W51" s="448"/>
      <c r="X51" s="448"/>
      <c r="Y51" s="449"/>
      <c r="Z51" s="455"/>
      <c r="AA51" s="455"/>
      <c r="AB51" s="455"/>
      <c r="AC51" s="455"/>
      <c r="AD51" s="449"/>
      <c r="AE51" s="455"/>
      <c r="AF51" s="455"/>
      <c r="AG51" s="455"/>
      <c r="AH51" s="455"/>
      <c r="AI51" s="370"/>
      <c r="AJ51" s="127"/>
      <c r="AK51" s="127"/>
      <c r="AL51" s="127"/>
      <c r="AM51" s="127"/>
      <c r="AN51" s="370"/>
      <c r="AO51" s="127"/>
      <c r="AP51" s="127"/>
      <c r="AQ51" s="127"/>
      <c r="AR51" s="448"/>
      <c r="AS51" s="449"/>
      <c r="AT51" s="449"/>
      <c r="AU51" s="449"/>
      <c r="AV51" s="449"/>
      <c r="AW51" s="449"/>
      <c r="AX51" s="449"/>
      <c r="AY51" s="32"/>
      <c r="AZ51" s="32"/>
      <c r="BA51" s="32"/>
      <c r="BB51" s="32"/>
      <c r="BC51" s="32"/>
      <c r="BD51" s="32"/>
      <c r="BE51" s="32"/>
      <c r="BF51" s="32"/>
      <c r="BG51" s="32"/>
      <c r="BH51" s="32"/>
      <c r="BI51" s="32"/>
      <c r="BJ51" s="32"/>
      <c r="BK51" s="32"/>
      <c r="BL51" s="32"/>
      <c r="BM51" s="518"/>
      <c r="BN51" s="518"/>
      <c r="BO51" s="32"/>
      <c r="BP51" s="32"/>
      <c r="BQ51" s="32"/>
      <c r="BR51" s="32"/>
      <c r="BS51" s="525">
        <f t="shared" ref="BS51:CG51" si="9">BS48/BS45</f>
        <v>0.7919295340088458</v>
      </c>
      <c r="BT51" s="525">
        <f t="shared" si="9"/>
        <v>0.78032503146916021</v>
      </c>
      <c r="BU51" s="525">
        <f t="shared" si="9"/>
        <v>0.74926648982876098</v>
      </c>
      <c r="BV51" s="525">
        <f t="shared" si="9"/>
        <v>0.8524650557754867</v>
      </c>
      <c r="BW51" s="641">
        <f t="shared" si="9"/>
        <v>0.79600000000000004</v>
      </c>
      <c r="BX51" s="525">
        <f t="shared" si="9"/>
        <v>0.84399999999999997</v>
      </c>
      <c r="BY51" s="525">
        <f t="shared" si="9"/>
        <v>0.88200000000000001</v>
      </c>
      <c r="BZ51" s="525">
        <f t="shared" si="9"/>
        <v>0.88511978521272217</v>
      </c>
      <c r="CA51" s="525">
        <f t="shared" si="9"/>
        <v>0.92308214374589959</v>
      </c>
      <c r="CB51" s="641">
        <f t="shared" si="9"/>
        <v>0.88706169957174774</v>
      </c>
      <c r="CC51" s="525">
        <f t="shared" si="9"/>
        <v>0.92475545522949587</v>
      </c>
      <c r="CD51" s="525">
        <f t="shared" si="9"/>
        <v>0.92841325595601709</v>
      </c>
      <c r="CE51" s="525">
        <f t="shared" si="9"/>
        <v>0.92407731608846333</v>
      </c>
      <c r="CF51" s="525">
        <f t="shared" si="9"/>
        <v>0.91297234261048166</v>
      </c>
      <c r="CG51" s="525">
        <f t="shared" si="9"/>
        <v>0.92227524988033227</v>
      </c>
      <c r="CH51" s="32"/>
      <c r="CI51" s="32"/>
      <c r="CJ51" s="32"/>
      <c r="CK51" s="32"/>
      <c r="CL51" s="641"/>
      <c r="CM51" s="32"/>
      <c r="CN51" s="32"/>
      <c r="CO51" s="32"/>
      <c r="CP51" s="32"/>
      <c r="CQ51" s="627"/>
    </row>
    <row r="52" spans="5:95" ht="13.5" x14ac:dyDescent="0.3">
      <c r="E52" s="615" t="s">
        <v>711</v>
      </c>
      <c r="F52" s="448"/>
      <c r="G52" s="448"/>
      <c r="H52" s="448"/>
      <c r="I52" s="448"/>
      <c r="J52" s="448"/>
      <c r="K52" s="448"/>
      <c r="L52" s="448"/>
      <c r="M52" s="448"/>
      <c r="N52" s="448"/>
      <c r="O52" s="449"/>
      <c r="P52" s="448"/>
      <c r="Q52" s="448"/>
      <c r="R52" s="448"/>
      <c r="S52" s="448"/>
      <c r="T52" s="449"/>
      <c r="U52" s="448"/>
      <c r="V52" s="448"/>
      <c r="W52" s="448"/>
      <c r="X52" s="448"/>
      <c r="Y52" s="449"/>
      <c r="Z52" s="455"/>
      <c r="AA52" s="455"/>
      <c r="AB52" s="455"/>
      <c r="AC52" s="455"/>
      <c r="AD52" s="449"/>
      <c r="AE52" s="455"/>
      <c r="AF52" s="455"/>
      <c r="AG52" s="455"/>
      <c r="AH52" s="455"/>
      <c r="AI52" s="370"/>
      <c r="AJ52" s="127"/>
      <c r="AK52" s="127"/>
      <c r="AL52" s="127"/>
      <c r="AM52" s="127"/>
      <c r="AN52" s="370"/>
      <c r="AO52" s="127"/>
      <c r="AP52" s="127"/>
      <c r="AQ52" s="127"/>
      <c r="AR52" s="448"/>
      <c r="AS52" s="449"/>
      <c r="AT52" s="449"/>
      <c r="AU52" s="449"/>
      <c r="AV52" s="449"/>
      <c r="AW52" s="449"/>
      <c r="AX52" s="449"/>
      <c r="AY52" s="32"/>
      <c r="AZ52" s="32"/>
      <c r="BA52" s="32"/>
      <c r="BB52" s="32"/>
      <c r="BC52" s="32"/>
      <c r="BD52" s="32"/>
      <c r="BE52" s="32"/>
      <c r="BF52" s="32"/>
      <c r="BG52" s="32"/>
      <c r="BH52" s="32"/>
      <c r="BI52" s="32"/>
      <c r="BJ52" s="32"/>
      <c r="BK52" s="32"/>
      <c r="BL52" s="32"/>
      <c r="BM52" s="518"/>
      <c r="BN52" s="518"/>
      <c r="BO52" s="32"/>
      <c r="BP52" s="32"/>
      <c r="BQ52" s="32"/>
      <c r="BR52" s="32"/>
      <c r="BS52" s="641"/>
      <c r="BT52" s="641"/>
      <c r="BU52" s="641"/>
      <c r="BV52" s="641"/>
      <c r="BW52" s="641"/>
      <c r="BX52" s="641"/>
      <c r="BY52" s="641"/>
      <c r="BZ52" s="695">
        <v>1.8</v>
      </c>
      <c r="CA52" s="695">
        <v>3</v>
      </c>
      <c r="CB52" s="697">
        <f>SUM(BX52:CA52)</f>
        <v>4.8</v>
      </c>
      <c r="CC52" s="629">
        <v>3</v>
      </c>
      <c r="CD52" s="629">
        <v>3.75</v>
      </c>
      <c r="CE52" s="629">
        <v>4.25</v>
      </c>
      <c r="CF52" s="629">
        <v>5</v>
      </c>
      <c r="CG52" s="697">
        <f>SUM(CC52:CF52)</f>
        <v>16</v>
      </c>
      <c r="CH52" s="629"/>
      <c r="CI52" s="629"/>
      <c r="CJ52" s="629"/>
      <c r="CK52" s="629"/>
      <c r="CL52" s="697"/>
      <c r="CM52" s="629"/>
      <c r="CN52" s="629"/>
      <c r="CO52" s="629"/>
      <c r="CP52" s="629"/>
      <c r="CQ52" s="616"/>
    </row>
    <row r="53" spans="5:95" ht="13.5" x14ac:dyDescent="0.25">
      <c r="E53" s="613" t="s">
        <v>2</v>
      </c>
      <c r="F53" s="448"/>
      <c r="G53" s="448"/>
      <c r="H53" s="448"/>
      <c r="I53" s="448"/>
      <c r="J53" s="448"/>
      <c r="K53" s="448"/>
      <c r="L53" s="448"/>
      <c r="M53" s="448"/>
      <c r="N53" s="448"/>
      <c r="O53" s="449"/>
      <c r="P53" s="448"/>
      <c r="Q53" s="448"/>
      <c r="R53" s="448"/>
      <c r="S53" s="448"/>
      <c r="T53" s="449"/>
      <c r="U53" s="448"/>
      <c r="V53" s="448"/>
      <c r="W53" s="448"/>
      <c r="X53" s="448"/>
      <c r="Y53" s="449"/>
      <c r="Z53" s="455"/>
      <c r="AA53" s="455"/>
      <c r="AB53" s="455"/>
      <c r="AC53" s="455"/>
      <c r="AD53" s="449"/>
      <c r="AE53" s="455"/>
      <c r="AF53" s="455"/>
      <c r="AG53" s="455"/>
      <c r="AH53" s="455"/>
      <c r="AI53" s="370"/>
      <c r="AJ53" s="127"/>
      <c r="AK53" s="127"/>
      <c r="AL53" s="127"/>
      <c r="AM53" s="127"/>
      <c r="AN53" s="370"/>
      <c r="AO53" s="127"/>
      <c r="AP53" s="127"/>
      <c r="AQ53" s="127"/>
      <c r="AR53" s="448"/>
      <c r="AS53" s="449"/>
      <c r="AT53" s="449"/>
      <c r="AU53" s="449"/>
      <c r="AV53" s="449"/>
      <c r="AW53" s="449"/>
      <c r="AX53" s="449"/>
      <c r="AY53" s="32"/>
      <c r="AZ53" s="32"/>
      <c r="BA53" s="32"/>
      <c r="BB53" s="32"/>
      <c r="BC53" s="32"/>
      <c r="BD53" s="32"/>
      <c r="BE53" s="32"/>
      <c r="BF53" s="32"/>
      <c r="BG53" s="32"/>
      <c r="BH53" s="32"/>
      <c r="BI53" s="32"/>
      <c r="BJ53" s="32"/>
      <c r="BK53" s="32"/>
      <c r="BL53" s="32"/>
      <c r="BM53" s="518"/>
      <c r="BN53" s="518"/>
      <c r="BO53" s="32"/>
      <c r="BP53" s="32"/>
      <c r="BQ53" s="32"/>
      <c r="BR53" s="32"/>
      <c r="BS53" s="641"/>
      <c r="BT53" s="641"/>
      <c r="BU53" s="641"/>
      <c r="BV53" s="641"/>
      <c r="BW53" s="641"/>
      <c r="BX53" s="641"/>
      <c r="BY53" s="641"/>
      <c r="BZ53" s="32"/>
      <c r="CA53" s="641"/>
      <c r="CB53" s="641"/>
      <c r="CC53" s="32"/>
      <c r="CD53" s="641"/>
      <c r="CE53" s="32">
        <f t="shared" ref="CE53:CG53" si="10">CE52/BZ52-1</f>
        <v>1.3611111111111112</v>
      </c>
      <c r="CF53" s="32">
        <f t="shared" si="10"/>
        <v>0.66666666666666674</v>
      </c>
      <c r="CG53" s="32">
        <f t="shared" si="10"/>
        <v>2.3333333333333335</v>
      </c>
      <c r="CH53" s="32"/>
      <c r="CI53" s="32"/>
      <c r="CJ53" s="32"/>
      <c r="CK53" s="32"/>
      <c r="CL53" s="32"/>
      <c r="CM53" s="32"/>
      <c r="CN53" s="32"/>
      <c r="CO53" s="32"/>
      <c r="CP53" s="32"/>
      <c r="CQ53" s="614"/>
    </row>
    <row r="54" spans="5:95" ht="13.5" x14ac:dyDescent="0.25">
      <c r="E54" s="613" t="s">
        <v>516</v>
      </c>
      <c r="F54" s="448"/>
      <c r="G54" s="448"/>
      <c r="H54" s="448"/>
      <c r="I54" s="448"/>
      <c r="J54" s="448"/>
      <c r="K54" s="448"/>
      <c r="L54" s="448"/>
      <c r="M54" s="448"/>
      <c r="N54" s="448"/>
      <c r="O54" s="449"/>
      <c r="P54" s="448"/>
      <c r="Q54" s="448"/>
      <c r="R54" s="448"/>
      <c r="S54" s="448"/>
      <c r="T54" s="449"/>
      <c r="U54" s="448"/>
      <c r="V54" s="448"/>
      <c r="W54" s="448"/>
      <c r="X54" s="448"/>
      <c r="Y54" s="449"/>
      <c r="Z54" s="455"/>
      <c r="AA54" s="455"/>
      <c r="AB54" s="455"/>
      <c r="AC54" s="455"/>
      <c r="AD54" s="449"/>
      <c r="AE54" s="455"/>
      <c r="AF54" s="455"/>
      <c r="AG54" s="455"/>
      <c r="AH54" s="455"/>
      <c r="AI54" s="370"/>
      <c r="AJ54" s="127"/>
      <c r="AK54" s="127"/>
      <c r="AL54" s="127"/>
      <c r="AM54" s="127"/>
      <c r="AN54" s="370"/>
      <c r="AO54" s="127"/>
      <c r="AP54" s="127"/>
      <c r="AQ54" s="127"/>
      <c r="AR54" s="448"/>
      <c r="AS54" s="449"/>
      <c r="AT54" s="449"/>
      <c r="AU54" s="449"/>
      <c r="AV54" s="449"/>
      <c r="AW54" s="449"/>
      <c r="AX54" s="449"/>
      <c r="AY54" s="32"/>
      <c r="AZ54" s="32"/>
      <c r="BA54" s="32"/>
      <c r="BB54" s="32"/>
      <c r="BC54" s="32"/>
      <c r="BD54" s="32"/>
      <c r="BE54" s="32"/>
      <c r="BF54" s="32"/>
      <c r="BG54" s="32"/>
      <c r="BH54" s="32"/>
      <c r="BI54" s="32"/>
      <c r="BJ54" s="32"/>
      <c r="BK54" s="32"/>
      <c r="BL54" s="32"/>
      <c r="BM54" s="518"/>
      <c r="BN54" s="518"/>
      <c r="BO54" s="32"/>
      <c r="BP54" s="32"/>
      <c r="BQ54" s="32"/>
      <c r="BR54" s="32"/>
      <c r="BS54" s="641"/>
      <c r="BT54" s="641"/>
      <c r="BU54" s="641"/>
      <c r="BV54" s="641"/>
      <c r="BW54" s="641"/>
      <c r="BX54" s="641"/>
      <c r="BY54" s="641"/>
      <c r="BZ54" s="679"/>
      <c r="CA54" s="641">
        <f>CA52/BZ52-1</f>
        <v>0.66666666666666652</v>
      </c>
      <c r="CB54" s="32"/>
      <c r="CC54" s="641">
        <f>CC52/CA52-1</f>
        <v>0</v>
      </c>
      <c r="CD54" s="641">
        <f>CD52/CC52-1</f>
        <v>0.25</v>
      </c>
      <c r="CE54" s="641">
        <f>CE52/CD52-1</f>
        <v>0.1333333333333333</v>
      </c>
      <c r="CF54" s="641">
        <f>CF52/CE52-1</f>
        <v>0.17647058823529416</v>
      </c>
      <c r="CG54" s="32"/>
      <c r="CH54" s="641"/>
      <c r="CI54" s="641"/>
      <c r="CJ54" s="641"/>
      <c r="CK54" s="641"/>
      <c r="CL54" s="641"/>
      <c r="CM54" s="641"/>
      <c r="CN54" s="641"/>
      <c r="CO54" s="641"/>
      <c r="CP54" s="641"/>
      <c r="CQ54" s="627"/>
    </row>
    <row r="55" spans="5:95" ht="13.5" x14ac:dyDescent="0.25">
      <c r="E55" s="613" t="s">
        <v>685</v>
      </c>
      <c r="F55" s="448"/>
      <c r="G55" s="448"/>
      <c r="H55" s="448"/>
      <c r="I55" s="448"/>
      <c r="J55" s="448"/>
      <c r="K55" s="448"/>
      <c r="L55" s="448"/>
      <c r="M55" s="448"/>
      <c r="N55" s="448"/>
      <c r="O55" s="449"/>
      <c r="P55" s="448"/>
      <c r="Q55" s="448"/>
      <c r="R55" s="448"/>
      <c r="S55" s="448"/>
      <c r="T55" s="449"/>
      <c r="U55" s="448"/>
      <c r="V55" s="448"/>
      <c r="W55" s="448"/>
      <c r="X55" s="448"/>
      <c r="Y55" s="449"/>
      <c r="Z55" s="455"/>
      <c r="AA55" s="455"/>
      <c r="AB55" s="455"/>
      <c r="AC55" s="455"/>
      <c r="AD55" s="449"/>
      <c r="AE55" s="455"/>
      <c r="AF55" s="455"/>
      <c r="AG55" s="455"/>
      <c r="AH55" s="455"/>
      <c r="AI55" s="370"/>
      <c r="AJ55" s="127"/>
      <c r="AK55" s="127"/>
      <c r="AL55" s="127"/>
      <c r="AM55" s="127"/>
      <c r="AN55" s="370"/>
      <c r="AO55" s="127"/>
      <c r="AP55" s="127"/>
      <c r="AQ55" s="127"/>
      <c r="AR55" s="448"/>
      <c r="AS55" s="449"/>
      <c r="AT55" s="449"/>
      <c r="AU55" s="449"/>
      <c r="AV55" s="449"/>
      <c r="AW55" s="449"/>
      <c r="AX55" s="449"/>
      <c r="AY55" s="32"/>
      <c r="AZ55" s="32"/>
      <c r="BA55" s="32"/>
      <c r="BB55" s="32"/>
      <c r="BC55" s="32"/>
      <c r="BD55" s="32"/>
      <c r="BE55" s="32"/>
      <c r="BF55" s="32"/>
      <c r="BG55" s="32"/>
      <c r="BH55" s="32"/>
      <c r="BI55" s="32"/>
      <c r="BJ55" s="32"/>
      <c r="BK55" s="32"/>
      <c r="BL55" s="32"/>
      <c r="BM55" s="518"/>
      <c r="BN55" s="518"/>
      <c r="BO55" s="32"/>
      <c r="BP55" s="32"/>
      <c r="BQ55" s="32"/>
      <c r="BR55" s="32"/>
      <c r="BS55" s="641"/>
      <c r="BT55" s="641"/>
      <c r="BU55" s="641"/>
      <c r="BV55" s="641"/>
      <c r="BW55" s="641"/>
      <c r="BX55" s="641"/>
      <c r="BY55" s="641"/>
      <c r="BZ55" s="641"/>
      <c r="CA55" s="641"/>
      <c r="CB55" s="641"/>
      <c r="CC55" s="641"/>
      <c r="CD55" s="641"/>
      <c r="CE55" s="641"/>
      <c r="CF55" s="641"/>
      <c r="CG55" s="641"/>
      <c r="CH55" s="32"/>
      <c r="CI55" s="32"/>
      <c r="CJ55" s="32"/>
      <c r="CK55" s="32"/>
      <c r="CL55" s="641"/>
      <c r="CM55" s="32"/>
      <c r="CN55" s="32"/>
      <c r="CO55" s="32"/>
      <c r="CP55" s="32"/>
      <c r="CQ55" s="627"/>
    </row>
    <row r="56" spans="5:95" ht="13.5" x14ac:dyDescent="0.25">
      <c r="E56" s="615" t="s">
        <v>682</v>
      </c>
      <c r="F56" s="448"/>
      <c r="G56" s="448"/>
      <c r="H56" s="448"/>
      <c r="I56" s="448"/>
      <c r="J56" s="448"/>
      <c r="K56" s="448"/>
      <c r="L56" s="448"/>
      <c r="M56" s="448"/>
      <c r="N56" s="448"/>
      <c r="O56" s="449"/>
      <c r="P56" s="448"/>
      <c r="Q56" s="448"/>
      <c r="R56" s="448"/>
      <c r="S56" s="448"/>
      <c r="T56" s="449"/>
      <c r="U56" s="448"/>
      <c r="V56" s="448"/>
      <c r="W56" s="448"/>
      <c r="X56" s="448"/>
      <c r="Y56" s="449"/>
      <c r="Z56" s="455"/>
      <c r="AA56" s="455"/>
      <c r="AB56" s="455"/>
      <c r="AC56" s="455"/>
      <c r="AD56" s="449"/>
      <c r="AE56" s="455"/>
      <c r="AF56" s="455"/>
      <c r="AG56" s="455"/>
      <c r="AH56" s="455"/>
      <c r="AI56" s="370"/>
      <c r="AJ56" s="127"/>
      <c r="AK56" s="127"/>
      <c r="AL56" s="127"/>
      <c r="AM56" s="127"/>
      <c r="AN56" s="370"/>
      <c r="AO56" s="127"/>
      <c r="AP56" s="127"/>
      <c r="AQ56" s="127"/>
      <c r="AR56" s="448"/>
      <c r="AS56" s="449"/>
      <c r="AT56" s="449"/>
      <c r="AU56" s="449"/>
      <c r="AV56" s="449"/>
      <c r="AW56" s="449"/>
      <c r="AX56" s="449"/>
      <c r="AY56" s="32"/>
      <c r="AZ56" s="32"/>
      <c r="BA56" s="32"/>
      <c r="BB56" s="32"/>
      <c r="BC56" s="32"/>
      <c r="BD56" s="32"/>
      <c r="BE56" s="32"/>
      <c r="BF56" s="32"/>
      <c r="BG56" s="32"/>
      <c r="BH56" s="32"/>
      <c r="BI56" s="32"/>
      <c r="BJ56" s="32"/>
      <c r="BK56" s="32"/>
      <c r="BL56" s="32"/>
      <c r="BM56" s="518"/>
      <c r="BN56" s="518"/>
      <c r="BO56" s="32"/>
      <c r="BP56" s="32"/>
      <c r="BQ56" s="32"/>
      <c r="BR56" s="32"/>
      <c r="BS56" s="573">
        <f>BS33</f>
        <v>2.4000000000000004</v>
      </c>
      <c r="BT56" s="573">
        <f>BT33</f>
        <v>2.8000000000000003</v>
      </c>
      <c r="BU56" s="573">
        <f>BU33</f>
        <v>3.6</v>
      </c>
      <c r="BV56" s="573">
        <f>BV33</f>
        <v>3.2</v>
      </c>
      <c r="BW56" s="573">
        <f>SUM(BS56:BV56)</f>
        <v>12</v>
      </c>
      <c r="BX56" s="573">
        <f>BX33</f>
        <v>3.3000000000000003</v>
      </c>
      <c r="BY56" s="573">
        <f>BY33</f>
        <v>1.6</v>
      </c>
      <c r="BZ56" s="573">
        <f>BZ33</f>
        <v>1.25</v>
      </c>
      <c r="CA56" s="573">
        <f>CA33</f>
        <v>0.4</v>
      </c>
      <c r="CB56" s="573">
        <f>SUM(BX56:CA56)</f>
        <v>6.5500000000000007</v>
      </c>
      <c r="CC56" s="573">
        <f>CC33</f>
        <v>0.4</v>
      </c>
      <c r="CD56" s="573">
        <f>CD33</f>
        <v>0</v>
      </c>
      <c r="CE56" s="573">
        <f>CE33</f>
        <v>0</v>
      </c>
      <c r="CF56" s="573">
        <f>CF33</f>
        <v>0</v>
      </c>
      <c r="CG56" s="573">
        <f>SUM(CC56:CF56)</f>
        <v>0.4</v>
      </c>
      <c r="CH56" s="573"/>
      <c r="CI56" s="573"/>
      <c r="CJ56" s="573"/>
      <c r="CK56" s="576"/>
      <c r="CL56" s="697"/>
      <c r="CM56" s="573"/>
      <c r="CN56" s="573"/>
      <c r="CO56" s="573"/>
      <c r="CP56" s="576"/>
      <c r="CQ56" s="616"/>
    </row>
    <row r="57" spans="5:95" ht="13.5" x14ac:dyDescent="0.25">
      <c r="E57" s="613" t="s">
        <v>2</v>
      </c>
      <c r="F57" s="448"/>
      <c r="G57" s="448"/>
      <c r="H57" s="448"/>
      <c r="I57" s="448"/>
      <c r="J57" s="448"/>
      <c r="K57" s="448"/>
      <c r="L57" s="448"/>
      <c r="M57" s="448"/>
      <c r="N57" s="448"/>
      <c r="O57" s="449"/>
      <c r="P57" s="448"/>
      <c r="Q57" s="448"/>
      <c r="R57" s="448"/>
      <c r="S57" s="448"/>
      <c r="T57" s="449"/>
      <c r="U57" s="448"/>
      <c r="V57" s="448"/>
      <c r="W57" s="448"/>
      <c r="X57" s="448"/>
      <c r="Y57" s="449"/>
      <c r="Z57" s="455"/>
      <c r="AA57" s="455"/>
      <c r="AB57" s="455"/>
      <c r="AC57" s="455"/>
      <c r="AD57" s="449"/>
      <c r="AE57" s="455"/>
      <c r="AF57" s="455"/>
      <c r="AG57" s="455"/>
      <c r="AH57" s="455"/>
      <c r="AI57" s="370"/>
      <c r="AJ57" s="127"/>
      <c r="AK57" s="127"/>
      <c r="AL57" s="127"/>
      <c r="AM57" s="127"/>
      <c r="AN57" s="370"/>
      <c r="AO57" s="127"/>
      <c r="AP57" s="127"/>
      <c r="AQ57" s="127"/>
      <c r="AR57" s="448"/>
      <c r="AS57" s="449"/>
      <c r="AT57" s="449"/>
      <c r="AU57" s="449"/>
      <c r="AV57" s="449"/>
      <c r="AW57" s="449"/>
      <c r="AX57" s="449"/>
      <c r="AY57" s="32"/>
      <c r="AZ57" s="32"/>
      <c r="BA57" s="32"/>
      <c r="BB57" s="32"/>
      <c r="BC57" s="32"/>
      <c r="BD57" s="32"/>
      <c r="BE57" s="32"/>
      <c r="BF57" s="32"/>
      <c r="BG57" s="32"/>
      <c r="BH57" s="32"/>
      <c r="BI57" s="32"/>
      <c r="BJ57" s="32"/>
      <c r="BK57" s="32"/>
      <c r="BL57" s="32"/>
      <c r="BM57" s="518"/>
      <c r="BN57" s="518"/>
      <c r="BO57" s="32"/>
      <c r="BP57" s="32"/>
      <c r="BQ57" s="32"/>
      <c r="BR57" s="32"/>
      <c r="BS57" s="32"/>
      <c r="BT57" s="32"/>
      <c r="BU57" s="32"/>
      <c r="BV57" s="32"/>
      <c r="BW57" s="32"/>
      <c r="BX57" s="32">
        <f>BX56/BS56-1</f>
        <v>0.375</v>
      </c>
      <c r="BY57" s="32">
        <f>BY56/BT56-1</f>
        <v>-0.4285714285714286</v>
      </c>
      <c r="BZ57" s="32">
        <f>BZ56/BU56-1</f>
        <v>-0.65277777777777779</v>
      </c>
      <c r="CA57" s="32">
        <f>CA56/BV56-1</f>
        <v>-0.875</v>
      </c>
      <c r="CB57" s="32">
        <f t="shared" ref="CB57:CG57" si="11">(CB56-BW56)/ABS(BW56)</f>
        <v>-0.45416666666666661</v>
      </c>
      <c r="CC57" s="32">
        <f t="shared" si="11"/>
        <v>-0.87878787878787878</v>
      </c>
      <c r="CD57" s="32">
        <f t="shared" si="11"/>
        <v>-1</v>
      </c>
      <c r="CE57" s="32">
        <f t="shared" si="11"/>
        <v>-1</v>
      </c>
      <c r="CF57" s="32">
        <f t="shared" si="11"/>
        <v>-1</v>
      </c>
      <c r="CG57" s="32">
        <f t="shared" si="11"/>
        <v>-0.93893129770992356</v>
      </c>
      <c r="CH57" s="32"/>
      <c r="CI57" s="32"/>
      <c r="CJ57" s="32"/>
      <c r="CK57" s="32"/>
      <c r="CL57" s="32"/>
      <c r="CM57" s="32"/>
      <c r="CN57" s="32"/>
      <c r="CO57" s="32"/>
      <c r="CP57" s="32"/>
      <c r="CQ57" s="614"/>
    </row>
    <row r="58" spans="5:95" ht="13.5" x14ac:dyDescent="0.25">
      <c r="E58" s="613" t="s">
        <v>516</v>
      </c>
      <c r="F58" s="448"/>
      <c r="G58" s="448"/>
      <c r="H58" s="448"/>
      <c r="I58" s="448"/>
      <c r="J58" s="448"/>
      <c r="K58" s="448"/>
      <c r="L58" s="448"/>
      <c r="M58" s="448"/>
      <c r="N58" s="448"/>
      <c r="O58" s="449"/>
      <c r="P58" s="448"/>
      <c r="Q58" s="448"/>
      <c r="R58" s="448"/>
      <c r="S58" s="448"/>
      <c r="T58" s="449"/>
      <c r="U58" s="448"/>
      <c r="V58" s="448"/>
      <c r="W58" s="448"/>
      <c r="X58" s="448"/>
      <c r="Y58" s="449"/>
      <c r="Z58" s="455"/>
      <c r="AA58" s="455"/>
      <c r="AB58" s="455"/>
      <c r="AC58" s="455"/>
      <c r="AD58" s="449"/>
      <c r="AE58" s="455"/>
      <c r="AF58" s="455"/>
      <c r="AG58" s="455"/>
      <c r="AH58" s="455"/>
      <c r="AI58" s="370"/>
      <c r="AJ58" s="127"/>
      <c r="AK58" s="127"/>
      <c r="AL58" s="127"/>
      <c r="AM58" s="127"/>
      <c r="AN58" s="370"/>
      <c r="AO58" s="127"/>
      <c r="AP58" s="127"/>
      <c r="AQ58" s="127"/>
      <c r="AR58" s="448"/>
      <c r="AS58" s="449"/>
      <c r="AT58" s="449"/>
      <c r="AU58" s="449"/>
      <c r="AV58" s="449"/>
      <c r="AW58" s="449"/>
      <c r="AX58" s="449"/>
      <c r="AY58" s="32"/>
      <c r="AZ58" s="32"/>
      <c r="BA58" s="32"/>
      <c r="BB58" s="32"/>
      <c r="BC58" s="32"/>
      <c r="BD58" s="32"/>
      <c r="BE58" s="32"/>
      <c r="BF58" s="32"/>
      <c r="BG58" s="32"/>
      <c r="BH58" s="32"/>
      <c r="BI58" s="32"/>
      <c r="BJ58" s="32"/>
      <c r="BK58" s="32"/>
      <c r="BL58" s="32"/>
      <c r="BM58" s="518"/>
      <c r="BN58" s="518"/>
      <c r="BO58" s="32"/>
      <c r="BP58" s="32"/>
      <c r="BQ58" s="32"/>
      <c r="BR58" s="32"/>
      <c r="BS58" s="32"/>
      <c r="BT58" s="525">
        <f>BT56/BS56-1</f>
        <v>0.16666666666666652</v>
      </c>
      <c r="BU58" s="525">
        <f>BU56/BT56-1</f>
        <v>0.28571428571428559</v>
      </c>
      <c r="BV58" s="525">
        <f>BV56/BU56-1</f>
        <v>-0.11111111111111105</v>
      </c>
      <c r="BW58" s="32"/>
      <c r="BX58" s="525">
        <f>BX56/BV56-1</f>
        <v>3.125E-2</v>
      </c>
      <c r="BY58" s="525">
        <f>BY56/BX56-1</f>
        <v>-0.51515151515151514</v>
      </c>
      <c r="BZ58" s="525">
        <f>BZ56/BY56-1</f>
        <v>-0.21875</v>
      </c>
      <c r="CA58" s="525">
        <f>CA56/BZ56-1</f>
        <v>-0.67999999999999994</v>
      </c>
      <c r="CB58" s="32"/>
      <c r="CC58" s="525">
        <f>CC56/CA56-1</f>
        <v>0</v>
      </c>
      <c r="CD58" s="525">
        <f>CD56/CC56-1</f>
        <v>-1</v>
      </c>
      <c r="CE58" s="580"/>
      <c r="CF58" s="580"/>
      <c r="CG58" s="32"/>
      <c r="CH58" s="525"/>
      <c r="CI58" s="525"/>
      <c r="CJ58" s="525"/>
      <c r="CK58" s="525"/>
      <c r="CL58" s="32"/>
      <c r="CM58" s="641"/>
      <c r="CN58" s="641"/>
      <c r="CO58" s="641"/>
      <c r="CP58" s="641"/>
      <c r="CQ58" s="614"/>
    </row>
    <row r="59" spans="5:95" ht="13.5" x14ac:dyDescent="0.25">
      <c r="E59" s="613" t="s">
        <v>685</v>
      </c>
      <c r="F59" s="448"/>
      <c r="G59" s="448"/>
      <c r="H59" s="448"/>
      <c r="I59" s="448"/>
      <c r="J59" s="448"/>
      <c r="K59" s="448"/>
      <c r="L59" s="448"/>
      <c r="M59" s="448"/>
      <c r="N59" s="448"/>
      <c r="O59" s="449"/>
      <c r="P59" s="448"/>
      <c r="Q59" s="448"/>
      <c r="R59" s="448"/>
      <c r="S59" s="448"/>
      <c r="T59" s="449"/>
      <c r="U59" s="448"/>
      <c r="V59" s="448"/>
      <c r="W59" s="448"/>
      <c r="X59" s="448"/>
      <c r="Y59" s="449"/>
      <c r="Z59" s="455"/>
      <c r="AA59" s="455"/>
      <c r="AB59" s="455"/>
      <c r="AC59" s="455"/>
      <c r="AD59" s="449"/>
      <c r="AE59" s="455"/>
      <c r="AF59" s="455"/>
      <c r="AG59" s="455"/>
      <c r="AH59" s="455"/>
      <c r="AI59" s="370"/>
      <c r="AJ59" s="127"/>
      <c r="AK59" s="127"/>
      <c r="AL59" s="127"/>
      <c r="AM59" s="127"/>
      <c r="AN59" s="370"/>
      <c r="AO59" s="127"/>
      <c r="AP59" s="127"/>
      <c r="AQ59" s="127"/>
      <c r="AR59" s="448"/>
      <c r="AS59" s="449"/>
      <c r="AT59" s="449"/>
      <c r="AU59" s="449"/>
      <c r="AV59" s="449"/>
      <c r="AW59" s="449"/>
      <c r="AX59" s="449"/>
      <c r="AY59" s="32"/>
      <c r="AZ59" s="32"/>
      <c r="BA59" s="32"/>
      <c r="BB59" s="32"/>
      <c r="BC59" s="32"/>
      <c r="BD59" s="32"/>
      <c r="BE59" s="32"/>
      <c r="BF59" s="32"/>
      <c r="BG59" s="32"/>
      <c r="BH59" s="32"/>
      <c r="BI59" s="32"/>
      <c r="BJ59" s="32"/>
      <c r="BK59" s="32"/>
      <c r="BL59" s="32"/>
      <c r="BM59" s="518"/>
      <c r="BN59" s="518"/>
      <c r="BO59" s="32"/>
      <c r="BP59" s="32"/>
      <c r="BQ59" s="32"/>
      <c r="BR59" s="32"/>
      <c r="BS59" s="32">
        <f t="shared" ref="BS59:CG59" si="12">BS56/BS45</f>
        <v>0.11639749745380476</v>
      </c>
      <c r="BT59" s="32">
        <f t="shared" si="12"/>
        <v>0.12587664089192593</v>
      </c>
      <c r="BU59" s="32">
        <f t="shared" si="12"/>
        <v>0.1266624445851805</v>
      </c>
      <c r="BV59" s="32">
        <f t="shared" si="12"/>
        <v>0.10261343594676929</v>
      </c>
      <c r="BW59" s="32">
        <f t="shared" si="12"/>
        <v>0.11710744608178003</v>
      </c>
      <c r="BX59" s="32">
        <f t="shared" si="12"/>
        <v>0.10529002616297621</v>
      </c>
      <c r="BY59" s="32">
        <f t="shared" si="12"/>
        <v>4.8393926562216451E-2</v>
      </c>
      <c r="BZ59" s="32">
        <f t="shared" si="12"/>
        <v>3.2269723254853368E-2</v>
      </c>
      <c r="CA59" s="32">
        <f t="shared" si="12"/>
        <v>9.049159559305929E-3</v>
      </c>
      <c r="CB59" s="32">
        <f t="shared" si="12"/>
        <v>4.445409690314437E-2</v>
      </c>
      <c r="CC59" s="32">
        <f t="shared" si="12"/>
        <v>8.8522993847651929E-3</v>
      </c>
      <c r="CD59" s="32">
        <f t="shared" si="12"/>
        <v>0</v>
      </c>
      <c r="CE59" s="32">
        <f t="shared" si="12"/>
        <v>0</v>
      </c>
      <c r="CF59" s="32">
        <f t="shared" si="12"/>
        <v>0</v>
      </c>
      <c r="CG59" s="32">
        <f t="shared" si="12"/>
        <v>1.8957256126748215E-3</v>
      </c>
      <c r="CH59" s="32"/>
      <c r="CI59" s="32"/>
      <c r="CJ59" s="32"/>
      <c r="CK59" s="32"/>
      <c r="CL59" s="32"/>
      <c r="CM59" s="32"/>
      <c r="CN59" s="32"/>
      <c r="CO59" s="32"/>
      <c r="CP59" s="32"/>
      <c r="CQ59" s="614"/>
    </row>
    <row r="60" spans="5:95" ht="13.5" x14ac:dyDescent="0.3">
      <c r="E60" s="615" t="s">
        <v>684</v>
      </c>
      <c r="F60" s="448"/>
      <c r="G60" s="448"/>
      <c r="H60" s="448"/>
      <c r="I60" s="448"/>
      <c r="J60" s="448"/>
      <c r="K60" s="448"/>
      <c r="L60" s="448"/>
      <c r="M60" s="448"/>
      <c r="N60" s="448"/>
      <c r="O60" s="449"/>
      <c r="P60" s="448"/>
      <c r="Q60" s="448"/>
      <c r="R60" s="448"/>
      <c r="S60" s="448"/>
      <c r="T60" s="449"/>
      <c r="U60" s="448"/>
      <c r="V60" s="448"/>
      <c r="W60" s="448"/>
      <c r="X60" s="448"/>
      <c r="Y60" s="449"/>
      <c r="Z60" s="455"/>
      <c r="AA60" s="455"/>
      <c r="AB60" s="455"/>
      <c r="AC60" s="455"/>
      <c r="AD60" s="449"/>
      <c r="AE60" s="455"/>
      <c r="AF60" s="455"/>
      <c r="AG60" s="455"/>
      <c r="AH60" s="455"/>
      <c r="AI60" s="370"/>
      <c r="AJ60" s="127"/>
      <c r="AK60" s="127"/>
      <c r="AL60" s="127"/>
      <c r="AM60" s="127"/>
      <c r="AN60" s="370"/>
      <c r="AO60" s="127"/>
      <c r="AP60" s="127"/>
      <c r="AQ60" s="127"/>
      <c r="AR60" s="448"/>
      <c r="AS60" s="449"/>
      <c r="AT60" s="449"/>
      <c r="AU60" s="449"/>
      <c r="AV60" s="449"/>
      <c r="AW60" s="449"/>
      <c r="AX60" s="449"/>
      <c r="AY60" s="32"/>
      <c r="AZ60" s="32"/>
      <c r="BA60" s="32"/>
      <c r="BB60" s="32"/>
      <c r="BC60" s="32"/>
      <c r="BD60" s="32"/>
      <c r="BE60" s="32"/>
      <c r="BF60" s="32"/>
      <c r="BG60" s="32"/>
      <c r="BH60" s="32"/>
      <c r="BI60" s="32"/>
      <c r="BJ60" s="32"/>
      <c r="BK60" s="32"/>
      <c r="BL60" s="32"/>
      <c r="BM60" s="518"/>
      <c r="BN60" s="518"/>
      <c r="BO60" s="32"/>
      <c r="BP60" s="32"/>
      <c r="BQ60" s="32"/>
      <c r="BR60" s="32"/>
      <c r="BS60" s="573">
        <f>BS45-BS48-BS56</f>
        <v>1.8902049382716068</v>
      </c>
      <c r="BT60" s="573">
        <f>BT45-BT48-BT56</f>
        <v>2.0864499999999997</v>
      </c>
      <c r="BU60" s="573">
        <f>BU45-BU48-BU56</f>
        <v>3.5263478260869561</v>
      </c>
      <c r="BV60" s="573">
        <f>BV45-BV48-BV56</f>
        <v>1.4008772356414481</v>
      </c>
      <c r="BW60" s="35">
        <f>BW45-BW48-BW56</f>
        <v>8.9038800000000009</v>
      </c>
      <c r="BX60" s="573">
        <f>BX45-BX56-BX48</f>
        <v>1.5893520000000017</v>
      </c>
      <c r="BY60" s="573">
        <f>BY45-BY56-BY48</f>
        <v>2.3013159999999964</v>
      </c>
      <c r="BZ60" s="695">
        <v>1.4</v>
      </c>
      <c r="CA60" s="695">
        <v>0</v>
      </c>
      <c r="CB60" s="573">
        <f>SUM(BX60:CA60)</f>
        <v>5.2906679999999984</v>
      </c>
      <c r="CC60" s="629">
        <v>0</v>
      </c>
      <c r="CD60" s="629">
        <v>0</v>
      </c>
      <c r="CE60" s="629">
        <v>0</v>
      </c>
      <c r="CF60" s="629">
        <v>0</v>
      </c>
      <c r="CG60" s="203">
        <f>SUM(CC60:CF60)</f>
        <v>0</v>
      </c>
      <c r="CH60" s="629"/>
      <c r="CI60" s="629"/>
      <c r="CJ60" s="629"/>
      <c r="CK60" s="629"/>
      <c r="CL60" s="203"/>
      <c r="CM60" s="629"/>
      <c r="CN60" s="629"/>
      <c r="CO60" s="629"/>
      <c r="CP60" s="629"/>
      <c r="CQ60" s="626"/>
    </row>
    <row r="61" spans="5:95" ht="13.5" x14ac:dyDescent="0.25">
      <c r="E61" s="613" t="s">
        <v>2</v>
      </c>
      <c r="F61" s="448"/>
      <c r="G61" s="448"/>
      <c r="H61" s="448"/>
      <c r="I61" s="448"/>
      <c r="J61" s="448"/>
      <c r="K61" s="448"/>
      <c r="L61" s="448"/>
      <c r="M61" s="448"/>
      <c r="N61" s="448"/>
      <c r="O61" s="449"/>
      <c r="P61" s="448"/>
      <c r="Q61" s="448"/>
      <c r="R61" s="448"/>
      <c r="S61" s="448"/>
      <c r="T61" s="449"/>
      <c r="U61" s="448"/>
      <c r="V61" s="448"/>
      <c r="W61" s="448"/>
      <c r="X61" s="448"/>
      <c r="Y61" s="449"/>
      <c r="Z61" s="455"/>
      <c r="AA61" s="455"/>
      <c r="AB61" s="455"/>
      <c r="AC61" s="455"/>
      <c r="AD61" s="449"/>
      <c r="AE61" s="455"/>
      <c r="AF61" s="455"/>
      <c r="AG61" s="455"/>
      <c r="AH61" s="455"/>
      <c r="AI61" s="370"/>
      <c r="AJ61" s="127"/>
      <c r="AK61" s="127"/>
      <c r="AL61" s="127"/>
      <c r="AM61" s="127"/>
      <c r="AN61" s="370"/>
      <c r="AO61" s="127"/>
      <c r="AP61" s="127"/>
      <c r="AQ61" s="127"/>
      <c r="AR61" s="448"/>
      <c r="AS61" s="449"/>
      <c r="AT61" s="449"/>
      <c r="AU61" s="449"/>
      <c r="AV61" s="449"/>
      <c r="AW61" s="449"/>
      <c r="AX61" s="449"/>
      <c r="AY61" s="32"/>
      <c r="AZ61" s="32"/>
      <c r="BA61" s="32"/>
      <c r="BB61" s="32"/>
      <c r="BC61" s="32"/>
      <c r="BD61" s="32"/>
      <c r="BE61" s="32"/>
      <c r="BF61" s="32"/>
      <c r="BG61" s="32"/>
      <c r="BH61" s="32"/>
      <c r="BI61" s="32"/>
      <c r="BJ61" s="32"/>
      <c r="BK61" s="32"/>
      <c r="BL61" s="32"/>
      <c r="BM61" s="518"/>
      <c r="BN61" s="518"/>
      <c r="BO61" s="32"/>
      <c r="BP61" s="32"/>
      <c r="BQ61" s="32"/>
      <c r="BR61" s="32"/>
      <c r="BS61" s="32"/>
      <c r="BT61" s="32"/>
      <c r="BU61" s="32"/>
      <c r="BV61" s="32"/>
      <c r="BW61" s="32"/>
      <c r="BX61" s="32">
        <f>BX60/BS60-1</f>
        <v>-0.15916419017860761</v>
      </c>
      <c r="BY61" s="32">
        <f>BY60/BT60-1</f>
        <v>0.10298161949723061</v>
      </c>
      <c r="BZ61" s="32">
        <f>BZ60/BU60-1</f>
        <v>-0.60298868147855889</v>
      </c>
      <c r="CA61" s="32">
        <f>CA60/BV60-1</f>
        <v>-1</v>
      </c>
      <c r="CB61" s="32">
        <f>(CB60-BW60)/ABS(BW60)</f>
        <v>-0.40580196498605126</v>
      </c>
      <c r="CC61" s="32">
        <f>(CC60-BX60)/ABS(BX60)</f>
        <v>-1</v>
      </c>
      <c r="CD61" s="32">
        <f>(CD60-BY60)/ABS(BY60)</f>
        <v>-1</v>
      </c>
      <c r="CE61" s="32">
        <f>(CE60-BZ60)/ABS(BZ60)</f>
        <v>-1</v>
      </c>
      <c r="CF61" s="32"/>
      <c r="CG61" s="32"/>
      <c r="CH61" s="32"/>
      <c r="CI61" s="32"/>
      <c r="CJ61" s="32"/>
      <c r="CK61" s="32"/>
      <c r="CL61" s="32"/>
      <c r="CM61" s="32"/>
      <c r="CN61" s="32"/>
      <c r="CO61" s="32"/>
      <c r="CP61" s="32"/>
      <c r="CQ61" s="614"/>
    </row>
    <row r="62" spans="5:95" ht="13.5" x14ac:dyDescent="0.25">
      <c r="E62" s="613" t="s">
        <v>516</v>
      </c>
      <c r="F62" s="448"/>
      <c r="G62" s="448"/>
      <c r="H62" s="448"/>
      <c r="I62" s="448"/>
      <c r="J62" s="448"/>
      <c r="K62" s="448"/>
      <c r="L62" s="448"/>
      <c r="M62" s="448"/>
      <c r="N62" s="448"/>
      <c r="O62" s="449"/>
      <c r="P62" s="448"/>
      <c r="Q62" s="448"/>
      <c r="R62" s="448"/>
      <c r="S62" s="448"/>
      <c r="T62" s="449"/>
      <c r="U62" s="448"/>
      <c r="V62" s="448"/>
      <c r="W62" s="448"/>
      <c r="X62" s="448"/>
      <c r="Y62" s="449"/>
      <c r="Z62" s="455"/>
      <c r="AA62" s="455"/>
      <c r="AB62" s="455"/>
      <c r="AC62" s="455"/>
      <c r="AD62" s="449"/>
      <c r="AE62" s="455"/>
      <c r="AF62" s="455"/>
      <c r="AG62" s="455"/>
      <c r="AH62" s="455"/>
      <c r="AI62" s="370"/>
      <c r="AJ62" s="127"/>
      <c r="AK62" s="127"/>
      <c r="AL62" s="127"/>
      <c r="AM62" s="127"/>
      <c r="AN62" s="370"/>
      <c r="AO62" s="127"/>
      <c r="AP62" s="127"/>
      <c r="AQ62" s="127"/>
      <c r="AR62" s="448"/>
      <c r="AS62" s="449"/>
      <c r="AT62" s="449"/>
      <c r="AU62" s="449"/>
      <c r="AV62" s="449"/>
      <c r="AW62" s="449"/>
      <c r="AX62" s="449"/>
      <c r="AY62" s="32"/>
      <c r="AZ62" s="32"/>
      <c r="BA62" s="32"/>
      <c r="BB62" s="32"/>
      <c r="BC62" s="32"/>
      <c r="BD62" s="32"/>
      <c r="BE62" s="32"/>
      <c r="BF62" s="32"/>
      <c r="BG62" s="32"/>
      <c r="BH62" s="32"/>
      <c r="BI62" s="32"/>
      <c r="BJ62" s="32"/>
      <c r="BK62" s="32"/>
      <c r="BL62" s="32"/>
      <c r="BM62" s="518"/>
      <c r="BN62" s="518"/>
      <c r="BO62" s="32"/>
      <c r="BP62" s="32"/>
      <c r="BQ62" s="32"/>
      <c r="BR62" s="32"/>
      <c r="BS62" s="32"/>
      <c r="BT62" s="525">
        <f>BT60/BS60-1</f>
        <v>0.1038221082565991</v>
      </c>
      <c r="BU62" s="525">
        <f>BU60/BT60-1</f>
        <v>0.69011853918711519</v>
      </c>
      <c r="BV62" s="525">
        <f>BV60/BU60-1</f>
        <v>-0.60273991542236938</v>
      </c>
      <c r="BW62" s="32"/>
      <c r="BX62" s="525">
        <f>BX60/BV60-1</f>
        <v>0.13454052900806324</v>
      </c>
      <c r="BY62" s="525">
        <f>BY60/BX60-1</f>
        <v>0.44795866491500558</v>
      </c>
      <c r="BZ62" s="525">
        <f>BZ60/BY60-1</f>
        <v>-0.39165242843659798</v>
      </c>
      <c r="CA62" s="525">
        <f>CA60/BZ60-1</f>
        <v>-1</v>
      </c>
      <c r="CB62" s="32"/>
      <c r="CC62" s="525"/>
      <c r="CD62" s="525"/>
      <c r="CE62" s="525"/>
      <c r="CF62" s="525"/>
      <c r="CG62" s="32"/>
      <c r="CH62" s="525"/>
      <c r="CI62" s="525"/>
      <c r="CJ62" s="525"/>
      <c r="CK62" s="525"/>
      <c r="CL62" s="32"/>
      <c r="CM62" s="641"/>
      <c r="CN62" s="641"/>
      <c r="CO62" s="641"/>
      <c r="CP62" s="641"/>
      <c r="CQ62" s="614"/>
    </row>
    <row r="63" spans="5:95" ht="14.25" thickBot="1" x14ac:dyDescent="0.3">
      <c r="E63" s="617" t="s">
        <v>685</v>
      </c>
      <c r="F63" s="618"/>
      <c r="G63" s="618"/>
      <c r="H63" s="618"/>
      <c r="I63" s="618"/>
      <c r="J63" s="618"/>
      <c r="K63" s="618"/>
      <c r="L63" s="618"/>
      <c r="M63" s="618"/>
      <c r="N63" s="618"/>
      <c r="O63" s="619"/>
      <c r="P63" s="618"/>
      <c r="Q63" s="618"/>
      <c r="R63" s="618"/>
      <c r="S63" s="618"/>
      <c r="T63" s="619"/>
      <c r="U63" s="618"/>
      <c r="V63" s="618"/>
      <c r="W63" s="618"/>
      <c r="X63" s="618"/>
      <c r="Y63" s="619"/>
      <c r="Z63" s="620"/>
      <c r="AA63" s="620"/>
      <c r="AB63" s="620"/>
      <c r="AC63" s="620"/>
      <c r="AD63" s="619"/>
      <c r="AE63" s="620"/>
      <c r="AF63" s="620"/>
      <c r="AG63" s="620"/>
      <c r="AH63" s="620"/>
      <c r="AI63" s="621"/>
      <c r="AJ63" s="622"/>
      <c r="AK63" s="622"/>
      <c r="AL63" s="622"/>
      <c r="AM63" s="622"/>
      <c r="AN63" s="621"/>
      <c r="AO63" s="622"/>
      <c r="AP63" s="622"/>
      <c r="AQ63" s="622"/>
      <c r="AR63" s="618"/>
      <c r="AS63" s="619"/>
      <c r="AT63" s="619"/>
      <c r="AU63" s="619"/>
      <c r="AV63" s="619"/>
      <c r="AW63" s="619"/>
      <c r="AX63" s="619"/>
      <c r="AY63" s="623"/>
      <c r="AZ63" s="623"/>
      <c r="BA63" s="623"/>
      <c r="BB63" s="623"/>
      <c r="BC63" s="623"/>
      <c r="BD63" s="623"/>
      <c r="BE63" s="623"/>
      <c r="BF63" s="623"/>
      <c r="BG63" s="623"/>
      <c r="BH63" s="623"/>
      <c r="BI63" s="623"/>
      <c r="BJ63" s="623"/>
      <c r="BK63" s="623"/>
      <c r="BL63" s="623"/>
      <c r="BM63" s="624"/>
      <c r="BN63" s="624"/>
      <c r="BO63" s="623"/>
      <c r="BP63" s="623"/>
      <c r="BQ63" s="623"/>
      <c r="BR63" s="623"/>
      <c r="BS63" s="623">
        <f t="shared" ref="BS63:CG63" si="13">BS60/BS45</f>
        <v>9.1672968537349381E-2</v>
      </c>
      <c r="BT63" s="623">
        <f t="shared" si="13"/>
        <v>9.3798327638913853E-2</v>
      </c>
      <c r="BU63" s="623">
        <f t="shared" si="13"/>
        <v>0.12407106558605854</v>
      </c>
      <c r="BV63" s="623">
        <f t="shared" si="13"/>
        <v>4.4921508277744049E-2</v>
      </c>
      <c r="BW63" s="623">
        <f t="shared" si="13"/>
        <v>8.6892553918219984E-2</v>
      </c>
      <c r="BX63" s="623">
        <f t="shared" si="13"/>
        <v>5.0709973837023858E-2</v>
      </c>
      <c r="BY63" s="623">
        <f t="shared" si="13"/>
        <v>6.9606073437783453E-2</v>
      </c>
      <c r="BZ63" s="623">
        <f t="shared" si="13"/>
        <v>3.6142090045435768E-2</v>
      </c>
      <c r="CA63" s="623">
        <f t="shared" si="13"/>
        <v>0</v>
      </c>
      <c r="CB63" s="623">
        <f t="shared" si="13"/>
        <v>3.5907155412880143E-2</v>
      </c>
      <c r="CC63" s="623">
        <f t="shared" si="13"/>
        <v>0</v>
      </c>
      <c r="CD63" s="623">
        <f t="shared" si="13"/>
        <v>0</v>
      </c>
      <c r="CE63" s="623">
        <f t="shared" si="13"/>
        <v>0</v>
      </c>
      <c r="CF63" s="623">
        <f t="shared" si="13"/>
        <v>0</v>
      </c>
      <c r="CG63" s="623">
        <f t="shared" si="13"/>
        <v>0</v>
      </c>
      <c r="CH63" s="623"/>
      <c r="CI63" s="623"/>
      <c r="CJ63" s="623"/>
      <c r="CK63" s="623"/>
      <c r="CL63" s="623"/>
      <c r="CM63" s="623"/>
      <c r="CN63" s="623"/>
      <c r="CO63" s="623"/>
      <c r="CP63" s="623"/>
      <c r="CQ63" s="625"/>
    </row>
    <row r="64" spans="5:95" ht="3.75" customHeight="1" x14ac:dyDescent="0.25">
      <c r="E64" s="365"/>
      <c r="F64" s="448"/>
      <c r="G64" s="448"/>
      <c r="H64" s="448"/>
      <c r="I64" s="448"/>
      <c r="J64" s="448"/>
      <c r="K64" s="451"/>
      <c r="L64" s="451"/>
      <c r="M64" s="451"/>
      <c r="N64" s="451"/>
      <c r="O64" s="449"/>
      <c r="P64" s="451"/>
      <c r="Q64" s="451"/>
      <c r="R64" s="451"/>
      <c r="S64" s="451"/>
      <c r="T64" s="449"/>
      <c r="U64" s="451"/>
      <c r="V64" s="451"/>
      <c r="W64" s="451"/>
      <c r="X64" s="451"/>
      <c r="Y64" s="449"/>
      <c r="Z64" s="451"/>
      <c r="AA64" s="451"/>
      <c r="AB64" s="451"/>
      <c r="AC64" s="451"/>
      <c r="AD64" s="449"/>
      <c r="AE64" s="451"/>
      <c r="AF64" s="451"/>
      <c r="AG64" s="451"/>
      <c r="AH64" s="451"/>
      <c r="AI64" s="370"/>
      <c r="AJ64" s="451"/>
      <c r="AK64" s="451"/>
      <c r="AL64" s="451"/>
      <c r="AM64" s="451"/>
      <c r="AN64" s="370"/>
      <c r="AO64" s="451"/>
      <c r="AP64" s="451"/>
      <c r="AQ64" s="451"/>
      <c r="AR64" s="451"/>
      <c r="AS64" s="449"/>
      <c r="AT64" s="451"/>
      <c r="AU64" s="451"/>
      <c r="AV64" s="451"/>
      <c r="AW64" s="451"/>
      <c r="AX64" s="449"/>
      <c r="AY64" s="451"/>
      <c r="AZ64" s="451"/>
      <c r="BA64" s="451"/>
      <c r="BB64" s="451"/>
      <c r="BC64" s="32"/>
      <c r="BD64" s="451"/>
      <c r="BE64" s="451"/>
      <c r="BF64" s="451"/>
      <c r="BG64" s="451"/>
      <c r="BH64" s="32"/>
      <c r="BI64" s="451"/>
      <c r="BJ64" s="451"/>
      <c r="BK64" s="451"/>
      <c r="BL64" s="451"/>
      <c r="BM64" s="518"/>
      <c r="BN64" s="451"/>
      <c r="BO64" s="451"/>
      <c r="BP64" s="451"/>
      <c r="BQ64" s="451"/>
      <c r="BR64" s="32"/>
      <c r="BS64" s="451"/>
      <c r="BT64" s="451"/>
      <c r="BU64" s="451"/>
      <c r="BV64" s="451"/>
      <c r="BW64" s="32"/>
      <c r="BX64" s="451"/>
      <c r="BY64" s="451"/>
      <c r="BZ64" s="451"/>
      <c r="CA64" s="451"/>
      <c r="CB64" s="32"/>
      <c r="CC64" s="451"/>
      <c r="CD64" s="451"/>
      <c r="CE64" s="451"/>
      <c r="CF64" s="451"/>
      <c r="CG64" s="32"/>
      <c r="CH64" s="451"/>
      <c r="CI64" s="451"/>
      <c r="CJ64" s="451"/>
      <c r="CK64" s="451"/>
      <c r="CL64" s="32"/>
      <c r="CM64" s="451"/>
      <c r="CN64" s="451"/>
      <c r="CO64" s="451"/>
      <c r="CP64" s="451"/>
      <c r="CQ64" s="32"/>
    </row>
    <row r="65" spans="5:98" ht="13.5" x14ac:dyDescent="0.3">
      <c r="E65" s="493" t="s">
        <v>648</v>
      </c>
      <c r="F65" s="448"/>
      <c r="G65" s="448"/>
      <c r="H65" s="448"/>
      <c r="I65" s="448"/>
      <c r="J65" s="448"/>
      <c r="K65" s="448"/>
      <c r="L65" s="448"/>
      <c r="M65" s="448"/>
      <c r="N65" s="448"/>
      <c r="O65" s="449"/>
      <c r="P65" s="448"/>
      <c r="Q65" s="448"/>
      <c r="R65" s="448"/>
      <c r="S65" s="448"/>
      <c r="T65" s="449"/>
      <c r="U65" s="448"/>
      <c r="V65" s="448"/>
      <c r="W65" s="448"/>
      <c r="X65" s="448"/>
      <c r="Y65" s="449"/>
      <c r="Z65" s="455"/>
      <c r="AA65" s="455"/>
      <c r="AB65" s="455"/>
      <c r="AC65" s="455"/>
      <c r="AD65" s="449"/>
      <c r="AE65" s="455"/>
      <c r="AF65" s="455"/>
      <c r="AG65" s="455"/>
      <c r="AH65" s="455"/>
      <c r="AI65" s="370"/>
      <c r="AJ65" s="127"/>
      <c r="AK65" s="127"/>
      <c r="AL65" s="127"/>
      <c r="AM65" s="127"/>
      <c r="AN65" s="370"/>
      <c r="AO65" s="127"/>
      <c r="AP65" s="127"/>
      <c r="AQ65" s="127"/>
      <c r="AR65" s="448"/>
      <c r="AS65" s="449"/>
      <c r="AT65" s="449"/>
      <c r="AU65" s="449"/>
      <c r="AV65" s="449"/>
      <c r="AW65" s="449"/>
      <c r="AX65" s="449"/>
      <c r="AY65" s="32"/>
      <c r="AZ65" s="32"/>
      <c r="BA65" s="32"/>
      <c r="BB65" s="32"/>
      <c r="BC65" s="32"/>
      <c r="BD65" s="32"/>
      <c r="BE65" s="32"/>
      <c r="BF65" s="32"/>
      <c r="BG65" s="32"/>
      <c r="BH65" s="32"/>
      <c r="BI65" s="32"/>
      <c r="BJ65" s="32"/>
      <c r="BK65" s="32"/>
      <c r="BL65" s="32"/>
      <c r="BM65" s="518"/>
      <c r="BN65" s="518"/>
      <c r="BO65" s="32"/>
      <c r="BP65" s="545">
        <f>BP45*4</f>
        <v>71.64</v>
      </c>
      <c r="BQ65" s="545">
        <f>BQ45*4</f>
        <v>77.024000000000001</v>
      </c>
      <c r="BR65" s="32"/>
      <c r="BS65" s="545">
        <f>BS45*4</f>
        <v>82.475999999999999</v>
      </c>
      <c r="BT65" s="545">
        <f>BT45*4</f>
        <v>88.975999999999999</v>
      </c>
      <c r="BU65" s="545">
        <f>BU45*4</f>
        <v>113.688</v>
      </c>
      <c r="BV65" s="545">
        <f>BV45*4</f>
        <v>124.74</v>
      </c>
      <c r="BW65" s="32"/>
      <c r="BX65" s="545">
        <f>BX45*4</f>
        <v>125.36799999999999</v>
      </c>
      <c r="BY65" s="545">
        <f>BY45*4</f>
        <v>132.24799999999999</v>
      </c>
      <c r="BZ65" s="545">
        <f>BZ45*4</f>
        <v>154.94399999999999</v>
      </c>
      <c r="CA65" s="545">
        <f>CA45*4</f>
        <v>176.81200000000001</v>
      </c>
      <c r="CB65" s="32"/>
      <c r="CC65" s="545">
        <f>CC45*4</f>
        <v>180.744</v>
      </c>
      <c r="CD65" s="545">
        <f>CD45*4</f>
        <v>209.536</v>
      </c>
      <c r="CE65" s="545">
        <f>CE45*4</f>
        <v>223.91200000000001</v>
      </c>
      <c r="CF65" s="697">
        <f>CF45*4</f>
        <v>229.81200000000001</v>
      </c>
      <c r="CG65" s="32"/>
      <c r="CH65" s="697"/>
      <c r="CI65" s="697"/>
      <c r="CJ65" s="697"/>
      <c r="CK65" s="697"/>
      <c r="CL65" s="32"/>
      <c r="CM65" s="32"/>
      <c r="CN65" s="32"/>
      <c r="CO65" s="32"/>
      <c r="CP65" s="32"/>
      <c r="CQ65" s="32"/>
    </row>
    <row r="66" spans="5:98" ht="13.5" x14ac:dyDescent="0.25">
      <c r="E66" s="356" t="s">
        <v>516</v>
      </c>
      <c r="F66" s="448"/>
      <c r="G66" s="448"/>
      <c r="H66" s="448"/>
      <c r="I66" s="448"/>
      <c r="J66" s="448"/>
      <c r="K66" s="448"/>
      <c r="L66" s="448"/>
      <c r="M66" s="448"/>
      <c r="N66" s="448"/>
      <c r="O66" s="449"/>
      <c r="P66" s="448"/>
      <c r="Q66" s="448"/>
      <c r="R66" s="448"/>
      <c r="S66" s="448"/>
      <c r="T66" s="449"/>
      <c r="U66" s="448"/>
      <c r="V66" s="448"/>
      <c r="W66" s="448"/>
      <c r="X66" s="448"/>
      <c r="Y66" s="449"/>
      <c r="Z66" s="455"/>
      <c r="AA66" s="455"/>
      <c r="AB66" s="455"/>
      <c r="AC66" s="455"/>
      <c r="AD66" s="449"/>
      <c r="AE66" s="455"/>
      <c r="AF66" s="455"/>
      <c r="AG66" s="455"/>
      <c r="AH66" s="455"/>
      <c r="AI66" s="370"/>
      <c r="AJ66" s="127"/>
      <c r="AK66" s="127"/>
      <c r="AL66" s="127"/>
      <c r="AM66" s="127"/>
      <c r="AN66" s="370"/>
      <c r="AO66" s="127"/>
      <c r="AP66" s="127"/>
      <c r="AQ66" s="127"/>
      <c r="AR66" s="448"/>
      <c r="AS66" s="449"/>
      <c r="AT66" s="449"/>
      <c r="AU66" s="449"/>
      <c r="AV66" s="449"/>
      <c r="AW66" s="449"/>
      <c r="AX66" s="449"/>
      <c r="AY66" s="32"/>
      <c r="AZ66" s="32"/>
      <c r="BA66" s="32"/>
      <c r="BB66" s="32"/>
      <c r="BC66" s="32"/>
      <c r="BD66" s="32"/>
      <c r="BE66" s="32"/>
      <c r="BF66" s="32"/>
      <c r="BG66" s="32"/>
      <c r="BH66" s="32"/>
      <c r="BI66" s="32"/>
      <c r="BJ66" s="32"/>
      <c r="BK66" s="32"/>
      <c r="BL66" s="32"/>
      <c r="BM66" s="518"/>
      <c r="BN66" s="518"/>
      <c r="BO66" s="32"/>
      <c r="BP66" s="32"/>
      <c r="BQ66" s="32">
        <f>BQ65/BP65-1</f>
        <v>7.5153545505304287E-2</v>
      </c>
      <c r="BR66" s="32"/>
      <c r="BS66" s="32">
        <f>BS65/BQ65-1</f>
        <v>7.0783132530120474E-2</v>
      </c>
      <c r="BT66" s="32">
        <f>BT65/BS65-1</f>
        <v>7.8810805567680386E-2</v>
      </c>
      <c r="BU66" s="32">
        <f>BU65/BT65-1</f>
        <v>0.27773781693939936</v>
      </c>
      <c r="BV66" s="32">
        <f>BV65/BU65-1</f>
        <v>9.7213426219125987E-2</v>
      </c>
      <c r="BW66" s="32"/>
      <c r="BX66" s="32">
        <f>BX65/BV65-1</f>
        <v>5.0344717011383544E-3</v>
      </c>
      <c r="BY66" s="32">
        <f>BY65/BX65-1</f>
        <v>5.4878437878884467E-2</v>
      </c>
      <c r="BZ66" s="32">
        <f>BZ65/BY65-1</f>
        <v>0.17161696207125998</v>
      </c>
      <c r="CA66" s="32">
        <f>CA65/BZ65-1</f>
        <v>0.14113486162742683</v>
      </c>
      <c r="CB66" s="600"/>
      <c r="CC66" s="32">
        <f>CC65/CA65-1</f>
        <v>2.2238309616994245E-2</v>
      </c>
      <c r="CD66" s="32">
        <f>CD65/CC65-1</f>
        <v>0.15929712742884972</v>
      </c>
      <c r="CE66" s="32">
        <f>CE65/CD65-1</f>
        <v>6.8608735491753281E-2</v>
      </c>
      <c r="CF66" s="32">
        <f>CF65/CE65-1</f>
        <v>2.6349637357533373E-2</v>
      </c>
      <c r="CG66" s="32"/>
      <c r="CH66" s="32"/>
      <c r="CI66" s="32"/>
      <c r="CJ66" s="32"/>
      <c r="CK66" s="32"/>
      <c r="CL66" s="32"/>
      <c r="CM66" s="32"/>
      <c r="CN66" s="32"/>
      <c r="CO66" s="32"/>
      <c r="CP66" s="32"/>
      <c r="CQ66" s="32"/>
    </row>
    <row r="67" spans="5:98" ht="3.75" customHeight="1" x14ac:dyDescent="0.25">
      <c r="F67" s="524"/>
      <c r="G67" s="524"/>
      <c r="H67" s="524"/>
      <c r="I67" s="524"/>
      <c r="J67" s="524"/>
      <c r="O67" s="524"/>
      <c r="T67" s="524"/>
      <c r="Y67" s="524"/>
      <c r="AD67" s="524"/>
      <c r="AI67" s="524"/>
      <c r="AN67" s="524"/>
      <c r="AS67" s="524"/>
      <c r="AX67" s="524"/>
      <c r="BC67" s="524"/>
      <c r="BH67" s="524"/>
      <c r="BM67" s="524"/>
      <c r="BR67" s="524"/>
      <c r="BW67" s="524"/>
      <c r="CB67" s="524"/>
      <c r="CG67" s="524"/>
      <c r="CL67" s="524"/>
      <c r="CQ67" s="524"/>
    </row>
    <row r="68" spans="5:98" ht="13.5" customHeight="1" x14ac:dyDescent="0.25">
      <c r="E68" s="365" t="s">
        <v>643</v>
      </c>
      <c r="F68" s="524"/>
      <c r="G68" s="524"/>
      <c r="H68" s="524"/>
      <c r="I68" s="524"/>
      <c r="J68" s="524"/>
      <c r="O68" s="524"/>
      <c r="T68" s="524"/>
      <c r="Y68" s="524"/>
      <c r="AD68" s="524"/>
      <c r="AI68" s="524"/>
      <c r="AN68" s="524"/>
      <c r="AS68" s="524"/>
      <c r="AX68" s="524"/>
      <c r="BC68" s="524"/>
      <c r="BH68" s="524"/>
      <c r="BM68" s="524"/>
      <c r="BR68" s="524"/>
      <c r="BW68" s="524"/>
      <c r="CB68" s="524"/>
      <c r="CG68" s="524"/>
      <c r="CL68" s="524"/>
      <c r="CQ68" s="524"/>
    </row>
    <row r="69" spans="5:98" ht="3.75" customHeight="1" x14ac:dyDescent="0.25">
      <c r="F69" s="524"/>
      <c r="G69" s="524"/>
      <c r="H69" s="524"/>
      <c r="I69" s="524"/>
      <c r="J69" s="524"/>
      <c r="O69" s="524"/>
      <c r="T69" s="524"/>
      <c r="Y69" s="524"/>
      <c r="AD69" s="524"/>
      <c r="AI69" s="524"/>
      <c r="AN69" s="524"/>
      <c r="AS69" s="524"/>
      <c r="AX69" s="524"/>
      <c r="BC69" s="524"/>
      <c r="BH69" s="524"/>
      <c r="BM69" s="524"/>
      <c r="BR69" s="524"/>
      <c r="BW69" s="524"/>
      <c r="CB69" s="524"/>
      <c r="CG69" s="524"/>
      <c r="CL69" s="524"/>
      <c r="CQ69" s="524"/>
    </row>
    <row r="70" spans="5:98" ht="13.5" x14ac:dyDescent="0.25">
      <c r="E70" s="54" t="s">
        <v>658</v>
      </c>
      <c r="F70" s="185"/>
      <c r="G70" s="185"/>
      <c r="H70" s="185"/>
      <c r="I70" s="185"/>
      <c r="J70" s="185"/>
      <c r="K70" s="122"/>
      <c r="L70" s="122"/>
      <c r="M70" s="122"/>
      <c r="N70" s="122"/>
      <c r="O70" s="161"/>
      <c r="P70" s="122"/>
      <c r="Q70" s="122"/>
      <c r="R70" s="122"/>
      <c r="S70" s="122"/>
      <c r="T70" s="161"/>
      <c r="U70" s="122"/>
      <c r="V70" s="122"/>
      <c r="W70" s="122"/>
      <c r="X70" s="122"/>
      <c r="Y70" s="161"/>
      <c r="Z70" s="128"/>
      <c r="AA70" s="128"/>
      <c r="AB70" s="128"/>
      <c r="AC70" s="128"/>
      <c r="AD70" s="161"/>
      <c r="AE70" s="128"/>
      <c r="AF70" s="128"/>
      <c r="AG70" s="128"/>
      <c r="AH70" s="128"/>
      <c r="AI70" s="140"/>
      <c r="AJ70" s="85"/>
      <c r="AK70" s="85"/>
      <c r="AL70" s="85"/>
      <c r="AM70" s="85"/>
      <c r="AN70" s="140"/>
      <c r="AO70" s="85"/>
      <c r="AP70" s="85"/>
      <c r="AQ70" s="85"/>
      <c r="AR70" s="364"/>
      <c r="AS70" s="161"/>
      <c r="AT70" s="439"/>
      <c r="AU70" s="439"/>
      <c r="AV70" s="439"/>
      <c r="AW70" s="439"/>
      <c r="AX70" s="161"/>
      <c r="AY70" s="439"/>
      <c r="AZ70" s="439"/>
      <c r="BA70" s="439"/>
      <c r="BB70" s="439"/>
      <c r="BC70" s="161"/>
      <c r="BD70" s="439"/>
      <c r="BE70" s="439"/>
      <c r="BF70" s="439"/>
      <c r="BG70" s="439"/>
      <c r="BH70" s="161"/>
      <c r="BI70" s="439"/>
      <c r="BJ70" s="439"/>
      <c r="BK70" s="439"/>
      <c r="BL70" s="439"/>
      <c r="BM70" s="161"/>
      <c r="BN70" s="417">
        <v>-4.4290000000000003</v>
      </c>
      <c r="BO70" s="417">
        <v>1.877</v>
      </c>
      <c r="BP70" s="417">
        <v>5.9470000000000001</v>
      </c>
      <c r="BQ70" s="417">
        <v>7.7009999999999996</v>
      </c>
      <c r="BR70" s="540">
        <f>SUM(BN70:BQ70)</f>
        <v>11.096</v>
      </c>
      <c r="BS70" s="417">
        <v>11.807</v>
      </c>
      <c r="BT70" s="417">
        <v>13.129</v>
      </c>
      <c r="BU70" s="417">
        <v>16.12</v>
      </c>
      <c r="BV70" s="417">
        <v>19.423999999999999</v>
      </c>
      <c r="BW70" s="540">
        <f>SUM(BS70:BV70)</f>
        <v>60.48</v>
      </c>
      <c r="BX70" s="417">
        <v>17.619</v>
      </c>
      <c r="BY70" s="417">
        <v>19.971</v>
      </c>
      <c r="BZ70" s="417">
        <v>23.106000000000002</v>
      </c>
      <c r="CA70" s="417">
        <v>27.634</v>
      </c>
      <c r="CB70" s="540">
        <f>SUM(BX70:CA70)</f>
        <v>88.330000000000013</v>
      </c>
      <c r="CC70" s="417">
        <v>26.655000000000001</v>
      </c>
      <c r="CD70" s="417">
        <v>34.14</v>
      </c>
      <c r="CE70" s="417">
        <v>36.271000000000001</v>
      </c>
      <c r="CF70" s="417">
        <v>38.200000000000003</v>
      </c>
      <c r="CG70" s="540">
        <f>SUM(CC70:CF70)</f>
        <v>135.26600000000002</v>
      </c>
      <c r="CH70" s="631"/>
      <c r="CI70" s="631"/>
      <c r="CJ70" s="631"/>
      <c r="CK70" s="631"/>
      <c r="CL70" s="540"/>
      <c r="CM70" s="631"/>
      <c r="CN70" s="631"/>
      <c r="CO70" s="631"/>
      <c r="CP70" s="631"/>
      <c r="CQ70" s="540"/>
    </row>
    <row r="71" spans="5:98" ht="13.5" x14ac:dyDescent="0.25">
      <c r="E71" s="365" t="s">
        <v>2</v>
      </c>
      <c r="F71" s="185"/>
      <c r="G71" s="185"/>
      <c r="H71" s="185"/>
      <c r="I71" s="185"/>
      <c r="J71" s="185"/>
      <c r="K71" s="122"/>
      <c r="L71" s="122"/>
      <c r="M71" s="122"/>
      <c r="N71" s="122"/>
      <c r="O71" s="161"/>
      <c r="P71" s="122"/>
      <c r="Q71" s="122"/>
      <c r="R71" s="122"/>
      <c r="S71" s="122"/>
      <c r="T71" s="161"/>
      <c r="U71" s="122"/>
      <c r="V71" s="122"/>
      <c r="W71" s="122"/>
      <c r="X71" s="122"/>
      <c r="Y71" s="161"/>
      <c r="Z71" s="128"/>
      <c r="AA71" s="128"/>
      <c r="AB71" s="128"/>
      <c r="AC71" s="128"/>
      <c r="AD71" s="161"/>
      <c r="AE71" s="128"/>
      <c r="AF71" s="128"/>
      <c r="AG71" s="128"/>
      <c r="AH71" s="128"/>
      <c r="AI71" s="140"/>
      <c r="AJ71" s="85"/>
      <c r="AK71" s="85"/>
      <c r="AL71" s="85"/>
      <c r="AM71" s="85"/>
      <c r="AN71" s="140"/>
      <c r="AO71" s="85"/>
      <c r="AP71" s="85"/>
      <c r="AQ71" s="85"/>
      <c r="AR71" s="364"/>
      <c r="AS71" s="161"/>
      <c r="AT71" s="439"/>
      <c r="AU71" s="439"/>
      <c r="AV71" s="439"/>
      <c r="AW71" s="439"/>
      <c r="AX71" s="161"/>
      <c r="AY71" s="439"/>
      <c r="AZ71" s="439"/>
      <c r="BA71" s="439"/>
      <c r="BB71" s="439"/>
      <c r="BC71" s="161"/>
      <c r="BD71" s="439"/>
      <c r="BE71" s="439"/>
      <c r="BF71" s="439"/>
      <c r="BG71" s="439"/>
      <c r="BH71" s="161"/>
      <c r="BI71" s="439"/>
      <c r="BJ71" s="439"/>
      <c r="BK71" s="439"/>
      <c r="BL71" s="439"/>
      <c r="BM71" s="161"/>
      <c r="BN71" s="352"/>
      <c r="BO71" s="352"/>
      <c r="BP71" s="352"/>
      <c r="BQ71" s="352"/>
      <c r="BR71" s="560"/>
      <c r="BS71" s="363">
        <f t="shared" ref="BS71:CG71" si="14">(BS70-BN70)/ABS(BN70)</f>
        <v>3.6658387897945359</v>
      </c>
      <c r="BT71" s="363">
        <f t="shared" si="14"/>
        <v>5.9946723494938725</v>
      </c>
      <c r="BU71" s="363">
        <f t="shared" si="14"/>
        <v>1.7106103917941822</v>
      </c>
      <c r="BV71" s="363">
        <f t="shared" si="14"/>
        <v>1.5222698350863524</v>
      </c>
      <c r="BW71" s="525">
        <f t="shared" si="14"/>
        <v>4.4506128334534969</v>
      </c>
      <c r="BX71" s="363">
        <f t="shared" si="14"/>
        <v>0.49225035995595828</v>
      </c>
      <c r="BY71" s="363">
        <f t="shared" si="14"/>
        <v>0.5211364155685887</v>
      </c>
      <c r="BZ71" s="363">
        <f t="shared" si="14"/>
        <v>0.43337468982630273</v>
      </c>
      <c r="CA71" s="363">
        <f t="shared" si="14"/>
        <v>0.42267298187808899</v>
      </c>
      <c r="CB71" s="525">
        <f t="shared" si="14"/>
        <v>0.46048280423280452</v>
      </c>
      <c r="CC71" s="363">
        <f t="shared" si="14"/>
        <v>0.5128554401498383</v>
      </c>
      <c r="CD71" s="363">
        <f t="shared" si="14"/>
        <v>0.70947874417905965</v>
      </c>
      <c r="CE71" s="363">
        <f>(CE70-BZ70)/ABS(BZ70)</f>
        <v>0.56976542889292814</v>
      </c>
      <c r="CF71" s="363">
        <f>(CF70-CA70)/ABS(CA70)</f>
        <v>0.3823550698414997</v>
      </c>
      <c r="CG71" s="525">
        <f t="shared" si="14"/>
        <v>0.53137099513189179</v>
      </c>
      <c r="CH71" s="363"/>
      <c r="CI71" s="363"/>
      <c r="CJ71" s="363"/>
      <c r="CK71" s="363"/>
      <c r="CL71" s="525"/>
      <c r="CM71" s="363"/>
      <c r="CN71" s="363"/>
      <c r="CO71" s="363"/>
      <c r="CP71" s="363"/>
      <c r="CQ71" s="641"/>
    </row>
    <row r="72" spans="5:98" ht="13.5" x14ac:dyDescent="0.25">
      <c r="E72" s="365" t="s">
        <v>91</v>
      </c>
      <c r="F72" s="185"/>
      <c r="G72" s="185"/>
      <c r="H72" s="185"/>
      <c r="I72" s="185"/>
      <c r="J72" s="185"/>
      <c r="K72" s="122"/>
      <c r="L72" s="122"/>
      <c r="M72" s="122"/>
      <c r="N72" s="122"/>
      <c r="O72" s="161"/>
      <c r="P72" s="122"/>
      <c r="Q72" s="122"/>
      <c r="R72" s="122"/>
      <c r="S72" s="122"/>
      <c r="T72" s="161"/>
      <c r="U72" s="122"/>
      <c r="V72" s="122"/>
      <c r="W72" s="122"/>
      <c r="X72" s="122"/>
      <c r="Y72" s="161"/>
      <c r="Z72" s="128"/>
      <c r="AA72" s="128"/>
      <c r="AB72" s="128"/>
      <c r="AC72" s="128"/>
      <c r="AD72" s="161"/>
      <c r="AE72" s="128"/>
      <c r="AF72" s="128"/>
      <c r="AG72" s="128"/>
      <c r="AH72" s="128"/>
      <c r="AI72" s="140"/>
      <c r="AJ72" s="85"/>
      <c r="AK72" s="85"/>
      <c r="AL72" s="85"/>
      <c r="AM72" s="85"/>
      <c r="AN72" s="140"/>
      <c r="AO72" s="85"/>
      <c r="AP72" s="85"/>
      <c r="AQ72" s="85"/>
      <c r="AR72" s="364"/>
      <c r="AS72" s="161"/>
      <c r="AT72" s="439"/>
      <c r="AU72" s="439"/>
      <c r="AV72" s="439"/>
      <c r="AW72" s="439"/>
      <c r="AX72" s="161"/>
      <c r="AY72" s="439"/>
      <c r="AZ72" s="439"/>
      <c r="BA72" s="439"/>
      <c r="BB72" s="439"/>
      <c r="BC72" s="161"/>
      <c r="BD72" s="439"/>
      <c r="BE72" s="439"/>
      <c r="BF72" s="439"/>
      <c r="BG72" s="439"/>
      <c r="BH72" s="161"/>
      <c r="BI72" s="439"/>
      <c r="BJ72" s="439"/>
      <c r="BK72" s="439"/>
      <c r="BL72" s="439"/>
      <c r="BM72" s="161"/>
      <c r="BN72" s="352">
        <f>BN70/Connectivity!BN37</f>
        <v>-1.5644648534086896</v>
      </c>
      <c r="BO72" s="352">
        <f>BO70/Connectivity!BO37</f>
        <v>0.16086732944806309</v>
      </c>
      <c r="BP72" s="352">
        <f>BP70/Connectivity!BP37</f>
        <v>0.35795112555675934</v>
      </c>
      <c r="BQ72" s="352">
        <f>BQ70/Connectivity!BQ37</f>
        <v>0.44416887760987422</v>
      </c>
      <c r="BR72" s="560">
        <f>BR70/Connectivity!BR37</f>
        <v>0.22901488101380776</v>
      </c>
      <c r="BS72" s="352">
        <f>BS70/Connectivity!BS37</f>
        <v>0.6241145998519928</v>
      </c>
      <c r="BT72" s="352">
        <f>BT70/Connectivity!BT37</f>
        <v>0.63937859160416866</v>
      </c>
      <c r="BU72" s="352">
        <f>BU70/Connectivity!BU37</f>
        <v>0.60619735258724439</v>
      </c>
      <c r="BV72" s="352">
        <f>BV70/Connectivity!BV37</f>
        <v>0.66445455478397697</v>
      </c>
      <c r="BW72" s="560">
        <f>BW70/Connectivity!BW37</f>
        <v>0.63478069208728227</v>
      </c>
      <c r="BX72" s="352">
        <f>BX70/Connectivity!BX37</f>
        <v>0.60950634794340475</v>
      </c>
      <c r="BY72" s="352">
        <f>BY70/Connectivity!BY37</f>
        <v>0.65056355462896609</v>
      </c>
      <c r="BZ72" s="352">
        <f>BZ70/Connectivity!BZ37</f>
        <v>0.6403214632118609</v>
      </c>
      <c r="CA72" s="352">
        <f>CA70/Connectivity!CA37</f>
        <v>0.66581534309946033</v>
      </c>
      <c r="CB72" s="560">
        <f>CB70/Connectivity!CB37</f>
        <v>0.6438328206772892</v>
      </c>
      <c r="CC72" s="352">
        <f>CC70/Connectivity!CC37</f>
        <v>0.64213442543965316</v>
      </c>
      <c r="CD72" s="352">
        <f>CD70/Connectivity!CD37</f>
        <v>0.70787285658006593</v>
      </c>
      <c r="CE72" s="352">
        <f>CE70/Connectivity!CE37</f>
        <v>0.71561605997829736</v>
      </c>
      <c r="CF72" s="352">
        <f>CF70/Connectivity!CF37</f>
        <v>0.73603082851637769</v>
      </c>
      <c r="CG72" s="560">
        <f>CG70/Connectivity!CG37</f>
        <v>0.70332355816226788</v>
      </c>
      <c r="CH72" s="453"/>
      <c r="CI72" s="727"/>
      <c r="CJ72" s="727"/>
      <c r="CK72" s="727"/>
      <c r="CL72" s="560"/>
      <c r="CM72" s="727"/>
      <c r="CN72" s="453"/>
      <c r="CO72" s="453"/>
      <c r="CP72" s="453"/>
      <c r="CQ72" s="643"/>
    </row>
    <row r="73" spans="5:98" ht="3.75" customHeight="1" x14ac:dyDescent="0.25">
      <c r="E73" s="365"/>
      <c r="F73" s="185"/>
      <c r="G73" s="185"/>
      <c r="H73" s="185"/>
      <c r="I73" s="185"/>
      <c r="J73" s="185"/>
      <c r="K73" s="122"/>
      <c r="L73" s="122"/>
      <c r="M73" s="122"/>
      <c r="N73" s="122"/>
      <c r="O73" s="161"/>
      <c r="P73" s="122"/>
      <c r="Q73" s="122"/>
      <c r="R73" s="122"/>
      <c r="S73" s="122"/>
      <c r="T73" s="161"/>
      <c r="U73" s="122"/>
      <c r="V73" s="122"/>
      <c r="W73" s="122"/>
      <c r="X73" s="122"/>
      <c r="Y73" s="161"/>
      <c r="Z73" s="128"/>
      <c r="AA73" s="128"/>
      <c r="AB73" s="128"/>
      <c r="AC73" s="128"/>
      <c r="AD73" s="161"/>
      <c r="AE73" s="128"/>
      <c r="AF73" s="128"/>
      <c r="AG73" s="128"/>
      <c r="AH73" s="128"/>
      <c r="AI73" s="140"/>
      <c r="AJ73" s="85"/>
      <c r="AK73" s="85"/>
      <c r="AL73" s="85"/>
      <c r="AM73" s="85"/>
      <c r="AN73" s="140"/>
      <c r="AO73" s="85"/>
      <c r="AP73" s="85"/>
      <c r="AQ73" s="85"/>
      <c r="AR73" s="364"/>
      <c r="AS73" s="161"/>
      <c r="AT73" s="439"/>
      <c r="AU73" s="439"/>
      <c r="AV73" s="439"/>
      <c r="AW73" s="439"/>
      <c r="AX73" s="161"/>
      <c r="AY73" s="439"/>
      <c r="AZ73" s="439"/>
      <c r="BA73" s="439"/>
      <c r="BB73" s="439"/>
      <c r="BC73" s="161"/>
      <c r="BD73" s="439"/>
      <c r="BE73" s="439"/>
      <c r="BF73" s="439"/>
      <c r="BG73" s="439"/>
      <c r="BH73" s="161"/>
      <c r="BI73" s="439"/>
      <c r="BJ73" s="439"/>
      <c r="BK73" s="439"/>
      <c r="BL73" s="439"/>
      <c r="BM73" s="161"/>
      <c r="BN73" s="352"/>
      <c r="BO73" s="352"/>
      <c r="BP73" s="352"/>
      <c r="BQ73" s="352"/>
      <c r="BR73" s="643"/>
      <c r="BS73" s="352"/>
      <c r="BT73" s="352"/>
      <c r="BU73" s="352"/>
      <c r="BV73" s="352"/>
      <c r="BW73" s="643"/>
      <c r="BX73" s="352"/>
      <c r="BY73" s="352"/>
      <c r="BZ73" s="352"/>
      <c r="CA73" s="352"/>
      <c r="CB73" s="643"/>
      <c r="CC73" s="352"/>
      <c r="CD73" s="352"/>
      <c r="CE73" s="453"/>
      <c r="CF73" s="453"/>
      <c r="CG73" s="643"/>
      <c r="CH73" s="453"/>
      <c r="CI73" s="453"/>
      <c r="CJ73" s="453"/>
      <c r="CK73" s="453"/>
      <c r="CL73" s="643"/>
      <c r="CM73" s="453"/>
      <c r="CN73" s="453"/>
      <c r="CO73" s="453"/>
      <c r="CP73" s="453"/>
      <c r="CQ73" s="643"/>
    </row>
    <row r="74" spans="5:98" ht="13.5" x14ac:dyDescent="0.25">
      <c r="E74" s="54" t="s">
        <v>657</v>
      </c>
      <c r="F74" s="185"/>
      <c r="G74" s="185"/>
      <c r="H74" s="185"/>
      <c r="I74" s="185"/>
      <c r="J74" s="185"/>
      <c r="K74" s="122"/>
      <c r="L74" s="122"/>
      <c r="M74" s="122"/>
      <c r="N74" s="122"/>
      <c r="O74" s="161"/>
      <c r="P74" s="122"/>
      <c r="Q74" s="122"/>
      <c r="R74" s="122"/>
      <c r="S74" s="122"/>
      <c r="T74" s="161"/>
      <c r="U74" s="122"/>
      <c r="V74" s="122"/>
      <c r="W74" s="122"/>
      <c r="X74" s="122"/>
      <c r="Y74" s="161"/>
      <c r="Z74" s="128"/>
      <c r="AA74" s="128"/>
      <c r="AB74" s="128"/>
      <c r="AC74" s="128"/>
      <c r="AD74" s="161"/>
      <c r="AE74" s="128"/>
      <c r="AF74" s="128"/>
      <c r="AG74" s="128"/>
      <c r="AH74" s="128"/>
      <c r="AI74" s="140"/>
      <c r="AJ74" s="85"/>
      <c r="AK74" s="85"/>
      <c r="AL74" s="85"/>
      <c r="AM74" s="85"/>
      <c r="AN74" s="140"/>
      <c r="AO74" s="85"/>
      <c r="AP74" s="85"/>
      <c r="AQ74" s="85"/>
      <c r="AR74" s="364"/>
      <c r="AS74" s="161"/>
      <c r="AT74" s="439"/>
      <c r="AU74" s="439"/>
      <c r="AV74" s="439"/>
      <c r="AW74" s="439"/>
      <c r="AX74" s="161"/>
      <c r="AY74" s="439"/>
      <c r="AZ74" s="439"/>
      <c r="BA74" s="439"/>
      <c r="BB74" s="439"/>
      <c r="BC74" s="161"/>
      <c r="BD74" s="439"/>
      <c r="BE74" s="439"/>
      <c r="BF74" s="439"/>
      <c r="BG74" s="439"/>
      <c r="BH74" s="161"/>
      <c r="BI74" s="439"/>
      <c r="BJ74" s="439"/>
      <c r="BK74" s="439"/>
      <c r="BL74" s="439"/>
      <c r="BM74" s="161"/>
      <c r="BN74" s="417">
        <v>0.90200000000000002</v>
      </c>
      <c r="BO74" s="417">
        <v>0.88</v>
      </c>
      <c r="BP74" s="417">
        <v>-8.8999999999999996E-2</v>
      </c>
      <c r="BQ74" s="417">
        <v>0.53300000000000003</v>
      </c>
      <c r="BR74" s="540">
        <f>SUM(BN74:BQ74)</f>
        <v>2.226</v>
      </c>
      <c r="BS74" s="417">
        <v>0.14599999999999999</v>
      </c>
      <c r="BT74" s="417">
        <v>0.37</v>
      </c>
      <c r="BU74" s="417">
        <v>0.01</v>
      </c>
      <c r="BV74" s="417">
        <v>0.193</v>
      </c>
      <c r="BW74" s="540">
        <f>SUM(BS74:BV74)</f>
        <v>0.71900000000000008</v>
      </c>
      <c r="BX74" s="631">
        <f>BX77-BX70</f>
        <v>-4.4000000000000483E-2</v>
      </c>
      <c r="BY74" s="631">
        <f>BY77-BY70</f>
        <v>-0.12800000000000011</v>
      </c>
      <c r="BZ74" s="631">
        <f>BZ77-BZ70</f>
        <v>-1.5000000000000568E-2</v>
      </c>
      <c r="CA74" s="631">
        <f>CA77-CA70</f>
        <v>0.10869999999999891</v>
      </c>
      <c r="CB74" s="540">
        <f>SUM(BX74:CA74)</f>
        <v>-7.8300000000002257E-2</v>
      </c>
      <c r="CC74" s="631">
        <f>CC77-CC70</f>
        <v>0.86999999999999744</v>
      </c>
      <c r="CD74" s="631">
        <f>CD77-CD70</f>
        <v>1.152000000000001</v>
      </c>
      <c r="CE74" s="631">
        <f>CE77-CE70</f>
        <v>1.6430000000000007</v>
      </c>
      <c r="CF74" s="631">
        <f>CF77-CF70</f>
        <v>1.9549999999999983</v>
      </c>
      <c r="CG74" s="540">
        <f>SUM(CC74:CF74)</f>
        <v>5.6199999999999974</v>
      </c>
      <c r="CH74" s="631"/>
      <c r="CI74" s="631"/>
      <c r="CJ74" s="631"/>
      <c r="CK74" s="631"/>
      <c r="CL74" s="540"/>
      <c r="CM74" s="631"/>
      <c r="CN74" s="631"/>
      <c r="CO74" s="631"/>
      <c r="CP74" s="631"/>
      <c r="CQ74" s="540"/>
    </row>
    <row r="75" spans="5:98" ht="13.5" x14ac:dyDescent="0.25">
      <c r="E75" s="365" t="s">
        <v>2</v>
      </c>
      <c r="F75" s="185"/>
      <c r="G75" s="185"/>
      <c r="H75" s="185"/>
      <c r="I75" s="185"/>
      <c r="J75" s="185"/>
      <c r="K75" s="122"/>
      <c r="L75" s="122"/>
      <c r="M75" s="122"/>
      <c r="N75" s="122"/>
      <c r="O75" s="161"/>
      <c r="P75" s="122"/>
      <c r="Q75" s="122"/>
      <c r="R75" s="122"/>
      <c r="S75" s="122"/>
      <c r="T75" s="161"/>
      <c r="U75" s="122"/>
      <c r="V75" s="122"/>
      <c r="W75" s="122"/>
      <c r="X75" s="122"/>
      <c r="Y75" s="161"/>
      <c r="Z75" s="128"/>
      <c r="AA75" s="128"/>
      <c r="AB75" s="128"/>
      <c r="AC75" s="128"/>
      <c r="AD75" s="161"/>
      <c r="AE75" s="128"/>
      <c r="AF75" s="128"/>
      <c r="AG75" s="128"/>
      <c r="AH75" s="128"/>
      <c r="AI75" s="140"/>
      <c r="AJ75" s="85"/>
      <c r="AK75" s="85"/>
      <c r="AL75" s="85"/>
      <c r="AM75" s="85"/>
      <c r="AN75" s="140"/>
      <c r="AO75" s="85"/>
      <c r="AP75" s="85"/>
      <c r="AQ75" s="85"/>
      <c r="AR75" s="364"/>
      <c r="AS75" s="161"/>
      <c r="AT75" s="439"/>
      <c r="AU75" s="439"/>
      <c r="AV75" s="439"/>
      <c r="AW75" s="439"/>
      <c r="AX75" s="161"/>
      <c r="AY75" s="439"/>
      <c r="AZ75" s="439"/>
      <c r="BA75" s="439"/>
      <c r="BB75" s="439"/>
      <c r="BC75" s="161"/>
      <c r="BD75" s="439"/>
      <c r="BE75" s="439"/>
      <c r="BF75" s="439"/>
      <c r="BG75" s="439"/>
      <c r="BH75" s="161"/>
      <c r="BI75" s="439"/>
      <c r="BJ75" s="439"/>
      <c r="BK75" s="439"/>
      <c r="BL75" s="439"/>
      <c r="BM75" s="161"/>
      <c r="BN75" s="352"/>
      <c r="BO75" s="352"/>
      <c r="BP75" s="352"/>
      <c r="BQ75" s="352"/>
      <c r="BR75" s="560"/>
      <c r="BS75" s="363">
        <f t="shared" ref="BS75:CG75" si="15">(BS74-BN74)/ABS(BN74)</f>
        <v>-0.83813747228381374</v>
      </c>
      <c r="BT75" s="363">
        <f t="shared" si="15"/>
        <v>-0.57954545454545459</v>
      </c>
      <c r="BU75" s="363">
        <f t="shared" si="15"/>
        <v>1.1123595505617978</v>
      </c>
      <c r="BV75" s="363">
        <f t="shared" si="15"/>
        <v>-0.63789868667917449</v>
      </c>
      <c r="BW75" s="525">
        <f t="shared" si="15"/>
        <v>-0.67699910152740339</v>
      </c>
      <c r="BX75" s="363">
        <f t="shared" si="15"/>
        <v>-1.3013698630137021</v>
      </c>
      <c r="BY75" s="363">
        <f t="shared" si="15"/>
        <v>-1.3459459459459462</v>
      </c>
      <c r="BZ75" s="363">
        <f t="shared" si="15"/>
        <v>-2.5000000000000568</v>
      </c>
      <c r="CA75" s="363">
        <f t="shared" si="15"/>
        <v>-0.43678756476684505</v>
      </c>
      <c r="CB75" s="525">
        <f t="shared" si="15"/>
        <v>-1.1089012517385288</v>
      </c>
      <c r="CC75" s="363">
        <f t="shared" si="15"/>
        <v>20.772727272726996</v>
      </c>
      <c r="CD75" s="363">
        <f t="shared" si="15"/>
        <v>10</v>
      </c>
      <c r="CE75" s="363">
        <f>(CE74-BZ74)/ABS(BZ74)</f>
        <v>110.53333333332922</v>
      </c>
      <c r="CF75" s="363">
        <f>(CF74-CA74)/ABS(CA74)</f>
        <v>16.985280588776615</v>
      </c>
      <c r="CG75" s="525">
        <f t="shared" si="15"/>
        <v>72.775223499359328</v>
      </c>
      <c r="CH75" s="363"/>
      <c r="CI75" s="363"/>
      <c r="CJ75" s="363"/>
      <c r="CK75" s="363"/>
      <c r="CL75" s="525"/>
      <c r="CM75" s="363"/>
      <c r="CN75" s="363"/>
      <c r="CO75" s="363"/>
      <c r="CP75" s="363"/>
      <c r="CQ75" s="641"/>
    </row>
    <row r="76" spans="5:98" ht="13.5" x14ac:dyDescent="0.25">
      <c r="E76" s="365" t="s">
        <v>91</v>
      </c>
      <c r="F76" s="185"/>
      <c r="G76" s="185"/>
      <c r="H76" s="185"/>
      <c r="I76" s="185"/>
      <c r="J76" s="185"/>
      <c r="K76" s="122"/>
      <c r="L76" s="122"/>
      <c r="M76" s="122"/>
      <c r="N76" s="122"/>
      <c r="O76" s="161"/>
      <c r="P76" s="122"/>
      <c r="Q76" s="122"/>
      <c r="R76" s="122"/>
      <c r="S76" s="122"/>
      <c r="T76" s="161"/>
      <c r="U76" s="122"/>
      <c r="V76" s="122"/>
      <c r="W76" s="122"/>
      <c r="X76" s="122"/>
      <c r="Y76" s="161"/>
      <c r="Z76" s="128"/>
      <c r="AA76" s="128"/>
      <c r="AB76" s="128"/>
      <c r="AC76" s="128"/>
      <c r="AD76" s="161"/>
      <c r="AE76" s="128"/>
      <c r="AF76" s="128"/>
      <c r="AG76" s="128"/>
      <c r="AH76" s="128"/>
      <c r="AI76" s="140"/>
      <c r="AJ76" s="85"/>
      <c r="AK76" s="85"/>
      <c r="AL76" s="85"/>
      <c r="AM76" s="85"/>
      <c r="AN76" s="140"/>
      <c r="AO76" s="85"/>
      <c r="AP76" s="85"/>
      <c r="AQ76" s="85"/>
      <c r="AR76" s="364"/>
      <c r="AS76" s="161"/>
      <c r="AT76" s="439"/>
      <c r="AU76" s="439"/>
      <c r="AV76" s="439"/>
      <c r="AW76" s="439"/>
      <c r="AX76" s="161"/>
      <c r="AY76" s="439"/>
      <c r="AZ76" s="439"/>
      <c r="BA76" s="439"/>
      <c r="BB76" s="439"/>
      <c r="BC76" s="161"/>
      <c r="BD76" s="439"/>
      <c r="BE76" s="439"/>
      <c r="BF76" s="439"/>
      <c r="BG76" s="439"/>
      <c r="BH76" s="161"/>
      <c r="BI76" s="439"/>
      <c r="BJ76" s="439"/>
      <c r="BK76" s="439"/>
      <c r="BL76" s="439"/>
      <c r="BM76" s="161"/>
      <c r="BN76" s="352">
        <f>BN74/Connectivity!BN41</f>
        <v>0.60013306719893567</v>
      </c>
      <c r="BO76" s="352">
        <f>BO74/Connectivity!BO41</f>
        <v>0.48780487804878042</v>
      </c>
      <c r="BP76" s="352">
        <f>BP74/Connectivity!BP41</f>
        <v>-6.8672839506172867E-2</v>
      </c>
      <c r="BQ76" s="352">
        <f>BQ74/Connectivity!BQ41</f>
        <v>0.27789363920750793</v>
      </c>
      <c r="BR76" s="560">
        <f>BR74/Connectivity!BR41</f>
        <v>0.34135868731789609</v>
      </c>
      <c r="BS76" s="352">
        <f>BS74/Connectivity!BS41</f>
        <v>8.583186360964136E-2</v>
      </c>
      <c r="BT76" s="352">
        <f>BT74/Connectivity!BT41</f>
        <v>0.21637426900584783</v>
      </c>
      <c r="BU76" s="352">
        <f>BU74/Connectivity!BU41</f>
        <v>5.4644808743169347E-3</v>
      </c>
      <c r="BV76" s="352">
        <f>BV74/Connectivity!BV41</f>
        <v>9.887295081967222E-2</v>
      </c>
      <c r="BW76" s="560">
        <f>BW74/Connectivity!BW41</f>
        <v>9.9958292784651737E-2</v>
      </c>
      <c r="BX76" s="352">
        <f>BX74/Connectivity!BX41</f>
        <v>-1.8069815195072076E-2</v>
      </c>
      <c r="BY76" s="352">
        <f>BY74/Connectivity!BY41</f>
        <v>-5.4145516074450194E-2</v>
      </c>
      <c r="BZ76" s="352">
        <f>BZ74/Connectivity!BZ41</f>
        <v>-5.658242172765217E-3</v>
      </c>
      <c r="CA76" s="352">
        <f>CA74/Connectivity!CA41</f>
        <v>4.0274175620599741E-2</v>
      </c>
      <c r="CB76" s="560">
        <f>CB74/Connectivity!CB41</f>
        <v>-7.7150458173221277E-3</v>
      </c>
      <c r="CC76" s="352">
        <f>CC74/Connectivity!CC41</f>
        <v>0.23667029379760526</v>
      </c>
      <c r="CD76" s="352">
        <f>CD74/Connectivity!CD41</f>
        <v>0.27725631768953085</v>
      </c>
      <c r="CE76" s="352">
        <f>CE74/Connectivity!CE41</f>
        <v>0.31040997543925958</v>
      </c>
      <c r="CF76" s="352">
        <f>CF74/Connectivity!CF41</f>
        <v>0.35206194849630773</v>
      </c>
      <c r="CG76" s="560">
        <f>CG74/Connectivity!CG41</f>
        <v>0.30090485624029528</v>
      </c>
      <c r="CH76" s="453"/>
      <c r="CI76" s="727"/>
      <c r="CJ76" s="727"/>
      <c r="CK76" s="727"/>
      <c r="CL76" s="560"/>
      <c r="CM76" s="453"/>
      <c r="CN76" s="727"/>
      <c r="CO76" s="727"/>
      <c r="CP76" s="727"/>
      <c r="CQ76" s="643"/>
    </row>
    <row r="77" spans="5:98" ht="13.5" x14ac:dyDescent="0.25">
      <c r="E77" s="564" t="s">
        <v>695</v>
      </c>
      <c r="F77" s="565"/>
      <c r="G77" s="565"/>
      <c r="H77" s="565"/>
      <c r="I77" s="565"/>
      <c r="J77" s="565"/>
      <c r="K77" s="565"/>
      <c r="L77" s="565"/>
      <c r="M77" s="565"/>
      <c r="N77" s="565"/>
      <c r="O77" s="566"/>
      <c r="P77" s="565"/>
      <c r="Q77" s="565"/>
      <c r="R77" s="565"/>
      <c r="S77" s="565"/>
      <c r="T77" s="566"/>
      <c r="U77" s="565"/>
      <c r="V77" s="565"/>
      <c r="W77" s="565"/>
      <c r="X77" s="565"/>
      <c r="Y77" s="566"/>
      <c r="Z77" s="567"/>
      <c r="AA77" s="567"/>
      <c r="AB77" s="567"/>
      <c r="AC77" s="567"/>
      <c r="AD77" s="566"/>
      <c r="AE77" s="567"/>
      <c r="AF77" s="567"/>
      <c r="AG77" s="567"/>
      <c r="AH77" s="567"/>
      <c r="AI77" s="513"/>
      <c r="AJ77" s="568"/>
      <c r="AK77" s="568"/>
      <c r="AL77" s="568"/>
      <c r="AM77" s="568"/>
      <c r="AN77" s="513"/>
      <c r="AO77" s="568"/>
      <c r="AP77" s="568"/>
      <c r="AQ77" s="568"/>
      <c r="AR77" s="565"/>
      <c r="AS77" s="566"/>
      <c r="AT77" s="566"/>
      <c r="AU77" s="566"/>
      <c r="AV77" s="566"/>
      <c r="AW77" s="566"/>
      <c r="AX77" s="566"/>
      <c r="AY77" s="566"/>
      <c r="AZ77" s="566"/>
      <c r="BA77" s="566"/>
      <c r="BB77" s="566"/>
      <c r="BC77" s="566"/>
      <c r="BD77" s="566"/>
      <c r="BE77" s="566"/>
      <c r="BF77" s="566"/>
      <c r="BG77" s="566"/>
      <c r="BH77" s="566"/>
      <c r="BI77" s="566"/>
      <c r="BJ77" s="566"/>
      <c r="BK77" s="566"/>
      <c r="BL77" s="566"/>
      <c r="BM77" s="566"/>
      <c r="BN77" s="545">
        <v>-3.5270000000000001</v>
      </c>
      <c r="BO77" s="545">
        <v>2.7570000000000001</v>
      </c>
      <c r="BP77" s="545">
        <v>5.8579999999999997</v>
      </c>
      <c r="BQ77" s="545">
        <v>8.234</v>
      </c>
      <c r="BR77" s="540">
        <f>SUM(BN77:BQ77)</f>
        <v>13.321999999999999</v>
      </c>
      <c r="BS77" s="545">
        <v>11.952999999999999</v>
      </c>
      <c r="BT77" s="545">
        <v>13.499000000000001</v>
      </c>
      <c r="BU77" s="545">
        <v>16.13</v>
      </c>
      <c r="BV77" s="545">
        <v>19.617000000000001</v>
      </c>
      <c r="BW77" s="540">
        <f>SUM(BS77:BV77)</f>
        <v>61.198999999999998</v>
      </c>
      <c r="BX77" s="545">
        <v>17.574999999999999</v>
      </c>
      <c r="BY77" s="545">
        <v>19.843</v>
      </c>
      <c r="BZ77" s="545">
        <v>23.091000000000001</v>
      </c>
      <c r="CA77" s="545">
        <v>27.742699999999999</v>
      </c>
      <c r="CB77" s="540">
        <f>SUM(BX77:CA77)</f>
        <v>88.2517</v>
      </c>
      <c r="CC77" s="545">
        <v>27.524999999999999</v>
      </c>
      <c r="CD77" s="545">
        <v>35.292000000000002</v>
      </c>
      <c r="CE77" s="545">
        <v>37.914000000000001</v>
      </c>
      <c r="CF77" s="545">
        <v>40.155000000000001</v>
      </c>
      <c r="CG77" s="540">
        <f>SUM(CC77:CF77)</f>
        <v>140.886</v>
      </c>
      <c r="CH77" s="536"/>
      <c r="CI77" s="536"/>
      <c r="CJ77" s="536"/>
      <c r="CK77" s="536"/>
      <c r="CL77" s="540"/>
      <c r="CM77" s="642"/>
      <c r="CN77" s="642"/>
      <c r="CO77" s="642"/>
      <c r="CP77" s="642"/>
      <c r="CQ77" s="540"/>
      <c r="CS77" s="721"/>
      <c r="CT77" s="721"/>
    </row>
    <row r="78" spans="5:98" ht="13.5" x14ac:dyDescent="0.25">
      <c r="E78" s="560" t="s">
        <v>2</v>
      </c>
      <c r="F78" s="565"/>
      <c r="G78" s="565"/>
      <c r="H78" s="565"/>
      <c r="I78" s="565"/>
      <c r="J78" s="565"/>
      <c r="K78" s="565"/>
      <c r="L78" s="565"/>
      <c r="M78" s="565"/>
      <c r="N78" s="565"/>
      <c r="O78" s="566"/>
      <c r="P78" s="565"/>
      <c r="Q78" s="565"/>
      <c r="R78" s="565"/>
      <c r="S78" s="565"/>
      <c r="T78" s="566"/>
      <c r="U78" s="565"/>
      <c r="V78" s="565"/>
      <c r="W78" s="565"/>
      <c r="X78" s="565"/>
      <c r="Y78" s="566"/>
      <c r="Z78" s="567"/>
      <c r="AA78" s="567"/>
      <c r="AB78" s="567"/>
      <c r="AC78" s="567"/>
      <c r="AD78" s="566"/>
      <c r="AE78" s="567"/>
      <c r="AF78" s="567"/>
      <c r="AG78" s="567"/>
      <c r="AH78" s="567"/>
      <c r="AI78" s="513"/>
      <c r="AJ78" s="568"/>
      <c r="AK78" s="568"/>
      <c r="AL78" s="568"/>
      <c r="AM78" s="568"/>
      <c r="AN78" s="513"/>
      <c r="AO78" s="568"/>
      <c r="AP78" s="568"/>
      <c r="AQ78" s="568"/>
      <c r="AR78" s="565"/>
      <c r="AS78" s="566"/>
      <c r="AT78" s="566"/>
      <c r="AU78" s="566"/>
      <c r="AV78" s="566"/>
      <c r="AW78" s="566"/>
      <c r="AX78" s="566"/>
      <c r="AY78" s="566"/>
      <c r="AZ78" s="566"/>
      <c r="BA78" s="566"/>
      <c r="BB78" s="566"/>
      <c r="BC78" s="566"/>
      <c r="BD78" s="566"/>
      <c r="BE78" s="566"/>
      <c r="BF78" s="566"/>
      <c r="BG78" s="566"/>
      <c r="BH78" s="566"/>
      <c r="BI78" s="566"/>
      <c r="BJ78" s="566"/>
      <c r="BK78" s="566"/>
      <c r="BL78" s="566"/>
      <c r="BM78" s="566"/>
      <c r="BN78" s="513"/>
      <c r="BO78" s="513"/>
      <c r="BP78" s="513"/>
      <c r="BQ78" s="513"/>
      <c r="BR78" s="566"/>
      <c r="BS78" s="525">
        <f>(BS77-BN77)/ABS(BN77)</f>
        <v>4.388999149418769</v>
      </c>
      <c r="BT78" s="560">
        <f t="shared" ref="BT78:CG78" si="16">BT77/BO77-1</f>
        <v>3.8962640551323906</v>
      </c>
      <c r="BU78" s="560">
        <f t="shared" si="16"/>
        <v>1.7534994878798225</v>
      </c>
      <c r="BV78" s="560">
        <f t="shared" si="16"/>
        <v>1.3824386689336898</v>
      </c>
      <c r="BW78" s="560">
        <f t="shared" si="16"/>
        <v>3.5938297552919982</v>
      </c>
      <c r="BX78" s="560">
        <f t="shared" si="16"/>
        <v>0.47034217351292562</v>
      </c>
      <c r="BY78" s="560">
        <f t="shared" si="16"/>
        <v>0.46996073783243197</v>
      </c>
      <c r="BZ78" s="560">
        <f t="shared" si="16"/>
        <v>0.43155610663360222</v>
      </c>
      <c r="CA78" s="560">
        <f t="shared" si="16"/>
        <v>0.41421726053932795</v>
      </c>
      <c r="CB78" s="525">
        <f t="shared" si="16"/>
        <v>0.44204480465367091</v>
      </c>
      <c r="CC78" s="560">
        <f t="shared" si="16"/>
        <v>0.56614509246088196</v>
      </c>
      <c r="CD78" s="560">
        <f t="shared" si="16"/>
        <v>0.77856170941893876</v>
      </c>
      <c r="CE78" s="560">
        <f t="shared" si="16"/>
        <v>0.64193841756528514</v>
      </c>
      <c r="CF78" s="560">
        <f>CF77/CA77-1</f>
        <v>0.44740778655285895</v>
      </c>
      <c r="CG78" s="525">
        <f t="shared" si="16"/>
        <v>0.59641117394905696</v>
      </c>
      <c r="CH78" s="560"/>
      <c r="CI78" s="560"/>
      <c r="CJ78" s="560"/>
      <c r="CK78" s="560"/>
      <c r="CL78" s="525"/>
      <c r="CM78" s="643"/>
      <c r="CN78" s="643"/>
      <c r="CO78" s="643"/>
      <c r="CP78" s="643"/>
      <c r="CQ78" s="641"/>
    </row>
    <row r="79" spans="5:98" ht="13.5" x14ac:dyDescent="0.25">
      <c r="E79" s="560" t="s">
        <v>91</v>
      </c>
      <c r="F79" s="565"/>
      <c r="G79" s="565"/>
      <c r="H79" s="565"/>
      <c r="I79" s="565"/>
      <c r="J79" s="565"/>
      <c r="K79" s="565"/>
      <c r="L79" s="565"/>
      <c r="M79" s="565"/>
      <c r="N79" s="565"/>
      <c r="O79" s="566"/>
      <c r="P79" s="565"/>
      <c r="Q79" s="565"/>
      <c r="R79" s="565"/>
      <c r="S79" s="565"/>
      <c r="T79" s="566"/>
      <c r="U79" s="565"/>
      <c r="V79" s="565"/>
      <c r="W79" s="565"/>
      <c r="X79" s="565"/>
      <c r="Y79" s="566"/>
      <c r="Z79" s="567"/>
      <c r="AA79" s="567"/>
      <c r="AB79" s="567"/>
      <c r="AC79" s="567"/>
      <c r="AD79" s="566"/>
      <c r="AE79" s="567"/>
      <c r="AF79" s="567"/>
      <c r="AG79" s="567"/>
      <c r="AH79" s="567"/>
      <c r="AI79" s="513"/>
      <c r="AJ79" s="568"/>
      <c r="AK79" s="568"/>
      <c r="AL79" s="568"/>
      <c r="AM79" s="568"/>
      <c r="AN79" s="513"/>
      <c r="AO79" s="568"/>
      <c r="AP79" s="568"/>
      <c r="AQ79" s="568"/>
      <c r="AR79" s="565"/>
      <c r="AS79" s="566"/>
      <c r="AT79" s="566"/>
      <c r="AU79" s="566"/>
      <c r="AV79" s="566"/>
      <c r="AW79" s="566"/>
      <c r="AX79" s="566"/>
      <c r="AY79" s="566"/>
      <c r="AZ79" s="566"/>
      <c r="BA79" s="566"/>
      <c r="BB79" s="566"/>
      <c r="BC79" s="566"/>
      <c r="BD79" s="566"/>
      <c r="BE79" s="566"/>
      <c r="BF79" s="566"/>
      <c r="BG79" s="566"/>
      <c r="BH79" s="566"/>
      <c r="BI79" s="566"/>
      <c r="BJ79" s="566"/>
      <c r="BK79" s="566"/>
      <c r="BL79" s="566"/>
      <c r="BM79" s="566"/>
      <c r="BN79" s="560">
        <f>BN77/Connectivity!BN45</f>
        <v>-0.81379787724965402</v>
      </c>
      <c r="BO79" s="560">
        <f>BO77/Connectivity!BO45</f>
        <v>0.20464667458432306</v>
      </c>
      <c r="BP79" s="560">
        <f>BP77/Connectivity!BP45</f>
        <v>0.32707984366275822</v>
      </c>
      <c r="BQ79" s="560">
        <f>BQ77/Connectivity!BQ45</f>
        <v>0.42760697964270877</v>
      </c>
      <c r="BR79" s="560">
        <f>BR77/Connectivity!BR45</f>
        <v>0.2423415557010842</v>
      </c>
      <c r="BS79" s="560">
        <f>BS77/Connectivity!BS45</f>
        <v>0.57970803627722001</v>
      </c>
      <c r="BT79" s="560">
        <f>BT77/Connectivity!BT45</f>
        <v>0.60686027692861</v>
      </c>
      <c r="BU79" s="560">
        <f>BU77/Connectivity!BU45</f>
        <v>0.56751811976637812</v>
      </c>
      <c r="BV79" s="560">
        <f>BV77/Connectivity!BV45</f>
        <v>0.62905242905242909</v>
      </c>
      <c r="BW79" s="560">
        <f>BW77/Connectivity!BW45</f>
        <v>0.59723821606323801</v>
      </c>
      <c r="BX79" s="560">
        <f>BX77/Connectivity!BX45</f>
        <v>0.56074915448918383</v>
      </c>
      <c r="BY79" s="560">
        <f>BY77/Connectivity!BY45</f>
        <v>0.60017542798378809</v>
      </c>
      <c r="BZ79" s="560">
        <f>BZ77/Connectivity!BZ45</f>
        <v>0.5961121437422553</v>
      </c>
      <c r="CA79" s="560">
        <f>CA77/Connectivity!CA45</f>
        <v>0.62762029726489144</v>
      </c>
      <c r="CB79" s="560">
        <f>CB77/Connectivity!CB45</f>
        <v>0.59895414101789701</v>
      </c>
      <c r="CC79" s="560">
        <f>CC77/Connectivity!CC45</f>
        <v>0.60914885141415476</v>
      </c>
      <c r="CD79" s="560">
        <f>CD77/Connectivity!CD45</f>
        <v>0.67371716554673189</v>
      </c>
      <c r="CE79" s="560">
        <f>CE77/Connectivity!CE45</f>
        <v>0.6773017971345886</v>
      </c>
      <c r="CF79" s="560">
        <f>CF77/Connectivity!CF45</f>
        <v>0.6989191164952222</v>
      </c>
      <c r="CG79" s="560">
        <f>CG77/Connectivity!CG45</f>
        <v>0.66770299666826216</v>
      </c>
      <c r="CH79" s="560"/>
      <c r="CI79" s="560"/>
      <c r="CJ79" s="560"/>
      <c r="CK79" s="560"/>
      <c r="CL79" s="560"/>
      <c r="CM79" s="643"/>
      <c r="CN79" s="643"/>
      <c r="CO79" s="643"/>
      <c r="CP79" s="643"/>
      <c r="CQ79" s="643"/>
    </row>
    <row r="80" spans="5:98" ht="3.75" customHeight="1" x14ac:dyDescent="0.25">
      <c r="F80" s="565"/>
      <c r="G80" s="565"/>
      <c r="H80" s="565"/>
      <c r="I80" s="565"/>
      <c r="J80" s="565"/>
      <c r="O80" s="565"/>
      <c r="T80" s="565"/>
      <c r="Y80" s="565"/>
      <c r="AD80" s="565"/>
      <c r="AI80" s="565"/>
      <c r="AN80" s="565"/>
      <c r="AS80" s="565"/>
      <c r="AX80" s="565"/>
      <c r="BC80" s="565"/>
      <c r="BH80" s="565"/>
      <c r="BM80" s="565"/>
      <c r="BR80" s="565"/>
      <c r="BW80" s="565"/>
      <c r="CB80" s="565"/>
      <c r="CG80" s="565"/>
      <c r="CL80" s="565"/>
      <c r="CQ80" s="565"/>
    </row>
    <row r="81" spans="5:98" ht="13.5" customHeight="1" x14ac:dyDescent="0.25">
      <c r="E81" s="365" t="s">
        <v>299</v>
      </c>
      <c r="F81" s="565"/>
      <c r="G81" s="565"/>
      <c r="H81" s="565"/>
      <c r="I81" s="565"/>
      <c r="J81" s="565"/>
      <c r="O81" s="565"/>
      <c r="T81" s="565"/>
      <c r="Y81" s="565"/>
      <c r="AD81" s="565"/>
      <c r="AI81" s="565"/>
      <c r="AN81" s="565"/>
      <c r="AS81" s="565"/>
      <c r="AX81" s="565"/>
      <c r="BC81" s="565"/>
      <c r="BH81" s="565"/>
      <c r="BM81" s="565"/>
      <c r="BR81" s="565"/>
      <c r="BW81" s="565"/>
      <c r="CB81" s="565"/>
      <c r="CG81" s="565"/>
      <c r="CL81" s="565"/>
      <c r="CQ81" s="565"/>
    </row>
    <row r="82" spans="5:98" ht="3.75" customHeight="1" x14ac:dyDescent="0.25">
      <c r="F82" s="565"/>
      <c r="G82" s="565"/>
      <c r="H82" s="565"/>
      <c r="I82" s="565"/>
      <c r="J82" s="565"/>
      <c r="O82" s="565"/>
      <c r="T82" s="565"/>
      <c r="Y82" s="565"/>
      <c r="AD82" s="565"/>
      <c r="AI82" s="565"/>
      <c r="AN82" s="565"/>
      <c r="AS82" s="565"/>
      <c r="AX82" s="565"/>
      <c r="BC82" s="565"/>
      <c r="BH82" s="565"/>
      <c r="BM82" s="565"/>
      <c r="BR82" s="565"/>
      <c r="BW82" s="565"/>
      <c r="CB82" s="565"/>
      <c r="CG82" s="565"/>
      <c r="CL82" s="565"/>
      <c r="CQ82" s="565"/>
    </row>
    <row r="83" spans="5:98" ht="13.5" x14ac:dyDescent="0.25">
      <c r="E83" s="54" t="s">
        <v>658</v>
      </c>
      <c r="F83" s="185"/>
      <c r="G83" s="185"/>
      <c r="H83" s="185"/>
      <c r="I83" s="185"/>
      <c r="J83" s="185"/>
      <c r="K83" s="122"/>
      <c r="L83" s="122"/>
      <c r="M83" s="122"/>
      <c r="N83" s="122"/>
      <c r="O83" s="161"/>
      <c r="P83" s="122"/>
      <c r="Q83" s="122"/>
      <c r="R83" s="122"/>
      <c r="S83" s="122"/>
      <c r="T83" s="161"/>
      <c r="U83" s="122"/>
      <c r="V83" s="122"/>
      <c r="W83" s="122"/>
      <c r="X83" s="122"/>
      <c r="Y83" s="161"/>
      <c r="Z83" s="128"/>
      <c r="AA83" s="128"/>
      <c r="AB83" s="128"/>
      <c r="AC83" s="128"/>
      <c r="AD83" s="161"/>
      <c r="AE83" s="128"/>
      <c r="AF83" s="128"/>
      <c r="AG83" s="128"/>
      <c r="AH83" s="128"/>
      <c r="AI83" s="140"/>
      <c r="AJ83" s="85"/>
      <c r="AK83" s="85"/>
      <c r="AL83" s="85"/>
      <c r="AM83" s="85"/>
      <c r="AN83" s="140"/>
      <c r="AO83" s="85"/>
      <c r="AP83" s="85"/>
      <c r="AQ83" s="85"/>
      <c r="AR83" s="364"/>
      <c r="AS83" s="161"/>
      <c r="AT83" s="439"/>
      <c r="AU83" s="439"/>
      <c r="AV83" s="439"/>
      <c r="AW83" s="439"/>
      <c r="AX83" s="161"/>
      <c r="AY83" s="439"/>
      <c r="AZ83" s="439"/>
      <c r="BA83" s="439"/>
      <c r="BB83" s="439"/>
      <c r="BC83" s="161"/>
      <c r="BD83" s="439"/>
      <c r="BE83" s="439"/>
      <c r="BF83" s="439"/>
      <c r="BG83" s="439"/>
      <c r="BH83" s="161"/>
      <c r="BI83" s="439"/>
      <c r="BJ83" s="439"/>
      <c r="BK83" s="439"/>
      <c r="BL83" s="439"/>
      <c r="BM83" s="161"/>
      <c r="BN83" s="417">
        <v>-14.420999999999999</v>
      </c>
      <c r="BO83" s="417">
        <v>-12.07</v>
      </c>
      <c r="BP83" s="417">
        <v>-7.1040000000000001</v>
      </c>
      <c r="BQ83" s="417">
        <v>-6.0270000000000001</v>
      </c>
      <c r="BR83" s="540">
        <f>SUM(BN83:BQ83)</f>
        <v>-39.622</v>
      </c>
      <c r="BS83" s="417">
        <v>2.3E-2</v>
      </c>
      <c r="BT83" s="417">
        <v>-0.26500000000000001</v>
      </c>
      <c r="BU83" s="417">
        <v>0.14899999999999999</v>
      </c>
      <c r="BV83" s="417">
        <v>0.23200000000000001</v>
      </c>
      <c r="BW83" s="540">
        <f>SUM(BS83:BV83)</f>
        <v>0.13899999999999998</v>
      </c>
      <c r="BX83" s="417">
        <v>2.4849999999999999</v>
      </c>
      <c r="BY83" s="417">
        <v>4.0869999999999997</v>
      </c>
      <c r="BZ83" s="417">
        <v>4.46</v>
      </c>
      <c r="CA83" s="417">
        <v>4.4059999999999997</v>
      </c>
      <c r="CB83" s="540">
        <f>SUM(BX83:CA83)</f>
        <v>15.437999999999999</v>
      </c>
      <c r="CC83" s="417">
        <v>2.7429999999999999</v>
      </c>
      <c r="CD83" s="417">
        <v>8.4949999999999992</v>
      </c>
      <c r="CE83" s="417">
        <v>8.8689999999999998</v>
      </c>
      <c r="CF83" s="417">
        <v>8.4</v>
      </c>
      <c r="CG83" s="540">
        <f>SUM(CC83:CF83)</f>
        <v>28.506999999999998</v>
      </c>
      <c r="CH83" s="631"/>
      <c r="CI83" s="631"/>
      <c r="CJ83" s="631"/>
      <c r="CK83" s="631"/>
      <c r="CL83" s="540"/>
      <c r="CM83" s="631"/>
      <c r="CN83" s="631"/>
      <c r="CO83" s="631"/>
      <c r="CP83" s="631"/>
      <c r="CQ83" s="540"/>
    </row>
    <row r="84" spans="5:98" ht="13.5" x14ac:dyDescent="0.25">
      <c r="E84" s="365" t="s">
        <v>2</v>
      </c>
      <c r="F84" s="185"/>
      <c r="G84" s="185"/>
      <c r="H84" s="185"/>
      <c r="I84" s="185"/>
      <c r="J84" s="185"/>
      <c r="K84" s="122"/>
      <c r="L84" s="122"/>
      <c r="M84" s="122"/>
      <c r="N84" s="122"/>
      <c r="O84" s="161"/>
      <c r="P84" s="122"/>
      <c r="Q84" s="122"/>
      <c r="R84" s="122"/>
      <c r="S84" s="122"/>
      <c r="T84" s="161"/>
      <c r="U84" s="122"/>
      <c r="V84" s="122"/>
      <c r="W84" s="122"/>
      <c r="X84" s="122"/>
      <c r="Y84" s="161"/>
      <c r="Z84" s="128"/>
      <c r="AA84" s="128"/>
      <c r="AB84" s="128"/>
      <c r="AC84" s="128"/>
      <c r="AD84" s="161"/>
      <c r="AE84" s="128"/>
      <c r="AF84" s="128"/>
      <c r="AG84" s="128"/>
      <c r="AH84" s="128"/>
      <c r="AI84" s="140"/>
      <c r="AJ84" s="85"/>
      <c r="AK84" s="85"/>
      <c r="AL84" s="85"/>
      <c r="AM84" s="85"/>
      <c r="AN84" s="140"/>
      <c r="AO84" s="85"/>
      <c r="AP84" s="85"/>
      <c r="AQ84" s="85"/>
      <c r="AR84" s="364"/>
      <c r="AS84" s="161"/>
      <c r="AT84" s="439"/>
      <c r="AU84" s="439"/>
      <c r="AV84" s="439"/>
      <c r="AW84" s="439"/>
      <c r="AX84" s="161"/>
      <c r="AY84" s="439"/>
      <c r="AZ84" s="439"/>
      <c r="BA84" s="439"/>
      <c r="BB84" s="439"/>
      <c r="BC84" s="161"/>
      <c r="BD84" s="439"/>
      <c r="BE84" s="439"/>
      <c r="BF84" s="439"/>
      <c r="BG84" s="439"/>
      <c r="BH84" s="161"/>
      <c r="BI84" s="439"/>
      <c r="BJ84" s="439"/>
      <c r="BK84" s="439"/>
      <c r="BL84" s="439"/>
      <c r="BM84" s="161"/>
      <c r="BN84" s="363"/>
      <c r="BO84" s="352"/>
      <c r="BP84" s="352"/>
      <c r="BQ84" s="352"/>
      <c r="BR84" s="32" t="e">
        <f>BR83/BM83-1</f>
        <v>#DIV/0!</v>
      </c>
      <c r="BS84" s="363">
        <f t="shared" ref="BS84:CC84" si="17">(BS83-BN83)/ABS(BN83)</f>
        <v>1.0015948963317385</v>
      </c>
      <c r="BT84" s="363">
        <f t="shared" si="17"/>
        <v>0.97804473902236944</v>
      </c>
      <c r="BU84" s="363">
        <f t="shared" si="17"/>
        <v>1.0209740990990992</v>
      </c>
      <c r="BV84" s="363">
        <f t="shared" si="17"/>
        <v>1.0384934461589514</v>
      </c>
      <c r="BW84" s="32">
        <f t="shared" si="17"/>
        <v>1.0035081520367473</v>
      </c>
      <c r="BX84" s="363">
        <f t="shared" si="17"/>
        <v>107.04347826086956</v>
      </c>
      <c r="BY84" s="363">
        <f t="shared" si="17"/>
        <v>16.422641509433959</v>
      </c>
      <c r="BZ84" s="363">
        <f t="shared" si="17"/>
        <v>28.932885906040269</v>
      </c>
      <c r="CA84" s="363">
        <f t="shared" si="17"/>
        <v>17.991379310344826</v>
      </c>
      <c r="CB84" s="32">
        <f t="shared" si="17"/>
        <v>110.06474820143886</v>
      </c>
      <c r="CC84" s="363">
        <f t="shared" si="17"/>
        <v>0.10382293762575454</v>
      </c>
      <c r="CD84" s="352">
        <f>CD83/BY83-1</f>
        <v>1.0785417176413015</v>
      </c>
      <c r="CE84" s="352">
        <f>CE83/BZ83-1</f>
        <v>0.98856502242152455</v>
      </c>
      <c r="CF84" s="352">
        <f>CF83/CA83-1</f>
        <v>0.90649114843395395</v>
      </c>
      <c r="CG84" s="32">
        <f>CG83/CB83-1</f>
        <v>0.84654748024355486</v>
      </c>
      <c r="CH84" s="363"/>
      <c r="CI84" s="363"/>
      <c r="CJ84" s="363"/>
      <c r="CK84" s="363"/>
      <c r="CL84" s="32"/>
      <c r="CM84" s="363"/>
      <c r="CN84" s="363"/>
      <c r="CO84" s="363"/>
      <c r="CP84" s="363"/>
      <c r="CQ84" s="32"/>
    </row>
    <row r="85" spans="5:98" ht="13.5" x14ac:dyDescent="0.25">
      <c r="E85" s="365" t="s">
        <v>91</v>
      </c>
      <c r="F85" s="185"/>
      <c r="G85" s="185"/>
      <c r="H85" s="185"/>
      <c r="I85" s="185"/>
      <c r="J85" s="185"/>
      <c r="K85" s="122"/>
      <c r="L85" s="122"/>
      <c r="M85" s="122"/>
      <c r="N85" s="122"/>
      <c r="O85" s="161"/>
      <c r="P85" s="122"/>
      <c r="Q85" s="122"/>
      <c r="R85" s="122"/>
      <c r="S85" s="122"/>
      <c r="T85" s="161"/>
      <c r="U85" s="122"/>
      <c r="V85" s="122"/>
      <c r="W85" s="122"/>
      <c r="X85" s="122"/>
      <c r="Y85" s="161"/>
      <c r="Z85" s="128"/>
      <c r="AA85" s="128"/>
      <c r="AB85" s="128"/>
      <c r="AC85" s="128"/>
      <c r="AD85" s="161"/>
      <c r="AE85" s="128"/>
      <c r="AF85" s="128"/>
      <c r="AG85" s="128"/>
      <c r="AH85" s="128"/>
      <c r="AI85" s="140"/>
      <c r="AJ85" s="85"/>
      <c r="AK85" s="85"/>
      <c r="AL85" s="85"/>
      <c r="AM85" s="85"/>
      <c r="AN85" s="140"/>
      <c r="AO85" s="85"/>
      <c r="AP85" s="85"/>
      <c r="AQ85" s="85"/>
      <c r="AR85" s="364"/>
      <c r="AS85" s="161"/>
      <c r="AT85" s="439"/>
      <c r="AU85" s="439"/>
      <c r="AV85" s="439"/>
      <c r="AW85" s="439"/>
      <c r="AX85" s="161"/>
      <c r="AY85" s="439"/>
      <c r="AZ85" s="439"/>
      <c r="BA85" s="439"/>
      <c r="BB85" s="439"/>
      <c r="BC85" s="161"/>
      <c r="BD85" s="439"/>
      <c r="BE85" s="439"/>
      <c r="BF85" s="439"/>
      <c r="BG85" s="439"/>
      <c r="BH85" s="161"/>
      <c r="BI85" s="439"/>
      <c r="BJ85" s="439"/>
      <c r="BK85" s="439"/>
      <c r="BL85" s="439"/>
      <c r="BM85" s="161"/>
      <c r="BN85" s="352">
        <f>BN83/Connectivity!BN37</f>
        <v>-5.0939597315436238</v>
      </c>
      <c r="BO85" s="352">
        <f>BO83/Connectivity!BO37</f>
        <v>-1.0344532053479603</v>
      </c>
      <c r="BP85" s="352">
        <f>BP83/Connectivity!BP37</f>
        <v>-0.42759118815456842</v>
      </c>
      <c r="BQ85" s="352">
        <f>BQ83/Connectivity!BQ37</f>
        <v>-0.34761794901372706</v>
      </c>
      <c r="BR85" s="560">
        <f>BR83/Connectivity!BR37</f>
        <v>-0.81777465893376811</v>
      </c>
      <c r="BS85" s="352">
        <f>BS83/Connectivity!BS37</f>
        <v>1.2157733375621103E-3</v>
      </c>
      <c r="BT85" s="352">
        <f>BT83/Connectivity!BT37</f>
        <v>-1.290542514853414E-2</v>
      </c>
      <c r="BU85" s="352">
        <f>BU83/Connectivity!BU37</f>
        <v>5.6031889290012035E-3</v>
      </c>
      <c r="BV85" s="352">
        <f>BV83/Connectivity!BV37</f>
        <v>7.9362364451134003E-3</v>
      </c>
      <c r="BW85" s="560">
        <f>BW83/Connectivity!BW37</f>
        <v>1.4589040377005992E-3</v>
      </c>
      <c r="BX85" s="352">
        <f>BX83/Connectivity!BX37</f>
        <v>8.5965337115577536E-2</v>
      </c>
      <c r="BY85" s="352">
        <f>BY83/Connectivity!BY37</f>
        <v>0.13313570916672096</v>
      </c>
      <c r="BZ85" s="352">
        <f>BZ83/Connectivity!BZ37</f>
        <v>0.12359706249133989</v>
      </c>
      <c r="CA85" s="352">
        <f>CA83/Connectivity!CA37</f>
        <v>0.10615844255975328</v>
      </c>
      <c r="CB85" s="643">
        <f>CB83/Connectivity!CB37</f>
        <v>0.11252678688572387</v>
      </c>
      <c r="CC85" s="352">
        <f>CC83/Connectivity!CC37</f>
        <v>6.6080462539147192E-2</v>
      </c>
      <c r="CD85" s="352">
        <f>CD83/Connectivity!CD37</f>
        <v>0.17613883762881252</v>
      </c>
      <c r="CE85" s="352">
        <f>CE83/Connectivity!CE37</f>
        <v>0.17498273650981552</v>
      </c>
      <c r="CF85" s="352">
        <f>CF83/Connectivity!CF37</f>
        <v>0.16184971098265896</v>
      </c>
      <c r="CG85" s="643">
        <f>CG83/Connectivity!CG37</f>
        <v>0.14822383061916347</v>
      </c>
      <c r="CH85" s="453"/>
      <c r="CI85" s="453"/>
      <c r="CJ85" s="453"/>
      <c r="CK85" s="453"/>
      <c r="CL85" s="643"/>
      <c r="CM85" s="727"/>
      <c r="CN85" s="727"/>
      <c r="CO85" s="727"/>
      <c r="CP85" s="727"/>
      <c r="CQ85" s="643"/>
    </row>
    <row r="86" spans="5:98" ht="13.5" x14ac:dyDescent="0.25">
      <c r="E86" s="54" t="s">
        <v>657</v>
      </c>
      <c r="F86" s="185"/>
      <c r="G86" s="185"/>
      <c r="H86" s="185"/>
      <c r="I86" s="185"/>
      <c r="J86" s="185"/>
      <c r="K86" s="122"/>
      <c r="L86" s="122"/>
      <c r="M86" s="122"/>
      <c r="N86" s="122"/>
      <c r="O86" s="161"/>
      <c r="P86" s="122"/>
      <c r="Q86" s="122"/>
      <c r="R86" s="122"/>
      <c r="S86" s="122"/>
      <c r="T86" s="161"/>
      <c r="U86" s="122"/>
      <c r="V86" s="122"/>
      <c r="W86" s="122"/>
      <c r="X86" s="122"/>
      <c r="Y86" s="161"/>
      <c r="Z86" s="128"/>
      <c r="AA86" s="128"/>
      <c r="AB86" s="128"/>
      <c r="AC86" s="128"/>
      <c r="AD86" s="161"/>
      <c r="AE86" s="128"/>
      <c r="AF86" s="128"/>
      <c r="AG86" s="128"/>
      <c r="AH86" s="128"/>
      <c r="AI86" s="140"/>
      <c r="AJ86" s="85"/>
      <c r="AK86" s="85"/>
      <c r="AL86" s="85"/>
      <c r="AM86" s="85"/>
      <c r="AN86" s="140"/>
      <c r="AO86" s="85"/>
      <c r="AP86" s="85"/>
      <c r="AQ86" s="85"/>
      <c r="AR86" s="364"/>
      <c r="AS86" s="161"/>
      <c r="AT86" s="439"/>
      <c r="AU86" s="439"/>
      <c r="AV86" s="439"/>
      <c r="AW86" s="439"/>
      <c r="AX86" s="161"/>
      <c r="AY86" s="439"/>
      <c r="AZ86" s="439"/>
      <c r="BA86" s="439"/>
      <c r="BB86" s="439"/>
      <c r="BC86" s="161"/>
      <c r="BD86" s="439"/>
      <c r="BE86" s="439"/>
      <c r="BF86" s="439"/>
      <c r="BG86" s="439"/>
      <c r="BH86" s="161"/>
      <c r="BI86" s="439"/>
      <c r="BJ86" s="439"/>
      <c r="BK86" s="439"/>
      <c r="BL86" s="439"/>
      <c r="BM86" s="161"/>
      <c r="BN86" s="417">
        <v>0.33200000000000002</v>
      </c>
      <c r="BO86" s="417">
        <v>-8.2000000000000003E-2</v>
      </c>
      <c r="BP86" s="417">
        <v>-0.69799999999999995</v>
      </c>
      <c r="BQ86" s="417">
        <v>1E-3</v>
      </c>
      <c r="BR86" s="540">
        <f>SUM(BN86:BQ86)</f>
        <v>-0.44699999999999995</v>
      </c>
      <c r="BS86" s="417">
        <v>-0.81399999999999995</v>
      </c>
      <c r="BT86" s="417">
        <v>-0.80300000000000005</v>
      </c>
      <c r="BU86" s="417">
        <v>-1.1639999999999999</v>
      </c>
      <c r="BV86" s="417">
        <v>-0.65600000000000003</v>
      </c>
      <c r="BW86" s="540">
        <f>SUM(BS86:BV86)</f>
        <v>-3.4369999999999998</v>
      </c>
      <c r="BX86" s="631">
        <f>BX89-BX83</f>
        <v>-2.194</v>
      </c>
      <c r="BY86" s="631">
        <f>BY89-BY83</f>
        <v>-2.4239999999999995</v>
      </c>
      <c r="BZ86" s="631">
        <f>BZ89-BZ83</f>
        <v>-2.5830000000000002</v>
      </c>
      <c r="CA86" s="631">
        <f>CA89-CA83</f>
        <v>-2.9039999999999999</v>
      </c>
      <c r="CB86" s="540">
        <f>SUM(BX86:CA86)</f>
        <v>-10.105</v>
      </c>
      <c r="CC86" s="631">
        <f>CC89-CC83</f>
        <v>-2.7909999999999999</v>
      </c>
      <c r="CD86" s="631">
        <f>CD89-CD83</f>
        <v>-2.7799999999999994</v>
      </c>
      <c r="CE86" s="631">
        <f>CE89-CE83</f>
        <v>-2.0609999999999999</v>
      </c>
      <c r="CF86" s="631">
        <f>CF89-CF83</f>
        <v>-2.476</v>
      </c>
      <c r="CG86" s="540">
        <f>SUM(CC86:CF86)</f>
        <v>-10.108000000000001</v>
      </c>
      <c r="CH86" s="631"/>
      <c r="CI86" s="631"/>
      <c r="CJ86" s="631"/>
      <c r="CK86" s="631"/>
      <c r="CL86" s="540"/>
      <c r="CM86" s="631"/>
      <c r="CN86" s="631"/>
      <c r="CO86" s="631"/>
      <c r="CP86" s="631"/>
      <c r="CQ86" s="540"/>
    </row>
    <row r="87" spans="5:98" ht="13.5" x14ac:dyDescent="0.25">
      <c r="E87" s="365" t="s">
        <v>2</v>
      </c>
      <c r="F87" s="185"/>
      <c r="G87" s="185"/>
      <c r="H87" s="185"/>
      <c r="I87" s="185"/>
      <c r="J87" s="185"/>
      <c r="K87" s="122"/>
      <c r="L87" s="122"/>
      <c r="M87" s="122"/>
      <c r="N87" s="122"/>
      <c r="O87" s="161"/>
      <c r="P87" s="122"/>
      <c r="Q87" s="122"/>
      <c r="R87" s="122"/>
      <c r="S87" s="122"/>
      <c r="T87" s="161"/>
      <c r="U87" s="122"/>
      <c r="V87" s="122"/>
      <c r="W87" s="122"/>
      <c r="X87" s="122"/>
      <c r="Y87" s="161"/>
      <c r="Z87" s="128"/>
      <c r="AA87" s="128"/>
      <c r="AB87" s="128"/>
      <c r="AC87" s="128"/>
      <c r="AD87" s="161"/>
      <c r="AE87" s="128"/>
      <c r="AF87" s="128"/>
      <c r="AG87" s="128"/>
      <c r="AH87" s="128"/>
      <c r="AI87" s="140"/>
      <c r="AJ87" s="85"/>
      <c r="AK87" s="85"/>
      <c r="AL87" s="85"/>
      <c r="AM87" s="85"/>
      <c r="AN87" s="140"/>
      <c r="AO87" s="85"/>
      <c r="AP87" s="85"/>
      <c r="AQ87" s="85"/>
      <c r="AR87" s="364"/>
      <c r="AS87" s="161"/>
      <c r="AT87" s="439"/>
      <c r="AU87" s="439"/>
      <c r="AV87" s="439"/>
      <c r="AW87" s="439"/>
      <c r="AX87" s="161"/>
      <c r="AY87" s="439"/>
      <c r="AZ87" s="439"/>
      <c r="BA87" s="439"/>
      <c r="BB87" s="439"/>
      <c r="BC87" s="161"/>
      <c r="BD87" s="439"/>
      <c r="BE87" s="439"/>
      <c r="BF87" s="439"/>
      <c r="BG87" s="439"/>
      <c r="BH87" s="161"/>
      <c r="BI87" s="439"/>
      <c r="BJ87" s="439"/>
      <c r="BK87" s="439"/>
      <c r="BL87" s="439"/>
      <c r="BM87" s="161"/>
      <c r="BN87" s="363"/>
      <c r="BO87" s="352"/>
      <c r="BP87" s="352"/>
      <c r="BQ87" s="352"/>
      <c r="BR87" s="32"/>
      <c r="BS87" s="363">
        <f t="shared" ref="BS87:CG87" si="18">(BS86-BN86)/ABS(BN86)</f>
        <v>-3.4518072289156621</v>
      </c>
      <c r="BT87" s="363">
        <f t="shared" si="18"/>
        <v>-8.7926829268292686</v>
      </c>
      <c r="BU87" s="363">
        <f t="shared" si="18"/>
        <v>-0.66762177650429799</v>
      </c>
      <c r="BV87" s="363">
        <f t="shared" si="18"/>
        <v>-657</v>
      </c>
      <c r="BW87" s="32">
        <f t="shared" si="18"/>
        <v>-6.6890380313199103</v>
      </c>
      <c r="BX87" s="363">
        <f t="shared" si="18"/>
        <v>-1.6953316953316953</v>
      </c>
      <c r="BY87" s="363">
        <f t="shared" si="18"/>
        <v>-2.0186799501867987</v>
      </c>
      <c r="BZ87" s="363">
        <f t="shared" si="18"/>
        <v>-1.2190721649484539</v>
      </c>
      <c r="CA87" s="363">
        <f t="shared" si="18"/>
        <v>-3.4268292682926824</v>
      </c>
      <c r="CB87" s="32">
        <f t="shared" si="18"/>
        <v>-1.9400640093104455</v>
      </c>
      <c r="CC87" s="363">
        <f t="shared" si="18"/>
        <v>-0.27210574293527801</v>
      </c>
      <c r="CD87" s="680">
        <f t="shared" si="18"/>
        <v>-0.14686468646864684</v>
      </c>
      <c r="CE87" s="680">
        <f>(CE86-BZ86)/ABS(BZ86)</f>
        <v>0.20209059233449486</v>
      </c>
      <c r="CF87" s="680">
        <f>(CF86-CA86)/ABS(CA86)</f>
        <v>0.14738292011019283</v>
      </c>
      <c r="CG87" s="32">
        <f t="shared" si="18"/>
        <v>-2.9688273132113938E-4</v>
      </c>
      <c r="CH87" s="352"/>
      <c r="CI87" s="680"/>
      <c r="CJ87" s="680"/>
      <c r="CK87" s="680"/>
      <c r="CL87" s="32"/>
      <c r="CM87" s="352"/>
      <c r="CN87" s="680"/>
      <c r="CO87" s="680"/>
      <c r="CP87" s="680"/>
      <c r="CQ87" s="32"/>
    </row>
    <row r="88" spans="5:98" ht="13.5" x14ac:dyDescent="0.25">
      <c r="E88" s="365" t="s">
        <v>91</v>
      </c>
      <c r="F88" s="185"/>
      <c r="G88" s="185"/>
      <c r="H88" s="185"/>
      <c r="I88" s="185"/>
      <c r="J88" s="185"/>
      <c r="K88" s="122"/>
      <c r="L88" s="122"/>
      <c r="M88" s="122"/>
      <c r="N88" s="122"/>
      <c r="O88" s="161"/>
      <c r="P88" s="122"/>
      <c r="Q88" s="122"/>
      <c r="R88" s="122"/>
      <c r="S88" s="122"/>
      <c r="T88" s="161"/>
      <c r="U88" s="122"/>
      <c r="V88" s="122"/>
      <c r="W88" s="122"/>
      <c r="X88" s="122"/>
      <c r="Y88" s="161"/>
      <c r="Z88" s="128"/>
      <c r="AA88" s="128"/>
      <c r="AB88" s="128"/>
      <c r="AC88" s="128"/>
      <c r="AD88" s="161"/>
      <c r="AE88" s="128"/>
      <c r="AF88" s="128"/>
      <c r="AG88" s="128"/>
      <c r="AH88" s="128"/>
      <c r="AI88" s="140"/>
      <c r="AJ88" s="85"/>
      <c r="AK88" s="85"/>
      <c r="AL88" s="85"/>
      <c r="AM88" s="85"/>
      <c r="AN88" s="140"/>
      <c r="AO88" s="85"/>
      <c r="AP88" s="85"/>
      <c r="AQ88" s="85"/>
      <c r="AR88" s="364"/>
      <c r="AS88" s="161"/>
      <c r="AT88" s="439"/>
      <c r="AU88" s="439"/>
      <c r="AV88" s="439"/>
      <c r="AW88" s="439"/>
      <c r="AX88" s="161"/>
      <c r="AY88" s="439"/>
      <c r="AZ88" s="439"/>
      <c r="BA88" s="439"/>
      <c r="BB88" s="439"/>
      <c r="BC88" s="161"/>
      <c r="BD88" s="439"/>
      <c r="BE88" s="439"/>
      <c r="BF88" s="439"/>
      <c r="BG88" s="439"/>
      <c r="BH88" s="161"/>
      <c r="BI88" s="439"/>
      <c r="BJ88" s="439"/>
      <c r="BK88" s="439"/>
      <c r="BL88" s="439"/>
      <c r="BM88" s="161"/>
      <c r="BN88" s="352">
        <f>BN86/Connectivity!BN41</f>
        <v>0.22089155023286766</v>
      </c>
      <c r="BO88" s="352">
        <f>BO86/Connectivity!BO41</f>
        <v>-4.5454545454545449E-2</v>
      </c>
      <c r="BP88" s="352">
        <f>BP86/Connectivity!BP41</f>
        <v>-0.53858024691358042</v>
      </c>
      <c r="BQ88" s="352">
        <f>BQ86/Connectivity!BQ41</f>
        <v>5.2137643378519314E-4</v>
      </c>
      <c r="BR88" s="560">
        <f>BR86/Connectivity!BR41</f>
        <v>-6.8547768747124677E-2</v>
      </c>
      <c r="BS88" s="352">
        <f>BS86/Connectivity!BS41</f>
        <v>-0.4785420340975895</v>
      </c>
      <c r="BT88" s="352">
        <f>BT86/Connectivity!BT41</f>
        <v>-0.46959064327485361</v>
      </c>
      <c r="BU88" s="352">
        <f>BU86/Connectivity!BU41</f>
        <v>-0.63606557377049111</v>
      </c>
      <c r="BV88" s="352">
        <f>BV86/Connectivity!BV41</f>
        <v>-0.33606557377049212</v>
      </c>
      <c r="BW88" s="560">
        <f>BW86/Connectivity!BW41</f>
        <v>-0.47782566383984415</v>
      </c>
      <c r="BX88" s="352">
        <f>BX86/Connectivity!BX41</f>
        <v>-0.90102669404517499</v>
      </c>
      <c r="BY88" s="352">
        <f>BY86/Connectivity!BY41</f>
        <v>-1.0253807106598996</v>
      </c>
      <c r="BZ88" s="352">
        <f>BZ86/Connectivity!BZ41</f>
        <v>-0.97434930215013349</v>
      </c>
      <c r="CA88" s="352">
        <f>CA86/Connectivity!CA41</f>
        <v>-1.0759540570581676</v>
      </c>
      <c r="CB88" s="560">
        <f>CB86/Connectivity!CB41</f>
        <v>-0.99566459749729064</v>
      </c>
      <c r="CC88" s="352">
        <f>CC86/Connectivity!CC41</f>
        <v>-0.75924918389553819</v>
      </c>
      <c r="CD88" s="352">
        <f>CD86/Connectivity!CD41</f>
        <v>-0.6690734055354991</v>
      </c>
      <c r="CE88" s="352">
        <f>CE86/Connectivity!CE41</f>
        <v>-0.38938220290950315</v>
      </c>
      <c r="CF88" s="352">
        <f>CF86/Connectivity!CF41</f>
        <v>-0.44588510714928831</v>
      </c>
      <c r="CG88" s="560">
        <f>CG86/Connectivity!CG41</f>
        <v>-0.54120040691759908</v>
      </c>
      <c r="CH88" s="453"/>
      <c r="CI88" s="453"/>
      <c r="CJ88" s="453"/>
      <c r="CK88" s="453"/>
      <c r="CL88" s="560"/>
      <c r="CM88" s="727"/>
      <c r="CN88" s="727"/>
      <c r="CO88" s="727"/>
      <c r="CP88" s="727"/>
      <c r="CQ88" s="643"/>
    </row>
    <row r="89" spans="5:98" ht="13.5" x14ac:dyDescent="0.25">
      <c r="E89" s="564" t="s">
        <v>698</v>
      </c>
      <c r="F89" s="565"/>
      <c r="G89" s="565"/>
      <c r="H89" s="565"/>
      <c r="I89" s="565"/>
      <c r="J89" s="565"/>
      <c r="K89" s="565"/>
      <c r="L89" s="565"/>
      <c r="M89" s="565"/>
      <c r="N89" s="565"/>
      <c r="O89" s="566"/>
      <c r="P89" s="565"/>
      <c r="Q89" s="565"/>
      <c r="R89" s="565"/>
      <c r="S89" s="565"/>
      <c r="T89" s="566"/>
      <c r="U89" s="565"/>
      <c r="V89" s="565"/>
      <c r="W89" s="565"/>
      <c r="X89" s="565"/>
      <c r="Y89" s="566"/>
      <c r="Z89" s="567"/>
      <c r="AA89" s="567"/>
      <c r="AB89" s="567"/>
      <c r="AC89" s="567"/>
      <c r="AD89" s="566"/>
      <c r="AE89" s="567"/>
      <c r="AF89" s="567"/>
      <c r="AG89" s="567"/>
      <c r="AH89" s="567"/>
      <c r="AI89" s="513"/>
      <c r="AJ89" s="568"/>
      <c r="AK89" s="568"/>
      <c r="AL89" s="568"/>
      <c r="AM89" s="568"/>
      <c r="AN89" s="513"/>
      <c r="AO89" s="568"/>
      <c r="AP89" s="568"/>
      <c r="AQ89" s="568"/>
      <c r="AR89" s="565"/>
      <c r="AS89" s="566"/>
      <c r="AT89" s="566"/>
      <c r="AU89" s="566"/>
      <c r="AV89" s="566"/>
      <c r="AW89" s="566"/>
      <c r="AX89" s="566"/>
      <c r="AY89" s="566"/>
      <c r="AZ89" s="566"/>
      <c r="BA89" s="566"/>
      <c r="BB89" s="566"/>
      <c r="BC89" s="566"/>
      <c r="BD89" s="566"/>
      <c r="BE89" s="566"/>
      <c r="BF89" s="566"/>
      <c r="BG89" s="566"/>
      <c r="BH89" s="566"/>
      <c r="BI89" s="566"/>
      <c r="BJ89" s="566"/>
      <c r="BK89" s="566"/>
      <c r="BL89" s="566"/>
      <c r="BM89" s="566"/>
      <c r="BN89" s="545">
        <v>-14.089</v>
      </c>
      <c r="BO89" s="545">
        <v>-12.151999999999999</v>
      </c>
      <c r="BP89" s="545">
        <v>-7.8019999999999996</v>
      </c>
      <c r="BQ89" s="545">
        <v>-6.0259999999999998</v>
      </c>
      <c r="BR89" s="540">
        <f>SUM(BN89:BQ89)</f>
        <v>-40.069000000000003</v>
      </c>
      <c r="BS89" s="545">
        <v>-0.79100000000000004</v>
      </c>
      <c r="BT89" s="545">
        <v>-1.0680000000000001</v>
      </c>
      <c r="BU89" s="545">
        <v>-1.0149999999999999</v>
      </c>
      <c r="BV89" s="545">
        <v>-0.42399999999999999</v>
      </c>
      <c r="BW89" s="540">
        <f>SUM(BS89:BV89)</f>
        <v>-3.2979999999999996</v>
      </c>
      <c r="BX89" s="545">
        <v>0.29099999999999998</v>
      </c>
      <c r="BY89" s="545">
        <v>1.663</v>
      </c>
      <c r="BZ89" s="545">
        <v>1.877</v>
      </c>
      <c r="CA89" s="545">
        <v>1.502</v>
      </c>
      <c r="CB89" s="540">
        <f>SUM(BX89:CA89)</f>
        <v>5.3330000000000002</v>
      </c>
      <c r="CC89" s="545">
        <v>-4.8000000000000001E-2</v>
      </c>
      <c r="CD89" s="545">
        <v>5.7149999999999999</v>
      </c>
      <c r="CE89" s="545">
        <v>6.8079999999999998</v>
      </c>
      <c r="CF89" s="545">
        <v>5.9240000000000004</v>
      </c>
      <c r="CG89" s="540">
        <f>SUM(CC89:CF89)</f>
        <v>18.399000000000001</v>
      </c>
      <c r="CH89" s="536"/>
      <c r="CI89" s="536"/>
      <c r="CJ89" s="536"/>
      <c r="CK89" s="536"/>
      <c r="CL89" s="540"/>
      <c r="CM89" s="642"/>
      <c r="CN89" s="642"/>
      <c r="CO89" s="642"/>
      <c r="CP89" s="642"/>
      <c r="CQ89" s="540"/>
      <c r="CS89" s="721"/>
      <c r="CT89" s="721"/>
    </row>
    <row r="90" spans="5:98" ht="13.5" x14ac:dyDescent="0.25">
      <c r="E90" s="560" t="s">
        <v>2</v>
      </c>
      <c r="F90" s="565"/>
      <c r="G90" s="565"/>
      <c r="H90" s="565"/>
      <c r="I90" s="565"/>
      <c r="J90" s="565"/>
      <c r="K90" s="565"/>
      <c r="L90" s="565"/>
      <c r="M90" s="565"/>
      <c r="N90" s="565"/>
      <c r="O90" s="566"/>
      <c r="P90" s="565"/>
      <c r="Q90" s="565"/>
      <c r="R90" s="565"/>
      <c r="S90" s="565"/>
      <c r="T90" s="566"/>
      <c r="U90" s="565"/>
      <c r="V90" s="565"/>
      <c r="W90" s="565"/>
      <c r="X90" s="565"/>
      <c r="Y90" s="566"/>
      <c r="Z90" s="567"/>
      <c r="AA90" s="567"/>
      <c r="AB90" s="567"/>
      <c r="AC90" s="567"/>
      <c r="AD90" s="566"/>
      <c r="AE90" s="567"/>
      <c r="AF90" s="567"/>
      <c r="AG90" s="567"/>
      <c r="AH90" s="567"/>
      <c r="AI90" s="513"/>
      <c r="AJ90" s="568"/>
      <c r="AK90" s="568"/>
      <c r="AL90" s="568"/>
      <c r="AM90" s="568"/>
      <c r="AN90" s="513"/>
      <c r="AO90" s="568"/>
      <c r="AP90" s="568"/>
      <c r="AQ90" s="568"/>
      <c r="AR90" s="565"/>
      <c r="AS90" s="566"/>
      <c r="AT90" s="566"/>
      <c r="AU90" s="566"/>
      <c r="AV90" s="566"/>
      <c r="AW90" s="566"/>
      <c r="AX90" s="566"/>
      <c r="AY90" s="566"/>
      <c r="AZ90" s="566"/>
      <c r="BA90" s="566"/>
      <c r="BB90" s="566"/>
      <c r="BC90" s="566"/>
      <c r="BD90" s="566"/>
      <c r="BE90" s="566"/>
      <c r="BF90" s="566"/>
      <c r="BG90" s="566"/>
      <c r="BH90" s="566"/>
      <c r="BI90" s="566"/>
      <c r="BJ90" s="566"/>
      <c r="BK90" s="566"/>
      <c r="BL90" s="566"/>
      <c r="BM90" s="566"/>
      <c r="BN90" s="562"/>
      <c r="BO90" s="562"/>
      <c r="BP90" s="513"/>
      <c r="BQ90" s="562"/>
      <c r="BR90" s="562"/>
      <c r="BS90" s="525">
        <f t="shared" ref="BS90:CG90" si="19">(BS89-BN89)/ABS(BN89)</f>
        <v>0.94385690964582292</v>
      </c>
      <c r="BT90" s="525">
        <f t="shared" si="19"/>
        <v>0.91211323238973008</v>
      </c>
      <c r="BU90" s="525">
        <f t="shared" si="19"/>
        <v>0.86990515252499367</v>
      </c>
      <c r="BV90" s="525">
        <f t="shared" si="19"/>
        <v>0.92963823431795545</v>
      </c>
      <c r="BW90" s="525">
        <f t="shared" si="19"/>
        <v>0.91769198133220187</v>
      </c>
      <c r="BX90" s="525">
        <f t="shared" si="19"/>
        <v>1.367888748419722</v>
      </c>
      <c r="BY90" s="525">
        <f t="shared" si="19"/>
        <v>2.5571161048689137</v>
      </c>
      <c r="BZ90" s="525">
        <f t="shared" si="19"/>
        <v>2.8492610837438423</v>
      </c>
      <c r="CA90" s="525">
        <f t="shared" si="19"/>
        <v>4.5424528301886795</v>
      </c>
      <c r="CB90" s="525">
        <f t="shared" si="19"/>
        <v>2.6170406306852643</v>
      </c>
      <c r="CC90" s="525">
        <f t="shared" si="19"/>
        <v>-1.1649484536082473</v>
      </c>
      <c r="CD90" s="525">
        <f t="shared" si="19"/>
        <v>2.4365604329524952</v>
      </c>
      <c r="CE90" s="525">
        <f t="shared" si="19"/>
        <v>2.6270644645711241</v>
      </c>
      <c r="CF90" s="525">
        <f t="shared" si="19"/>
        <v>2.9440745672436757</v>
      </c>
      <c r="CG90" s="641">
        <f t="shared" si="19"/>
        <v>2.4500281267579225</v>
      </c>
      <c r="CH90" s="525"/>
      <c r="CI90" s="525"/>
      <c r="CJ90" s="525"/>
      <c r="CK90" s="525"/>
      <c r="CL90" s="641"/>
      <c r="CM90" s="641"/>
      <c r="CN90" s="641"/>
      <c r="CO90" s="641"/>
      <c r="CP90" s="641"/>
      <c r="CQ90" s="641"/>
    </row>
    <row r="91" spans="5:98" ht="13.5" x14ac:dyDescent="0.25">
      <c r="E91" s="560" t="s">
        <v>91</v>
      </c>
      <c r="F91" s="565"/>
      <c r="G91" s="565"/>
      <c r="H91" s="565"/>
      <c r="I91" s="565"/>
      <c r="J91" s="565"/>
      <c r="K91" s="565"/>
      <c r="L91" s="565"/>
      <c r="M91" s="565"/>
      <c r="N91" s="565"/>
      <c r="O91" s="566"/>
      <c r="P91" s="565"/>
      <c r="Q91" s="565"/>
      <c r="R91" s="565"/>
      <c r="S91" s="565"/>
      <c r="T91" s="566"/>
      <c r="U91" s="565"/>
      <c r="V91" s="565"/>
      <c r="W91" s="565"/>
      <c r="X91" s="565"/>
      <c r="Y91" s="566"/>
      <c r="Z91" s="567"/>
      <c r="AA91" s="567"/>
      <c r="AB91" s="567"/>
      <c r="AC91" s="567"/>
      <c r="AD91" s="566"/>
      <c r="AE91" s="567"/>
      <c r="AF91" s="567"/>
      <c r="AG91" s="567"/>
      <c r="AH91" s="567"/>
      <c r="AI91" s="513"/>
      <c r="AJ91" s="568"/>
      <c r="AK91" s="568"/>
      <c r="AL91" s="568"/>
      <c r="AM91" s="568"/>
      <c r="AN91" s="513"/>
      <c r="AO91" s="568"/>
      <c r="AP91" s="568"/>
      <c r="AQ91" s="568"/>
      <c r="AR91" s="565"/>
      <c r="AS91" s="566"/>
      <c r="AT91" s="566"/>
      <c r="AU91" s="566"/>
      <c r="AV91" s="566"/>
      <c r="AW91" s="566"/>
      <c r="AX91" s="566"/>
      <c r="AY91" s="566"/>
      <c r="AZ91" s="566"/>
      <c r="BA91" s="566"/>
      <c r="BB91" s="566"/>
      <c r="BC91" s="566"/>
      <c r="BD91" s="566"/>
      <c r="BE91" s="566"/>
      <c r="BF91" s="566"/>
      <c r="BG91" s="566"/>
      <c r="BH91" s="566"/>
      <c r="BI91" s="566"/>
      <c r="BJ91" s="566"/>
      <c r="BK91" s="566"/>
      <c r="BL91" s="566"/>
      <c r="BM91" s="566"/>
      <c r="BN91" s="560">
        <f>BN89/Connectivity!BN45</f>
        <v>-3.2508075680664517</v>
      </c>
      <c r="BO91" s="560">
        <f>BO89/Connectivity!BO45</f>
        <v>-0.90201900237529686</v>
      </c>
      <c r="BP91" s="560">
        <f>BP89/Connectivity!BP45</f>
        <v>-0.4356225572305974</v>
      </c>
      <c r="BQ91" s="560">
        <f>BQ89/Connectivity!BQ45</f>
        <v>-0.31294142085583715</v>
      </c>
      <c r="BR91" s="560">
        <f>BR89/Connectivity!BR45</f>
        <v>-0.72889834825001831</v>
      </c>
      <c r="BS91" s="560">
        <f>BS89/Connectivity!BS45</f>
        <v>-3.8362675202483147E-2</v>
      </c>
      <c r="BT91" s="560">
        <f>BT89/Connectivity!BT45</f>
        <v>-4.80129473116346E-2</v>
      </c>
      <c r="BU91" s="560">
        <f>BU89/Connectivity!BU45</f>
        <v>-3.5711772570543941E-2</v>
      </c>
      <c r="BV91" s="560">
        <f>BV89/Connectivity!BV45</f>
        <v>-1.359628026294693E-2</v>
      </c>
      <c r="BW91" s="560">
        <f>BW89/Connectivity!BW45</f>
        <v>-3.2185029764809206E-2</v>
      </c>
      <c r="BX91" s="560">
        <f>BX89/Connectivity!BX45</f>
        <v>9.2846659434624463E-3</v>
      </c>
      <c r="BY91" s="560">
        <f>BY89/Connectivity!BY45</f>
        <v>5.0299437420603721E-2</v>
      </c>
      <c r="BZ91" s="560">
        <f>BZ89/Connectivity!BZ45</f>
        <v>4.8456216439487818E-2</v>
      </c>
      <c r="CA91" s="560">
        <f>CA89/Connectivity!CA45</f>
        <v>3.3979594145193762E-2</v>
      </c>
      <c r="CB91" s="643">
        <f>CB89/Connectivity!CB45</f>
        <v>3.6194457829689913E-2</v>
      </c>
      <c r="CC91" s="560">
        <f>CC89/Connectivity!CC45</f>
        <v>-1.0622759261718232E-3</v>
      </c>
      <c r="CD91" s="560">
        <f>CD89/Connectivity!CD45</f>
        <v>0.10909819792302992</v>
      </c>
      <c r="CE91" s="560">
        <f>CE89/Connectivity!CE45</f>
        <v>0.12161920754582156</v>
      </c>
      <c r="CF91" s="560">
        <f>CF89/Connectivity!CF45</f>
        <v>0.10311036847510138</v>
      </c>
      <c r="CG91" s="643">
        <f>CG89/Connectivity!CG45</f>
        <v>8.7198638869010095E-2</v>
      </c>
      <c r="CH91" s="560"/>
      <c r="CI91" s="560"/>
      <c r="CJ91" s="560"/>
      <c r="CK91" s="560"/>
      <c r="CL91" s="643"/>
      <c r="CM91" s="643"/>
      <c r="CN91" s="643"/>
      <c r="CO91" s="643"/>
      <c r="CP91" s="643"/>
      <c r="CQ91" s="643"/>
    </row>
    <row r="92" spans="5:98" ht="3.75" customHeight="1" x14ac:dyDescent="0.25">
      <c r="BR92" s="574"/>
      <c r="BW92" s="574"/>
      <c r="CB92" s="574"/>
      <c r="CG92" s="574"/>
      <c r="CL92" s="574"/>
      <c r="CQ92" s="574"/>
    </row>
    <row r="93" spans="5:98" hidden="1" x14ac:dyDescent="0.25">
      <c r="E93" s="54" t="s">
        <v>666</v>
      </c>
      <c r="F93" s="542"/>
      <c r="G93" s="542"/>
      <c r="H93" s="542"/>
      <c r="I93" s="542"/>
      <c r="J93" s="542"/>
      <c r="O93" s="542"/>
      <c r="T93" s="542"/>
      <c r="Y93" s="542"/>
      <c r="Z93" s="59"/>
      <c r="AA93" s="59"/>
      <c r="AB93" s="59"/>
      <c r="AC93" s="59"/>
      <c r="AD93" s="542"/>
      <c r="AE93" s="59"/>
      <c r="AF93" s="59"/>
      <c r="AG93" s="59"/>
      <c r="AH93" s="59"/>
      <c r="AI93" s="542"/>
      <c r="AJ93" s="59"/>
      <c r="AK93" s="59"/>
      <c r="AL93" s="59"/>
      <c r="AM93" s="59"/>
      <c r="AN93" s="542"/>
      <c r="AO93" s="59"/>
      <c r="AP93" s="59"/>
      <c r="AQ93" s="59"/>
      <c r="AR93" s="59"/>
      <c r="AS93" s="542"/>
      <c r="AT93" s="59"/>
      <c r="AU93" s="59"/>
      <c r="AV93" s="59"/>
      <c r="AW93" s="59"/>
      <c r="AX93" s="542"/>
      <c r="BC93" s="542"/>
      <c r="BD93" s="59"/>
      <c r="BE93" s="59"/>
      <c r="BF93" s="59"/>
      <c r="BG93" s="59"/>
      <c r="BH93" s="542"/>
      <c r="BM93" s="542"/>
      <c r="BN93" s="571">
        <f>Connectivity!BN89</f>
        <v>-14.089</v>
      </c>
      <c r="BO93" s="571">
        <f>Connectivity!BO89</f>
        <v>-12.151999999999999</v>
      </c>
      <c r="BP93" s="571">
        <f>Connectivity!BP89</f>
        <v>-7.8019999999999996</v>
      </c>
      <c r="BQ93" s="571">
        <f>Connectivity!BQ89</f>
        <v>-6.0259999999999998</v>
      </c>
      <c r="BR93" s="575">
        <f>SUM(BN93:BQ93)</f>
        <v>-40.069000000000003</v>
      </c>
      <c r="BS93" s="571">
        <f>Connectivity!BS89</f>
        <v>-0.79100000000000004</v>
      </c>
      <c r="BT93" s="571">
        <f>Connectivity!BT89</f>
        <v>-1.0680000000000001</v>
      </c>
      <c r="BU93" s="571">
        <f>Connectivity!BU89</f>
        <v>-1.0149999999999999</v>
      </c>
      <c r="BV93" s="571">
        <f>Connectivity!BV89</f>
        <v>-0.42399999999999999</v>
      </c>
      <c r="BW93" s="575">
        <f>SUM(BS93:BV93)</f>
        <v>-3.2979999999999996</v>
      </c>
      <c r="BX93" s="571">
        <f>Connectivity!BX89</f>
        <v>0.29099999999999998</v>
      </c>
      <c r="BY93" s="571">
        <f>Connectivity!BY89</f>
        <v>1.663</v>
      </c>
      <c r="BZ93" s="571">
        <f>Connectivity!BZ89</f>
        <v>1.877</v>
      </c>
      <c r="CA93" s="571">
        <f>Connectivity!CA89</f>
        <v>1.502</v>
      </c>
      <c r="CB93" s="575">
        <f>SUM(BX93:CA93)</f>
        <v>5.3330000000000002</v>
      </c>
      <c r="CC93" s="571">
        <f>Connectivity!CC89</f>
        <v>-4.8000000000000001E-2</v>
      </c>
      <c r="CD93" s="571">
        <f>Connectivity!CD89</f>
        <v>5.7149999999999999</v>
      </c>
      <c r="CE93" s="571">
        <f>Connectivity!CE89</f>
        <v>6.8079999999999998</v>
      </c>
      <c r="CF93" s="571">
        <f>Connectivity!CF89</f>
        <v>5.9240000000000004</v>
      </c>
      <c r="CG93" s="575">
        <f>SUM(CC93:CF93)</f>
        <v>18.399000000000001</v>
      </c>
      <c r="CH93" s="571"/>
      <c r="CI93" s="571"/>
      <c r="CJ93" s="571"/>
      <c r="CK93" s="571"/>
      <c r="CL93" s="575"/>
      <c r="CM93" s="571"/>
      <c r="CN93" s="571"/>
      <c r="CO93" s="571"/>
      <c r="CP93" s="571"/>
      <c r="CQ93" s="575"/>
    </row>
    <row r="94" spans="5:98" ht="13.5" hidden="1" x14ac:dyDescent="0.25">
      <c r="E94" s="365" t="s">
        <v>2</v>
      </c>
      <c r="F94" s="542"/>
      <c r="G94" s="542"/>
      <c r="H94" s="542"/>
      <c r="I94" s="542"/>
      <c r="J94" s="542"/>
      <c r="O94" s="542"/>
      <c r="T94" s="542"/>
      <c r="Y94" s="542"/>
      <c r="Z94" s="59"/>
      <c r="AA94" s="59"/>
      <c r="AB94" s="59"/>
      <c r="AC94" s="59"/>
      <c r="AD94" s="542"/>
      <c r="AE94" s="59"/>
      <c r="AF94" s="59"/>
      <c r="AG94" s="59"/>
      <c r="AH94" s="59"/>
      <c r="AI94" s="542"/>
      <c r="AJ94" s="59"/>
      <c r="AK94" s="59"/>
      <c r="AL94" s="59"/>
      <c r="AM94" s="59"/>
      <c r="AN94" s="542"/>
      <c r="AO94" s="59"/>
      <c r="AP94" s="59"/>
      <c r="AQ94" s="59"/>
      <c r="AR94" s="59"/>
      <c r="AS94" s="542"/>
      <c r="AT94" s="59"/>
      <c r="AU94" s="59"/>
      <c r="AV94" s="59"/>
      <c r="AW94" s="59"/>
      <c r="AX94" s="542"/>
      <c r="BC94" s="542"/>
      <c r="BD94" s="59"/>
      <c r="BE94" s="59"/>
      <c r="BF94" s="59"/>
      <c r="BG94" s="59"/>
      <c r="BH94" s="542"/>
      <c r="BM94" s="542"/>
      <c r="BN94" s="571"/>
      <c r="BO94" s="571"/>
      <c r="BP94" s="571"/>
      <c r="BQ94" s="571"/>
      <c r="BR94" s="575"/>
      <c r="BS94" s="363">
        <f t="shared" ref="BS94:CG94" si="20">(BS93-BN93)/ABS(BN93)</f>
        <v>0.94385690964582292</v>
      </c>
      <c r="BT94" s="363">
        <f t="shared" si="20"/>
        <v>0.91211323238973008</v>
      </c>
      <c r="BU94" s="363">
        <f t="shared" si="20"/>
        <v>0.86990515252499367</v>
      </c>
      <c r="BV94" s="363">
        <f t="shared" si="20"/>
        <v>0.92963823431795545</v>
      </c>
      <c r="BW94" s="525">
        <f t="shared" si="20"/>
        <v>0.91769198133220187</v>
      </c>
      <c r="BX94" s="363">
        <f t="shared" si="20"/>
        <v>1.367888748419722</v>
      </c>
      <c r="BY94" s="363">
        <f t="shared" si="20"/>
        <v>2.5571161048689137</v>
      </c>
      <c r="BZ94" s="363">
        <f t="shared" si="20"/>
        <v>2.8492610837438423</v>
      </c>
      <c r="CA94" s="363">
        <f t="shared" si="20"/>
        <v>4.5424528301886795</v>
      </c>
      <c r="CB94" s="641">
        <f t="shared" si="20"/>
        <v>2.6170406306852643</v>
      </c>
      <c r="CC94" s="363">
        <f t="shared" si="20"/>
        <v>-1.1649484536082473</v>
      </c>
      <c r="CD94" s="363">
        <f t="shared" si="20"/>
        <v>2.4365604329524952</v>
      </c>
      <c r="CE94" s="363">
        <f t="shared" si="20"/>
        <v>2.6270644645711241</v>
      </c>
      <c r="CF94" s="363">
        <f t="shared" si="20"/>
        <v>2.9440745672436757</v>
      </c>
      <c r="CG94" s="641">
        <f t="shared" si="20"/>
        <v>2.4500281267579225</v>
      </c>
      <c r="CH94" s="363"/>
      <c r="CI94" s="363"/>
      <c r="CJ94" s="363"/>
      <c r="CK94" s="363"/>
      <c r="CL94" s="641"/>
      <c r="CM94" s="363"/>
      <c r="CN94" s="363"/>
      <c r="CO94" s="363"/>
      <c r="CP94" s="363"/>
      <c r="CQ94" s="641"/>
    </row>
    <row r="95" spans="5:98" ht="13.5" hidden="1" x14ac:dyDescent="0.25">
      <c r="E95" s="365" t="s">
        <v>91</v>
      </c>
      <c r="F95" s="542"/>
      <c r="G95" s="542"/>
      <c r="H95" s="542"/>
      <c r="I95" s="542"/>
      <c r="J95" s="542"/>
      <c r="O95" s="542"/>
      <c r="T95" s="542"/>
      <c r="Y95" s="542"/>
      <c r="Z95" s="59"/>
      <c r="AA95" s="59"/>
      <c r="AB95" s="59"/>
      <c r="AC95" s="59"/>
      <c r="AD95" s="542"/>
      <c r="AE95" s="59"/>
      <c r="AF95" s="59"/>
      <c r="AG95" s="59"/>
      <c r="AH95" s="59"/>
      <c r="AI95" s="542"/>
      <c r="AJ95" s="59"/>
      <c r="AK95" s="59"/>
      <c r="AL95" s="59"/>
      <c r="AM95" s="59"/>
      <c r="AN95" s="542"/>
      <c r="AO95" s="59"/>
      <c r="AP95" s="59"/>
      <c r="AQ95" s="59"/>
      <c r="AR95" s="59"/>
      <c r="AS95" s="542"/>
      <c r="AT95" s="59"/>
      <c r="AU95" s="59"/>
      <c r="AV95" s="59"/>
      <c r="AW95" s="59"/>
      <c r="AX95" s="542"/>
      <c r="BC95" s="542"/>
      <c r="BD95" s="59"/>
      <c r="BE95" s="59"/>
      <c r="BF95" s="59"/>
      <c r="BG95" s="59"/>
      <c r="BH95" s="542"/>
      <c r="BM95" s="542"/>
      <c r="BN95" s="183">
        <f>BN93/Connectivity!BN45</f>
        <v>-3.2508075680664517</v>
      </c>
      <c r="BO95" s="183">
        <f>BO93/Connectivity!BO45</f>
        <v>-0.90201900237529686</v>
      </c>
      <c r="BP95" s="183">
        <f>BP93/Connectivity!BP45</f>
        <v>-0.4356225572305974</v>
      </c>
      <c r="BQ95" s="183">
        <f>BQ93/Connectivity!BQ45</f>
        <v>-0.31294142085583715</v>
      </c>
      <c r="BR95" s="525">
        <f>BR93/Connectivity!BR45</f>
        <v>-0.72889834825001831</v>
      </c>
      <c r="BS95" s="183">
        <f>BS93/Connectivity!BS45</f>
        <v>-3.8362675202483147E-2</v>
      </c>
      <c r="BT95" s="183">
        <f>BT93/Connectivity!BT45</f>
        <v>-4.80129473116346E-2</v>
      </c>
      <c r="BU95" s="183">
        <f>BU93/Connectivity!BU45</f>
        <v>-3.5711772570543941E-2</v>
      </c>
      <c r="BV95" s="183">
        <f>BV93/Connectivity!BV45</f>
        <v>-1.359628026294693E-2</v>
      </c>
      <c r="BW95" s="525">
        <f>BW93/Connectivity!BW45</f>
        <v>-3.2185029764809206E-2</v>
      </c>
      <c r="BX95" s="183">
        <f>BX93/Connectivity!BX45</f>
        <v>9.2846659434624463E-3</v>
      </c>
      <c r="BY95" s="183">
        <f>BY93/Connectivity!BY45</f>
        <v>5.0299437420603721E-2</v>
      </c>
      <c r="BZ95" s="183">
        <f>BZ93/Connectivity!BZ45</f>
        <v>4.8456216439487818E-2</v>
      </c>
      <c r="CA95" s="183">
        <f>CA93/Connectivity!CA45</f>
        <v>3.3979594145193762E-2</v>
      </c>
      <c r="CB95" s="641">
        <f>CB93/Connectivity!CB45</f>
        <v>3.6194457829689913E-2</v>
      </c>
      <c r="CC95" s="183">
        <f>CC93/Connectivity!CC45</f>
        <v>-1.0622759261718232E-3</v>
      </c>
      <c r="CD95" s="183">
        <f>CD93/Connectivity!CD45</f>
        <v>0.10909819792302992</v>
      </c>
      <c r="CE95" s="183">
        <f>CE93/Connectivity!CE45</f>
        <v>0.12161920754582156</v>
      </c>
      <c r="CF95" s="183">
        <f>CF93/Connectivity!CF45</f>
        <v>0.10311036847510138</v>
      </c>
      <c r="CG95" s="641">
        <f>CG93/Connectivity!CG45</f>
        <v>8.7198638869010095E-2</v>
      </c>
      <c r="CH95" s="183"/>
      <c r="CI95" s="183"/>
      <c r="CJ95" s="183"/>
      <c r="CK95" s="183"/>
      <c r="CL95" s="641"/>
      <c r="CM95" s="183"/>
      <c r="CN95" s="183"/>
      <c r="CO95" s="183"/>
      <c r="CP95" s="183"/>
      <c r="CQ95" s="641"/>
    </row>
    <row r="96" spans="5:98" x14ac:dyDescent="0.25">
      <c r="E96" s="27" t="s">
        <v>426</v>
      </c>
      <c r="F96" s="542"/>
      <c r="G96" s="542"/>
      <c r="H96" s="542"/>
      <c r="I96" s="542"/>
      <c r="J96" s="542"/>
      <c r="O96" s="542"/>
      <c r="T96" s="542"/>
      <c r="Y96" s="542"/>
      <c r="Z96" s="59"/>
      <c r="AA96" s="59"/>
      <c r="AB96" s="59"/>
      <c r="AC96" s="59"/>
      <c r="AD96" s="542"/>
      <c r="AE96" s="59"/>
      <c r="AF96" s="59"/>
      <c r="AG96" s="59"/>
      <c r="AH96" s="59"/>
      <c r="AI96" s="542"/>
      <c r="AJ96" s="59"/>
      <c r="AK96" s="59"/>
      <c r="AL96" s="59"/>
      <c r="AM96" s="59"/>
      <c r="AN96" s="542"/>
      <c r="AO96" s="59"/>
      <c r="AP96" s="59"/>
      <c r="AQ96" s="59"/>
      <c r="AR96" s="59"/>
      <c r="AS96" s="542"/>
      <c r="AT96" s="59"/>
      <c r="AU96" s="59"/>
      <c r="AV96" s="59"/>
      <c r="AW96" s="59"/>
      <c r="AX96" s="542"/>
      <c r="BC96" s="542"/>
      <c r="BD96" s="59"/>
      <c r="BE96" s="59"/>
      <c r="BF96" s="59"/>
      <c r="BG96" s="59"/>
      <c r="BH96" s="542"/>
      <c r="BM96" s="542"/>
      <c r="BN96" s="571">
        <f>BN97*(Income!BN130-Income!BN117-Income!BN121)</f>
        <v>1.9821249999999999</v>
      </c>
      <c r="BO96" s="571">
        <f>BO97*(Income!BO130-Income!BO117-Income!BO121)</f>
        <v>1.8759000000000003</v>
      </c>
      <c r="BP96" s="571">
        <f>BP97*(Income!BP130-Income!BP117-Income!BP121)</f>
        <v>2.0072399999999999</v>
      </c>
      <c r="BQ96" s="571">
        <f>BQ97*(Income!BQ130-Income!BQ117-Income!BQ121)</f>
        <v>2.0312450000000006</v>
      </c>
      <c r="BR96" s="575">
        <f>SUM(BN96:BQ96)</f>
        <v>7.896510000000001</v>
      </c>
      <c r="BS96" s="571">
        <f>BS97*(Income!BS130-Income!BS117-Income!BS121)</f>
        <v>1.7407949999999996</v>
      </c>
      <c r="BT96" s="571">
        <f>BT97*(Income!BT130-Income!BT117-Income!BT121)</f>
        <v>1.84833</v>
      </c>
      <c r="BU96" s="571">
        <f>BU97*(Income!BU130-Income!BU117-Income!BU121)</f>
        <v>1.8676899999999999</v>
      </c>
      <c r="BV96" s="571">
        <f>BV97*(Income!BV130-Income!BV117-Income!BV121)</f>
        <v>2.3121800000000001</v>
      </c>
      <c r="BW96" s="575">
        <f>SUM(BS96:BV96)</f>
        <v>7.7689950000000003</v>
      </c>
      <c r="BX96" s="571">
        <f>BX97*(Income!BX130-Income!BX117-Income!BX121)</f>
        <v>1.6044480000000001</v>
      </c>
      <c r="BY96" s="571">
        <f>BY97*(Income!BY130-Income!BY117-Income!BY121)</f>
        <v>1.5811199999999999</v>
      </c>
      <c r="BZ96" s="571">
        <f>BZ97*(Income!BZ130-Income!BZ117-Income!BZ121)</f>
        <v>2.1456400000000002</v>
      </c>
      <c r="CA96" s="571">
        <f>CA97*(Income!CA130-Income!CA117-Income!CA121)</f>
        <v>2.4859199999999992</v>
      </c>
      <c r="CB96" s="575">
        <f>SUM(BX96:CA96)</f>
        <v>7.8171279999999994</v>
      </c>
      <c r="CC96" s="571">
        <f>CC97*(Income!CC130-Income!CC117-Income!CC121)</f>
        <v>0.53200800000000037</v>
      </c>
      <c r="CD96" s="571">
        <f>CD97*(Income!CD130-Income!CD117-Income!CD121)</f>
        <v>0.70622999999999991</v>
      </c>
      <c r="CE96" s="571">
        <f>CE97*(Income!CE130-Income!CE117-Income!CE121)</f>
        <v>0.61845499999999998</v>
      </c>
      <c r="CF96" s="571">
        <f>CF97*(Income!CF130-Income!CF117-Income!CF121)</f>
        <v>0.79883999999999988</v>
      </c>
      <c r="CG96" s="575">
        <f>SUM(CC96:CF96)</f>
        <v>2.6555330000000001</v>
      </c>
      <c r="CH96" s="571"/>
      <c r="CI96" s="571"/>
      <c r="CJ96" s="571"/>
      <c r="CK96" s="571"/>
      <c r="CL96" s="575"/>
      <c r="CM96" s="571"/>
      <c r="CN96" s="571"/>
      <c r="CO96" s="571"/>
      <c r="CP96" s="571"/>
      <c r="CQ96" s="575"/>
    </row>
    <row r="97" spans="5:95" ht="13.5" x14ac:dyDescent="0.3">
      <c r="E97" s="365" t="s">
        <v>672</v>
      </c>
      <c r="F97" s="542"/>
      <c r="G97" s="542"/>
      <c r="H97" s="542"/>
      <c r="I97" s="542"/>
      <c r="J97" s="542"/>
      <c r="O97" s="542"/>
      <c r="T97" s="542"/>
      <c r="Y97" s="542"/>
      <c r="Z97" s="59"/>
      <c r="AA97" s="59"/>
      <c r="AB97" s="59"/>
      <c r="AC97" s="59"/>
      <c r="AD97" s="542"/>
      <c r="AE97" s="59"/>
      <c r="AF97" s="59"/>
      <c r="AG97" s="59"/>
      <c r="AH97" s="59"/>
      <c r="AI97" s="542"/>
      <c r="AJ97" s="59"/>
      <c r="AK97" s="59"/>
      <c r="AL97" s="59"/>
      <c r="AM97" s="59"/>
      <c r="AN97" s="542"/>
      <c r="AO97" s="59"/>
      <c r="AP97" s="59"/>
      <c r="AQ97" s="59"/>
      <c r="AR97" s="59"/>
      <c r="AS97" s="542"/>
      <c r="AT97" s="59"/>
      <c r="AU97" s="59"/>
      <c r="AV97" s="59"/>
      <c r="AW97" s="59"/>
      <c r="AX97" s="542"/>
      <c r="BC97" s="542"/>
      <c r="BD97" s="59"/>
      <c r="BE97" s="59"/>
      <c r="BF97" s="59"/>
      <c r="BG97" s="59"/>
      <c r="BH97" s="542"/>
      <c r="BM97" s="542"/>
      <c r="BN97" s="456">
        <v>0.125</v>
      </c>
      <c r="BO97" s="456">
        <v>0.13</v>
      </c>
      <c r="BP97" s="456">
        <v>0.12</v>
      </c>
      <c r="BQ97" s="456">
        <v>0.115</v>
      </c>
      <c r="BR97" s="641">
        <f>BR96/(Income!BR130-Income!BR117-Income!BR121)</f>
        <v>0.12209146991975513</v>
      </c>
      <c r="BS97" s="456">
        <v>0.105</v>
      </c>
      <c r="BT97" s="456">
        <v>0.11</v>
      </c>
      <c r="BU97" s="456">
        <v>0.11</v>
      </c>
      <c r="BV97" s="456">
        <v>0.13</v>
      </c>
      <c r="BW97" s="641">
        <f>BW96/(Income!BW130-Income!BW117-Income!BW121)</f>
        <v>0.11400347777598428</v>
      </c>
      <c r="BX97" s="456">
        <v>9.6000000000000002E-2</v>
      </c>
      <c r="BY97" s="456">
        <v>9.6000000000000002E-2</v>
      </c>
      <c r="BZ97" s="481">
        <v>0.14000000000000001</v>
      </c>
      <c r="CA97" s="481">
        <v>0.16</v>
      </c>
      <c r="CB97" s="641">
        <f>CB96/(Income!CB130-Income!CB117-Income!CB121)</f>
        <v>0.12205489804203229</v>
      </c>
      <c r="CC97" s="481">
        <v>0.16420000000000001</v>
      </c>
      <c r="CD97" s="481">
        <v>0.19</v>
      </c>
      <c r="CE97" s="481">
        <v>0.185</v>
      </c>
      <c r="CF97" s="481">
        <v>0.18</v>
      </c>
      <c r="CG97" s="641">
        <f>CG96/(Income!CG130-Income!CG117-Income!CG121)</f>
        <v>0.18018272492875556</v>
      </c>
      <c r="CH97" s="453"/>
      <c r="CI97" s="453"/>
      <c r="CJ97" s="453"/>
      <c r="CK97" s="453"/>
      <c r="CL97" s="641"/>
      <c r="CM97" s="453"/>
      <c r="CN97" s="453"/>
      <c r="CO97" s="453"/>
      <c r="CP97" s="453"/>
      <c r="CQ97" s="641"/>
    </row>
    <row r="98" spans="5:95" ht="13.5" x14ac:dyDescent="0.25">
      <c r="E98" s="642" t="s">
        <v>667</v>
      </c>
      <c r="F98" s="542"/>
      <c r="G98" s="542"/>
      <c r="H98" s="542"/>
      <c r="I98" s="542"/>
      <c r="J98" s="542"/>
      <c r="K98" s="524"/>
      <c r="L98" s="524"/>
      <c r="M98" s="524"/>
      <c r="N98" s="524"/>
      <c r="O98" s="542"/>
      <c r="P98" s="524"/>
      <c r="Q98" s="524"/>
      <c r="R98" s="524"/>
      <c r="S98" s="524"/>
      <c r="T98" s="542"/>
      <c r="U98" s="524"/>
      <c r="V98" s="524"/>
      <c r="W98" s="524"/>
      <c r="X98" s="524"/>
      <c r="Y98" s="542"/>
      <c r="Z98" s="542"/>
      <c r="AA98" s="542"/>
      <c r="AB98" s="542"/>
      <c r="AC98" s="542"/>
      <c r="AD98" s="542"/>
      <c r="AE98" s="542"/>
      <c r="AF98" s="542"/>
      <c r="AG98" s="542"/>
      <c r="AH98" s="542"/>
      <c r="AI98" s="542"/>
      <c r="AJ98" s="542"/>
      <c r="AK98" s="542"/>
      <c r="AL98" s="542"/>
      <c r="AM98" s="542"/>
      <c r="AN98" s="542"/>
      <c r="AO98" s="542"/>
      <c r="AP98" s="542"/>
      <c r="AQ98" s="542"/>
      <c r="AR98" s="542"/>
      <c r="AS98" s="542"/>
      <c r="AT98" s="542"/>
      <c r="AU98" s="542"/>
      <c r="AV98" s="542"/>
      <c r="AW98" s="542"/>
      <c r="AX98" s="542"/>
      <c r="AY98" s="574"/>
      <c r="AZ98" s="574"/>
      <c r="BA98" s="574"/>
      <c r="BB98" s="574"/>
      <c r="BC98" s="542"/>
      <c r="BD98" s="542"/>
      <c r="BE98" s="542"/>
      <c r="BF98" s="542"/>
      <c r="BG98" s="542"/>
      <c r="BH98" s="542"/>
      <c r="BI98" s="574"/>
      <c r="BJ98" s="574"/>
      <c r="BK98" s="574"/>
      <c r="BL98" s="574"/>
      <c r="BM98" s="542"/>
      <c r="BN98" s="540">
        <f t="shared" ref="BN98:CG98" si="21">BN93+BN96</f>
        <v>-12.106875</v>
      </c>
      <c r="BO98" s="540">
        <f t="shared" si="21"/>
        <v>-10.2761</v>
      </c>
      <c r="BP98" s="540">
        <f t="shared" si="21"/>
        <v>-5.7947600000000001</v>
      </c>
      <c r="BQ98" s="540">
        <f t="shared" si="21"/>
        <v>-3.9947549999999992</v>
      </c>
      <c r="BR98" s="540">
        <f t="shared" si="21"/>
        <v>-32.172490000000003</v>
      </c>
      <c r="BS98" s="540">
        <f t="shared" si="21"/>
        <v>0.94979499999999961</v>
      </c>
      <c r="BT98" s="540">
        <f t="shared" si="21"/>
        <v>0.78032999999999997</v>
      </c>
      <c r="BU98" s="540">
        <f t="shared" si="21"/>
        <v>0.85268999999999995</v>
      </c>
      <c r="BV98" s="540">
        <f t="shared" si="21"/>
        <v>1.8881800000000002</v>
      </c>
      <c r="BW98" s="540">
        <f t="shared" si="21"/>
        <v>4.4709950000000003</v>
      </c>
      <c r="BX98" s="540">
        <f t="shared" si="21"/>
        <v>1.895448</v>
      </c>
      <c r="BY98" s="540">
        <f t="shared" si="21"/>
        <v>3.2441199999999997</v>
      </c>
      <c r="BZ98" s="540">
        <f t="shared" si="21"/>
        <v>4.02264</v>
      </c>
      <c r="CA98" s="540">
        <f t="shared" si="21"/>
        <v>3.987919999999999</v>
      </c>
      <c r="CB98" s="540">
        <f t="shared" si="21"/>
        <v>13.150127999999999</v>
      </c>
      <c r="CC98" s="540">
        <f t="shared" si="21"/>
        <v>0.48400800000000038</v>
      </c>
      <c r="CD98" s="540">
        <f t="shared" si="21"/>
        <v>6.4212299999999995</v>
      </c>
      <c r="CE98" s="540">
        <f t="shared" si="21"/>
        <v>7.4264549999999998</v>
      </c>
      <c r="CF98" s="540">
        <f t="shared" si="21"/>
        <v>6.7228400000000006</v>
      </c>
      <c r="CG98" s="540">
        <f t="shared" si="21"/>
        <v>21.054532999999999</v>
      </c>
      <c r="CH98" s="540"/>
      <c r="CI98" s="540"/>
      <c r="CJ98" s="540"/>
      <c r="CK98" s="540"/>
      <c r="CL98" s="540"/>
      <c r="CM98" s="540"/>
      <c r="CN98" s="540"/>
      <c r="CO98" s="540"/>
      <c r="CP98" s="540"/>
      <c r="CQ98" s="540"/>
    </row>
    <row r="99" spans="5:95" ht="13.5" x14ac:dyDescent="0.25">
      <c r="E99" s="643" t="s">
        <v>2</v>
      </c>
      <c r="F99" s="542"/>
      <c r="G99" s="542"/>
      <c r="H99" s="542"/>
      <c r="I99" s="542"/>
      <c r="J99" s="542"/>
      <c r="K99" s="524"/>
      <c r="L99" s="524"/>
      <c r="M99" s="524"/>
      <c r="N99" s="524"/>
      <c r="O99" s="542"/>
      <c r="P99" s="524"/>
      <c r="Q99" s="524"/>
      <c r="R99" s="524"/>
      <c r="S99" s="524"/>
      <c r="T99" s="542"/>
      <c r="U99" s="524"/>
      <c r="V99" s="524"/>
      <c r="W99" s="524"/>
      <c r="X99" s="524"/>
      <c r="Y99" s="542"/>
      <c r="Z99" s="542"/>
      <c r="AA99" s="542"/>
      <c r="AB99" s="542"/>
      <c r="AC99" s="542"/>
      <c r="AD99" s="542"/>
      <c r="AE99" s="542"/>
      <c r="AF99" s="542"/>
      <c r="AG99" s="542"/>
      <c r="AH99" s="542"/>
      <c r="AI99" s="542"/>
      <c r="AJ99" s="542"/>
      <c r="AK99" s="542"/>
      <c r="AL99" s="542"/>
      <c r="AM99" s="542"/>
      <c r="AN99" s="542"/>
      <c r="AO99" s="542"/>
      <c r="AP99" s="542"/>
      <c r="AQ99" s="542"/>
      <c r="AR99" s="542"/>
      <c r="AS99" s="542"/>
      <c r="AT99" s="542"/>
      <c r="AU99" s="542"/>
      <c r="AV99" s="542"/>
      <c r="AW99" s="542"/>
      <c r="AX99" s="542"/>
      <c r="AY99" s="574"/>
      <c r="AZ99" s="574"/>
      <c r="BA99" s="574"/>
      <c r="BB99" s="574"/>
      <c r="BC99" s="542"/>
      <c r="BD99" s="542"/>
      <c r="BE99" s="542"/>
      <c r="BF99" s="542"/>
      <c r="BG99" s="542"/>
      <c r="BH99" s="542"/>
      <c r="BI99" s="574"/>
      <c r="BJ99" s="574"/>
      <c r="BK99" s="574"/>
      <c r="BL99" s="574"/>
      <c r="BM99" s="542"/>
      <c r="BN99" s="540"/>
      <c r="BO99" s="540"/>
      <c r="BP99" s="540"/>
      <c r="BQ99" s="540"/>
      <c r="BR99" s="540"/>
      <c r="BS99" s="641">
        <f t="shared" ref="BS99:CG99" si="22">(BS98-BN98)/ABS(BN98)</f>
        <v>1.078450880181715</v>
      </c>
      <c r="BT99" s="641">
        <f t="shared" si="22"/>
        <v>1.0759363961035802</v>
      </c>
      <c r="BU99" s="641">
        <f t="shared" si="22"/>
        <v>1.1471484582622922</v>
      </c>
      <c r="BV99" s="641">
        <f t="shared" si="22"/>
        <v>1.4726647816949978</v>
      </c>
      <c r="BW99" s="641">
        <f t="shared" si="22"/>
        <v>1.1389695046917414</v>
      </c>
      <c r="BX99" s="641">
        <f t="shared" si="22"/>
        <v>0.99563905895482796</v>
      </c>
      <c r="BY99" s="641">
        <f t="shared" si="22"/>
        <v>3.1573693181090046</v>
      </c>
      <c r="BZ99" s="641">
        <f t="shared" si="22"/>
        <v>3.717587868979348</v>
      </c>
      <c r="CA99" s="641">
        <f t="shared" si="22"/>
        <v>1.1120444025463667</v>
      </c>
      <c r="CB99" s="641">
        <f t="shared" si="22"/>
        <v>1.9412083887367348</v>
      </c>
      <c r="CC99" s="641">
        <f t="shared" si="22"/>
        <v>-0.74464717576003114</v>
      </c>
      <c r="CD99" s="641">
        <f t="shared" si="22"/>
        <v>0.97934416729344176</v>
      </c>
      <c r="CE99" s="641">
        <f t="shared" si="22"/>
        <v>0.84616445916114791</v>
      </c>
      <c r="CF99" s="641">
        <f t="shared" si="22"/>
        <v>0.68580111938052979</v>
      </c>
      <c r="CG99" s="641">
        <f t="shared" si="22"/>
        <v>0.60108958635231546</v>
      </c>
      <c r="CH99" s="641"/>
      <c r="CI99" s="641"/>
      <c r="CJ99" s="641"/>
      <c r="CK99" s="641"/>
      <c r="CL99" s="641"/>
      <c r="CM99" s="641"/>
      <c r="CN99" s="641"/>
      <c r="CO99" s="641"/>
      <c r="CP99" s="641"/>
      <c r="CQ99" s="641"/>
    </row>
    <row r="100" spans="5:95" ht="13.5" x14ac:dyDescent="0.25">
      <c r="E100" s="643" t="s">
        <v>91</v>
      </c>
      <c r="F100" s="542"/>
      <c r="G100" s="542"/>
      <c r="H100" s="542"/>
      <c r="I100" s="542"/>
      <c r="J100" s="542"/>
      <c r="K100" s="524"/>
      <c r="L100" s="524"/>
      <c r="M100" s="524"/>
      <c r="N100" s="524"/>
      <c r="O100" s="542"/>
      <c r="P100" s="524"/>
      <c r="Q100" s="524"/>
      <c r="R100" s="524"/>
      <c r="S100" s="524"/>
      <c r="T100" s="542"/>
      <c r="U100" s="524"/>
      <c r="V100" s="524"/>
      <c r="W100" s="524"/>
      <c r="X100" s="524"/>
      <c r="Y100" s="542"/>
      <c r="Z100" s="542"/>
      <c r="AA100" s="542"/>
      <c r="AB100" s="542"/>
      <c r="AC100" s="542"/>
      <c r="AD100" s="542"/>
      <c r="AE100" s="542"/>
      <c r="AF100" s="542"/>
      <c r="AG100" s="542"/>
      <c r="AH100" s="542"/>
      <c r="AI100" s="542"/>
      <c r="AJ100" s="542"/>
      <c r="AK100" s="542"/>
      <c r="AL100" s="542"/>
      <c r="AM100" s="542"/>
      <c r="AN100" s="542"/>
      <c r="AO100" s="542"/>
      <c r="AP100" s="542"/>
      <c r="AQ100" s="542"/>
      <c r="AR100" s="542"/>
      <c r="AS100" s="542"/>
      <c r="AT100" s="542"/>
      <c r="AU100" s="542"/>
      <c r="AV100" s="542"/>
      <c r="AW100" s="542"/>
      <c r="AX100" s="542"/>
      <c r="AY100" s="574"/>
      <c r="AZ100" s="574"/>
      <c r="BA100" s="574"/>
      <c r="BB100" s="574"/>
      <c r="BC100" s="542"/>
      <c r="BD100" s="542"/>
      <c r="BE100" s="542"/>
      <c r="BF100" s="542"/>
      <c r="BG100" s="542"/>
      <c r="BH100" s="542"/>
      <c r="BI100" s="574"/>
      <c r="BJ100" s="574"/>
      <c r="BK100" s="574"/>
      <c r="BL100" s="574"/>
      <c r="BM100" s="542"/>
      <c r="BN100" s="540"/>
      <c r="BO100" s="540"/>
      <c r="BP100" s="540"/>
      <c r="BQ100" s="540"/>
      <c r="BR100" s="540"/>
      <c r="BS100" s="641">
        <f>BS98/Connectivity!BS45</f>
        <v>4.6064067122556847E-2</v>
      </c>
      <c r="BT100" s="641">
        <f>BT98/Connectivity!BT45</f>
        <v>3.5080471138284483E-2</v>
      </c>
      <c r="BU100" s="641">
        <f>BU98/Connectivity!BU45</f>
        <v>3.000105552037154E-2</v>
      </c>
      <c r="BV100" s="641">
        <f>BV98/Connectivity!BV45</f>
        <v>6.054769921436589E-2</v>
      </c>
      <c r="BW100" s="641">
        <f>BW98/Connectivity!BW45</f>
        <v>4.363223382453401E-2</v>
      </c>
      <c r="BX100" s="641">
        <f>BX98/Connectivity!BX45</f>
        <v>6.0476293791079064E-2</v>
      </c>
      <c r="BY100" s="641">
        <f>BY98/Connectivity!BY45</f>
        <v>9.8122315649386005E-2</v>
      </c>
      <c r="BZ100" s="641">
        <f>BZ98/Connectivity!BZ45</f>
        <v>0.10384758364312269</v>
      </c>
      <c r="CA100" s="641">
        <f>CA98/Connectivity!CA45</f>
        <v>9.0218310974368221E-2</v>
      </c>
      <c r="CB100" s="641">
        <f>CB98/Connectivity!CB45</f>
        <v>8.9248406778740755E-2</v>
      </c>
      <c r="CC100" s="641">
        <f>CC98/Connectivity!CC45</f>
        <v>1.0711459301553587E-2</v>
      </c>
      <c r="CD100" s="641">
        <f>CD98/Connectivity!CD45</f>
        <v>0.12257998625534514</v>
      </c>
      <c r="CE100" s="641">
        <f>CE98/Connectivity!CE45</f>
        <v>0.13266738718782378</v>
      </c>
      <c r="CF100" s="641">
        <f>CF98/Connectivity!CF45</f>
        <v>0.11701460324090997</v>
      </c>
      <c r="CG100" s="641">
        <f>CG98/Connectivity!CG45</f>
        <v>9.9784043677518114E-2</v>
      </c>
      <c r="CH100" s="641"/>
      <c r="CI100" s="641"/>
      <c r="CJ100" s="641"/>
      <c r="CK100" s="641"/>
      <c r="CL100" s="641"/>
      <c r="CM100" s="641"/>
      <c r="CN100" s="641"/>
      <c r="CO100" s="641"/>
      <c r="CP100" s="641"/>
      <c r="CQ100" s="641"/>
    </row>
    <row r="101" spans="5:95" x14ac:dyDescent="0.25">
      <c r="CC101" s="355"/>
      <c r="CD101" s="355"/>
      <c r="CE101" s="355"/>
      <c r="CF101" s="355"/>
      <c r="CH101" s="355"/>
      <c r="CI101" s="355"/>
      <c r="CJ101" s="355"/>
      <c r="CK101" s="355"/>
    </row>
    <row r="102" spans="5:95" x14ac:dyDescent="0.25">
      <c r="E102" s="6" t="s">
        <v>19</v>
      </c>
      <c r="CF102" s="355"/>
      <c r="CL102" s="355"/>
      <c r="CQ102" s="355"/>
    </row>
  </sheetData>
  <dataConsolidate/>
  <pageMargins left="0.15" right="0.15" top="0.3" bottom="0.3" header="0.25" footer="0.25"/>
  <pageSetup scale="16" pageOrder="overThenDown" orientation="portrait" horizontalDpi="1200" verticalDpi="1200" r:id="rId1"/>
  <headerFooter alignWithMargins="0">
    <oddFooter>&amp;R&amp;"Book Antiqua,Regular"&amp;8Daniel Salmon
BMO Capital Markets
 (212) 885-4029</oddFooter>
  </headerFooter>
  <rowBreaks count="1" manualBreakCount="1">
    <brk id="66"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IG289"/>
  <sheetViews>
    <sheetView showGridLines="0" zoomScaleNormal="100" workbookViewId="0">
      <pane xSplit="5" ySplit="6" topLeftCell="BR7" activePane="bottomRight" state="frozen"/>
      <selection activeCell="E1" sqref="E1"/>
      <selection pane="topRight" activeCell="F1" sqref="F1"/>
      <selection pane="bottomLeft" activeCell="E7" sqref="E7"/>
      <selection pane="bottomRight" activeCell="CR29" sqref="CR29"/>
    </sheetView>
  </sheetViews>
  <sheetFormatPr defaultColWidth="9" defaultRowHeight="12.75" outlineLevelCol="1" x14ac:dyDescent="0.25"/>
  <cols>
    <col min="1" max="4" width="9.33203125" style="2" hidden="1" customWidth="1" outlineLevel="1"/>
    <col min="5" max="5" width="42.33203125" style="6" customWidth="1" collapsed="1"/>
    <col min="6" max="10" width="9.33203125" style="2" customWidth="1"/>
    <col min="11" max="11" width="10.33203125" style="2" customWidth="1"/>
    <col min="12" max="12" width="9.83203125" style="2" customWidth="1"/>
    <col min="13" max="13" width="9.6640625" style="2" customWidth="1"/>
    <col min="14" max="14" width="9.33203125" style="2" customWidth="1"/>
    <col min="15" max="15" width="9.33203125" style="6" customWidth="1"/>
    <col min="16" max="19" width="9.33203125" style="2" customWidth="1"/>
    <col min="20" max="20" width="9.33203125" style="6" customWidth="1"/>
    <col min="21" max="24" width="9.33203125" style="2" customWidth="1"/>
    <col min="25" max="29" width="9.33203125" style="6" customWidth="1"/>
    <col min="30" max="30" width="9.33203125" style="20" customWidth="1"/>
    <col min="31" max="31" width="7.1640625" style="6" customWidth="1"/>
    <col min="32" max="32" width="7.5" style="6" customWidth="1"/>
    <col min="33" max="33" width="7" style="6" customWidth="1"/>
    <col min="34" max="34" width="7.33203125" style="6" customWidth="1"/>
    <col min="35" max="35" width="9.33203125" style="20" customWidth="1"/>
    <col min="36" max="36" width="7.1640625" style="6" customWidth="1"/>
    <col min="37" max="37" width="7.5" style="6" customWidth="1"/>
    <col min="38" max="38" width="7" style="6" customWidth="1"/>
    <col min="39" max="39" width="7.33203125" style="6" customWidth="1"/>
    <col min="40" max="40" width="9.33203125" style="20" customWidth="1"/>
    <col min="41" max="41" width="7.1640625" style="6" customWidth="1"/>
    <col min="42" max="42" width="7.5" style="6" customWidth="1"/>
    <col min="43" max="43" width="7" style="6" customWidth="1"/>
    <col min="44" max="44" width="8.33203125" style="6" customWidth="1"/>
    <col min="45" max="45" width="9.33203125" style="20" customWidth="1"/>
    <col min="46" max="49" width="9.33203125" style="6" customWidth="1"/>
    <col min="50" max="50" width="9.33203125" style="20" customWidth="1"/>
    <col min="51" max="54" width="9.33203125" style="6" customWidth="1"/>
    <col min="55" max="55" width="9.33203125" style="20" customWidth="1"/>
    <col min="56" max="59" width="9.33203125" style="6" customWidth="1"/>
    <col min="60" max="60" width="9.33203125" style="20" customWidth="1"/>
    <col min="61" max="64" width="9.33203125" style="6" customWidth="1"/>
    <col min="65" max="74" width="9.33203125" style="20" customWidth="1"/>
    <col min="75" max="75" width="9.83203125" style="20" customWidth="1"/>
    <col min="76" max="76" width="9.6640625" style="20" customWidth="1"/>
    <col min="77" max="90" width="9.33203125" style="20" customWidth="1"/>
    <col min="91" max="94" width="9" style="20" customWidth="1"/>
    <col min="95" max="16384" width="9" style="20"/>
  </cols>
  <sheetData>
    <row r="1" spans="1:241" s="159" customFormat="1" ht="12.75"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E1" s="2"/>
      <c r="AF1" s="2"/>
      <c r="AG1" s="2"/>
      <c r="AH1" s="2"/>
      <c r="AJ1" s="6"/>
      <c r="AK1" s="2"/>
      <c r="AL1" s="2"/>
      <c r="AM1" s="2"/>
      <c r="AO1" s="2"/>
      <c r="AP1" s="2"/>
      <c r="AQ1" s="2"/>
      <c r="AR1" s="2"/>
      <c r="AT1" s="2"/>
      <c r="AU1" s="2"/>
      <c r="AV1" s="2"/>
      <c r="AW1" s="2"/>
      <c r="AY1" s="2"/>
      <c r="AZ1" s="2"/>
      <c r="BA1" s="2"/>
      <c r="BB1" s="2"/>
      <c r="BD1" s="2"/>
      <c r="BE1" s="2"/>
      <c r="BF1" s="2"/>
      <c r="BG1" s="2"/>
      <c r="BI1" s="2"/>
      <c r="BJ1" s="2"/>
      <c r="BK1" s="2"/>
      <c r="BL1" s="2"/>
      <c r="BZ1" s="364"/>
      <c r="CA1" s="364"/>
      <c r="CG1" s="364"/>
      <c r="CI1" s="729"/>
      <c r="CL1" s="726"/>
      <c r="CQ1" s="726"/>
      <c r="CR1" s="726"/>
    </row>
    <row r="2" spans="1:241" ht="12.75" customHeight="1" x14ac:dyDescent="0.25">
      <c r="E2" s="13" t="str">
        <f>Income!E2</f>
        <v>LiveRamp</v>
      </c>
      <c r="BS2" s="114"/>
      <c r="BT2" s="114"/>
      <c r="BU2" s="114"/>
      <c r="BV2" s="114"/>
      <c r="BW2" s="355"/>
      <c r="BX2" s="114"/>
      <c r="BY2" s="114"/>
      <c r="BZ2" s="713"/>
      <c r="CA2" s="713"/>
      <c r="CB2" s="21"/>
      <c r="CD2" s="355"/>
      <c r="CE2" s="355"/>
      <c r="CF2" s="355"/>
      <c r="CH2" s="364"/>
      <c r="CI2" s="364"/>
      <c r="CJ2" s="364"/>
      <c r="CK2" s="364"/>
      <c r="CL2" s="364"/>
      <c r="CM2" s="364"/>
      <c r="CN2" s="364"/>
      <c r="CO2" s="364"/>
      <c r="CP2" s="364"/>
      <c r="CQ2" s="364"/>
    </row>
    <row r="3" spans="1:241" ht="13.5" x14ac:dyDescent="0.25">
      <c r="E3" s="13" t="s">
        <v>728</v>
      </c>
      <c r="BM3" s="85"/>
      <c r="BN3" s="21"/>
      <c r="BO3" s="511"/>
      <c r="BS3" s="530"/>
      <c r="BT3" s="530"/>
      <c r="BU3" s="530"/>
      <c r="BV3" s="530"/>
      <c r="CD3" s="21"/>
      <c r="CL3" s="721"/>
      <c r="CQ3" s="721"/>
    </row>
    <row r="4" spans="1:241"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row>
    <row r="5" spans="1:241"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0"/>
      <c r="HJ5" s="20"/>
      <c r="HK5" s="20"/>
      <c r="HL5" s="20"/>
      <c r="HM5" s="20"/>
      <c r="HN5" s="20"/>
      <c r="HO5" s="20"/>
      <c r="HP5" s="20"/>
      <c r="HQ5" s="20"/>
      <c r="HR5" s="20"/>
      <c r="HS5" s="20"/>
      <c r="HT5" s="20"/>
      <c r="HU5" s="20"/>
      <c r="HV5" s="20"/>
      <c r="HW5" s="20"/>
      <c r="HX5" s="20"/>
      <c r="HY5" s="20"/>
      <c r="HZ5" s="20"/>
      <c r="IA5" s="20"/>
      <c r="IB5" s="20"/>
      <c r="IC5" s="20"/>
      <c r="ID5" s="20"/>
      <c r="IE5" s="20"/>
      <c r="IF5" s="20"/>
      <c r="IG5" s="20"/>
    </row>
    <row r="6" spans="1:241" s="113" customFormat="1" ht="12" customHeight="1" x14ac:dyDescent="0.25">
      <c r="A6" s="2"/>
      <c r="B6" s="2"/>
      <c r="C6" s="2"/>
      <c r="D6" s="2"/>
      <c r="E6" s="112" t="str">
        <f>Income!E6</f>
        <v>Calendar quarter</v>
      </c>
      <c r="F6" s="88"/>
      <c r="G6" s="88"/>
      <c r="H6" s="88"/>
      <c r="I6" s="88"/>
      <c r="J6" s="88"/>
      <c r="K6" s="88"/>
      <c r="L6" s="88"/>
      <c r="M6" s="88"/>
      <c r="N6" s="88"/>
      <c r="O6" s="88"/>
      <c r="P6" s="88"/>
      <c r="Q6" s="88"/>
      <c r="R6" s="88"/>
      <c r="S6" s="88"/>
      <c r="T6" s="88"/>
      <c r="U6" s="88"/>
      <c r="V6" s="88"/>
      <c r="W6" s="88"/>
      <c r="X6" s="88"/>
      <c r="Y6" s="88"/>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row>
    <row r="7" spans="1:241" s="113" customFormat="1" ht="3.75" customHeight="1" x14ac:dyDescent="0.25">
      <c r="A7" s="2"/>
      <c r="B7" s="2"/>
      <c r="C7" s="2"/>
      <c r="D7" s="2"/>
      <c r="E7" s="40"/>
      <c r="F7" s="106"/>
      <c r="G7" s="106"/>
      <c r="H7" s="106"/>
      <c r="I7" s="106"/>
      <c r="J7" s="106"/>
      <c r="K7" s="41"/>
      <c r="L7" s="41"/>
      <c r="M7" s="41"/>
      <c r="N7" s="41"/>
      <c r="O7" s="106"/>
      <c r="P7" s="41"/>
      <c r="Q7" s="41"/>
      <c r="R7" s="41"/>
      <c r="S7" s="41"/>
      <c r="T7" s="106"/>
      <c r="U7" s="41"/>
      <c r="V7" s="41"/>
      <c r="W7" s="41"/>
      <c r="X7" s="41"/>
      <c r="Y7" s="106"/>
      <c r="Z7" s="41"/>
      <c r="AA7" s="41"/>
      <c r="AB7" s="41"/>
      <c r="AC7" s="41"/>
      <c r="AD7" s="106"/>
      <c r="AE7" s="41"/>
      <c r="AF7" s="41"/>
      <c r="AG7" s="41"/>
      <c r="AH7" s="41"/>
      <c r="AI7" s="106"/>
      <c r="AJ7" s="41"/>
      <c r="AK7" s="41"/>
      <c r="AL7" s="41"/>
      <c r="AM7" s="41"/>
      <c r="AN7" s="106"/>
      <c r="AO7" s="41"/>
      <c r="AP7" s="41"/>
      <c r="AQ7" s="41"/>
      <c r="AR7" s="41"/>
      <c r="AS7" s="106"/>
      <c r="AT7" s="41"/>
      <c r="AU7" s="41"/>
      <c r="AV7" s="41"/>
      <c r="AW7" s="41"/>
      <c r="AX7" s="106"/>
      <c r="AY7" s="41"/>
      <c r="AZ7" s="41"/>
      <c r="BA7" s="41"/>
      <c r="BB7" s="41"/>
      <c r="BC7" s="106"/>
      <c r="BD7" s="41"/>
      <c r="BE7" s="41"/>
      <c r="BF7" s="41"/>
      <c r="BG7" s="41"/>
      <c r="BH7" s="106"/>
      <c r="BI7" s="41"/>
      <c r="BJ7" s="41"/>
      <c r="BK7" s="41"/>
      <c r="BL7" s="41"/>
      <c r="BM7" s="106"/>
      <c r="BN7" s="41"/>
      <c r="BO7" s="41"/>
      <c r="BP7" s="41"/>
      <c r="BQ7" s="41"/>
      <c r="BR7" s="106"/>
      <c r="BS7" s="41"/>
      <c r="BT7" s="41"/>
      <c r="BU7" s="41"/>
      <c r="BV7" s="41"/>
      <c r="BW7" s="106"/>
      <c r="BX7" s="41"/>
      <c r="BY7" s="41"/>
      <c r="BZ7" s="41"/>
      <c r="CA7" s="41"/>
      <c r="CB7" s="106"/>
      <c r="CC7" s="19"/>
      <c r="CD7" s="19"/>
      <c r="CE7" s="19"/>
      <c r="CF7" s="19"/>
      <c r="CG7" s="88"/>
      <c r="CH7" s="19"/>
      <c r="CI7" s="19"/>
      <c r="CJ7" s="19"/>
      <c r="CK7" s="19"/>
      <c r="CL7" s="88"/>
      <c r="CM7" s="19"/>
      <c r="CN7" s="19"/>
      <c r="CO7" s="19"/>
      <c r="CP7" s="19"/>
      <c r="CQ7" s="88"/>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0"/>
      <c r="HJ7" s="20"/>
      <c r="HK7" s="20"/>
      <c r="HL7" s="20"/>
      <c r="HM7" s="20"/>
      <c r="HN7" s="20"/>
      <c r="HO7" s="20"/>
      <c r="HP7" s="20"/>
      <c r="HQ7" s="20"/>
      <c r="HR7" s="20"/>
      <c r="HS7" s="20"/>
      <c r="HT7" s="20"/>
      <c r="HU7" s="20"/>
      <c r="HV7" s="20"/>
      <c r="HW7" s="20"/>
      <c r="HX7" s="20"/>
      <c r="HY7" s="20"/>
      <c r="HZ7" s="20"/>
      <c r="IA7" s="20"/>
      <c r="IB7" s="20"/>
      <c r="IC7" s="20"/>
      <c r="ID7" s="20"/>
      <c r="IE7" s="20"/>
      <c r="IF7" s="20"/>
      <c r="IG7" s="20"/>
    </row>
    <row r="8" spans="1:241" hidden="1" x14ac:dyDescent="0.25">
      <c r="E8" s="174"/>
      <c r="F8" s="557"/>
      <c r="G8" s="557"/>
      <c r="H8" s="557"/>
      <c r="I8" s="557"/>
      <c r="J8" s="557"/>
      <c r="K8" s="174"/>
      <c r="L8" s="174"/>
      <c r="M8" s="174"/>
      <c r="N8" s="174"/>
      <c r="O8" s="557"/>
      <c r="P8" s="174"/>
      <c r="Q8" s="174"/>
      <c r="R8" s="477"/>
      <c r="S8" s="174"/>
      <c r="T8" s="557"/>
      <c r="U8" s="174"/>
      <c r="V8" s="174"/>
      <c r="W8" s="174"/>
      <c r="X8" s="174"/>
      <c r="Y8" s="557"/>
      <c r="Z8" s="174"/>
      <c r="AA8" s="174"/>
      <c r="AB8" s="174"/>
      <c r="AC8" s="174"/>
      <c r="AD8" s="557"/>
      <c r="AE8" s="174"/>
      <c r="AF8" s="174"/>
      <c r="AG8" s="174"/>
      <c r="AH8" s="174"/>
      <c r="AI8" s="557"/>
      <c r="AJ8" s="174"/>
      <c r="AK8" s="174"/>
      <c r="AL8" s="174"/>
      <c r="AM8" s="174"/>
      <c r="AN8" s="557"/>
      <c r="AO8" s="174"/>
      <c r="AP8" s="174"/>
      <c r="AQ8" s="174"/>
      <c r="AR8" s="174"/>
      <c r="AS8" s="557"/>
      <c r="AT8" s="174"/>
      <c r="AU8" s="174"/>
      <c r="AV8" s="174"/>
      <c r="AW8" s="174"/>
      <c r="AX8" s="557"/>
      <c r="AY8" s="174"/>
      <c r="AZ8" s="174"/>
      <c r="BA8" s="174"/>
      <c r="BB8" s="174"/>
      <c r="BC8" s="557"/>
      <c r="BD8" s="174"/>
      <c r="BE8" s="174"/>
      <c r="BF8" s="174"/>
      <c r="BG8" s="174"/>
      <c r="BH8" s="557"/>
      <c r="BI8" s="174"/>
      <c r="BJ8" s="174"/>
      <c r="BK8" s="174"/>
      <c r="BL8" s="174"/>
      <c r="BM8" s="483"/>
      <c r="BN8" s="174"/>
      <c r="BO8" s="174"/>
      <c r="BP8" s="174"/>
      <c r="BQ8" s="174"/>
      <c r="BR8" s="483"/>
      <c r="BS8" s="174"/>
      <c r="BT8" s="174"/>
      <c r="BU8" s="174"/>
      <c r="BV8" s="174"/>
      <c r="BW8" s="483"/>
      <c r="BX8" s="174"/>
      <c r="BY8" s="174"/>
      <c r="BZ8" s="174"/>
      <c r="CA8" s="174"/>
      <c r="CB8" s="483"/>
      <c r="CC8" s="174"/>
      <c r="CD8" s="174"/>
      <c r="CE8" s="174"/>
      <c r="CF8" s="174"/>
      <c r="CG8" s="483"/>
      <c r="CH8" s="174"/>
      <c r="CI8" s="174"/>
      <c r="CJ8" s="174"/>
      <c r="CK8" s="174"/>
      <c r="CL8" s="483"/>
      <c r="CM8" s="174"/>
      <c r="CN8" s="174"/>
      <c r="CO8" s="174"/>
      <c r="CP8" s="174"/>
      <c r="CQ8" s="483"/>
    </row>
    <row r="9" spans="1:241" hidden="1" x14ac:dyDescent="0.25">
      <c r="E9" s="174" t="s">
        <v>616</v>
      </c>
      <c r="F9" s="557"/>
      <c r="G9" s="557"/>
      <c r="H9" s="557"/>
      <c r="I9" s="557"/>
      <c r="J9" s="557"/>
      <c r="K9" s="174"/>
      <c r="L9" s="174"/>
      <c r="M9" s="174"/>
      <c r="N9" s="174"/>
      <c r="O9" s="557"/>
      <c r="P9" s="174"/>
      <c r="Q9" s="174"/>
      <c r="R9" s="477"/>
      <c r="S9" s="174"/>
      <c r="T9" s="557"/>
      <c r="U9" s="174"/>
      <c r="V9" s="174"/>
      <c r="W9" s="174"/>
      <c r="X9" s="174"/>
      <c r="Y9" s="557"/>
      <c r="Z9" s="174"/>
      <c r="AA9" s="174"/>
      <c r="AB9" s="174"/>
      <c r="AC9" s="174"/>
      <c r="AD9" s="557"/>
      <c r="AE9" s="174"/>
      <c r="AF9" s="174"/>
      <c r="AG9" s="174"/>
      <c r="AH9" s="174"/>
      <c r="AI9" s="557"/>
      <c r="AJ9" s="174"/>
      <c r="AK9" s="174"/>
      <c r="AL9" s="174"/>
      <c r="AM9" s="174"/>
      <c r="AN9" s="557"/>
      <c r="AO9" s="174"/>
      <c r="AP9" s="174"/>
      <c r="AQ9" s="174"/>
      <c r="AR9" s="174"/>
      <c r="AS9" s="557"/>
      <c r="AT9" s="174"/>
      <c r="AU9" s="174"/>
      <c r="AV9" s="174"/>
      <c r="AW9" s="174"/>
      <c r="AX9" s="557"/>
      <c r="AY9" s="174"/>
      <c r="AZ9" s="174"/>
      <c r="BA9" s="174"/>
      <c r="BB9" s="174"/>
      <c r="BC9" s="557"/>
      <c r="BD9" s="174"/>
      <c r="BE9" s="174"/>
      <c r="BF9" s="174"/>
      <c r="BG9" s="174"/>
      <c r="BH9" s="557"/>
      <c r="BI9" s="174"/>
      <c r="BJ9" s="174"/>
      <c r="BK9" s="174"/>
      <c r="BL9" s="174"/>
      <c r="BM9" s="483"/>
      <c r="BN9" s="487">
        <v>20</v>
      </c>
      <c r="BO9" s="487">
        <v>25</v>
      </c>
      <c r="BP9" s="487">
        <v>50</v>
      </c>
      <c r="BQ9" s="487">
        <v>32</v>
      </c>
      <c r="BR9" s="188">
        <f>SUM(BN9:BQ9)</f>
        <v>127</v>
      </c>
      <c r="BS9" s="487">
        <v>43</v>
      </c>
      <c r="BT9" s="487">
        <v>54</v>
      </c>
      <c r="BU9" s="487">
        <v>86</v>
      </c>
      <c r="BV9" s="487">
        <v>96</v>
      </c>
      <c r="BW9" s="188">
        <f>SUM(BS9:BV9)</f>
        <v>279</v>
      </c>
      <c r="BX9" s="487">
        <v>102</v>
      </c>
      <c r="BY9" s="487">
        <v>105</v>
      </c>
      <c r="BZ9" s="487">
        <v>5</v>
      </c>
      <c r="CA9" s="487">
        <v>5</v>
      </c>
      <c r="CB9" s="188">
        <f>SUM(BX9:CA9)</f>
        <v>217</v>
      </c>
      <c r="CC9" s="547">
        <f>(Connectivity!CC29*Connectivity!CC18/1000000)-Connectivity!CC30</f>
        <v>2.6425982471973697E-2</v>
      </c>
      <c r="CD9" s="547">
        <f>(Connectivity!CD29*Connectivity!CD18/1000000)-Connectivity!CD30</f>
        <v>0</v>
      </c>
      <c r="CE9" s="547">
        <f>(Connectivity!CE29*Connectivity!CE18/1000000)-Connectivity!CE30</f>
        <v>0</v>
      </c>
      <c r="CF9" s="547">
        <f>(Connectivity!CF29*Connectivity!CF18/1000000)-Connectivity!CF30</f>
        <v>0</v>
      </c>
      <c r="CG9" s="188">
        <f>SUM(CC9:CF9)</f>
        <v>2.6425982471973697E-2</v>
      </c>
      <c r="CH9" s="547">
        <f>(Connectivity!CH29*Connectivity!CH18/1000000)-Connectivity!CH30</f>
        <v>0</v>
      </c>
      <c r="CI9" s="547">
        <f>(Connectivity!CI29*Connectivity!CI18/1000000)-Connectivity!CI30</f>
        <v>0</v>
      </c>
      <c r="CJ9" s="547">
        <f>(Connectivity!CJ29*Connectivity!CJ18/1000000)-Connectivity!CJ30</f>
        <v>0</v>
      </c>
      <c r="CK9" s="547">
        <f>(Connectivity!CK29*Connectivity!CK18/1000000)-Connectivity!CK30</f>
        <v>0</v>
      </c>
      <c r="CL9" s="188">
        <f>SUM(CH9:CK9)</f>
        <v>0</v>
      </c>
      <c r="CM9" s="547">
        <f>(Connectivity!CM29*Connectivity!CM18/1000000)-Connectivity!CM30</f>
        <v>0</v>
      </c>
      <c r="CN9" s="547">
        <f>(Connectivity!CN29*Connectivity!CN18/1000000)-Connectivity!CN30</f>
        <v>0</v>
      </c>
      <c r="CO9" s="547">
        <f>(Connectivity!CO29*Connectivity!CO18/1000000)-Connectivity!CO30</f>
        <v>0</v>
      </c>
      <c r="CP9" s="547">
        <f>(Connectivity!CP29*Connectivity!CP18/1000000)-Connectivity!CP30</f>
        <v>0</v>
      </c>
      <c r="CQ9" s="188">
        <f>SUM(CM9:CP9)</f>
        <v>0</v>
      </c>
    </row>
    <row r="10" spans="1:241" hidden="1" x14ac:dyDescent="0.25">
      <c r="E10" s="174"/>
      <c r="F10" s="557"/>
      <c r="G10" s="557"/>
      <c r="H10" s="557"/>
      <c r="I10" s="557"/>
      <c r="J10" s="557"/>
      <c r="K10" s="174"/>
      <c r="L10" s="174"/>
      <c r="M10" s="174"/>
      <c r="N10" s="174"/>
      <c r="O10" s="557"/>
      <c r="P10" s="174"/>
      <c r="Q10" s="174"/>
      <c r="R10" s="477"/>
      <c r="S10" s="174"/>
      <c r="T10" s="557"/>
      <c r="U10" s="174"/>
      <c r="V10" s="174"/>
      <c r="W10" s="174"/>
      <c r="X10" s="174"/>
      <c r="Y10" s="557"/>
      <c r="Z10" s="174"/>
      <c r="AA10" s="174"/>
      <c r="AB10" s="174"/>
      <c r="AC10" s="174"/>
      <c r="AD10" s="557"/>
      <c r="AE10" s="174"/>
      <c r="AF10" s="174"/>
      <c r="AG10" s="174"/>
      <c r="AH10" s="174"/>
      <c r="AI10" s="557"/>
      <c r="AJ10" s="174"/>
      <c r="AK10" s="174"/>
      <c r="AL10" s="174"/>
      <c r="AM10" s="174"/>
      <c r="AN10" s="557"/>
      <c r="AO10" s="174"/>
      <c r="AP10" s="174"/>
      <c r="AQ10" s="174"/>
      <c r="AR10" s="174"/>
      <c r="AS10" s="557"/>
      <c r="AT10" s="174"/>
      <c r="AU10" s="174"/>
      <c r="AV10" s="174"/>
      <c r="AW10" s="174"/>
      <c r="AX10" s="557"/>
      <c r="AY10" s="174"/>
      <c r="AZ10" s="174"/>
      <c r="BA10" s="174"/>
      <c r="BB10" s="174"/>
      <c r="BC10" s="557"/>
      <c r="BD10" s="174"/>
      <c r="BE10" s="174"/>
      <c r="BF10" s="174"/>
      <c r="BG10" s="174"/>
      <c r="BH10" s="557"/>
      <c r="BI10" s="174"/>
      <c r="BJ10" s="174"/>
      <c r="BK10" s="174"/>
      <c r="BL10" s="174"/>
      <c r="BM10" s="483"/>
      <c r="BN10" s="487"/>
      <c r="BO10" s="487"/>
      <c r="BP10" s="487"/>
      <c r="BQ10" s="487"/>
      <c r="BR10" s="188"/>
      <c r="BS10" s="487"/>
      <c r="BT10" s="464"/>
      <c r="BU10" s="547"/>
      <c r="BV10" s="547"/>
      <c r="BW10" s="188"/>
      <c r="BX10" s="547"/>
      <c r="BY10" s="547"/>
      <c r="BZ10" s="547"/>
      <c r="CA10" s="547"/>
      <c r="CB10" s="188"/>
      <c r="CC10" s="547"/>
      <c r="CD10" s="547"/>
      <c r="CE10" s="547"/>
      <c r="CF10" s="547"/>
      <c r="CG10" s="188"/>
      <c r="CH10" s="547"/>
      <c r="CI10" s="547"/>
      <c r="CJ10" s="547"/>
      <c r="CK10" s="547"/>
      <c r="CL10" s="188"/>
      <c r="CM10" s="547"/>
      <c r="CN10" s="547"/>
      <c r="CO10" s="547"/>
      <c r="CP10" s="547"/>
      <c r="CQ10" s="188"/>
    </row>
    <row r="11" spans="1:241" ht="13.5" x14ac:dyDescent="0.25">
      <c r="E11" s="54" t="s">
        <v>630</v>
      </c>
      <c r="F11" s="557"/>
      <c r="G11" s="557"/>
      <c r="H11" s="557"/>
      <c r="I11" s="557"/>
      <c r="J11" s="557"/>
      <c r="K11" s="174"/>
      <c r="L11" s="174"/>
      <c r="M11" s="174"/>
      <c r="N11" s="174"/>
      <c r="O11" s="557"/>
      <c r="P11" s="174"/>
      <c r="Q11" s="174"/>
      <c r="R11" s="477"/>
      <c r="S11" s="174"/>
      <c r="T11" s="557"/>
      <c r="U11" s="174"/>
      <c r="V11" s="174"/>
      <c r="W11" s="174"/>
      <c r="X11" s="174"/>
      <c r="Y11" s="557"/>
      <c r="Z11" s="174"/>
      <c r="AA11" s="174"/>
      <c r="AB11" s="174"/>
      <c r="AC11" s="174"/>
      <c r="AD11" s="557"/>
      <c r="AE11" s="174"/>
      <c r="AF11" s="174"/>
      <c r="AG11" s="174"/>
      <c r="AH11" s="174"/>
      <c r="AI11" s="557"/>
      <c r="AJ11" s="174"/>
      <c r="AK11" s="174"/>
      <c r="AL11" s="174"/>
      <c r="AM11" s="174"/>
      <c r="AN11" s="557"/>
      <c r="AO11" s="174"/>
      <c r="AP11" s="174"/>
      <c r="AQ11" s="174"/>
      <c r="AR11" s="174"/>
      <c r="AS11" s="557"/>
      <c r="AT11" s="174"/>
      <c r="AU11" s="174"/>
      <c r="AV11" s="174"/>
      <c r="AW11" s="174"/>
      <c r="AX11" s="557"/>
      <c r="AY11" s="174"/>
      <c r="AZ11" s="174"/>
      <c r="BA11" s="174"/>
      <c r="BB11" s="174"/>
      <c r="BC11" s="557"/>
      <c r="BD11" s="174"/>
      <c r="BE11" s="174"/>
      <c r="BF11" s="174"/>
      <c r="BG11" s="174"/>
      <c r="BH11" s="557"/>
      <c r="BI11" s="174"/>
      <c r="BJ11" s="174"/>
      <c r="BK11" s="174"/>
      <c r="BL11" s="174"/>
      <c r="BM11" s="545">
        <v>265</v>
      </c>
      <c r="BN11" s="417">
        <v>61.581000000000003</v>
      </c>
      <c r="BO11" s="417">
        <v>66.935000000000002</v>
      </c>
      <c r="BP11" s="417">
        <v>63.962000000000003</v>
      </c>
      <c r="BQ11" s="417">
        <v>67.671000000000006</v>
      </c>
      <c r="BR11" s="161">
        <f>SUM(BN11:BQ11)</f>
        <v>260.149</v>
      </c>
      <c r="BS11" s="417">
        <v>60.195</v>
      </c>
      <c r="BT11" s="417">
        <v>65.33</v>
      </c>
      <c r="BU11" s="417">
        <v>66.137</v>
      </c>
      <c r="BV11" s="417">
        <v>71.433000000000007</v>
      </c>
      <c r="BW11" s="188">
        <f>SUM(BS11:BV11)</f>
        <v>263.09500000000003</v>
      </c>
      <c r="BX11" s="417">
        <v>65.613</v>
      </c>
      <c r="BY11" s="417">
        <v>71.34</v>
      </c>
      <c r="BZ11" s="417">
        <v>74.072999999999993</v>
      </c>
      <c r="CA11" s="417">
        <v>77.852000000000004</v>
      </c>
      <c r="CB11" s="188">
        <f>SUM(BX11:CA11)</f>
        <v>288.87800000000004</v>
      </c>
      <c r="CC11" s="417">
        <v>68.066999999999993</v>
      </c>
      <c r="CD11" s="417">
        <v>70.97</v>
      </c>
      <c r="CE11" s="417">
        <v>74.233000000000004</v>
      </c>
      <c r="CF11" s="417">
        <v>79.3</v>
      </c>
      <c r="CG11" s="188">
        <f>SUM(CC11:CF11)</f>
        <v>292.57</v>
      </c>
      <c r="CH11" s="439"/>
      <c r="CI11" s="439"/>
      <c r="CJ11" s="439"/>
      <c r="CK11" s="439"/>
      <c r="CL11" s="188"/>
      <c r="CM11" s="439"/>
      <c r="CN11" s="439"/>
      <c r="CO11" s="439"/>
      <c r="CP11" s="439"/>
      <c r="CQ11" s="188"/>
    </row>
    <row r="12" spans="1:241" ht="13.5" x14ac:dyDescent="0.25">
      <c r="E12" s="91" t="s">
        <v>2</v>
      </c>
      <c r="F12" s="557"/>
      <c r="G12" s="557"/>
      <c r="H12" s="557"/>
      <c r="I12" s="557"/>
      <c r="J12" s="557"/>
      <c r="K12" s="174"/>
      <c r="L12" s="174"/>
      <c r="M12" s="174"/>
      <c r="N12" s="174"/>
      <c r="O12" s="557"/>
      <c r="P12" s="174"/>
      <c r="Q12" s="174"/>
      <c r="R12" s="477"/>
      <c r="S12" s="174"/>
      <c r="T12" s="557"/>
      <c r="U12" s="174"/>
      <c r="V12" s="174"/>
      <c r="W12" s="174"/>
      <c r="X12" s="174"/>
      <c r="Y12" s="557"/>
      <c r="Z12" s="174"/>
      <c r="AA12" s="174"/>
      <c r="AB12" s="174"/>
      <c r="AC12" s="174"/>
      <c r="AD12" s="557"/>
      <c r="AE12" s="174"/>
      <c r="AF12" s="174"/>
      <c r="AG12" s="174"/>
      <c r="AH12" s="174"/>
      <c r="AI12" s="557"/>
      <c r="AJ12" s="174"/>
      <c r="AK12" s="174"/>
      <c r="AL12" s="174"/>
      <c r="AM12" s="174"/>
      <c r="AN12" s="557"/>
      <c r="AO12" s="174"/>
      <c r="AP12" s="174"/>
      <c r="AQ12" s="174"/>
      <c r="AR12" s="174"/>
      <c r="AS12" s="557"/>
      <c r="AT12" s="174"/>
      <c r="AU12" s="174"/>
      <c r="AV12" s="174"/>
      <c r="AW12" s="174"/>
      <c r="AX12" s="557"/>
      <c r="AY12" s="174"/>
      <c r="AZ12" s="174"/>
      <c r="BA12" s="174"/>
      <c r="BB12" s="174"/>
      <c r="BC12" s="557"/>
      <c r="BD12" s="174"/>
      <c r="BE12" s="174"/>
      <c r="BF12" s="174"/>
      <c r="BG12" s="174"/>
      <c r="BH12" s="557"/>
      <c r="BI12" s="174"/>
      <c r="BJ12" s="174"/>
      <c r="BK12" s="174"/>
      <c r="BL12" s="174"/>
      <c r="BM12" s="161"/>
      <c r="BN12" s="517" t="s">
        <v>490</v>
      </c>
      <c r="BO12" s="517" t="s">
        <v>490</v>
      </c>
      <c r="BP12" s="517" t="s">
        <v>490</v>
      </c>
      <c r="BQ12" s="517" t="s">
        <v>490</v>
      </c>
      <c r="BR12" s="32">
        <f t="shared" ref="BR12:CC12" si="0">BR11/BM11-1</f>
        <v>-1.8305660377358479E-2</v>
      </c>
      <c r="BS12" s="183">
        <f t="shared" si="0"/>
        <v>-2.2506942076289782E-2</v>
      </c>
      <c r="BT12" s="183">
        <f t="shared" si="0"/>
        <v>-2.3978486591469395E-2</v>
      </c>
      <c r="BU12" s="183">
        <f t="shared" si="0"/>
        <v>3.4004565210593807E-2</v>
      </c>
      <c r="BV12" s="183">
        <f t="shared" si="0"/>
        <v>5.5592499002526941E-2</v>
      </c>
      <c r="BW12" s="32">
        <f t="shared" si="0"/>
        <v>1.1324279547490157E-2</v>
      </c>
      <c r="BX12" s="183">
        <f t="shared" si="0"/>
        <v>9.000747570396217E-2</v>
      </c>
      <c r="BY12" s="183">
        <f t="shared" si="0"/>
        <v>9.1994489514771294E-2</v>
      </c>
      <c r="BZ12" s="183">
        <f t="shared" si="0"/>
        <v>0.11999334714305143</v>
      </c>
      <c r="CA12" s="183">
        <f t="shared" si="0"/>
        <v>8.9860428653423474E-2</v>
      </c>
      <c r="CB12" s="32">
        <f t="shared" si="0"/>
        <v>9.7998821718390694E-2</v>
      </c>
      <c r="CC12" s="183">
        <f t="shared" si="0"/>
        <v>3.7401124777102002E-2</v>
      </c>
      <c r="CD12" s="183">
        <f>CD11/BY11-1</f>
        <v>-5.1864311746566694E-3</v>
      </c>
      <c r="CE12" s="183">
        <f>CE11/BZ11-1</f>
        <v>2.1600313204543919E-3</v>
      </c>
      <c r="CF12" s="183">
        <f>CF11/CA11-1</f>
        <v>1.8599393721419943E-2</v>
      </c>
      <c r="CG12" s="32">
        <f>CG11/CB11-1</f>
        <v>1.2780481725849446E-2</v>
      </c>
      <c r="CH12" s="453"/>
      <c r="CI12" s="453"/>
      <c r="CJ12" s="453"/>
      <c r="CK12" s="453"/>
      <c r="CL12" s="32"/>
      <c r="CM12" s="453"/>
      <c r="CN12" s="453"/>
      <c r="CO12" s="727"/>
      <c r="CP12" s="727"/>
      <c r="CQ12" s="32"/>
    </row>
    <row r="13" spans="1:241" ht="3.75" customHeight="1" x14ac:dyDescent="0.25">
      <c r="E13" s="91"/>
      <c r="F13" s="557"/>
      <c r="G13" s="557"/>
      <c r="H13" s="557"/>
      <c r="I13" s="557"/>
      <c r="J13" s="557"/>
      <c r="K13" s="174"/>
      <c r="L13" s="174"/>
      <c r="M13" s="174"/>
      <c r="N13" s="174"/>
      <c r="O13" s="557"/>
      <c r="P13" s="174"/>
      <c r="Q13" s="174"/>
      <c r="R13" s="477"/>
      <c r="S13" s="174"/>
      <c r="T13" s="557"/>
      <c r="U13" s="174"/>
      <c r="V13" s="174"/>
      <c r="W13" s="174"/>
      <c r="X13" s="174"/>
      <c r="Y13" s="557"/>
      <c r="Z13" s="174"/>
      <c r="AA13" s="174"/>
      <c r="AB13" s="174"/>
      <c r="AC13" s="174"/>
      <c r="AD13" s="557"/>
      <c r="AE13" s="174"/>
      <c r="AF13" s="174"/>
      <c r="AG13" s="174"/>
      <c r="AH13" s="174"/>
      <c r="AI13" s="557"/>
      <c r="AJ13" s="174"/>
      <c r="AK13" s="174"/>
      <c r="AL13" s="174"/>
      <c r="AM13" s="174"/>
      <c r="AN13" s="557"/>
      <c r="AO13" s="174"/>
      <c r="AP13" s="174"/>
      <c r="AQ13" s="174"/>
      <c r="AR13" s="174"/>
      <c r="AS13" s="557"/>
      <c r="AT13" s="174"/>
      <c r="AU13" s="174"/>
      <c r="AV13" s="174"/>
      <c r="AW13" s="174"/>
      <c r="AX13" s="557"/>
      <c r="AY13" s="174"/>
      <c r="AZ13" s="174"/>
      <c r="BA13" s="174"/>
      <c r="BB13" s="174"/>
      <c r="BC13" s="557"/>
      <c r="BD13" s="174"/>
      <c r="BE13" s="174"/>
      <c r="BF13" s="174"/>
      <c r="BG13" s="174"/>
      <c r="BH13" s="557"/>
      <c r="BI13" s="174"/>
      <c r="BJ13" s="174"/>
      <c r="BK13" s="174"/>
      <c r="BL13" s="174"/>
      <c r="BM13" s="161"/>
      <c r="BN13" s="157"/>
      <c r="BO13" s="157"/>
      <c r="BP13" s="157"/>
      <c r="BQ13" s="157"/>
      <c r="BR13" s="161"/>
      <c r="BS13" s="157"/>
      <c r="BT13" s="157"/>
      <c r="BU13" s="547"/>
      <c r="BV13" s="547"/>
      <c r="BW13" s="188"/>
      <c r="BX13" s="547"/>
      <c r="BY13" s="547"/>
      <c r="BZ13" s="547"/>
      <c r="CA13" s="547"/>
      <c r="CB13" s="188"/>
      <c r="CC13" s="547"/>
      <c r="CD13" s="547"/>
      <c r="CE13" s="547"/>
      <c r="CF13" s="547"/>
      <c r="CG13" s="188"/>
      <c r="CH13" s="547"/>
      <c r="CI13" s="547"/>
      <c r="CJ13" s="547"/>
      <c r="CK13" s="547"/>
      <c r="CL13" s="188"/>
      <c r="CM13" s="547"/>
      <c r="CN13" s="547"/>
      <c r="CO13" s="547"/>
      <c r="CP13" s="547"/>
      <c r="CQ13" s="188"/>
    </row>
    <row r="14" spans="1:241" ht="13.5" x14ac:dyDescent="0.25">
      <c r="E14" s="54" t="s">
        <v>633</v>
      </c>
      <c r="F14" s="557"/>
      <c r="G14" s="557"/>
      <c r="H14" s="557"/>
      <c r="I14" s="557"/>
      <c r="J14" s="557"/>
      <c r="K14" s="174"/>
      <c r="L14" s="174"/>
      <c r="M14" s="174"/>
      <c r="N14" s="174"/>
      <c r="O14" s="557"/>
      <c r="P14" s="174"/>
      <c r="Q14" s="174"/>
      <c r="R14" s="477"/>
      <c r="S14" s="174"/>
      <c r="T14" s="557"/>
      <c r="U14" s="174"/>
      <c r="V14" s="174"/>
      <c r="W14" s="174"/>
      <c r="X14" s="174"/>
      <c r="Y14" s="557"/>
      <c r="Z14" s="174"/>
      <c r="AA14" s="174"/>
      <c r="AB14" s="174"/>
      <c r="AC14" s="174"/>
      <c r="AD14" s="557"/>
      <c r="AE14" s="174"/>
      <c r="AF14" s="174"/>
      <c r="AG14" s="174"/>
      <c r="AH14" s="174"/>
      <c r="AI14" s="557"/>
      <c r="AJ14" s="174"/>
      <c r="AK14" s="174"/>
      <c r="AL14" s="174"/>
      <c r="AM14" s="174"/>
      <c r="AN14" s="557"/>
      <c r="AO14" s="174"/>
      <c r="AP14" s="174"/>
      <c r="AQ14" s="174"/>
      <c r="AR14" s="174"/>
      <c r="AS14" s="557"/>
      <c r="AT14" s="174"/>
      <c r="AU14" s="174"/>
      <c r="AV14" s="174"/>
      <c r="AW14" s="174"/>
      <c r="AX14" s="557"/>
      <c r="AY14" s="174"/>
      <c r="AZ14" s="174"/>
      <c r="BA14" s="174"/>
      <c r="BB14" s="174"/>
      <c r="BC14" s="557"/>
      <c r="BD14" s="174"/>
      <c r="BE14" s="174"/>
      <c r="BF14" s="174"/>
      <c r="BG14" s="174"/>
      <c r="BH14" s="557"/>
      <c r="BI14" s="174"/>
      <c r="BJ14" s="174"/>
      <c r="BK14" s="174"/>
      <c r="BL14" s="174"/>
      <c r="BM14" s="545">
        <v>48</v>
      </c>
      <c r="BN14" s="417">
        <f>'Audience Solutions'!BN146-Connectivity!BN45-'Marketing Services'!BN8-'Marketing Services'!BN11-BN11</f>
        <v>11.47999999999999</v>
      </c>
      <c r="BO14" s="417">
        <f>'Audience Solutions'!BO146-Connectivity!BO45-'Marketing Services'!BO8-'Marketing Services'!BO11-BO11</f>
        <v>11.09099999999998</v>
      </c>
      <c r="BP14" s="417">
        <f>'Audience Solutions'!BP146-Connectivity!BP45-'Marketing Services'!BP8-'Marketing Services'!BP11-BP11</f>
        <v>11.971000000000018</v>
      </c>
      <c r="BQ14" s="417">
        <f>'Audience Solutions'!BQ146-Connectivity!BQ45-'Marketing Services'!BQ8-'Marketing Services'!BQ11-BQ11</f>
        <v>9.144999999999996</v>
      </c>
      <c r="BR14" s="188">
        <f>SUM(BN14:BQ14)</f>
        <v>43.686999999999983</v>
      </c>
      <c r="BS14" s="417">
        <f>'Audience Solutions'!BS65-Connectivity!BS45-'Marketing Services'!BS8-'Marketing Services'!BS11-BS11</f>
        <v>8.3550000000000111</v>
      </c>
      <c r="BT14" s="417">
        <f>'Audience Solutions'!BT65-Connectivity!BT45-'Marketing Services'!BT8-'Marketing Services'!BT11-BT11</f>
        <v>6.7909999999999968</v>
      </c>
      <c r="BU14" s="417">
        <f>'Audience Solutions'!BU65-Connectivity!BU45-'Marketing Services'!BU8-'Marketing Services'!BU11-BU11</f>
        <v>10.90900000000002</v>
      </c>
      <c r="BV14" s="417">
        <f>'Audience Solutions'!BV65-Connectivity!BV45-'Marketing Services'!BV8-'Marketing Services'!BV11-BV11</f>
        <v>8.6949999999999932</v>
      </c>
      <c r="BW14" s="188">
        <f>SUM(BS14:BV14)</f>
        <v>34.750000000000021</v>
      </c>
      <c r="BX14" s="439">
        <f>BX17-BX11</f>
        <v>8.1310000000000002</v>
      </c>
      <c r="BY14" s="439">
        <f>BY17-BY11</f>
        <v>7.1859999999999928</v>
      </c>
      <c r="BZ14" s="439">
        <f>BZ17-BZ11</f>
        <v>9.3260000000000076</v>
      </c>
      <c r="CA14" s="439">
        <f>CA17-CA11</f>
        <v>8.5439999999999969</v>
      </c>
      <c r="CB14" s="188">
        <f>SUM(BX14:CA14)</f>
        <v>33.186999999999998</v>
      </c>
      <c r="CC14" s="439">
        <f>CC17-CC11</f>
        <v>7.6670000000000016</v>
      </c>
      <c r="CD14" s="439">
        <f>CD17-CD11</f>
        <v>7.8439999999999941</v>
      </c>
      <c r="CE14" s="439">
        <f>CE17-CE11</f>
        <v>10.203000000000003</v>
      </c>
      <c r="CF14" s="439">
        <f>CF17-CF11</f>
        <v>9.0739999999999981</v>
      </c>
      <c r="CG14" s="188">
        <f>SUM(CC14:CF14)</f>
        <v>34.787999999999997</v>
      </c>
      <c r="CH14" s="439"/>
      <c r="CI14" s="439"/>
      <c r="CJ14" s="439"/>
      <c r="CK14" s="439"/>
      <c r="CL14" s="188"/>
      <c r="CM14" s="439"/>
      <c r="CN14" s="439"/>
      <c r="CO14" s="439"/>
      <c r="CP14" s="439"/>
      <c r="CQ14" s="188"/>
    </row>
    <row r="15" spans="1:241" ht="13.5" x14ac:dyDescent="0.25">
      <c r="E15" s="91" t="s">
        <v>2</v>
      </c>
      <c r="F15" s="557"/>
      <c r="G15" s="557"/>
      <c r="H15" s="557"/>
      <c r="I15" s="557"/>
      <c r="J15" s="557"/>
      <c r="K15" s="174"/>
      <c r="L15" s="174"/>
      <c r="M15" s="174"/>
      <c r="N15" s="174"/>
      <c r="O15" s="557"/>
      <c r="P15" s="174"/>
      <c r="Q15" s="174"/>
      <c r="R15" s="477"/>
      <c r="S15" s="174"/>
      <c r="T15" s="557"/>
      <c r="U15" s="174"/>
      <c r="V15" s="174"/>
      <c r="W15" s="174"/>
      <c r="X15" s="174"/>
      <c r="Y15" s="557"/>
      <c r="Z15" s="174"/>
      <c r="AA15" s="174"/>
      <c r="AB15" s="174"/>
      <c r="AC15" s="174"/>
      <c r="AD15" s="557"/>
      <c r="AE15" s="174"/>
      <c r="AF15" s="174"/>
      <c r="AG15" s="174"/>
      <c r="AH15" s="174"/>
      <c r="AI15" s="557"/>
      <c r="AJ15" s="174"/>
      <c r="AK15" s="174"/>
      <c r="AL15" s="174"/>
      <c r="AM15" s="174"/>
      <c r="AN15" s="557"/>
      <c r="AO15" s="174"/>
      <c r="AP15" s="174"/>
      <c r="AQ15" s="174"/>
      <c r="AR15" s="174"/>
      <c r="AS15" s="557"/>
      <c r="AT15" s="174"/>
      <c r="AU15" s="174"/>
      <c r="AV15" s="174"/>
      <c r="AW15" s="174"/>
      <c r="AX15" s="557"/>
      <c r="AY15" s="174"/>
      <c r="AZ15" s="174"/>
      <c r="BA15" s="174"/>
      <c r="BB15" s="174"/>
      <c r="BC15" s="557"/>
      <c r="BD15" s="174"/>
      <c r="BE15" s="174"/>
      <c r="BF15" s="174"/>
      <c r="BG15" s="174"/>
      <c r="BH15" s="557"/>
      <c r="BI15" s="174"/>
      <c r="BJ15" s="174"/>
      <c r="BK15" s="174"/>
      <c r="BL15" s="174"/>
      <c r="BM15" s="483"/>
      <c r="BN15" s="517" t="s">
        <v>490</v>
      </c>
      <c r="BO15" s="517" t="s">
        <v>490</v>
      </c>
      <c r="BP15" s="517" t="s">
        <v>490</v>
      </c>
      <c r="BQ15" s="517" t="s">
        <v>490</v>
      </c>
      <c r="BR15" s="32">
        <f t="shared" ref="BR15:CC15" si="1">BR14/BM14-1</f>
        <v>-8.9854166666667012E-2</v>
      </c>
      <c r="BS15" s="183">
        <f t="shared" si="1"/>
        <v>-0.27221254355400537</v>
      </c>
      <c r="BT15" s="183">
        <f t="shared" si="1"/>
        <v>-0.38770174014967007</v>
      </c>
      <c r="BU15" s="183">
        <f t="shared" si="1"/>
        <v>-8.8714393116698376E-2</v>
      </c>
      <c r="BV15" s="183">
        <f t="shared" si="1"/>
        <v>-4.9207217058502284E-2</v>
      </c>
      <c r="BW15" s="32">
        <f t="shared" si="1"/>
        <v>-0.20456886487971171</v>
      </c>
      <c r="BX15" s="183">
        <f t="shared" si="1"/>
        <v>-2.6810293237583549E-2</v>
      </c>
      <c r="BY15" s="183">
        <f t="shared" si="1"/>
        <v>5.8165218671770935E-2</v>
      </c>
      <c r="BZ15" s="183">
        <f t="shared" si="1"/>
        <v>-0.14510954257952235</v>
      </c>
      <c r="CA15" s="183">
        <f t="shared" si="1"/>
        <v>-1.7366302472685002E-2</v>
      </c>
      <c r="CB15" s="32">
        <f t="shared" si="1"/>
        <v>-4.4978417266187676E-2</v>
      </c>
      <c r="CC15" s="183">
        <f t="shared" si="1"/>
        <v>-5.7065551592669905E-2</v>
      </c>
      <c r="CD15" s="183">
        <f>CD14/BY14-1</f>
        <v>9.1566935708321973E-2</v>
      </c>
      <c r="CE15" s="183">
        <f>CE14/BZ14-1</f>
        <v>9.4038172850095858E-2</v>
      </c>
      <c r="CF15" s="183">
        <f>CF14/CA14-1</f>
        <v>6.2031835205992758E-2</v>
      </c>
      <c r="CG15" s="32">
        <f>CG14/CB14-1</f>
        <v>4.824178142043567E-2</v>
      </c>
      <c r="CH15" s="453"/>
      <c r="CI15" s="453"/>
      <c r="CJ15" s="453"/>
      <c r="CK15" s="453"/>
      <c r="CL15" s="32"/>
      <c r="CM15" s="453"/>
      <c r="CN15" s="453"/>
      <c r="CO15" s="453"/>
      <c r="CP15" s="453"/>
      <c r="CQ15" s="32"/>
    </row>
    <row r="16" spans="1:241" ht="3.75" customHeight="1" x14ac:dyDescent="0.25">
      <c r="E16" s="174"/>
      <c r="F16" s="557"/>
      <c r="G16" s="557"/>
      <c r="H16" s="557"/>
      <c r="I16" s="557"/>
      <c r="J16" s="557"/>
      <c r="K16" s="174"/>
      <c r="L16" s="174"/>
      <c r="M16" s="174"/>
      <c r="N16" s="174"/>
      <c r="O16" s="557"/>
      <c r="P16" s="174"/>
      <c r="Q16" s="174"/>
      <c r="R16" s="477"/>
      <c r="S16" s="174"/>
      <c r="T16" s="557"/>
      <c r="U16" s="174"/>
      <c r="V16" s="174"/>
      <c r="W16" s="174"/>
      <c r="X16" s="174"/>
      <c r="Y16" s="557"/>
      <c r="Z16" s="174"/>
      <c r="AA16" s="174"/>
      <c r="AB16" s="174"/>
      <c r="AC16" s="174"/>
      <c r="AD16" s="557"/>
      <c r="AE16" s="174"/>
      <c r="AF16" s="174"/>
      <c r="AG16" s="174"/>
      <c r="AH16" s="174"/>
      <c r="AI16" s="557"/>
      <c r="AJ16" s="174"/>
      <c r="AK16" s="174"/>
      <c r="AL16" s="174"/>
      <c r="AM16" s="174"/>
      <c r="AN16" s="557"/>
      <c r="AO16" s="174"/>
      <c r="AP16" s="174"/>
      <c r="AQ16" s="174"/>
      <c r="AR16" s="174"/>
      <c r="AS16" s="557"/>
      <c r="AT16" s="174"/>
      <c r="AU16" s="174"/>
      <c r="AV16" s="174"/>
      <c r="AW16" s="174"/>
      <c r="AX16" s="557"/>
      <c r="AY16" s="174"/>
      <c r="AZ16" s="174"/>
      <c r="BA16" s="174"/>
      <c r="BB16" s="174"/>
      <c r="BC16" s="557"/>
      <c r="BD16" s="174"/>
      <c r="BE16" s="174"/>
      <c r="BF16" s="174"/>
      <c r="BG16" s="174"/>
      <c r="BH16" s="557"/>
      <c r="BI16" s="174"/>
      <c r="BJ16" s="174"/>
      <c r="BK16" s="174"/>
      <c r="BL16" s="174"/>
      <c r="BM16" s="188"/>
      <c r="BN16" s="487"/>
      <c r="BO16" s="487"/>
      <c r="BP16" s="487"/>
      <c r="BQ16" s="487"/>
      <c r="BR16" s="188"/>
      <c r="BS16" s="487"/>
      <c r="BT16" s="464"/>
      <c r="BU16" s="547"/>
      <c r="BV16" s="547"/>
      <c r="BW16" s="188"/>
      <c r="BX16" s="547"/>
      <c r="BY16" s="547"/>
      <c r="BZ16" s="547"/>
      <c r="CA16" s="547"/>
      <c r="CB16" s="188"/>
      <c r="CC16" s="547"/>
      <c r="CD16" s="547"/>
      <c r="CE16" s="547"/>
      <c r="CF16" s="547"/>
      <c r="CG16" s="188"/>
      <c r="CH16" s="547"/>
      <c r="CI16" s="547"/>
      <c r="CJ16" s="547"/>
      <c r="CK16" s="547"/>
      <c r="CL16" s="188"/>
      <c r="CM16" s="547"/>
      <c r="CN16" s="547"/>
      <c r="CO16" s="547"/>
      <c r="CP16" s="547"/>
      <c r="CQ16" s="188"/>
    </row>
    <row r="17" spans="5:98" ht="13.5" x14ac:dyDescent="0.25">
      <c r="E17" s="536" t="s">
        <v>703</v>
      </c>
      <c r="F17" s="537"/>
      <c r="G17" s="537"/>
      <c r="H17" s="537"/>
      <c r="I17" s="537"/>
      <c r="J17" s="537"/>
      <c r="K17" s="537"/>
      <c r="L17" s="537"/>
      <c r="M17" s="537"/>
      <c r="N17" s="537"/>
      <c r="O17" s="538"/>
      <c r="P17" s="537"/>
      <c r="Q17" s="537"/>
      <c r="R17" s="537"/>
      <c r="S17" s="539"/>
      <c r="T17" s="538"/>
      <c r="U17" s="537"/>
      <c r="V17" s="537"/>
      <c r="W17" s="537"/>
      <c r="X17" s="537"/>
      <c r="Y17" s="538"/>
      <c r="Z17" s="538"/>
      <c r="AA17" s="538"/>
      <c r="AB17" s="538"/>
      <c r="AC17" s="538"/>
      <c r="AD17" s="538"/>
      <c r="AE17" s="538"/>
      <c r="AF17" s="538"/>
      <c r="AG17" s="538"/>
      <c r="AH17" s="538"/>
      <c r="AI17" s="538"/>
      <c r="AJ17" s="538"/>
      <c r="AK17" s="538"/>
      <c r="AL17" s="538"/>
      <c r="AM17" s="538"/>
      <c r="AN17" s="538"/>
      <c r="AO17" s="538"/>
      <c r="AP17" s="538"/>
      <c r="AQ17" s="538"/>
      <c r="AR17" s="538"/>
      <c r="AS17" s="538"/>
      <c r="AT17" s="538"/>
      <c r="AU17" s="538"/>
      <c r="AV17" s="538"/>
      <c r="AW17" s="538"/>
      <c r="AX17" s="538"/>
      <c r="AY17" s="538"/>
      <c r="AZ17" s="538"/>
      <c r="BA17" s="538"/>
      <c r="BB17" s="538"/>
      <c r="BC17" s="538"/>
      <c r="BD17" s="538"/>
      <c r="BE17" s="538"/>
      <c r="BF17" s="538"/>
      <c r="BG17" s="538"/>
      <c r="BH17" s="538"/>
      <c r="BI17" s="536">
        <f>'Audience Solutions'!BI61-'Marketing Services'!BI14</f>
        <v>76.493000000000009</v>
      </c>
      <c r="BJ17" s="536">
        <f>'Audience Solutions'!BJ61-'Marketing Services'!BJ14</f>
        <v>85.732000000000014</v>
      </c>
      <c r="BK17" s="536">
        <f>'Audience Solutions'!BK61-'Marketing Services'!BK14</f>
        <v>84.469499999999996</v>
      </c>
      <c r="BL17" s="536">
        <f>'Audience Solutions'!BL61-'Marketing Services'!BL14</f>
        <v>80.699500000000015</v>
      </c>
      <c r="BM17" s="540">
        <f>BM11+BM14</f>
        <v>313</v>
      </c>
      <c r="BN17" s="536">
        <f>BN11+BN14</f>
        <v>73.060999999999993</v>
      </c>
      <c r="BO17" s="536">
        <f>BO11+BO14</f>
        <v>78.025999999999982</v>
      </c>
      <c r="BP17" s="536">
        <f>BP11+BP14</f>
        <v>75.933000000000021</v>
      </c>
      <c r="BQ17" s="536">
        <f>BQ11+BQ14</f>
        <v>76.816000000000003</v>
      </c>
      <c r="BR17" s="540">
        <f>SUM(BN17:BQ17)</f>
        <v>303.83600000000001</v>
      </c>
      <c r="BS17" s="536">
        <f>BS11+BS14</f>
        <v>68.550000000000011</v>
      </c>
      <c r="BT17" s="536">
        <f>BT11+BT14</f>
        <v>72.120999999999995</v>
      </c>
      <c r="BU17" s="536">
        <f>BU11+BU14</f>
        <v>77.046000000000021</v>
      </c>
      <c r="BV17" s="536">
        <f>BV11+BV14</f>
        <v>80.128</v>
      </c>
      <c r="BW17" s="540">
        <f>SUM(BS17:BV17)</f>
        <v>297.84500000000003</v>
      </c>
      <c r="BX17" s="545">
        <v>73.744</v>
      </c>
      <c r="BY17" s="545">
        <v>78.525999999999996</v>
      </c>
      <c r="BZ17" s="545">
        <v>83.399000000000001</v>
      </c>
      <c r="CA17" s="545">
        <v>86.396000000000001</v>
      </c>
      <c r="CB17" s="540">
        <f>SUM(BX17:CA17)</f>
        <v>322.065</v>
      </c>
      <c r="CC17" s="545">
        <v>75.733999999999995</v>
      </c>
      <c r="CD17" s="545">
        <v>78.813999999999993</v>
      </c>
      <c r="CE17" s="545">
        <v>84.436000000000007</v>
      </c>
      <c r="CF17" s="545">
        <v>88.373999999999995</v>
      </c>
      <c r="CG17" s="540">
        <f>SUM(CC17:CF17)</f>
        <v>327.358</v>
      </c>
      <c r="CH17" s="536"/>
      <c r="CI17" s="536"/>
      <c r="CJ17" s="536"/>
      <c r="CK17" s="536"/>
      <c r="CL17" s="540"/>
      <c r="CM17" s="642"/>
      <c r="CN17" s="642"/>
      <c r="CO17" s="642"/>
      <c r="CP17" s="642"/>
      <c r="CQ17" s="540"/>
      <c r="CT17" s="85"/>
    </row>
    <row r="18" spans="5:98" ht="13.5" x14ac:dyDescent="0.25">
      <c r="E18" s="541" t="s">
        <v>2</v>
      </c>
      <c r="F18" s="150"/>
      <c r="G18" s="150"/>
      <c r="H18" s="150"/>
      <c r="I18" s="150"/>
      <c r="J18" s="524"/>
      <c r="K18" s="524"/>
      <c r="L18" s="524"/>
      <c r="M18" s="524"/>
      <c r="N18" s="524"/>
      <c r="O18" s="542"/>
      <c r="P18" s="524"/>
      <c r="Q18" s="524"/>
      <c r="R18" s="524"/>
      <c r="S18" s="539"/>
      <c r="T18" s="542"/>
      <c r="U18" s="524"/>
      <c r="V18" s="524"/>
      <c r="W18" s="524"/>
      <c r="X18" s="524"/>
      <c r="Y18" s="542"/>
      <c r="Z18" s="542"/>
      <c r="AA18" s="542"/>
      <c r="AB18" s="542"/>
      <c r="AC18" s="542"/>
      <c r="AD18" s="542"/>
      <c r="AE18" s="542"/>
      <c r="AF18" s="542"/>
      <c r="AG18" s="542"/>
      <c r="AH18" s="542"/>
      <c r="AI18" s="542"/>
      <c r="AJ18" s="542"/>
      <c r="AK18" s="542"/>
      <c r="AL18" s="542"/>
      <c r="AM18" s="542"/>
      <c r="AN18" s="542"/>
      <c r="AO18" s="542"/>
      <c r="AP18" s="542"/>
      <c r="AQ18" s="542"/>
      <c r="AR18" s="542"/>
      <c r="AS18" s="542"/>
      <c r="AT18" s="542"/>
      <c r="AU18" s="542"/>
      <c r="AV18" s="542"/>
      <c r="AW18" s="542"/>
      <c r="AX18" s="542"/>
      <c r="AY18" s="542"/>
      <c r="AZ18" s="542"/>
      <c r="BA18" s="542"/>
      <c r="BB18" s="542"/>
      <c r="BC18" s="542"/>
      <c r="BD18" s="542"/>
      <c r="BE18" s="542"/>
      <c r="BF18" s="542"/>
      <c r="BG18" s="542"/>
      <c r="BH18" s="542"/>
      <c r="BI18" s="525"/>
      <c r="BJ18" s="525"/>
      <c r="BK18" s="525"/>
      <c r="BL18" s="525"/>
      <c r="BM18" s="542"/>
      <c r="BN18" s="525">
        <f t="shared" ref="BN18:CG18" si="2">BN17/BI17-1</f>
        <v>-4.4866850561489535E-2</v>
      </c>
      <c r="BO18" s="525">
        <f t="shared" si="2"/>
        <v>-8.9884757150189287E-2</v>
      </c>
      <c r="BP18" s="525">
        <f t="shared" si="2"/>
        <v>-0.1010601459698468</v>
      </c>
      <c r="BQ18" s="525">
        <f t="shared" si="2"/>
        <v>-4.8122974739620572E-2</v>
      </c>
      <c r="BR18" s="525">
        <f t="shared" si="2"/>
        <v>-2.9277955271565403E-2</v>
      </c>
      <c r="BS18" s="525">
        <f t="shared" si="2"/>
        <v>-6.1742927143071946E-2</v>
      </c>
      <c r="BT18" s="525">
        <f t="shared" si="2"/>
        <v>-7.5679901571270913E-2</v>
      </c>
      <c r="BU18" s="525">
        <f t="shared" si="2"/>
        <v>1.4657658725455436E-2</v>
      </c>
      <c r="BV18" s="525">
        <f t="shared" si="2"/>
        <v>4.3116017496354964E-2</v>
      </c>
      <c r="BW18" s="525">
        <f t="shared" si="2"/>
        <v>-1.971787411629955E-2</v>
      </c>
      <c r="BX18" s="525">
        <f t="shared" si="2"/>
        <v>7.5769511305616266E-2</v>
      </c>
      <c r="BY18" s="525">
        <f t="shared" si="2"/>
        <v>8.8809084732602184E-2</v>
      </c>
      <c r="BZ18" s="525">
        <f t="shared" si="2"/>
        <v>8.245723334112065E-2</v>
      </c>
      <c r="CA18" s="525">
        <f t="shared" si="2"/>
        <v>7.8224840255590955E-2</v>
      </c>
      <c r="CB18" s="525">
        <f t="shared" si="2"/>
        <v>8.1317463781497068E-2</v>
      </c>
      <c r="CC18" s="525">
        <f t="shared" si="2"/>
        <v>2.698524625732257E-2</v>
      </c>
      <c r="CD18" s="525">
        <f t="shared" si="2"/>
        <v>3.6675750706771648E-3</v>
      </c>
      <c r="CE18" s="525">
        <f>CE17/BZ17-1</f>
        <v>1.2434201848943172E-2</v>
      </c>
      <c r="CF18" s="525">
        <f t="shared" si="2"/>
        <v>2.2894578452706149E-2</v>
      </c>
      <c r="CG18" s="525">
        <f t="shared" si="2"/>
        <v>1.6434570661201908E-2</v>
      </c>
      <c r="CH18" s="525"/>
      <c r="CI18" s="525"/>
      <c r="CJ18" s="525"/>
      <c r="CK18" s="525"/>
      <c r="CL18" s="525"/>
      <c r="CM18" s="641"/>
      <c r="CN18" s="641"/>
      <c r="CO18" s="641"/>
      <c r="CP18" s="641"/>
      <c r="CQ18" s="641"/>
    </row>
    <row r="19" spans="5:98" ht="3.75" customHeight="1" thickBot="1" x14ac:dyDescent="0.3">
      <c r="E19" s="365"/>
      <c r="F19" s="448"/>
      <c r="G19" s="448"/>
      <c r="H19" s="448"/>
      <c r="I19" s="448"/>
      <c r="J19" s="448"/>
      <c r="K19" s="451"/>
      <c r="L19" s="451"/>
      <c r="M19" s="451"/>
      <c r="N19" s="451"/>
      <c r="O19" s="449"/>
      <c r="P19" s="451"/>
      <c r="Q19" s="451"/>
      <c r="R19" s="451"/>
      <c r="S19" s="451"/>
      <c r="T19" s="449"/>
      <c r="U19" s="451"/>
      <c r="V19" s="451"/>
      <c r="W19" s="451"/>
      <c r="X19" s="451"/>
      <c r="Y19" s="449"/>
      <c r="Z19" s="451"/>
      <c r="AA19" s="451"/>
      <c r="AB19" s="451"/>
      <c r="AC19" s="451"/>
      <c r="AD19" s="449"/>
      <c r="AE19" s="451"/>
      <c r="AF19" s="451"/>
      <c r="AG19" s="451"/>
      <c r="AH19" s="451"/>
      <c r="AI19" s="370"/>
      <c r="AJ19" s="451"/>
      <c r="AK19" s="451"/>
      <c r="AL19" s="451"/>
      <c r="AM19" s="451"/>
      <c r="AN19" s="370"/>
      <c r="AO19" s="451"/>
      <c r="AP19" s="451"/>
      <c r="AQ19" s="451"/>
      <c r="AR19" s="451"/>
      <c r="AS19" s="449"/>
      <c r="AT19" s="451"/>
      <c r="AU19" s="451"/>
      <c r="AV19" s="451"/>
      <c r="AW19" s="451"/>
      <c r="AX19" s="449"/>
      <c r="AY19" s="451"/>
      <c r="AZ19" s="451"/>
      <c r="BA19" s="451"/>
      <c r="BB19" s="451"/>
      <c r="BC19" s="32"/>
      <c r="BD19" s="451"/>
      <c r="BE19" s="451"/>
      <c r="BF19" s="451"/>
      <c r="BG19" s="451"/>
      <c r="BH19" s="32"/>
      <c r="BI19" s="451"/>
      <c r="BJ19" s="451"/>
      <c r="BK19" s="451"/>
      <c r="BL19" s="451"/>
      <c r="BM19" s="518"/>
      <c r="BN19" s="451"/>
      <c r="BO19" s="451"/>
      <c r="BP19" s="451"/>
      <c r="BQ19" s="451"/>
      <c r="BR19" s="32"/>
      <c r="BS19" s="451"/>
      <c r="BT19" s="451"/>
      <c r="BU19" s="674"/>
      <c r="BV19" s="674"/>
      <c r="BW19" s="32"/>
      <c r="BX19" s="674"/>
      <c r="BY19" s="674"/>
      <c r="BZ19" s="674"/>
      <c r="CA19" s="674"/>
      <c r="CB19" s="32"/>
      <c r="CC19" s="674"/>
      <c r="CD19" s="674"/>
      <c r="CE19" s="674"/>
      <c r="CF19" s="451"/>
      <c r="CG19" s="32"/>
      <c r="CH19" s="451"/>
      <c r="CI19" s="451"/>
      <c r="CJ19" s="451"/>
      <c r="CK19" s="451"/>
      <c r="CL19" s="32"/>
      <c r="CM19" s="451"/>
      <c r="CN19" s="451"/>
      <c r="CO19" s="451"/>
      <c r="CP19" s="451"/>
      <c r="CQ19" s="32"/>
    </row>
    <row r="20" spans="5:98" ht="13.5" x14ac:dyDescent="0.25">
      <c r="E20" s="658" t="s">
        <v>704</v>
      </c>
      <c r="F20" s="647"/>
      <c r="G20" s="647"/>
      <c r="H20" s="647"/>
      <c r="I20" s="647"/>
      <c r="J20" s="647"/>
      <c r="K20" s="647"/>
      <c r="L20" s="647"/>
      <c r="M20" s="647"/>
      <c r="N20" s="647"/>
      <c r="O20" s="648"/>
      <c r="P20" s="647"/>
      <c r="Q20" s="647"/>
      <c r="R20" s="647"/>
      <c r="S20" s="649"/>
      <c r="T20" s="648"/>
      <c r="U20" s="647"/>
      <c r="V20" s="647"/>
      <c r="W20" s="647"/>
      <c r="X20" s="647"/>
      <c r="Y20" s="648"/>
      <c r="Z20" s="648"/>
      <c r="AA20" s="648"/>
      <c r="AB20" s="648"/>
      <c r="AC20" s="648"/>
      <c r="AD20" s="648"/>
      <c r="AE20" s="648"/>
      <c r="AF20" s="648"/>
      <c r="AG20" s="648"/>
      <c r="AH20" s="648"/>
      <c r="AI20" s="648"/>
      <c r="AJ20" s="648"/>
      <c r="AK20" s="648"/>
      <c r="AL20" s="648"/>
      <c r="AM20" s="648"/>
      <c r="AN20" s="648"/>
      <c r="AO20" s="648"/>
      <c r="AP20" s="648"/>
      <c r="AQ20" s="648"/>
      <c r="AR20" s="648"/>
      <c r="AS20" s="648"/>
      <c r="AT20" s="648"/>
      <c r="AU20" s="648"/>
      <c r="AV20" s="648"/>
      <c r="AW20" s="648"/>
      <c r="AX20" s="648"/>
      <c r="AY20" s="648"/>
      <c r="AZ20" s="648"/>
      <c r="BA20" s="648"/>
      <c r="BB20" s="648"/>
      <c r="BC20" s="648"/>
      <c r="BD20" s="648"/>
      <c r="BE20" s="648"/>
      <c r="BF20" s="648"/>
      <c r="BG20" s="648"/>
      <c r="BH20" s="648"/>
      <c r="BI20" s="650"/>
      <c r="BJ20" s="650"/>
      <c r="BK20" s="650"/>
      <c r="BL20" s="650"/>
      <c r="BM20" s="648"/>
      <c r="BN20" s="650"/>
      <c r="BO20" s="650"/>
      <c r="BP20" s="650"/>
      <c r="BQ20" s="650"/>
      <c r="BR20" s="650"/>
      <c r="BS20" s="660">
        <v>4.5999999999999996</v>
      </c>
      <c r="BT20" s="660">
        <v>6.15</v>
      </c>
      <c r="BU20" s="545">
        <v>8.6</v>
      </c>
      <c r="BV20" s="545">
        <v>9.33</v>
      </c>
      <c r="BW20" s="610">
        <f>SUM(BS20:BV20)</f>
        <v>28.68</v>
      </c>
      <c r="BX20" s="545">
        <v>10.7</v>
      </c>
      <c r="BY20" s="545">
        <v>13.349</v>
      </c>
      <c r="BZ20" s="545">
        <v>18.7</v>
      </c>
      <c r="CA20" s="545">
        <v>17.100000000000001</v>
      </c>
      <c r="CB20" s="610">
        <f>SUM(BX20:CA20)</f>
        <v>59.848999999999997</v>
      </c>
      <c r="CC20" s="545">
        <v>18.2</v>
      </c>
      <c r="CD20" s="545">
        <v>18.359000000000002</v>
      </c>
      <c r="CE20" s="545">
        <v>17.8</v>
      </c>
      <c r="CF20" s="661">
        <f>CA20*(1+CF21)</f>
        <v>15.390000000000002</v>
      </c>
      <c r="CG20" s="610">
        <f>SUM(CC20:CF20)</f>
        <v>69.748999999999995</v>
      </c>
      <c r="CH20" s="661"/>
      <c r="CI20" s="661"/>
      <c r="CJ20" s="661"/>
      <c r="CK20" s="661"/>
      <c r="CL20" s="610"/>
      <c r="CM20" s="661"/>
      <c r="CN20" s="661"/>
      <c r="CO20" s="661"/>
      <c r="CP20" s="661"/>
      <c r="CQ20" s="662"/>
    </row>
    <row r="21" spans="5:98" ht="13.5" x14ac:dyDescent="0.3">
      <c r="E21" s="651" t="s">
        <v>2</v>
      </c>
      <c r="F21" s="524"/>
      <c r="G21" s="524"/>
      <c r="H21" s="524"/>
      <c r="I21" s="524"/>
      <c r="J21" s="524"/>
      <c r="K21" s="524"/>
      <c r="L21" s="524"/>
      <c r="M21" s="524"/>
      <c r="N21" s="524"/>
      <c r="O21" s="542"/>
      <c r="P21" s="524"/>
      <c r="Q21" s="524"/>
      <c r="R21" s="524"/>
      <c r="S21" s="539"/>
      <c r="T21" s="542"/>
      <c r="U21" s="524"/>
      <c r="V21" s="524"/>
      <c r="W21" s="524"/>
      <c r="X21" s="524"/>
      <c r="Y21" s="542"/>
      <c r="Z21" s="542"/>
      <c r="AA21" s="542"/>
      <c r="AB21" s="542"/>
      <c r="AC21" s="542"/>
      <c r="AD21" s="542"/>
      <c r="AE21" s="542"/>
      <c r="AF21" s="542"/>
      <c r="AG21" s="542"/>
      <c r="AH21" s="542"/>
      <c r="AI21" s="542"/>
      <c r="AJ21" s="542"/>
      <c r="AK21" s="542"/>
      <c r="AL21" s="542"/>
      <c r="AM21" s="542"/>
      <c r="AN21" s="542"/>
      <c r="AO21" s="542"/>
      <c r="AP21" s="542"/>
      <c r="AQ21" s="542"/>
      <c r="AR21" s="542"/>
      <c r="AS21" s="542"/>
      <c r="AT21" s="542"/>
      <c r="AU21" s="542"/>
      <c r="AV21" s="542"/>
      <c r="AW21" s="542"/>
      <c r="AX21" s="542"/>
      <c r="AY21" s="542"/>
      <c r="AZ21" s="542"/>
      <c r="BA21" s="542"/>
      <c r="BB21" s="542"/>
      <c r="BC21" s="542"/>
      <c r="BD21" s="542"/>
      <c r="BE21" s="542"/>
      <c r="BF21" s="542"/>
      <c r="BG21" s="542"/>
      <c r="BH21" s="542"/>
      <c r="BI21" s="641"/>
      <c r="BJ21" s="641"/>
      <c r="BK21" s="641"/>
      <c r="BL21" s="641"/>
      <c r="BM21" s="542"/>
      <c r="BN21" s="641"/>
      <c r="BO21" s="641"/>
      <c r="BP21" s="641"/>
      <c r="BQ21" s="641"/>
      <c r="BR21" s="641"/>
      <c r="BS21" s="641"/>
      <c r="BT21" s="641"/>
      <c r="BU21" s="641"/>
      <c r="BV21" s="641"/>
      <c r="BW21" s="641"/>
      <c r="BX21" s="641">
        <f>BX20/BS20-1</f>
        <v>1.3260869565217392</v>
      </c>
      <c r="BY21" s="641">
        <f>BY20/BT20-1</f>
        <v>1.1705691056910568</v>
      </c>
      <c r="BZ21" s="641">
        <f t="shared" ref="BZ21:CB21" si="3">BZ20/BU20-1</f>
        <v>1.1744186046511627</v>
      </c>
      <c r="CA21" s="641">
        <f>CA20/BV20-1</f>
        <v>0.83279742765273324</v>
      </c>
      <c r="CB21" s="641">
        <f t="shared" si="3"/>
        <v>1.0867852161785216</v>
      </c>
      <c r="CC21" s="641">
        <f>CC20/BX20-1</f>
        <v>0.7009345794392523</v>
      </c>
      <c r="CD21" s="641">
        <f>CD20/BY20-1</f>
        <v>0.37530901191100474</v>
      </c>
      <c r="CE21" s="641">
        <f>CE20/BZ20-1</f>
        <v>-4.8128342245989275E-2</v>
      </c>
      <c r="CF21" s="659">
        <v>-0.1</v>
      </c>
      <c r="CG21" s="641">
        <f>CG20/CB20-1</f>
        <v>0.16541629768250088</v>
      </c>
      <c r="CH21" s="659"/>
      <c r="CI21" s="659"/>
      <c r="CJ21" s="659"/>
      <c r="CK21" s="659"/>
      <c r="CL21" s="641"/>
      <c r="CM21" s="659"/>
      <c r="CN21" s="659"/>
      <c r="CO21" s="659"/>
      <c r="CP21" s="659"/>
      <c r="CQ21" s="627"/>
    </row>
    <row r="22" spans="5:98" ht="13.5" x14ac:dyDescent="0.25">
      <c r="E22" s="651" t="s">
        <v>516</v>
      </c>
      <c r="F22" s="524"/>
      <c r="G22" s="524"/>
      <c r="H22" s="524"/>
      <c r="I22" s="524"/>
      <c r="J22" s="524"/>
      <c r="K22" s="524"/>
      <c r="L22" s="524"/>
      <c r="M22" s="524"/>
      <c r="N22" s="524"/>
      <c r="O22" s="542"/>
      <c r="P22" s="524"/>
      <c r="Q22" s="524"/>
      <c r="R22" s="524"/>
      <c r="S22" s="539"/>
      <c r="T22" s="542"/>
      <c r="U22" s="524"/>
      <c r="V22" s="524"/>
      <c r="W22" s="524"/>
      <c r="X22" s="524"/>
      <c r="Y22" s="542"/>
      <c r="Z22" s="542"/>
      <c r="AA22" s="542"/>
      <c r="AB22" s="542"/>
      <c r="AC22" s="542"/>
      <c r="AD22" s="542"/>
      <c r="AE22" s="542"/>
      <c r="AF22" s="542"/>
      <c r="AG22" s="542"/>
      <c r="AH22" s="542"/>
      <c r="AI22" s="542"/>
      <c r="AJ22" s="542"/>
      <c r="AK22" s="542"/>
      <c r="AL22" s="542"/>
      <c r="AM22" s="542"/>
      <c r="AN22" s="542"/>
      <c r="AO22" s="542"/>
      <c r="AP22" s="542"/>
      <c r="AQ22" s="542"/>
      <c r="AR22" s="542"/>
      <c r="AS22" s="542"/>
      <c r="AT22" s="542"/>
      <c r="AU22" s="542"/>
      <c r="AV22" s="542"/>
      <c r="AW22" s="542"/>
      <c r="AX22" s="542"/>
      <c r="AY22" s="542"/>
      <c r="AZ22" s="542"/>
      <c r="BA22" s="542"/>
      <c r="BB22" s="542"/>
      <c r="BC22" s="542"/>
      <c r="BD22" s="542"/>
      <c r="BE22" s="542"/>
      <c r="BF22" s="542"/>
      <c r="BG22" s="542"/>
      <c r="BH22" s="542"/>
      <c r="BI22" s="641"/>
      <c r="BJ22" s="641"/>
      <c r="BK22" s="641"/>
      <c r="BL22" s="641"/>
      <c r="BM22" s="542"/>
      <c r="BN22" s="641"/>
      <c r="BO22" s="641"/>
      <c r="BP22" s="641"/>
      <c r="BQ22" s="641"/>
      <c r="BR22" s="641"/>
      <c r="BS22" s="641"/>
      <c r="BT22" s="641">
        <f>BT20/BS20-1</f>
        <v>0.3369565217391306</v>
      </c>
      <c r="BU22" s="641">
        <f>BU20/BT20-1</f>
        <v>0.39837398373983723</v>
      </c>
      <c r="BV22" s="641">
        <f>BV20/BU20-1</f>
        <v>8.4883720930232665E-2</v>
      </c>
      <c r="BW22" s="641"/>
      <c r="BX22" s="641">
        <f>BX20/BV20-1</f>
        <v>0.14683815648445875</v>
      </c>
      <c r="BY22" s="641">
        <f>BY20/BX20-1</f>
        <v>0.24757009345794412</v>
      </c>
      <c r="BZ22" s="641">
        <f>BZ20/BY20-1</f>
        <v>0.40085399655404896</v>
      </c>
      <c r="CA22" s="641">
        <f>CA20/BZ20-1</f>
        <v>-8.5561497326203106E-2</v>
      </c>
      <c r="CB22" s="641"/>
      <c r="CC22" s="641">
        <f>CC20/CA20-1</f>
        <v>6.4327485380116789E-2</v>
      </c>
      <c r="CD22" s="641">
        <f>CD20/CC20-1</f>
        <v>8.736263736263794E-3</v>
      </c>
      <c r="CE22" s="641">
        <f>CE20/CD20-1</f>
        <v>-3.0448281496813556E-2</v>
      </c>
      <c r="CF22" s="641">
        <f>CF20/CE20-1</f>
        <v>-0.13539325842696615</v>
      </c>
      <c r="CG22" s="641"/>
      <c r="CH22" s="641"/>
      <c r="CI22" s="641"/>
      <c r="CJ22" s="641"/>
      <c r="CK22" s="641"/>
      <c r="CL22" s="641"/>
      <c r="CM22" s="641"/>
      <c r="CN22" s="641"/>
      <c r="CO22" s="641"/>
      <c r="CP22" s="641"/>
      <c r="CQ22" s="627"/>
    </row>
    <row r="23" spans="5:98" ht="13.5" x14ac:dyDescent="0.25">
      <c r="E23" s="651" t="s">
        <v>701</v>
      </c>
      <c r="F23" s="524"/>
      <c r="G23" s="524"/>
      <c r="H23" s="524"/>
      <c r="I23" s="524"/>
      <c r="J23" s="524"/>
      <c r="K23" s="524"/>
      <c r="L23" s="524"/>
      <c r="M23" s="524"/>
      <c r="N23" s="524"/>
      <c r="O23" s="542"/>
      <c r="P23" s="524"/>
      <c r="Q23" s="524"/>
      <c r="R23" s="524"/>
      <c r="S23" s="539"/>
      <c r="T23" s="542"/>
      <c r="U23" s="524"/>
      <c r="V23" s="524"/>
      <c r="W23" s="524"/>
      <c r="X23" s="524"/>
      <c r="Y23" s="542"/>
      <c r="Z23" s="542"/>
      <c r="AA23" s="542"/>
      <c r="AB23" s="542"/>
      <c r="AC23" s="542"/>
      <c r="AD23" s="542"/>
      <c r="AE23" s="542"/>
      <c r="AF23" s="542"/>
      <c r="AG23" s="542"/>
      <c r="AH23" s="542"/>
      <c r="AI23" s="542"/>
      <c r="AJ23" s="542"/>
      <c r="AK23" s="542"/>
      <c r="AL23" s="542"/>
      <c r="AM23" s="542"/>
      <c r="AN23" s="542"/>
      <c r="AO23" s="542"/>
      <c r="AP23" s="542"/>
      <c r="AQ23" s="542"/>
      <c r="AR23" s="542"/>
      <c r="AS23" s="542"/>
      <c r="AT23" s="542"/>
      <c r="AU23" s="542"/>
      <c r="AV23" s="542"/>
      <c r="AW23" s="542"/>
      <c r="AX23" s="542"/>
      <c r="AY23" s="542"/>
      <c r="AZ23" s="542"/>
      <c r="BA23" s="542"/>
      <c r="BB23" s="542"/>
      <c r="BC23" s="542"/>
      <c r="BD23" s="542"/>
      <c r="BE23" s="542"/>
      <c r="BF23" s="542"/>
      <c r="BG23" s="542"/>
      <c r="BH23" s="542"/>
      <c r="BI23" s="641"/>
      <c r="BJ23" s="641"/>
      <c r="BK23" s="641"/>
      <c r="BL23" s="641"/>
      <c r="BM23" s="542"/>
      <c r="BN23" s="641"/>
      <c r="BO23" s="641"/>
      <c r="BP23" s="641"/>
      <c r="BQ23" s="641"/>
      <c r="BR23" s="641"/>
      <c r="BS23" s="641">
        <f t="shared" ref="BS23:CG23" si="4">BS20/BS17</f>
        <v>6.7104303428154613E-2</v>
      </c>
      <c r="BT23" s="641">
        <f t="shared" si="4"/>
        <v>8.527336004769763E-2</v>
      </c>
      <c r="BU23" s="641">
        <f t="shared" si="4"/>
        <v>0.11162162863743734</v>
      </c>
      <c r="BV23" s="641">
        <f>BV20/BV17</f>
        <v>0.11643869808306709</v>
      </c>
      <c r="BW23" s="641">
        <f t="shared" si="4"/>
        <v>9.6291695344894151E-2</v>
      </c>
      <c r="BX23" s="641">
        <f t="shared" si="4"/>
        <v>0.14509655022781515</v>
      </c>
      <c r="BY23" s="641">
        <f t="shared" si="4"/>
        <v>0.16999465145302195</v>
      </c>
      <c r="BZ23" s="641">
        <f t="shared" si="4"/>
        <v>0.22422331203012025</v>
      </c>
      <c r="CA23" s="641">
        <f t="shared" si="4"/>
        <v>0.19792582989953239</v>
      </c>
      <c r="CB23" s="641">
        <f t="shared" si="4"/>
        <v>0.18582894757269494</v>
      </c>
      <c r="CC23" s="641">
        <f t="shared" si="4"/>
        <v>0.24031478596139119</v>
      </c>
      <c r="CD23" s="641">
        <f t="shared" si="4"/>
        <v>0.23294084807267748</v>
      </c>
      <c r="CE23" s="641">
        <f t="shared" si="4"/>
        <v>0.21081055473968449</v>
      </c>
      <c r="CF23" s="641">
        <f t="shared" si="4"/>
        <v>0.1741462421074072</v>
      </c>
      <c r="CG23" s="641">
        <f t="shared" si="4"/>
        <v>0.21306642880271751</v>
      </c>
      <c r="CH23" s="641"/>
      <c r="CI23" s="641"/>
      <c r="CJ23" s="641"/>
      <c r="CK23" s="641"/>
      <c r="CL23" s="641"/>
      <c r="CM23" s="641"/>
      <c r="CN23" s="641"/>
      <c r="CO23" s="641"/>
      <c r="CP23" s="641"/>
      <c r="CQ23" s="627"/>
    </row>
    <row r="24" spans="5:98" ht="13.5" x14ac:dyDescent="0.25">
      <c r="E24" s="646" t="s">
        <v>709</v>
      </c>
      <c r="F24" s="524"/>
      <c r="G24" s="524"/>
      <c r="H24" s="524"/>
      <c r="I24" s="524"/>
      <c r="J24" s="524"/>
      <c r="K24" s="524"/>
      <c r="L24" s="524"/>
      <c r="M24" s="524"/>
      <c r="N24" s="524"/>
      <c r="O24" s="542"/>
      <c r="P24" s="524"/>
      <c r="Q24" s="524"/>
      <c r="R24" s="524"/>
      <c r="S24" s="539"/>
      <c r="T24" s="542"/>
      <c r="U24" s="524"/>
      <c r="V24" s="524"/>
      <c r="W24" s="524"/>
      <c r="X24" s="524"/>
      <c r="Y24" s="542"/>
      <c r="Z24" s="542"/>
      <c r="AA24" s="542"/>
      <c r="AB24" s="542"/>
      <c r="AC24" s="542"/>
      <c r="AD24" s="542"/>
      <c r="AE24" s="542"/>
      <c r="AF24" s="542"/>
      <c r="AG24" s="542"/>
      <c r="AH24" s="542"/>
      <c r="AI24" s="542"/>
      <c r="AJ24" s="542"/>
      <c r="AK24" s="542"/>
      <c r="AL24" s="542"/>
      <c r="AM24" s="542"/>
      <c r="AN24" s="542"/>
      <c r="AO24" s="542"/>
      <c r="AP24" s="542"/>
      <c r="AQ24" s="542"/>
      <c r="AR24" s="542"/>
      <c r="AS24" s="542"/>
      <c r="AT24" s="542"/>
      <c r="AU24" s="542"/>
      <c r="AV24" s="542"/>
      <c r="AW24" s="542"/>
      <c r="AX24" s="542"/>
      <c r="AY24" s="542"/>
      <c r="AZ24" s="542"/>
      <c r="BA24" s="542"/>
      <c r="BB24" s="542"/>
      <c r="BC24" s="542"/>
      <c r="BD24" s="542"/>
      <c r="BE24" s="542"/>
      <c r="BF24" s="542"/>
      <c r="BG24" s="542"/>
      <c r="BH24" s="542"/>
      <c r="BI24" s="641"/>
      <c r="BJ24" s="641"/>
      <c r="BK24" s="641"/>
      <c r="BL24" s="641"/>
      <c r="BM24" s="542"/>
      <c r="BN24" s="641"/>
      <c r="BO24" s="641"/>
      <c r="BP24" s="641"/>
      <c r="BQ24" s="641"/>
      <c r="BR24" s="641"/>
      <c r="BS24" s="540">
        <f>BS17-BS20</f>
        <v>63.95000000000001</v>
      </c>
      <c r="BT24" s="540">
        <f>BT17-BT20</f>
        <v>65.970999999999989</v>
      </c>
      <c r="BU24" s="540">
        <f>BU17-BU20</f>
        <v>68.446000000000026</v>
      </c>
      <c r="BV24" s="540">
        <f>BV17-BV20</f>
        <v>70.798000000000002</v>
      </c>
      <c r="BW24" s="35">
        <f>SUM(BS24:BV24)</f>
        <v>269.16500000000002</v>
      </c>
      <c r="BX24" s="540">
        <f>BX17-BX20</f>
        <v>63.043999999999997</v>
      </c>
      <c r="BY24" s="540">
        <f>BY17-BY20</f>
        <v>65.176999999999992</v>
      </c>
      <c r="BZ24" s="540">
        <f>BZ17-BZ20</f>
        <v>64.698999999999998</v>
      </c>
      <c r="CA24" s="540">
        <f>CA17-CA20</f>
        <v>69.295999999999992</v>
      </c>
      <c r="CB24" s="35">
        <f>SUM(BX24:CA24)</f>
        <v>262.21600000000001</v>
      </c>
      <c r="CC24" s="540">
        <f>CC17-CC20</f>
        <v>57.533999999999992</v>
      </c>
      <c r="CD24" s="540">
        <f>CD17-CD20</f>
        <v>60.454999999999991</v>
      </c>
      <c r="CE24" s="540">
        <f>CE17-CE20</f>
        <v>66.63600000000001</v>
      </c>
      <c r="CF24" s="540">
        <f>CF17-CF20</f>
        <v>72.983999999999995</v>
      </c>
      <c r="CG24" s="35">
        <f>SUM(CC24:CF24)</f>
        <v>257.60899999999998</v>
      </c>
      <c r="CH24" s="540"/>
      <c r="CI24" s="540"/>
      <c r="CJ24" s="540"/>
      <c r="CK24" s="540"/>
      <c r="CL24" s="35"/>
      <c r="CM24" s="540"/>
      <c r="CN24" s="540"/>
      <c r="CO24" s="540"/>
      <c r="CP24" s="540"/>
      <c r="CQ24" s="663"/>
    </row>
    <row r="25" spans="5:98" ht="13.5" x14ac:dyDescent="0.25">
      <c r="E25" s="651" t="s">
        <v>2</v>
      </c>
      <c r="F25" s="524"/>
      <c r="G25" s="524"/>
      <c r="H25" s="524"/>
      <c r="I25" s="524"/>
      <c r="J25" s="524"/>
      <c r="K25" s="524"/>
      <c r="L25" s="524"/>
      <c r="M25" s="524"/>
      <c r="N25" s="524"/>
      <c r="O25" s="542"/>
      <c r="P25" s="524"/>
      <c r="Q25" s="524"/>
      <c r="R25" s="524"/>
      <c r="S25" s="539"/>
      <c r="T25" s="542"/>
      <c r="U25" s="524"/>
      <c r="V25" s="524"/>
      <c r="W25" s="524"/>
      <c r="X25" s="524"/>
      <c r="Y25" s="542"/>
      <c r="Z25" s="542"/>
      <c r="AA25" s="542"/>
      <c r="AB25" s="542"/>
      <c r="AC25" s="542"/>
      <c r="AD25" s="542"/>
      <c r="AE25" s="542"/>
      <c r="AF25" s="542"/>
      <c r="AG25" s="542"/>
      <c r="AH25" s="542"/>
      <c r="AI25" s="542"/>
      <c r="AJ25" s="542"/>
      <c r="AK25" s="542"/>
      <c r="AL25" s="542"/>
      <c r="AM25" s="542"/>
      <c r="AN25" s="542"/>
      <c r="AO25" s="542"/>
      <c r="AP25" s="542"/>
      <c r="AQ25" s="542"/>
      <c r="AR25" s="542"/>
      <c r="AS25" s="542"/>
      <c r="AT25" s="542"/>
      <c r="AU25" s="542"/>
      <c r="AV25" s="542"/>
      <c r="AW25" s="542"/>
      <c r="AX25" s="542"/>
      <c r="AY25" s="542"/>
      <c r="AZ25" s="542"/>
      <c r="BA25" s="542"/>
      <c r="BB25" s="542"/>
      <c r="BC25" s="542"/>
      <c r="BD25" s="542"/>
      <c r="BE25" s="542"/>
      <c r="BF25" s="542"/>
      <c r="BG25" s="542"/>
      <c r="BH25" s="542"/>
      <c r="BI25" s="641"/>
      <c r="BJ25" s="641"/>
      <c r="BK25" s="641"/>
      <c r="BL25" s="641"/>
      <c r="BM25" s="542"/>
      <c r="BN25" s="641"/>
      <c r="BO25" s="641"/>
      <c r="BP25" s="641"/>
      <c r="BQ25" s="641"/>
      <c r="BR25" s="641"/>
      <c r="BS25" s="641"/>
      <c r="BT25" s="641"/>
      <c r="BU25" s="641"/>
      <c r="BV25" s="641"/>
      <c r="BW25" s="641"/>
      <c r="BX25" s="641">
        <f t="shared" ref="BX25:CG25" si="5">BX24/BS24-1</f>
        <v>-1.4167318217357505E-2</v>
      </c>
      <c r="BY25" s="641">
        <f t="shared" si="5"/>
        <v>-1.2035591396219458E-2</v>
      </c>
      <c r="BZ25" s="641">
        <f t="shared" si="5"/>
        <v>-5.4743885690910044E-2</v>
      </c>
      <c r="CA25" s="641">
        <f t="shared" si="5"/>
        <v>-2.1215288567473789E-2</v>
      </c>
      <c r="CB25" s="641">
        <f t="shared" si="5"/>
        <v>-2.5816878123084419E-2</v>
      </c>
      <c r="CC25" s="641">
        <f t="shared" si="5"/>
        <v>-8.7399276695641182E-2</v>
      </c>
      <c r="CD25" s="641">
        <f>CD24/BY24-1</f>
        <v>-7.2448870000153431E-2</v>
      </c>
      <c r="CE25" s="641">
        <f>CE24/BZ24-1</f>
        <v>2.9938638927958783E-2</v>
      </c>
      <c r="CF25" s="641">
        <f>CF24/CA24-1</f>
        <v>5.3220965135072795E-2</v>
      </c>
      <c r="CG25" s="641">
        <f t="shared" si="5"/>
        <v>-1.7569484699637039E-2</v>
      </c>
      <c r="CH25" s="641"/>
      <c r="CI25" s="641"/>
      <c r="CJ25" s="641"/>
      <c r="CK25" s="641"/>
      <c r="CL25" s="641"/>
      <c r="CM25" s="641"/>
      <c r="CN25" s="641"/>
      <c r="CO25" s="641"/>
      <c r="CP25" s="641"/>
      <c r="CQ25" s="627"/>
    </row>
    <row r="26" spans="5:98" ht="13.5" x14ac:dyDescent="0.25">
      <c r="E26" s="651" t="s">
        <v>516</v>
      </c>
      <c r="F26" s="524"/>
      <c r="G26" s="524"/>
      <c r="H26" s="524"/>
      <c r="I26" s="524"/>
      <c r="J26" s="524"/>
      <c r="K26" s="524"/>
      <c r="L26" s="524"/>
      <c r="M26" s="524"/>
      <c r="N26" s="524"/>
      <c r="O26" s="542"/>
      <c r="P26" s="524"/>
      <c r="Q26" s="524"/>
      <c r="R26" s="524"/>
      <c r="S26" s="539"/>
      <c r="T26" s="542"/>
      <c r="U26" s="524"/>
      <c r="V26" s="524"/>
      <c r="W26" s="524"/>
      <c r="X26" s="524"/>
      <c r="Y26" s="542"/>
      <c r="Z26" s="542"/>
      <c r="AA26" s="542"/>
      <c r="AB26" s="542"/>
      <c r="AC26" s="542"/>
      <c r="AD26" s="542"/>
      <c r="AE26" s="542"/>
      <c r="AF26" s="542"/>
      <c r="AG26" s="542"/>
      <c r="AH26" s="542"/>
      <c r="AI26" s="542"/>
      <c r="AJ26" s="542"/>
      <c r="AK26" s="542"/>
      <c r="AL26" s="542"/>
      <c r="AM26" s="542"/>
      <c r="AN26" s="542"/>
      <c r="AO26" s="542"/>
      <c r="AP26" s="542"/>
      <c r="AQ26" s="542"/>
      <c r="AR26" s="542"/>
      <c r="AS26" s="542"/>
      <c r="AT26" s="542"/>
      <c r="AU26" s="542"/>
      <c r="AV26" s="542"/>
      <c r="AW26" s="542"/>
      <c r="AX26" s="542"/>
      <c r="AY26" s="542"/>
      <c r="AZ26" s="542"/>
      <c r="BA26" s="542"/>
      <c r="BB26" s="542"/>
      <c r="BC26" s="542"/>
      <c r="BD26" s="542"/>
      <c r="BE26" s="542"/>
      <c r="BF26" s="542"/>
      <c r="BG26" s="542"/>
      <c r="BH26" s="542"/>
      <c r="BI26" s="641"/>
      <c r="BJ26" s="641"/>
      <c r="BK26" s="641"/>
      <c r="BL26" s="641"/>
      <c r="BM26" s="542"/>
      <c r="BN26" s="641"/>
      <c r="BO26" s="641"/>
      <c r="BP26" s="641"/>
      <c r="BQ26" s="641"/>
      <c r="BR26" s="641"/>
      <c r="BS26" s="641"/>
      <c r="BT26" s="641">
        <f>BT24/BS24-1</f>
        <v>3.1602814698983295E-2</v>
      </c>
      <c r="BU26" s="641">
        <f>BU24/BT24-1</f>
        <v>3.7516484515924153E-2</v>
      </c>
      <c r="BV26" s="641">
        <f>BV24/BU24-1</f>
        <v>3.4362855389649782E-2</v>
      </c>
      <c r="BW26" s="641"/>
      <c r="BX26" s="641">
        <f>BX24/BV24-1</f>
        <v>-0.10952286787762378</v>
      </c>
      <c r="BY26" s="641">
        <f>BY24/BX24-1</f>
        <v>3.3833513101960477E-2</v>
      </c>
      <c r="BZ26" s="641">
        <f>BZ24/BY24-1</f>
        <v>-7.3338754468600387E-3</v>
      </c>
      <c r="CA26" s="641">
        <f>CA24/BZ24-1</f>
        <v>7.1052102814572082E-2</v>
      </c>
      <c r="CB26" s="641"/>
      <c r="CC26" s="641">
        <f>CC24/CA24-1</f>
        <v>-0.16973562687601018</v>
      </c>
      <c r="CD26" s="641">
        <f>CD24/CC24-1</f>
        <v>5.0769979490388195E-2</v>
      </c>
      <c r="CE26" s="641">
        <f>CE24/CD24-1</f>
        <v>0.10224133653130463</v>
      </c>
      <c r="CF26" s="641">
        <f>CF24/CE24-1</f>
        <v>9.5263821357824296E-2</v>
      </c>
      <c r="CG26" s="641"/>
      <c r="CH26" s="641"/>
      <c r="CI26" s="641"/>
      <c r="CJ26" s="641"/>
      <c r="CK26" s="641"/>
      <c r="CL26" s="641"/>
      <c r="CM26" s="641"/>
      <c r="CN26" s="641"/>
      <c r="CO26" s="641"/>
      <c r="CP26" s="641"/>
      <c r="CQ26" s="627"/>
    </row>
    <row r="27" spans="5:98" ht="14.25" thickBot="1" x14ac:dyDescent="0.3">
      <c r="E27" s="652" t="s">
        <v>701</v>
      </c>
      <c r="F27" s="653"/>
      <c r="G27" s="653"/>
      <c r="H27" s="653"/>
      <c r="I27" s="653"/>
      <c r="J27" s="653"/>
      <c r="K27" s="653"/>
      <c r="L27" s="653"/>
      <c r="M27" s="653"/>
      <c r="N27" s="653"/>
      <c r="O27" s="654"/>
      <c r="P27" s="653"/>
      <c r="Q27" s="653"/>
      <c r="R27" s="653"/>
      <c r="S27" s="655"/>
      <c r="T27" s="654"/>
      <c r="U27" s="653"/>
      <c r="V27" s="653"/>
      <c r="W27" s="653"/>
      <c r="X27" s="653"/>
      <c r="Y27" s="654"/>
      <c r="Z27" s="654"/>
      <c r="AA27" s="654"/>
      <c r="AB27" s="654"/>
      <c r="AC27" s="654"/>
      <c r="AD27" s="654"/>
      <c r="AE27" s="654"/>
      <c r="AF27" s="654"/>
      <c r="AG27" s="654"/>
      <c r="AH27" s="654"/>
      <c r="AI27" s="654"/>
      <c r="AJ27" s="654"/>
      <c r="AK27" s="654"/>
      <c r="AL27" s="654"/>
      <c r="AM27" s="654"/>
      <c r="AN27" s="654"/>
      <c r="AO27" s="654"/>
      <c r="AP27" s="654"/>
      <c r="AQ27" s="654"/>
      <c r="AR27" s="654"/>
      <c r="AS27" s="654"/>
      <c r="AT27" s="654"/>
      <c r="AU27" s="654"/>
      <c r="AV27" s="654"/>
      <c r="AW27" s="654"/>
      <c r="AX27" s="654"/>
      <c r="AY27" s="654"/>
      <c r="AZ27" s="654"/>
      <c r="BA27" s="654"/>
      <c r="BB27" s="654"/>
      <c r="BC27" s="654"/>
      <c r="BD27" s="654"/>
      <c r="BE27" s="654"/>
      <c r="BF27" s="654"/>
      <c r="BG27" s="654"/>
      <c r="BH27" s="654"/>
      <c r="BI27" s="656"/>
      <c r="BJ27" s="656"/>
      <c r="BK27" s="656"/>
      <c r="BL27" s="656"/>
      <c r="BM27" s="654"/>
      <c r="BN27" s="656"/>
      <c r="BO27" s="656"/>
      <c r="BP27" s="656"/>
      <c r="BQ27" s="656"/>
      <c r="BR27" s="656"/>
      <c r="BS27" s="656">
        <f t="shared" ref="BS27:CG27" si="6">BS24/BS17</f>
        <v>0.93289569657184535</v>
      </c>
      <c r="BT27" s="656">
        <f t="shared" si="6"/>
        <v>0.9147266399523023</v>
      </c>
      <c r="BU27" s="656">
        <f t="shared" si="6"/>
        <v>0.8883783713625627</v>
      </c>
      <c r="BV27" s="656">
        <f t="shared" si="6"/>
        <v>0.88356130191693294</v>
      </c>
      <c r="BW27" s="656">
        <f t="shared" si="6"/>
        <v>0.90370830465510588</v>
      </c>
      <c r="BX27" s="656">
        <f t="shared" si="6"/>
        <v>0.8549034497721848</v>
      </c>
      <c r="BY27" s="656">
        <f t="shared" si="6"/>
        <v>0.83000534854697805</v>
      </c>
      <c r="BZ27" s="656">
        <f t="shared" si="6"/>
        <v>0.77577668796987975</v>
      </c>
      <c r="CA27" s="656">
        <f t="shared" si="6"/>
        <v>0.80207417010046755</v>
      </c>
      <c r="CB27" s="656">
        <f t="shared" si="6"/>
        <v>0.81417105242730503</v>
      </c>
      <c r="CC27" s="656">
        <f t="shared" si="6"/>
        <v>0.75968521403860878</v>
      </c>
      <c r="CD27" s="656">
        <f t="shared" si="6"/>
        <v>0.76705915192732255</v>
      </c>
      <c r="CE27" s="656">
        <f t="shared" si="6"/>
        <v>0.78918944526031554</v>
      </c>
      <c r="CF27" s="656">
        <f t="shared" si="6"/>
        <v>0.82585375789259285</v>
      </c>
      <c r="CG27" s="656">
        <f t="shared" si="6"/>
        <v>0.78693357119728247</v>
      </c>
      <c r="CH27" s="656"/>
      <c r="CI27" s="656"/>
      <c r="CJ27" s="656"/>
      <c r="CK27" s="656"/>
      <c r="CL27" s="656"/>
      <c r="CM27" s="656"/>
      <c r="CN27" s="656"/>
      <c r="CO27" s="656"/>
      <c r="CP27" s="656"/>
      <c r="CQ27" s="657"/>
    </row>
    <row r="28" spans="5:98" ht="3.75" customHeight="1" x14ac:dyDescent="0.25">
      <c r="F28" s="524"/>
      <c r="G28" s="524"/>
      <c r="H28" s="524"/>
      <c r="I28" s="524"/>
      <c r="J28" s="524"/>
      <c r="O28" s="524"/>
      <c r="T28" s="524"/>
      <c r="Y28" s="524"/>
      <c r="AD28" s="524"/>
      <c r="AI28" s="524"/>
      <c r="AN28" s="524"/>
      <c r="AS28" s="524"/>
      <c r="AX28" s="524"/>
      <c r="BC28" s="524"/>
      <c r="BH28" s="524"/>
      <c r="BM28" s="524"/>
      <c r="BR28" s="524"/>
      <c r="BW28" s="524"/>
      <c r="CB28" s="524"/>
      <c r="CG28" s="524"/>
      <c r="CL28" s="524"/>
      <c r="CQ28" s="524"/>
    </row>
    <row r="29" spans="5:98" ht="13.5" x14ac:dyDescent="0.25">
      <c r="E29" s="365" t="s">
        <v>643</v>
      </c>
      <c r="F29" s="524"/>
      <c r="G29" s="524"/>
      <c r="H29" s="524"/>
      <c r="I29" s="524"/>
      <c r="J29" s="524"/>
      <c r="O29" s="524"/>
      <c r="T29" s="524"/>
      <c r="Y29" s="524"/>
      <c r="AD29" s="524"/>
      <c r="AI29" s="524"/>
      <c r="AN29" s="524"/>
      <c r="AS29" s="524"/>
      <c r="AX29" s="524"/>
      <c r="BC29" s="524"/>
      <c r="BH29" s="524"/>
      <c r="BM29" s="524"/>
      <c r="BR29" s="524"/>
      <c r="BW29" s="524"/>
      <c r="CB29" s="524"/>
      <c r="CG29" s="524"/>
      <c r="CL29" s="524"/>
      <c r="CQ29" s="524"/>
    </row>
    <row r="30" spans="5:98" ht="3.75" customHeight="1" x14ac:dyDescent="0.25">
      <c r="F30" s="524"/>
      <c r="G30" s="524"/>
      <c r="H30" s="524"/>
      <c r="I30" s="524"/>
      <c r="J30" s="524"/>
      <c r="O30" s="524"/>
      <c r="T30" s="524"/>
      <c r="Y30" s="524"/>
      <c r="AD30" s="524"/>
      <c r="AI30" s="524"/>
      <c r="AN30" s="524"/>
      <c r="AS30" s="524"/>
      <c r="AX30" s="524"/>
      <c r="BC30" s="524"/>
      <c r="BH30" s="524"/>
      <c r="BM30" s="524"/>
      <c r="BR30" s="524"/>
      <c r="BW30" s="524"/>
      <c r="CB30" s="524"/>
      <c r="CG30" s="524"/>
      <c r="CL30" s="524"/>
      <c r="CQ30" s="524"/>
    </row>
    <row r="31" spans="5:98" ht="13.5" x14ac:dyDescent="0.25">
      <c r="E31" s="54" t="s">
        <v>692</v>
      </c>
      <c r="F31" s="185"/>
      <c r="G31" s="185"/>
      <c r="H31" s="185"/>
      <c r="I31" s="185"/>
      <c r="J31" s="185"/>
      <c r="K31" s="122"/>
      <c r="L31" s="122"/>
      <c r="M31" s="122"/>
      <c r="N31" s="122"/>
      <c r="O31" s="161"/>
      <c r="P31" s="122"/>
      <c r="Q31" s="122"/>
      <c r="R31" s="122"/>
      <c r="S31" s="122"/>
      <c r="T31" s="161"/>
      <c r="U31" s="122"/>
      <c r="V31" s="122"/>
      <c r="W31" s="122"/>
      <c r="X31" s="122"/>
      <c r="Y31" s="161"/>
      <c r="Z31" s="128"/>
      <c r="AA31" s="128"/>
      <c r="AB31" s="128"/>
      <c r="AC31" s="128"/>
      <c r="AD31" s="161"/>
      <c r="AE31" s="128"/>
      <c r="AF31" s="128"/>
      <c r="AG31" s="128"/>
      <c r="AH31" s="128"/>
      <c r="AI31" s="140"/>
      <c r="AJ31" s="85"/>
      <c r="AK31" s="85"/>
      <c r="AL31" s="85"/>
      <c r="AM31" s="85"/>
      <c r="AN31" s="140"/>
      <c r="AO31" s="85"/>
      <c r="AP31" s="85"/>
      <c r="AQ31" s="85"/>
      <c r="AR31" s="364"/>
      <c r="AS31" s="161"/>
      <c r="AT31" s="439"/>
      <c r="AU31" s="439"/>
      <c r="AV31" s="439"/>
      <c r="AW31" s="439"/>
      <c r="AX31" s="161"/>
      <c r="AY31" s="439"/>
      <c r="AZ31" s="439"/>
      <c r="BA31" s="439"/>
      <c r="BB31" s="439"/>
      <c r="BC31" s="161"/>
      <c r="BD31" s="439"/>
      <c r="BE31" s="439"/>
      <c r="BF31" s="439"/>
      <c r="BG31" s="439"/>
      <c r="BH31" s="161"/>
      <c r="BI31" s="439"/>
      <c r="BJ31" s="439"/>
      <c r="BK31" s="439"/>
      <c r="BL31" s="439"/>
      <c r="BM31" s="161"/>
      <c r="BN31" s="417">
        <v>33.000999999999998</v>
      </c>
      <c r="BO31" s="417">
        <v>37.868000000000002</v>
      </c>
      <c r="BP31" s="417">
        <v>34.597000000000001</v>
      </c>
      <c r="BQ31" s="417">
        <v>38.235999999999997</v>
      </c>
      <c r="BR31" s="540">
        <f>SUM(BN31:BQ31)</f>
        <v>143.702</v>
      </c>
      <c r="BS31" s="417">
        <v>34.363999999999997</v>
      </c>
      <c r="BT31" s="417">
        <v>38.323</v>
      </c>
      <c r="BU31" s="417">
        <v>40.630000000000003</v>
      </c>
      <c r="BV31" s="417">
        <v>42.755000000000003</v>
      </c>
      <c r="BW31" s="540">
        <f>SUM(BS31:BV31)</f>
        <v>156.072</v>
      </c>
      <c r="BX31" s="417">
        <v>38.728999999999999</v>
      </c>
      <c r="BY31" s="417">
        <v>45.212000000000003</v>
      </c>
      <c r="BZ31" s="417">
        <v>48.529000000000003</v>
      </c>
      <c r="CA31" s="417">
        <v>50.758000000000003</v>
      </c>
      <c r="CB31" s="540">
        <f>SUM(BX31:CA31)</f>
        <v>183.22800000000001</v>
      </c>
      <c r="CC31" s="417">
        <v>43.917000000000002</v>
      </c>
      <c r="CD31" s="417">
        <v>44.918999999999997</v>
      </c>
      <c r="CE31" s="417">
        <v>47.466999999999999</v>
      </c>
      <c r="CF31" s="417">
        <v>49.6</v>
      </c>
      <c r="CG31" s="540">
        <f>SUM(CC31:CF31)</f>
        <v>185.90299999999999</v>
      </c>
      <c r="CH31" s="631"/>
      <c r="CI31" s="631"/>
      <c r="CJ31" s="631"/>
      <c r="CK31" s="631"/>
      <c r="CL31" s="540"/>
      <c r="CM31" s="631"/>
      <c r="CN31" s="631"/>
      <c r="CO31" s="631"/>
      <c r="CP31" s="631"/>
      <c r="CQ31" s="540"/>
    </row>
    <row r="32" spans="5:98" ht="13.5" x14ac:dyDescent="0.25">
      <c r="E32" s="365" t="s">
        <v>2</v>
      </c>
      <c r="F32" s="185"/>
      <c r="G32" s="185"/>
      <c r="H32" s="185"/>
      <c r="I32" s="185"/>
      <c r="J32" s="185"/>
      <c r="K32" s="122"/>
      <c r="L32" s="122"/>
      <c r="M32" s="122"/>
      <c r="N32" s="122"/>
      <c r="O32" s="161"/>
      <c r="P32" s="122"/>
      <c r="Q32" s="122"/>
      <c r="R32" s="122"/>
      <c r="S32" s="122"/>
      <c r="T32" s="161"/>
      <c r="U32" s="122"/>
      <c r="V32" s="122"/>
      <c r="W32" s="122"/>
      <c r="X32" s="122"/>
      <c r="Y32" s="161"/>
      <c r="Z32" s="128"/>
      <c r="AA32" s="128"/>
      <c r="AB32" s="128"/>
      <c r="AC32" s="128"/>
      <c r="AD32" s="161"/>
      <c r="AE32" s="128"/>
      <c r="AF32" s="128"/>
      <c r="AG32" s="128"/>
      <c r="AH32" s="128"/>
      <c r="AI32" s="140"/>
      <c r="AJ32" s="85"/>
      <c r="AK32" s="85"/>
      <c r="AL32" s="85"/>
      <c r="AM32" s="85"/>
      <c r="AN32" s="140"/>
      <c r="AO32" s="85"/>
      <c r="AP32" s="85"/>
      <c r="AQ32" s="85"/>
      <c r="AR32" s="364"/>
      <c r="AS32" s="161"/>
      <c r="AT32" s="439"/>
      <c r="AU32" s="439"/>
      <c r="AV32" s="439"/>
      <c r="AW32" s="439"/>
      <c r="AX32" s="161"/>
      <c r="AY32" s="439"/>
      <c r="AZ32" s="439"/>
      <c r="BA32" s="439"/>
      <c r="BB32" s="439"/>
      <c r="BC32" s="161"/>
      <c r="BD32" s="439"/>
      <c r="BE32" s="439"/>
      <c r="BF32" s="439"/>
      <c r="BG32" s="439"/>
      <c r="BH32" s="161"/>
      <c r="BI32" s="439"/>
      <c r="BJ32" s="439"/>
      <c r="BK32" s="439"/>
      <c r="BL32" s="439"/>
      <c r="BM32" s="161"/>
      <c r="BN32" s="363"/>
      <c r="BO32" s="363"/>
      <c r="BP32" s="363"/>
      <c r="BQ32" s="363"/>
      <c r="BR32" s="525"/>
      <c r="BS32" s="363">
        <f t="shared" ref="BS32:CG32" si="7">(BS31-BN31)/ABS(BN31)</f>
        <v>4.1301778733977744E-2</v>
      </c>
      <c r="BT32" s="363">
        <f t="shared" si="7"/>
        <v>1.2015421992183329E-2</v>
      </c>
      <c r="BU32" s="363">
        <f t="shared" si="7"/>
        <v>0.17437928144058737</v>
      </c>
      <c r="BV32" s="363">
        <f t="shared" si="7"/>
        <v>0.11818704885448283</v>
      </c>
      <c r="BW32" s="525">
        <f t="shared" si="7"/>
        <v>8.6080917454176037E-2</v>
      </c>
      <c r="BX32" s="363">
        <f t="shared" si="7"/>
        <v>0.12702246537073689</v>
      </c>
      <c r="BY32" s="363">
        <f t="shared" si="7"/>
        <v>0.17976150092633675</v>
      </c>
      <c r="BZ32" s="363">
        <f t="shared" si="7"/>
        <v>0.19441299532365247</v>
      </c>
      <c r="CA32" s="363">
        <f t="shared" si="7"/>
        <v>0.18718278563910654</v>
      </c>
      <c r="CB32" s="525">
        <f t="shared" si="7"/>
        <v>0.17399661694602495</v>
      </c>
      <c r="CC32" s="363">
        <f t="shared" si="7"/>
        <v>0.13395646673035716</v>
      </c>
      <c r="CD32" s="363">
        <f t="shared" si="7"/>
        <v>-6.4805803768912314E-3</v>
      </c>
      <c r="CE32" s="363">
        <f>(CE31-BZ31)/ABS(BZ31)</f>
        <v>-2.1883822044550777E-2</v>
      </c>
      <c r="CF32" s="363">
        <f t="shared" si="7"/>
        <v>-2.2814137672879174E-2</v>
      </c>
      <c r="CG32" s="525">
        <f t="shared" si="7"/>
        <v>1.4599297050669018E-2</v>
      </c>
      <c r="CH32" s="363"/>
      <c r="CI32" s="363"/>
      <c r="CJ32" s="363"/>
      <c r="CK32" s="363"/>
      <c r="CL32" s="525"/>
      <c r="CM32" s="363"/>
      <c r="CN32" s="363"/>
      <c r="CO32" s="363"/>
      <c r="CP32" s="363"/>
      <c r="CQ32" s="641"/>
    </row>
    <row r="33" spans="5:98" ht="13.5" x14ac:dyDescent="0.25">
      <c r="E33" s="365" t="s">
        <v>91</v>
      </c>
      <c r="F33" s="185"/>
      <c r="G33" s="185"/>
      <c r="H33" s="185"/>
      <c r="I33" s="185"/>
      <c r="J33" s="185"/>
      <c r="K33" s="122"/>
      <c r="L33" s="122"/>
      <c r="M33" s="122"/>
      <c r="N33" s="122"/>
      <c r="O33" s="161"/>
      <c r="P33" s="122"/>
      <c r="Q33" s="122"/>
      <c r="R33" s="122"/>
      <c r="S33" s="122"/>
      <c r="T33" s="161"/>
      <c r="U33" s="122"/>
      <c r="V33" s="122"/>
      <c r="W33" s="122"/>
      <c r="X33" s="122"/>
      <c r="Y33" s="161"/>
      <c r="Z33" s="128"/>
      <c r="AA33" s="128"/>
      <c r="AB33" s="128"/>
      <c r="AC33" s="128"/>
      <c r="AD33" s="161"/>
      <c r="AE33" s="128"/>
      <c r="AF33" s="128"/>
      <c r="AG33" s="128"/>
      <c r="AH33" s="128"/>
      <c r="AI33" s="140"/>
      <c r="AJ33" s="85"/>
      <c r="AK33" s="85"/>
      <c r="AL33" s="85"/>
      <c r="AM33" s="85"/>
      <c r="AN33" s="140"/>
      <c r="AO33" s="85"/>
      <c r="AP33" s="85"/>
      <c r="AQ33" s="85"/>
      <c r="AR33" s="364"/>
      <c r="AS33" s="161"/>
      <c r="AT33" s="439"/>
      <c r="AU33" s="439"/>
      <c r="AV33" s="439"/>
      <c r="AW33" s="439"/>
      <c r="AX33" s="161"/>
      <c r="AY33" s="439"/>
      <c r="AZ33" s="439"/>
      <c r="BA33" s="439"/>
      <c r="BB33" s="439"/>
      <c r="BC33" s="161"/>
      <c r="BD33" s="439"/>
      <c r="BE33" s="439"/>
      <c r="BF33" s="439"/>
      <c r="BG33" s="439"/>
      <c r="BH33" s="161"/>
      <c r="BI33" s="439"/>
      <c r="BJ33" s="439"/>
      <c r="BK33" s="439"/>
      <c r="BL33" s="439"/>
      <c r="BM33" s="161"/>
      <c r="BN33" s="363">
        <f>BN31/'Audience Solutions'!BN11</f>
        <v>0.53589581201994119</v>
      </c>
      <c r="BO33" s="363">
        <f>BO31/'Audience Solutions'!BO11</f>
        <v>0.56574288488832447</v>
      </c>
      <c r="BP33" s="363">
        <f>BP31/'Audience Solutions'!BP11</f>
        <v>0.54089928394984521</v>
      </c>
      <c r="BQ33" s="363">
        <f>BQ31/'Audience Solutions'!BQ11</f>
        <v>0.56502785535901634</v>
      </c>
      <c r="BR33" s="525">
        <f>BR31/'Audience Solutions'!BR11</f>
        <v>0.55238344179681642</v>
      </c>
      <c r="BS33" s="363">
        <f>BS31/'Audience Solutions'!BS11</f>
        <v>0.57087797989866262</v>
      </c>
      <c r="BT33" s="363">
        <f>BT31/'Audience Solutions'!BT11</f>
        <v>0.58660645951324053</v>
      </c>
      <c r="BU33" s="363">
        <f>BU31/'Audience Solutions'!BU11</f>
        <v>0.61433085867215032</v>
      </c>
      <c r="BV33" s="363">
        <f>BV31/'Audience Solutions'!BV11</f>
        <v>0.59853289096076046</v>
      </c>
      <c r="BW33" s="525">
        <f>BW31/'Audience Solutions'!BW11</f>
        <v>0.59321537847545558</v>
      </c>
      <c r="BX33" s="363">
        <f>BX31/'Audience Solutions'!BX11</f>
        <v>0.5902641244875253</v>
      </c>
      <c r="BY33" s="363">
        <f>BY31/'Audience Solutions'!BY11</f>
        <v>0.63375385477992707</v>
      </c>
      <c r="BZ33" s="363">
        <f>BZ31/'Audience Solutions'!BZ11</f>
        <v>0.65515099968949564</v>
      </c>
      <c r="CA33" s="363">
        <f>CA31/'Audience Solutions'!CA11</f>
        <v>0.65198068129270925</v>
      </c>
      <c r="CB33" s="525">
        <f>CB31/'Audience Solutions'!CB11</f>
        <v>0.6342746765070375</v>
      </c>
      <c r="CC33" s="363">
        <f>CC31/'Audience Solutions'!CC11</f>
        <v>0.64520252104544062</v>
      </c>
      <c r="CD33" s="363">
        <f>CD31/'Audience Solutions'!CD11</f>
        <v>0.63292940679160203</v>
      </c>
      <c r="CE33" s="363">
        <f>CE31/'Audience Solutions'!CE11</f>
        <v>0.63943259736235902</v>
      </c>
      <c r="CF33" s="363">
        <f>CF31/'Audience Solutions'!CF11</f>
        <v>0.62547288776796972</v>
      </c>
      <c r="CG33" s="525">
        <f>CG31/'Audience Solutions'!CG11</f>
        <v>0.63541374713743715</v>
      </c>
      <c r="CH33" s="453"/>
      <c r="CI33" s="453"/>
      <c r="CJ33" s="453"/>
      <c r="CK33" s="453"/>
      <c r="CL33" s="525"/>
      <c r="CM33" s="453"/>
      <c r="CN33" s="727"/>
      <c r="CO33" s="727"/>
      <c r="CP33" s="727"/>
      <c r="CQ33" s="641"/>
    </row>
    <row r="34" spans="5:98" ht="3.75" customHeight="1" x14ac:dyDescent="0.25">
      <c r="E34" s="365"/>
      <c r="F34" s="185"/>
      <c r="G34" s="185"/>
      <c r="H34" s="185"/>
      <c r="I34" s="185"/>
      <c r="J34" s="185"/>
      <c r="K34" s="122"/>
      <c r="L34" s="122"/>
      <c r="M34" s="122"/>
      <c r="N34" s="122"/>
      <c r="O34" s="161"/>
      <c r="P34" s="122"/>
      <c r="Q34" s="122"/>
      <c r="R34" s="122"/>
      <c r="S34" s="122"/>
      <c r="T34" s="161"/>
      <c r="U34" s="122"/>
      <c r="V34" s="122"/>
      <c r="W34" s="122"/>
      <c r="X34" s="122"/>
      <c r="Y34" s="161"/>
      <c r="Z34" s="128"/>
      <c r="AA34" s="128"/>
      <c r="AB34" s="128"/>
      <c r="AC34" s="128"/>
      <c r="AD34" s="161"/>
      <c r="AE34" s="128"/>
      <c r="AF34" s="128"/>
      <c r="AG34" s="128"/>
      <c r="AH34" s="128"/>
      <c r="AI34" s="140"/>
      <c r="AJ34" s="85"/>
      <c r="AK34" s="85"/>
      <c r="AL34" s="85"/>
      <c r="AM34" s="85"/>
      <c r="AN34" s="140"/>
      <c r="AO34" s="85"/>
      <c r="AP34" s="85"/>
      <c r="AQ34" s="85"/>
      <c r="AR34" s="364"/>
      <c r="AS34" s="161"/>
      <c r="AT34" s="439"/>
      <c r="AU34" s="439"/>
      <c r="AV34" s="439"/>
      <c r="AW34" s="439"/>
      <c r="AX34" s="161"/>
      <c r="AY34" s="439"/>
      <c r="AZ34" s="439"/>
      <c r="BA34" s="439"/>
      <c r="BB34" s="439"/>
      <c r="BC34" s="161"/>
      <c r="BD34" s="439"/>
      <c r="BE34" s="439"/>
      <c r="BF34" s="439"/>
      <c r="BG34" s="439"/>
      <c r="BH34" s="161"/>
      <c r="BI34" s="439"/>
      <c r="BJ34" s="439"/>
      <c r="BK34" s="439"/>
      <c r="BL34" s="439"/>
      <c r="BM34" s="161"/>
      <c r="BN34" s="363"/>
      <c r="BO34" s="363"/>
      <c r="BP34" s="363"/>
      <c r="BQ34" s="363"/>
      <c r="BR34" s="641"/>
      <c r="BS34" s="363"/>
      <c r="BT34" s="363"/>
      <c r="BU34" s="363"/>
      <c r="BV34" s="363"/>
      <c r="BW34" s="641"/>
      <c r="BX34" s="363"/>
      <c r="BY34" s="363"/>
      <c r="BZ34" s="363"/>
      <c r="CA34" s="363"/>
      <c r="CB34" s="641"/>
      <c r="CC34" s="363"/>
      <c r="CD34" s="363"/>
      <c r="CE34" s="453"/>
      <c r="CF34" s="453"/>
      <c r="CG34" s="641"/>
      <c r="CH34" s="453"/>
      <c r="CI34" s="453"/>
      <c r="CJ34" s="453"/>
      <c r="CK34" s="453"/>
      <c r="CL34" s="641"/>
      <c r="CM34" s="453"/>
      <c r="CN34" s="453"/>
      <c r="CO34" s="453"/>
      <c r="CP34" s="453"/>
      <c r="CQ34" s="641"/>
    </row>
    <row r="35" spans="5:98" ht="13.5" x14ac:dyDescent="0.25">
      <c r="E35" s="54" t="s">
        <v>691</v>
      </c>
      <c r="F35" s="185"/>
      <c r="G35" s="185"/>
      <c r="H35" s="185"/>
      <c r="I35" s="185"/>
      <c r="J35" s="185"/>
      <c r="K35" s="122"/>
      <c r="L35" s="122"/>
      <c r="M35" s="122"/>
      <c r="N35" s="122"/>
      <c r="O35" s="161"/>
      <c r="P35" s="122"/>
      <c r="Q35" s="122"/>
      <c r="R35" s="122"/>
      <c r="S35" s="122"/>
      <c r="T35" s="161"/>
      <c r="U35" s="122"/>
      <c r="V35" s="122"/>
      <c r="W35" s="122"/>
      <c r="X35" s="122"/>
      <c r="Y35" s="161"/>
      <c r="Z35" s="128"/>
      <c r="AA35" s="128"/>
      <c r="AB35" s="128"/>
      <c r="AC35" s="128"/>
      <c r="AD35" s="161"/>
      <c r="AE35" s="128"/>
      <c r="AF35" s="128"/>
      <c r="AG35" s="128"/>
      <c r="AH35" s="128"/>
      <c r="AI35" s="140"/>
      <c r="AJ35" s="85"/>
      <c r="AK35" s="85"/>
      <c r="AL35" s="85"/>
      <c r="AM35" s="85"/>
      <c r="AN35" s="140"/>
      <c r="AO35" s="85"/>
      <c r="AP35" s="85"/>
      <c r="AQ35" s="85"/>
      <c r="AR35" s="364"/>
      <c r="AS35" s="161"/>
      <c r="AT35" s="439"/>
      <c r="AU35" s="439"/>
      <c r="AV35" s="439"/>
      <c r="AW35" s="439"/>
      <c r="AX35" s="161"/>
      <c r="AY35" s="439"/>
      <c r="AZ35" s="439"/>
      <c r="BA35" s="439"/>
      <c r="BB35" s="439"/>
      <c r="BC35" s="161"/>
      <c r="BD35" s="439"/>
      <c r="BE35" s="439"/>
      <c r="BF35" s="439"/>
      <c r="BG35" s="439"/>
      <c r="BH35" s="161"/>
      <c r="BI35" s="439"/>
      <c r="BJ35" s="439"/>
      <c r="BK35" s="439"/>
      <c r="BL35" s="439"/>
      <c r="BM35" s="161"/>
      <c r="BN35" s="417">
        <v>2.6040000000000001</v>
      </c>
      <c r="BO35" s="417">
        <v>3.5569999999999999</v>
      </c>
      <c r="BP35" s="417">
        <v>4.6180000000000003</v>
      </c>
      <c r="BQ35" s="417">
        <v>3.9049999999999998</v>
      </c>
      <c r="BR35" s="540">
        <f>SUM(BN35:BQ35)</f>
        <v>14.683999999999999</v>
      </c>
      <c r="BS35" s="417">
        <v>2.4590000000000001</v>
      </c>
      <c r="BT35" s="417">
        <v>0.84699999999999998</v>
      </c>
      <c r="BU35" s="417">
        <v>4.6349999999999998</v>
      </c>
      <c r="BV35" s="417">
        <v>3.702</v>
      </c>
      <c r="BW35" s="540">
        <f>SUM(BS35:BV35)</f>
        <v>11.643000000000001</v>
      </c>
      <c r="BX35" s="631">
        <f>BX38-BX31</f>
        <v>3.1829999999999998</v>
      </c>
      <c r="BY35" s="631">
        <f>BY38-BY31</f>
        <v>2.7859999999999943</v>
      </c>
      <c r="BZ35" s="631">
        <f>BZ38-BZ31</f>
        <v>4.590999999999994</v>
      </c>
      <c r="CA35" s="631">
        <f>CA38-CA31</f>
        <v>4.3967999999999989</v>
      </c>
      <c r="CB35" s="540">
        <f>SUM(BX35:CA35)</f>
        <v>14.956799999999987</v>
      </c>
      <c r="CC35" s="631">
        <f>CC38-CC31</f>
        <v>3.2929999999999993</v>
      </c>
      <c r="CD35" s="631">
        <f>CD38-CD31</f>
        <v>3.402000000000001</v>
      </c>
      <c r="CE35" s="631">
        <f>CE38-CE31</f>
        <v>5.3539999999999992</v>
      </c>
      <c r="CF35" s="631">
        <f>CF38-CF31</f>
        <v>4.2830000000000013</v>
      </c>
      <c r="CG35" s="540">
        <f>SUM(CC35:CF35)</f>
        <v>16.332000000000001</v>
      </c>
      <c r="CH35" s="631"/>
      <c r="CI35" s="631"/>
      <c r="CJ35" s="631"/>
      <c r="CK35" s="631"/>
      <c r="CL35" s="540"/>
      <c r="CM35" s="631"/>
      <c r="CN35" s="631"/>
      <c r="CO35" s="631"/>
      <c r="CP35" s="631"/>
      <c r="CQ35" s="540"/>
    </row>
    <row r="36" spans="5:98" ht="13.5" x14ac:dyDescent="0.25">
      <c r="E36" s="365" t="s">
        <v>2</v>
      </c>
      <c r="F36" s="185"/>
      <c r="G36" s="185"/>
      <c r="H36" s="185"/>
      <c r="I36" s="185"/>
      <c r="J36" s="185"/>
      <c r="K36" s="122"/>
      <c r="L36" s="122"/>
      <c r="M36" s="122"/>
      <c r="N36" s="122"/>
      <c r="O36" s="161"/>
      <c r="P36" s="122"/>
      <c r="Q36" s="122"/>
      <c r="R36" s="122"/>
      <c r="S36" s="122"/>
      <c r="T36" s="161"/>
      <c r="U36" s="122"/>
      <c r="V36" s="122"/>
      <c r="W36" s="122"/>
      <c r="X36" s="122"/>
      <c r="Y36" s="161"/>
      <c r="Z36" s="128"/>
      <c r="AA36" s="128"/>
      <c r="AB36" s="128"/>
      <c r="AC36" s="128"/>
      <c r="AD36" s="161"/>
      <c r="AE36" s="128"/>
      <c r="AF36" s="128"/>
      <c r="AG36" s="128"/>
      <c r="AH36" s="128"/>
      <c r="AI36" s="140"/>
      <c r="AJ36" s="85"/>
      <c r="AK36" s="85"/>
      <c r="AL36" s="85"/>
      <c r="AM36" s="85"/>
      <c r="AN36" s="140"/>
      <c r="AO36" s="85"/>
      <c r="AP36" s="85"/>
      <c r="AQ36" s="85"/>
      <c r="AR36" s="364"/>
      <c r="AS36" s="161"/>
      <c r="AT36" s="439"/>
      <c r="AU36" s="439"/>
      <c r="AV36" s="439"/>
      <c r="AW36" s="439"/>
      <c r="AX36" s="161"/>
      <c r="AY36" s="439"/>
      <c r="AZ36" s="439"/>
      <c r="BA36" s="439"/>
      <c r="BB36" s="439"/>
      <c r="BC36" s="161"/>
      <c r="BD36" s="439"/>
      <c r="BE36" s="439"/>
      <c r="BF36" s="439"/>
      <c r="BG36" s="439"/>
      <c r="BH36" s="161"/>
      <c r="BI36" s="439"/>
      <c r="BJ36" s="439"/>
      <c r="BK36" s="439"/>
      <c r="BL36" s="439"/>
      <c r="BM36" s="161"/>
      <c r="BN36" s="363"/>
      <c r="BO36" s="363"/>
      <c r="BP36" s="363"/>
      <c r="BQ36" s="363"/>
      <c r="BR36" s="525"/>
      <c r="BS36" s="363">
        <f t="shared" ref="BS36:CG36" si="8">(BS35-BN35)/ABS(BN35)</f>
        <v>-5.5683563748079881E-2</v>
      </c>
      <c r="BT36" s="363">
        <f t="shared" si="8"/>
        <v>-0.76187798706775378</v>
      </c>
      <c r="BU36" s="363">
        <f t="shared" si="8"/>
        <v>3.6812472932004027E-3</v>
      </c>
      <c r="BV36" s="363">
        <f t="shared" si="8"/>
        <v>-5.1984635083226594E-2</v>
      </c>
      <c r="BW36" s="525">
        <f t="shared" si="8"/>
        <v>-0.20709615908471798</v>
      </c>
      <c r="BX36" s="363">
        <f t="shared" si="8"/>
        <v>0.29442862952419674</v>
      </c>
      <c r="BY36" s="363">
        <f t="shared" si="8"/>
        <v>2.2892561983471009</v>
      </c>
      <c r="BZ36" s="363">
        <f t="shared" si="8"/>
        <v>-9.4929881337660876E-3</v>
      </c>
      <c r="CA36" s="363">
        <f t="shared" si="8"/>
        <v>0.18768233387358157</v>
      </c>
      <c r="CB36" s="525">
        <f t="shared" si="8"/>
        <v>0.28461736665807663</v>
      </c>
      <c r="CC36" s="363">
        <f t="shared" si="8"/>
        <v>3.4558592522777078E-2</v>
      </c>
      <c r="CD36" s="363">
        <f t="shared" si="8"/>
        <v>0.22110552763819383</v>
      </c>
      <c r="CE36" s="363">
        <f>(CE35-BZ35)/ABS(BZ35)</f>
        <v>0.1661947288172525</v>
      </c>
      <c r="CF36" s="363">
        <f>(CF35-CA35)/ABS(CA35)</f>
        <v>-2.5882459970887398E-2</v>
      </c>
      <c r="CG36" s="525">
        <f t="shared" si="8"/>
        <v>9.1944801026958636E-2</v>
      </c>
      <c r="CH36" s="363"/>
      <c r="CI36" s="363"/>
      <c r="CJ36" s="363"/>
      <c r="CK36" s="363"/>
      <c r="CL36" s="525"/>
      <c r="CM36" s="363"/>
      <c r="CN36" s="363"/>
      <c r="CO36" s="363"/>
      <c r="CP36" s="363"/>
      <c r="CQ36" s="641"/>
    </row>
    <row r="37" spans="5:98" ht="13.5" x14ac:dyDescent="0.25">
      <c r="E37" s="365" t="s">
        <v>91</v>
      </c>
      <c r="F37" s="185"/>
      <c r="G37" s="185"/>
      <c r="H37" s="185"/>
      <c r="I37" s="185"/>
      <c r="J37" s="185"/>
      <c r="K37" s="122"/>
      <c r="L37" s="122"/>
      <c r="M37" s="122"/>
      <c r="N37" s="122"/>
      <c r="O37" s="161"/>
      <c r="P37" s="122"/>
      <c r="Q37" s="122"/>
      <c r="R37" s="122"/>
      <c r="S37" s="122"/>
      <c r="T37" s="161"/>
      <c r="U37" s="122"/>
      <c r="V37" s="122"/>
      <c r="W37" s="122"/>
      <c r="X37" s="122"/>
      <c r="Y37" s="161"/>
      <c r="Z37" s="128"/>
      <c r="AA37" s="128"/>
      <c r="AB37" s="128"/>
      <c r="AC37" s="128"/>
      <c r="AD37" s="161"/>
      <c r="AE37" s="128"/>
      <c r="AF37" s="128"/>
      <c r="AG37" s="128"/>
      <c r="AH37" s="128"/>
      <c r="AI37" s="140"/>
      <c r="AJ37" s="85"/>
      <c r="AK37" s="85"/>
      <c r="AL37" s="85"/>
      <c r="AM37" s="85"/>
      <c r="AN37" s="140"/>
      <c r="AO37" s="85"/>
      <c r="AP37" s="85"/>
      <c r="AQ37" s="85"/>
      <c r="AR37" s="364"/>
      <c r="AS37" s="161"/>
      <c r="AT37" s="439"/>
      <c r="AU37" s="439"/>
      <c r="AV37" s="439"/>
      <c r="AW37" s="439"/>
      <c r="AX37" s="161"/>
      <c r="AY37" s="439"/>
      <c r="AZ37" s="439"/>
      <c r="BA37" s="439"/>
      <c r="BB37" s="439"/>
      <c r="BC37" s="161"/>
      <c r="BD37" s="439"/>
      <c r="BE37" s="439"/>
      <c r="BF37" s="439"/>
      <c r="BG37" s="439"/>
      <c r="BH37" s="161"/>
      <c r="BI37" s="439"/>
      <c r="BJ37" s="439"/>
      <c r="BK37" s="439"/>
      <c r="BL37" s="439"/>
      <c r="BM37" s="161"/>
      <c r="BN37" s="363">
        <f>BN35/'Audience Solutions'!BN14</f>
        <v>0.22682926829268313</v>
      </c>
      <c r="BO37" s="363">
        <f>BO35/'Audience Solutions'!BO14</f>
        <v>0.32071048597962371</v>
      </c>
      <c r="BP37" s="363">
        <f>BP35/'Audience Solutions'!BP14</f>
        <v>0.38576560020048395</v>
      </c>
      <c r="BQ37" s="363">
        <f>BQ35/'Audience Solutions'!BQ14</f>
        <v>0.42700929469655569</v>
      </c>
      <c r="BR37" s="525">
        <f>BR35/'Audience Solutions'!BR14</f>
        <v>0.33611829606061311</v>
      </c>
      <c r="BS37" s="363">
        <f>BS35/'Audience Solutions'!BS14</f>
        <v>0.29431478156792301</v>
      </c>
      <c r="BT37" s="363">
        <f>BT35/'Audience Solutions'!BT14</f>
        <v>0.12472389927845684</v>
      </c>
      <c r="BU37" s="363">
        <f>BU35/'Audience Solutions'!BU14</f>
        <v>0.42487854065450464</v>
      </c>
      <c r="BV37" s="363">
        <f>BV35/'Audience Solutions'!BV14</f>
        <v>0.4257619321449112</v>
      </c>
      <c r="BW37" s="525">
        <f>BW35/'Audience Solutions'!BW14</f>
        <v>0.33505035971223002</v>
      </c>
      <c r="BX37" s="363">
        <f>BX35/'Audience Solutions'!BX14</f>
        <v>0.39146476448161355</v>
      </c>
      <c r="BY37" s="363">
        <f>BY35/'Audience Solutions'!BY14</f>
        <v>0.38769830225438312</v>
      </c>
      <c r="BZ37" s="363">
        <f>BZ35/'Audience Solutions'!BZ14</f>
        <v>0.49227964829508797</v>
      </c>
      <c r="CA37" s="363">
        <f>CA35/'Audience Solutions'!CA14</f>
        <v>0.51460674157303377</v>
      </c>
      <c r="CB37" s="525">
        <f>CB35/'Audience Solutions'!CB14</f>
        <v>0.45068249615813383</v>
      </c>
      <c r="CC37" s="363">
        <f>CC35/'Audience Solutions'!CC14</f>
        <v>0.42950306508412661</v>
      </c>
      <c r="CD37" s="363">
        <f>CD35/'Audience Solutions'!CD14</f>
        <v>0.4337072921978587</v>
      </c>
      <c r="CE37" s="363">
        <f>CE35/'Audience Solutions'!CE14</f>
        <v>0.52474762324806401</v>
      </c>
      <c r="CF37" s="363">
        <f>CF35/'Audience Solutions'!CF14</f>
        <v>0.47200793475865133</v>
      </c>
      <c r="CG37" s="525">
        <f>CG35/'Audience Solutions'!CG14</f>
        <v>0.46947223180407044</v>
      </c>
      <c r="CH37" s="453"/>
      <c r="CI37" s="453"/>
      <c r="CJ37" s="453"/>
      <c r="CK37" s="453"/>
      <c r="CL37" s="525"/>
      <c r="CM37" s="453"/>
      <c r="CN37" s="453"/>
      <c r="CO37" s="727"/>
      <c r="CP37" s="727"/>
      <c r="CQ37" s="641"/>
    </row>
    <row r="38" spans="5:98" ht="13.5" x14ac:dyDescent="0.25">
      <c r="E38" s="564" t="s">
        <v>694</v>
      </c>
      <c r="F38" s="565"/>
      <c r="G38" s="565"/>
      <c r="H38" s="565"/>
      <c r="I38" s="565"/>
      <c r="J38" s="565"/>
      <c r="K38" s="565"/>
      <c r="L38" s="565"/>
      <c r="M38" s="565"/>
      <c r="N38" s="565"/>
      <c r="O38" s="566"/>
      <c r="P38" s="565"/>
      <c r="Q38" s="565"/>
      <c r="R38" s="565"/>
      <c r="S38" s="565"/>
      <c r="T38" s="566"/>
      <c r="U38" s="565"/>
      <c r="V38" s="565"/>
      <c r="W38" s="565"/>
      <c r="X38" s="565"/>
      <c r="Y38" s="566"/>
      <c r="Z38" s="567"/>
      <c r="AA38" s="567"/>
      <c r="AB38" s="567"/>
      <c r="AC38" s="567"/>
      <c r="AD38" s="566"/>
      <c r="AE38" s="567"/>
      <c r="AF38" s="567"/>
      <c r="AG38" s="567"/>
      <c r="AH38" s="567"/>
      <c r="AI38" s="513"/>
      <c r="AJ38" s="568"/>
      <c r="AK38" s="568"/>
      <c r="AL38" s="568"/>
      <c r="AM38" s="568"/>
      <c r="AN38" s="513"/>
      <c r="AO38" s="568"/>
      <c r="AP38" s="568"/>
      <c r="AQ38" s="568"/>
      <c r="AR38" s="565"/>
      <c r="AS38" s="566"/>
      <c r="AT38" s="566"/>
      <c r="AU38" s="566"/>
      <c r="AV38" s="566"/>
      <c r="AW38" s="566"/>
      <c r="AX38" s="566"/>
      <c r="AY38" s="566"/>
      <c r="AZ38" s="566"/>
      <c r="BA38" s="566"/>
      <c r="BB38" s="566"/>
      <c r="BC38" s="566"/>
      <c r="BD38" s="566"/>
      <c r="BE38" s="566"/>
      <c r="BF38" s="566"/>
      <c r="BG38" s="566"/>
      <c r="BH38" s="566"/>
      <c r="BI38" s="566"/>
      <c r="BJ38" s="566"/>
      <c r="BK38" s="566"/>
      <c r="BL38" s="566"/>
      <c r="BM38" s="566"/>
      <c r="BN38" s="545">
        <v>35.604999999999997</v>
      </c>
      <c r="BO38" s="545">
        <v>41.424999999999997</v>
      </c>
      <c r="BP38" s="545">
        <v>39.215000000000003</v>
      </c>
      <c r="BQ38" s="545">
        <v>42.140999999999998</v>
      </c>
      <c r="BR38" s="540">
        <f>SUM(BN38:BQ38)</f>
        <v>158.386</v>
      </c>
      <c r="BS38" s="545">
        <v>36.823999999999998</v>
      </c>
      <c r="BT38" s="545">
        <v>39.17</v>
      </c>
      <c r="BU38" s="545">
        <v>45.265000000000001</v>
      </c>
      <c r="BV38" s="545">
        <v>46.457000000000001</v>
      </c>
      <c r="BW38" s="540">
        <f>SUM(BS38:BV38)</f>
        <v>167.71600000000001</v>
      </c>
      <c r="BX38" s="545">
        <v>41.911999999999999</v>
      </c>
      <c r="BY38" s="545">
        <v>47.997999999999998</v>
      </c>
      <c r="BZ38" s="545">
        <v>53.12</v>
      </c>
      <c r="CA38" s="545">
        <v>55.154800000000002</v>
      </c>
      <c r="CB38" s="540">
        <f>SUM(BX38:CA38)</f>
        <v>198.1848</v>
      </c>
      <c r="CC38" s="545">
        <v>47.21</v>
      </c>
      <c r="CD38" s="545">
        <v>48.320999999999998</v>
      </c>
      <c r="CE38" s="545">
        <v>52.820999999999998</v>
      </c>
      <c r="CF38" s="545">
        <v>53.883000000000003</v>
      </c>
      <c r="CG38" s="540">
        <f>SUM(CC38:CF38)</f>
        <v>202.23500000000001</v>
      </c>
      <c r="CH38" s="536"/>
      <c r="CI38" s="536"/>
      <c r="CJ38" s="536"/>
      <c r="CK38" s="536"/>
      <c r="CL38" s="540"/>
      <c r="CM38" s="642"/>
      <c r="CN38" s="642"/>
      <c r="CO38" s="642"/>
      <c r="CP38" s="642"/>
      <c r="CQ38" s="540"/>
      <c r="CS38" s="721"/>
      <c r="CT38" s="719"/>
    </row>
    <row r="39" spans="5:98" ht="13.5" x14ac:dyDescent="0.25">
      <c r="E39" s="560" t="s">
        <v>2</v>
      </c>
      <c r="F39" s="565"/>
      <c r="G39" s="565"/>
      <c r="H39" s="565"/>
      <c r="I39" s="565"/>
      <c r="J39" s="565"/>
      <c r="K39" s="565"/>
      <c r="L39" s="565"/>
      <c r="M39" s="565"/>
      <c r="N39" s="565"/>
      <c r="O39" s="566"/>
      <c r="P39" s="565"/>
      <c r="Q39" s="565"/>
      <c r="R39" s="565"/>
      <c r="S39" s="565"/>
      <c r="T39" s="566"/>
      <c r="U39" s="565"/>
      <c r="V39" s="565"/>
      <c r="W39" s="565"/>
      <c r="X39" s="565"/>
      <c r="Y39" s="566"/>
      <c r="Z39" s="567"/>
      <c r="AA39" s="567"/>
      <c r="AB39" s="567"/>
      <c r="AC39" s="567"/>
      <c r="AD39" s="566"/>
      <c r="AE39" s="567"/>
      <c r="AF39" s="567"/>
      <c r="AG39" s="567"/>
      <c r="AH39" s="567"/>
      <c r="AI39" s="513"/>
      <c r="AJ39" s="568"/>
      <c r="AK39" s="568"/>
      <c r="AL39" s="568"/>
      <c r="AM39" s="568"/>
      <c r="AN39" s="513"/>
      <c r="AO39" s="568"/>
      <c r="AP39" s="568"/>
      <c r="AQ39" s="568"/>
      <c r="AR39" s="565"/>
      <c r="AS39" s="566"/>
      <c r="AT39" s="566"/>
      <c r="AU39" s="566"/>
      <c r="AV39" s="566"/>
      <c r="AW39" s="566"/>
      <c r="AX39" s="566"/>
      <c r="AY39" s="566"/>
      <c r="AZ39" s="566"/>
      <c r="BA39" s="566"/>
      <c r="BB39" s="566"/>
      <c r="BC39" s="566"/>
      <c r="BD39" s="566"/>
      <c r="BE39" s="566"/>
      <c r="BF39" s="566"/>
      <c r="BG39" s="566"/>
      <c r="BH39" s="566"/>
      <c r="BI39" s="566"/>
      <c r="BJ39" s="566"/>
      <c r="BK39" s="566"/>
      <c r="BL39" s="566"/>
      <c r="BM39" s="566"/>
      <c r="BN39" s="560"/>
      <c r="BO39" s="560"/>
      <c r="BP39" s="513"/>
      <c r="BQ39" s="560"/>
      <c r="BR39" s="560"/>
      <c r="BS39" s="525">
        <f>(BS38-BN38)/ABS(BN38)</f>
        <v>3.4236764499368105E-2</v>
      </c>
      <c r="BT39" s="560">
        <f t="shared" ref="BT39:CG39" si="9">BT38/BO38-1</f>
        <v>-5.4435727217863494E-2</v>
      </c>
      <c r="BU39" s="560">
        <f t="shared" si="9"/>
        <v>0.15427769985974749</v>
      </c>
      <c r="BV39" s="560">
        <f t="shared" si="9"/>
        <v>0.10241807266082925</v>
      </c>
      <c r="BW39" s="525">
        <f t="shared" si="9"/>
        <v>5.8906721553672714E-2</v>
      </c>
      <c r="BX39" s="560">
        <f t="shared" si="9"/>
        <v>0.13817075820117308</v>
      </c>
      <c r="BY39" s="560">
        <f t="shared" si="9"/>
        <v>0.22537656369670644</v>
      </c>
      <c r="BZ39" s="560">
        <f t="shared" si="9"/>
        <v>0.17353363525902998</v>
      </c>
      <c r="CA39" s="560">
        <f t="shared" si="9"/>
        <v>0.18722259293540255</v>
      </c>
      <c r="CB39" s="525">
        <f t="shared" si="9"/>
        <v>0.18166901190107088</v>
      </c>
      <c r="CC39" s="560">
        <f t="shared" si="9"/>
        <v>0.1264077113953046</v>
      </c>
      <c r="CD39" s="560">
        <f>CD38/BY38-1</f>
        <v>6.7294470602941026E-3</v>
      </c>
      <c r="CE39" s="560">
        <f>CE38/BZ38-1</f>
        <v>-5.6287650602409034E-3</v>
      </c>
      <c r="CF39" s="560">
        <f t="shared" si="9"/>
        <v>-2.3058736501628152E-2</v>
      </c>
      <c r="CG39" s="525">
        <f t="shared" si="9"/>
        <v>2.0436481506149962E-2</v>
      </c>
      <c r="CH39" s="560"/>
      <c r="CI39" s="560"/>
      <c r="CJ39" s="560"/>
      <c r="CK39" s="560"/>
      <c r="CL39" s="525"/>
      <c r="CM39" s="643"/>
      <c r="CN39" s="643"/>
      <c r="CO39" s="643"/>
      <c r="CP39" s="643"/>
      <c r="CQ39" s="641"/>
    </row>
    <row r="40" spans="5:98" ht="13.5" x14ac:dyDescent="0.25">
      <c r="E40" s="560" t="s">
        <v>91</v>
      </c>
      <c r="F40" s="565"/>
      <c r="G40" s="565"/>
      <c r="H40" s="565"/>
      <c r="I40" s="565"/>
      <c r="J40" s="565"/>
      <c r="K40" s="565"/>
      <c r="L40" s="565"/>
      <c r="M40" s="565"/>
      <c r="N40" s="565"/>
      <c r="O40" s="566"/>
      <c r="P40" s="565"/>
      <c r="Q40" s="565"/>
      <c r="R40" s="565"/>
      <c r="S40" s="565"/>
      <c r="T40" s="566"/>
      <c r="U40" s="565"/>
      <c r="V40" s="565"/>
      <c r="W40" s="565"/>
      <c r="X40" s="565"/>
      <c r="Y40" s="566"/>
      <c r="Z40" s="567"/>
      <c r="AA40" s="567"/>
      <c r="AB40" s="567"/>
      <c r="AC40" s="567"/>
      <c r="AD40" s="566"/>
      <c r="AE40" s="567"/>
      <c r="AF40" s="567"/>
      <c r="AG40" s="567"/>
      <c r="AH40" s="567"/>
      <c r="AI40" s="513"/>
      <c r="AJ40" s="568"/>
      <c r="AK40" s="568"/>
      <c r="AL40" s="568"/>
      <c r="AM40" s="568"/>
      <c r="AN40" s="513"/>
      <c r="AO40" s="568"/>
      <c r="AP40" s="568"/>
      <c r="AQ40" s="568"/>
      <c r="AR40" s="565"/>
      <c r="AS40" s="566"/>
      <c r="AT40" s="566"/>
      <c r="AU40" s="566"/>
      <c r="AV40" s="566"/>
      <c r="AW40" s="566"/>
      <c r="AX40" s="566"/>
      <c r="AY40" s="566"/>
      <c r="AZ40" s="566"/>
      <c r="BA40" s="566"/>
      <c r="BB40" s="566"/>
      <c r="BC40" s="566"/>
      <c r="BD40" s="566"/>
      <c r="BE40" s="566"/>
      <c r="BF40" s="566"/>
      <c r="BG40" s="566"/>
      <c r="BH40" s="566"/>
      <c r="BI40" s="566"/>
      <c r="BJ40" s="566"/>
      <c r="BK40" s="566"/>
      <c r="BL40" s="566"/>
      <c r="BM40" s="566"/>
      <c r="BN40" s="560">
        <f>BN38/'Audience Solutions'!BN17</f>
        <v>0.48733250297696445</v>
      </c>
      <c r="BO40" s="560">
        <f>BO38/'Audience Solutions'!BO17</f>
        <v>0.53091277266552184</v>
      </c>
      <c r="BP40" s="560">
        <f>BP38/'Audience Solutions'!BP17</f>
        <v>0.51644212661161804</v>
      </c>
      <c r="BQ40" s="560">
        <f>BQ38/'Audience Solutions'!BQ17</f>
        <v>0.54859664653197249</v>
      </c>
      <c r="BR40" s="560">
        <f>BR38/'Audience Solutions'!BR17</f>
        <v>0.52128779999736696</v>
      </c>
      <c r="BS40" s="560">
        <f>BS38/'Audience Solutions'!BS17</f>
        <v>0.53718453683442735</v>
      </c>
      <c r="BT40" s="560">
        <f>BT38/'Audience Solutions'!BT17</f>
        <v>0.54311504277533595</v>
      </c>
      <c r="BU40" s="560">
        <f>BU38/'Audience Solutions'!BU17</f>
        <v>0.58750616514809317</v>
      </c>
      <c r="BV40" s="560">
        <f>BV38/'Audience Solutions'!BV17</f>
        <v>0.57978484424920129</v>
      </c>
      <c r="BW40" s="560">
        <f>BW38/'Audience Solutions'!BW17</f>
        <v>0.56309825580419348</v>
      </c>
      <c r="BX40" s="560">
        <f>BX38/'Audience Solutions'!BX17</f>
        <v>0.56834454328487738</v>
      </c>
      <c r="BY40" s="560">
        <f>BY38/'Audience Solutions'!BY17</f>
        <v>0.61123704250821387</v>
      </c>
      <c r="BZ40" s="560">
        <f>BZ38/'Audience Solutions'!BZ17</f>
        <v>0.63693809278288704</v>
      </c>
      <c r="CA40" s="560">
        <f>CA38/'Audience Solutions'!CA17</f>
        <v>0.63839529607852219</v>
      </c>
      <c r="CB40" s="560">
        <f>CB38/'Audience Solutions'!CB17</f>
        <v>0.61535652740906333</v>
      </c>
      <c r="CC40" s="560">
        <f>CC38/'Audience Solutions'!CC17</f>
        <v>0.62336599149655381</v>
      </c>
      <c r="CD40" s="560">
        <f>CD38/'Audience Solutions'!CD17</f>
        <v>0.61310173319461014</v>
      </c>
      <c r="CE40" s="560">
        <f>CE38/'Audience Solutions'!CE17</f>
        <v>0.62557439954521765</v>
      </c>
      <c r="CF40" s="560">
        <f>CF38/'Audience Solutions'!CF17</f>
        <v>0.60971552719125544</v>
      </c>
      <c r="CG40" s="560">
        <f>CG38/'Audience Solutions'!CG17</f>
        <v>0.61777931194594304</v>
      </c>
      <c r="CH40" s="560"/>
      <c r="CI40" s="560"/>
      <c r="CJ40" s="560"/>
      <c r="CK40" s="560"/>
      <c r="CL40" s="560"/>
      <c r="CM40" s="643"/>
      <c r="CN40" s="643"/>
      <c r="CO40" s="643"/>
      <c r="CP40" s="643"/>
      <c r="CQ40" s="643"/>
    </row>
    <row r="41" spans="5:98" ht="3.75" customHeight="1" x14ac:dyDescent="0.25">
      <c r="E41" s="365"/>
      <c r="F41" s="185"/>
      <c r="G41" s="185"/>
      <c r="H41" s="185"/>
      <c r="I41" s="185"/>
      <c r="J41" s="185"/>
      <c r="K41" s="122"/>
      <c r="L41" s="122"/>
      <c r="M41" s="122"/>
      <c r="N41" s="122"/>
      <c r="O41" s="161"/>
      <c r="P41" s="122"/>
      <c r="Q41" s="122"/>
      <c r="R41" s="122"/>
      <c r="S41" s="122"/>
      <c r="T41" s="161"/>
      <c r="U41" s="122"/>
      <c r="V41" s="122"/>
      <c r="W41" s="122"/>
      <c r="X41" s="122"/>
      <c r="Y41" s="161"/>
      <c r="Z41" s="128"/>
      <c r="AA41" s="128"/>
      <c r="AB41" s="128"/>
      <c r="AC41" s="128"/>
      <c r="AD41" s="161"/>
      <c r="AE41" s="128"/>
      <c r="AF41" s="128"/>
      <c r="AG41" s="128"/>
      <c r="AH41" s="128"/>
      <c r="AI41" s="140"/>
      <c r="AJ41" s="85"/>
      <c r="AK41" s="85"/>
      <c r="AL41" s="85"/>
      <c r="AM41" s="85"/>
      <c r="AN41" s="140"/>
      <c r="AO41" s="85"/>
      <c r="AP41" s="85"/>
      <c r="AQ41" s="85"/>
      <c r="AR41" s="364"/>
      <c r="AS41" s="161"/>
      <c r="AT41" s="439"/>
      <c r="AU41" s="439"/>
      <c r="AV41" s="439"/>
      <c r="AW41" s="439"/>
      <c r="AX41" s="161"/>
      <c r="AY41" s="439"/>
      <c r="AZ41" s="439"/>
      <c r="BA41" s="439"/>
      <c r="BB41" s="439"/>
      <c r="BC41" s="161"/>
      <c r="BD41" s="439"/>
      <c r="BE41" s="439"/>
      <c r="BF41" s="439"/>
      <c r="BG41" s="439"/>
      <c r="BH41" s="161"/>
      <c r="BI41" s="439"/>
      <c r="BJ41" s="439"/>
      <c r="BK41" s="439"/>
      <c r="BL41" s="439"/>
      <c r="BM41" s="161"/>
      <c r="BN41" s="352"/>
      <c r="BO41" s="352"/>
      <c r="BP41" s="352"/>
      <c r="BQ41" s="352"/>
      <c r="BR41" s="560"/>
      <c r="BS41" s="352"/>
      <c r="BT41" s="352"/>
      <c r="BU41" s="352"/>
      <c r="BV41" s="352"/>
      <c r="BW41" s="560"/>
      <c r="BX41" s="352"/>
      <c r="BY41" s="453"/>
      <c r="BZ41" s="453"/>
      <c r="CA41" s="453"/>
      <c r="CB41" s="560"/>
      <c r="CC41" s="453"/>
      <c r="CD41" s="453"/>
      <c r="CE41" s="453"/>
      <c r="CF41" s="453"/>
      <c r="CG41" s="32"/>
      <c r="CH41" s="352"/>
      <c r="CI41" s="352"/>
      <c r="CJ41" s="352"/>
      <c r="CK41" s="352"/>
      <c r="CL41" s="32"/>
      <c r="CM41" s="352"/>
      <c r="CN41" s="352"/>
      <c r="CO41" s="352"/>
      <c r="CP41" s="352"/>
      <c r="CQ41" s="32"/>
    </row>
    <row r="42" spans="5:98" ht="13.5" x14ac:dyDescent="0.25">
      <c r="E42" s="365" t="s">
        <v>299</v>
      </c>
      <c r="F42" s="185"/>
      <c r="G42" s="185"/>
      <c r="H42" s="185"/>
      <c r="I42" s="185"/>
      <c r="J42" s="185"/>
      <c r="K42" s="122"/>
      <c r="L42" s="122"/>
      <c r="M42" s="122"/>
      <c r="N42" s="122"/>
      <c r="O42" s="161"/>
      <c r="P42" s="122"/>
      <c r="Q42" s="122"/>
      <c r="R42" s="122"/>
      <c r="S42" s="122"/>
      <c r="T42" s="161"/>
      <c r="U42" s="122"/>
      <c r="V42" s="122"/>
      <c r="W42" s="122"/>
      <c r="X42" s="122"/>
      <c r="Y42" s="161"/>
      <c r="Z42" s="128"/>
      <c r="AA42" s="128"/>
      <c r="AB42" s="128"/>
      <c r="AC42" s="128"/>
      <c r="AD42" s="161"/>
      <c r="AE42" s="128"/>
      <c r="AF42" s="128"/>
      <c r="AG42" s="128"/>
      <c r="AH42" s="128"/>
      <c r="AI42" s="140"/>
      <c r="AJ42" s="85"/>
      <c r="AK42" s="85"/>
      <c r="AL42" s="85"/>
      <c r="AM42" s="85"/>
      <c r="AN42" s="140"/>
      <c r="AO42" s="85"/>
      <c r="AP42" s="85"/>
      <c r="AQ42" s="85"/>
      <c r="AR42" s="364"/>
      <c r="AS42" s="161"/>
      <c r="AT42" s="439"/>
      <c r="AU42" s="439"/>
      <c r="AV42" s="439"/>
      <c r="AW42" s="439"/>
      <c r="AX42" s="161"/>
      <c r="AY42" s="439"/>
      <c r="AZ42" s="439"/>
      <c r="BA42" s="439"/>
      <c r="BB42" s="439"/>
      <c r="BC42" s="161"/>
      <c r="BD42" s="439"/>
      <c r="BE42" s="439"/>
      <c r="BF42" s="439"/>
      <c r="BG42" s="439"/>
      <c r="BH42" s="161"/>
      <c r="BI42" s="439"/>
      <c r="BJ42" s="439"/>
      <c r="BK42" s="439"/>
      <c r="BL42" s="439"/>
      <c r="BM42" s="161"/>
      <c r="BN42" s="352"/>
      <c r="BO42" s="352"/>
      <c r="BP42" s="352"/>
      <c r="BQ42" s="352"/>
      <c r="BR42" s="643"/>
      <c r="BS42" s="352"/>
      <c r="BT42" s="352"/>
      <c r="BU42" s="352"/>
      <c r="BV42" s="352"/>
      <c r="BW42" s="643"/>
      <c r="BX42" s="352"/>
      <c r="BY42" s="453"/>
      <c r="BZ42" s="453"/>
      <c r="CA42" s="453"/>
      <c r="CB42" s="643"/>
      <c r="CC42" s="453"/>
      <c r="CD42" s="453"/>
      <c r="CE42" s="453"/>
      <c r="CF42" s="453"/>
      <c r="CG42" s="32"/>
      <c r="CH42" s="352"/>
      <c r="CI42" s="352"/>
      <c r="CJ42" s="352"/>
      <c r="CK42" s="352"/>
      <c r="CL42" s="32"/>
      <c r="CM42" s="352"/>
      <c r="CN42" s="352"/>
      <c r="CO42" s="352"/>
      <c r="CP42" s="352"/>
      <c r="CQ42" s="32"/>
    </row>
    <row r="43" spans="5:98" ht="3.75" customHeight="1" x14ac:dyDescent="0.25">
      <c r="E43" s="365"/>
      <c r="F43" s="185"/>
      <c r="G43" s="185"/>
      <c r="H43" s="185"/>
      <c r="I43" s="185"/>
      <c r="J43" s="185"/>
      <c r="K43" s="122"/>
      <c r="L43" s="122"/>
      <c r="M43" s="122"/>
      <c r="N43" s="122"/>
      <c r="O43" s="161"/>
      <c r="P43" s="122"/>
      <c r="Q43" s="122"/>
      <c r="R43" s="122"/>
      <c r="S43" s="122"/>
      <c r="T43" s="161"/>
      <c r="U43" s="122"/>
      <c r="V43" s="122"/>
      <c r="W43" s="122"/>
      <c r="X43" s="122"/>
      <c r="Y43" s="161"/>
      <c r="Z43" s="128"/>
      <c r="AA43" s="128"/>
      <c r="AB43" s="128"/>
      <c r="AC43" s="128"/>
      <c r="AD43" s="161"/>
      <c r="AE43" s="128"/>
      <c r="AF43" s="128"/>
      <c r="AG43" s="128"/>
      <c r="AH43" s="128"/>
      <c r="AI43" s="140"/>
      <c r="AJ43" s="85"/>
      <c r="AK43" s="85"/>
      <c r="AL43" s="85"/>
      <c r="AM43" s="85"/>
      <c r="AN43" s="140"/>
      <c r="AO43" s="85"/>
      <c r="AP43" s="85"/>
      <c r="AQ43" s="85"/>
      <c r="AR43" s="364"/>
      <c r="AS43" s="161"/>
      <c r="AT43" s="439"/>
      <c r="AU43" s="439"/>
      <c r="AV43" s="439"/>
      <c r="AW43" s="439"/>
      <c r="AX43" s="161"/>
      <c r="AY43" s="439"/>
      <c r="AZ43" s="439"/>
      <c r="BA43" s="439"/>
      <c r="BB43" s="439"/>
      <c r="BC43" s="161"/>
      <c r="BD43" s="439"/>
      <c r="BE43" s="439"/>
      <c r="BF43" s="439"/>
      <c r="BG43" s="439"/>
      <c r="BH43" s="161"/>
      <c r="BI43" s="439"/>
      <c r="BJ43" s="439"/>
      <c r="BK43" s="439"/>
      <c r="BL43" s="439"/>
      <c r="BM43" s="161"/>
      <c r="BN43" s="352"/>
      <c r="BO43" s="352"/>
      <c r="BP43" s="352"/>
      <c r="BQ43" s="352"/>
      <c r="BR43" s="643"/>
      <c r="BS43" s="352"/>
      <c r="BT43" s="352"/>
      <c r="BU43" s="352"/>
      <c r="BV43" s="352"/>
      <c r="BW43" s="643"/>
      <c r="BX43" s="352"/>
      <c r="BY43" s="453"/>
      <c r="BZ43" s="453"/>
      <c r="CA43" s="453"/>
      <c r="CB43" s="643"/>
      <c r="CC43" s="453"/>
      <c r="CD43" s="453"/>
      <c r="CE43" s="453"/>
      <c r="CF43" s="453"/>
      <c r="CG43" s="32"/>
      <c r="CH43" s="352"/>
      <c r="CI43" s="352"/>
      <c r="CJ43" s="352"/>
      <c r="CK43" s="352"/>
      <c r="CL43" s="32"/>
      <c r="CM43" s="352"/>
      <c r="CN43" s="352"/>
      <c r="CO43" s="352"/>
      <c r="CP43" s="352"/>
      <c r="CQ43" s="32"/>
    </row>
    <row r="44" spans="5:98" ht="13.5" x14ac:dyDescent="0.25">
      <c r="E44" s="54" t="s">
        <v>692</v>
      </c>
      <c r="F44" s="185"/>
      <c r="G44" s="185"/>
      <c r="H44" s="185"/>
      <c r="I44" s="185"/>
      <c r="J44" s="185"/>
      <c r="K44" s="122"/>
      <c r="L44" s="122"/>
      <c r="M44" s="122"/>
      <c r="N44" s="122"/>
      <c r="O44" s="161"/>
      <c r="P44" s="122"/>
      <c r="Q44" s="122"/>
      <c r="R44" s="122"/>
      <c r="S44" s="122"/>
      <c r="T44" s="161"/>
      <c r="U44" s="122"/>
      <c r="V44" s="122"/>
      <c r="W44" s="122"/>
      <c r="X44" s="122"/>
      <c r="Y44" s="161"/>
      <c r="Z44" s="128"/>
      <c r="AA44" s="128"/>
      <c r="AB44" s="128"/>
      <c r="AC44" s="128"/>
      <c r="AD44" s="161"/>
      <c r="AE44" s="128"/>
      <c r="AF44" s="128"/>
      <c r="AG44" s="128"/>
      <c r="AH44" s="128"/>
      <c r="AI44" s="140"/>
      <c r="AJ44" s="85"/>
      <c r="AK44" s="85"/>
      <c r="AL44" s="85"/>
      <c r="AM44" s="85"/>
      <c r="AN44" s="140"/>
      <c r="AO44" s="85"/>
      <c r="AP44" s="85"/>
      <c r="AQ44" s="85"/>
      <c r="AR44" s="364"/>
      <c r="AS44" s="161"/>
      <c r="AT44" s="439"/>
      <c r="AU44" s="439"/>
      <c r="AV44" s="439"/>
      <c r="AW44" s="439"/>
      <c r="AX44" s="161"/>
      <c r="AY44" s="439"/>
      <c r="AZ44" s="439"/>
      <c r="BA44" s="439"/>
      <c r="BB44" s="439"/>
      <c r="BC44" s="161"/>
      <c r="BD44" s="439"/>
      <c r="BE44" s="439"/>
      <c r="BF44" s="439"/>
      <c r="BG44" s="439"/>
      <c r="BH44" s="161"/>
      <c r="BI44" s="439"/>
      <c r="BJ44" s="439"/>
      <c r="BK44" s="439"/>
      <c r="BL44" s="439"/>
      <c r="BM44" s="161"/>
      <c r="BN44" s="417">
        <v>25.954000000000001</v>
      </c>
      <c r="BO44" s="417">
        <v>31.210999999999999</v>
      </c>
      <c r="BP44" s="417">
        <v>26.468</v>
      </c>
      <c r="BQ44" s="417">
        <v>29.321000000000002</v>
      </c>
      <c r="BR44" s="540">
        <f>SUM(BN44:BQ44)</f>
        <v>112.95399999999999</v>
      </c>
      <c r="BS44" s="417">
        <v>23.338000000000001</v>
      </c>
      <c r="BT44" s="417">
        <v>25.82</v>
      </c>
      <c r="BU44" s="417">
        <v>27.8</v>
      </c>
      <c r="BV44" s="417">
        <v>28.596</v>
      </c>
      <c r="BW44" s="540">
        <f>SUM(BS44:BV44)</f>
        <v>105.554</v>
      </c>
      <c r="BX44" s="417">
        <v>23.411000000000001</v>
      </c>
      <c r="BY44" s="417">
        <v>28.678999999999998</v>
      </c>
      <c r="BZ44" s="417">
        <v>31.760999999999999</v>
      </c>
      <c r="CA44" s="417">
        <v>31.353999999999999</v>
      </c>
      <c r="CB44" s="540">
        <f>SUM(BX44:CA44)</f>
        <v>115.205</v>
      </c>
      <c r="CC44" s="417">
        <v>26.972999999999999</v>
      </c>
      <c r="CD44" s="417">
        <v>27.85</v>
      </c>
      <c r="CE44" s="417">
        <v>29.561</v>
      </c>
      <c r="CF44" s="417">
        <v>31.6</v>
      </c>
      <c r="CG44" s="540">
        <f>SUM(CC44:CF44)</f>
        <v>115.98400000000001</v>
      </c>
      <c r="CH44" s="631"/>
      <c r="CI44" s="631"/>
      <c r="CJ44" s="631"/>
      <c r="CK44" s="631"/>
      <c r="CL44" s="540"/>
      <c r="CM44" s="631"/>
      <c r="CN44" s="631"/>
      <c r="CO44" s="631"/>
      <c r="CP44" s="631"/>
      <c r="CQ44" s="540"/>
    </row>
    <row r="45" spans="5:98" ht="13.5" x14ac:dyDescent="0.25">
      <c r="E45" s="365" t="s">
        <v>2</v>
      </c>
      <c r="F45" s="185"/>
      <c r="G45" s="185"/>
      <c r="H45" s="185"/>
      <c r="I45" s="185"/>
      <c r="J45" s="185"/>
      <c r="K45" s="122"/>
      <c r="L45" s="122"/>
      <c r="M45" s="122"/>
      <c r="N45" s="122"/>
      <c r="O45" s="161"/>
      <c r="P45" s="122"/>
      <c r="Q45" s="122"/>
      <c r="R45" s="122"/>
      <c r="S45" s="122"/>
      <c r="T45" s="161"/>
      <c r="U45" s="122"/>
      <c r="V45" s="122"/>
      <c r="W45" s="122"/>
      <c r="X45" s="122"/>
      <c r="Y45" s="161"/>
      <c r="Z45" s="128"/>
      <c r="AA45" s="128"/>
      <c r="AB45" s="128"/>
      <c r="AC45" s="128"/>
      <c r="AD45" s="161"/>
      <c r="AE45" s="128"/>
      <c r="AF45" s="128"/>
      <c r="AG45" s="128"/>
      <c r="AH45" s="128"/>
      <c r="AI45" s="140"/>
      <c r="AJ45" s="85"/>
      <c r="AK45" s="85"/>
      <c r="AL45" s="85"/>
      <c r="AM45" s="85"/>
      <c r="AN45" s="140"/>
      <c r="AO45" s="85"/>
      <c r="AP45" s="85"/>
      <c r="AQ45" s="85"/>
      <c r="AR45" s="364"/>
      <c r="AS45" s="161"/>
      <c r="AT45" s="439"/>
      <c r="AU45" s="439"/>
      <c r="AV45" s="439"/>
      <c r="AW45" s="439"/>
      <c r="AX45" s="161"/>
      <c r="AY45" s="439"/>
      <c r="AZ45" s="439"/>
      <c r="BA45" s="439"/>
      <c r="BB45" s="439"/>
      <c r="BC45" s="161"/>
      <c r="BD45" s="439"/>
      <c r="BE45" s="439"/>
      <c r="BF45" s="439"/>
      <c r="BG45" s="439"/>
      <c r="BH45" s="161"/>
      <c r="BI45" s="439"/>
      <c r="BJ45" s="439"/>
      <c r="BK45" s="439"/>
      <c r="BL45" s="439"/>
      <c r="BM45" s="161"/>
      <c r="BN45" s="363"/>
      <c r="BO45" s="363"/>
      <c r="BP45" s="363"/>
      <c r="BQ45" s="363"/>
      <c r="BR45" s="525"/>
      <c r="BS45" s="363">
        <f t="shared" ref="BS45:CG45" si="10">(BS44-BN44)/ABS(BN44)</f>
        <v>-0.10079371195191492</v>
      </c>
      <c r="BT45" s="363">
        <f t="shared" si="10"/>
        <v>-0.1727275639998718</v>
      </c>
      <c r="BU45" s="363">
        <f t="shared" si="10"/>
        <v>5.0324920658908902E-2</v>
      </c>
      <c r="BV45" s="363">
        <f t="shared" si="10"/>
        <v>-2.4726305378397782E-2</v>
      </c>
      <c r="BW45" s="525">
        <f t="shared" si="10"/>
        <v>-6.5513394833294894E-2</v>
      </c>
      <c r="BX45" s="363">
        <f t="shared" si="10"/>
        <v>3.1279458394035649E-3</v>
      </c>
      <c r="BY45" s="363">
        <f t="shared" si="10"/>
        <v>0.11072811773818739</v>
      </c>
      <c r="BZ45" s="363">
        <f t="shared" si="10"/>
        <v>0.14248201438848915</v>
      </c>
      <c r="CA45" s="363">
        <f t="shared" si="10"/>
        <v>9.644705553224224E-2</v>
      </c>
      <c r="CB45" s="525">
        <f t="shared" si="10"/>
        <v>9.1431873732876021E-2</v>
      </c>
      <c r="CC45" s="363">
        <f t="shared" si="10"/>
        <v>0.15215069838964579</v>
      </c>
      <c r="CD45" s="363">
        <f t="shared" si="10"/>
        <v>-2.8906168276439107E-2</v>
      </c>
      <c r="CE45" s="363">
        <f t="shared" si="10"/>
        <v>-6.9267340448978282E-2</v>
      </c>
      <c r="CF45" s="363">
        <f t="shared" si="10"/>
        <v>7.8458888818014362E-3</v>
      </c>
      <c r="CG45" s="525">
        <f t="shared" si="10"/>
        <v>6.7618592943015548E-3</v>
      </c>
      <c r="CH45" s="363"/>
      <c r="CI45" s="363"/>
      <c r="CJ45" s="363"/>
      <c r="CK45" s="363"/>
      <c r="CL45" s="525"/>
      <c r="CM45" s="363"/>
      <c r="CN45" s="363"/>
      <c r="CO45" s="363"/>
      <c r="CP45" s="363"/>
      <c r="CQ45" s="641"/>
    </row>
    <row r="46" spans="5:98" ht="13.5" x14ac:dyDescent="0.25">
      <c r="E46" s="365" t="s">
        <v>91</v>
      </c>
      <c r="F46" s="185"/>
      <c r="G46" s="185"/>
      <c r="H46" s="185"/>
      <c r="I46" s="185"/>
      <c r="J46" s="185"/>
      <c r="K46" s="122"/>
      <c r="L46" s="122"/>
      <c r="M46" s="122"/>
      <c r="N46" s="122"/>
      <c r="O46" s="161"/>
      <c r="P46" s="122"/>
      <c r="Q46" s="122"/>
      <c r="R46" s="122"/>
      <c r="S46" s="122"/>
      <c r="T46" s="161"/>
      <c r="U46" s="122"/>
      <c r="V46" s="122"/>
      <c r="W46" s="122"/>
      <c r="X46" s="122"/>
      <c r="Y46" s="161"/>
      <c r="Z46" s="128"/>
      <c r="AA46" s="128"/>
      <c r="AB46" s="128"/>
      <c r="AC46" s="128"/>
      <c r="AD46" s="161"/>
      <c r="AE46" s="128"/>
      <c r="AF46" s="128"/>
      <c r="AG46" s="128"/>
      <c r="AH46" s="128"/>
      <c r="AI46" s="140"/>
      <c r="AJ46" s="85"/>
      <c r="AK46" s="85"/>
      <c r="AL46" s="85"/>
      <c r="AM46" s="85"/>
      <c r="AN46" s="140"/>
      <c r="AO46" s="85"/>
      <c r="AP46" s="85"/>
      <c r="AQ46" s="85"/>
      <c r="AR46" s="364"/>
      <c r="AS46" s="161"/>
      <c r="AT46" s="439"/>
      <c r="AU46" s="439"/>
      <c r="AV46" s="439"/>
      <c r="AW46" s="439"/>
      <c r="AX46" s="161"/>
      <c r="AY46" s="439"/>
      <c r="AZ46" s="439"/>
      <c r="BA46" s="439"/>
      <c r="BB46" s="439"/>
      <c r="BC46" s="161"/>
      <c r="BD46" s="439"/>
      <c r="BE46" s="439"/>
      <c r="BF46" s="439"/>
      <c r="BG46" s="439"/>
      <c r="BH46" s="161"/>
      <c r="BI46" s="439"/>
      <c r="BJ46" s="439"/>
      <c r="BK46" s="439"/>
      <c r="BL46" s="439"/>
      <c r="BM46" s="161"/>
      <c r="BN46" s="352">
        <f>BN44/'Audience Solutions'!BN11</f>
        <v>0.4214611649697147</v>
      </c>
      <c r="BO46" s="352">
        <f>BO44/'Audience Solutions'!BO11</f>
        <v>0.46628819003510863</v>
      </c>
      <c r="BP46" s="352">
        <f>BP44/'Audience Solutions'!BP11</f>
        <v>0.41380819861792939</v>
      </c>
      <c r="BQ46" s="352">
        <f>BQ44/'Audience Solutions'!BQ11</f>
        <v>0.43328752345908883</v>
      </c>
      <c r="BR46" s="560">
        <f>BR44/'Audience Solutions'!BR11</f>
        <v>0.4341896374769843</v>
      </c>
      <c r="BS46" s="352">
        <f>BS44/'Audience Solutions'!BS11</f>
        <v>0.38770662015117535</v>
      </c>
      <c r="BT46" s="352">
        <f>BT44/'Audience Solutions'!BT11</f>
        <v>0.3952242461350069</v>
      </c>
      <c r="BU46" s="352">
        <f>BU44/'Audience Solutions'!BU11</f>
        <v>0.42033959810695981</v>
      </c>
      <c r="BV46" s="352">
        <f>BV44/'Audience Solutions'!BV11</f>
        <v>0.40031918021082691</v>
      </c>
      <c r="BW46" s="560">
        <f>BW44/'Audience Solutions'!BW11</f>
        <v>0.40120108705980728</v>
      </c>
      <c r="BX46" s="352">
        <f>BX44/'Audience Solutions'!BX11</f>
        <v>0.3568042918324113</v>
      </c>
      <c r="BY46" s="352">
        <f>BY44/'Audience Solutions'!BY11</f>
        <v>0.40200448556209695</v>
      </c>
      <c r="BZ46" s="352">
        <f>BZ44/'Audience Solutions'!BZ11</f>
        <v>0.42877971730590098</v>
      </c>
      <c r="CA46" s="352">
        <f>CA44/'Audience Solutions'!CA11</f>
        <v>0.40273852951754607</v>
      </c>
      <c r="CB46" s="560">
        <f>CB44/'Audience Solutions'!CB11</f>
        <v>0.39880157021303103</v>
      </c>
      <c r="CC46" s="352">
        <f>CC44/'Audience Solutions'!CC11</f>
        <v>0.39627132090440303</v>
      </c>
      <c r="CD46" s="352">
        <f>CD44/'Audience Solutions'!CD11</f>
        <v>0.39241933211216007</v>
      </c>
      <c r="CE46" s="352">
        <f>CE44/'Audience Solutions'!CE11</f>
        <v>0.39821912087616018</v>
      </c>
      <c r="CF46" s="352">
        <f>CF44/'Audience Solutions'!CF11</f>
        <v>0.39848675914249687</v>
      </c>
      <c r="CG46" s="560">
        <f>CG44/'Audience Solutions'!CG11</f>
        <v>0.39643162320128522</v>
      </c>
      <c r="CH46" s="453"/>
      <c r="CI46" s="453"/>
      <c r="CJ46" s="453"/>
      <c r="CK46" s="453"/>
      <c r="CL46" s="560"/>
      <c r="CM46" s="453"/>
      <c r="CN46" s="453"/>
      <c r="CO46" s="453"/>
      <c r="CP46" s="453"/>
      <c r="CQ46" s="643"/>
    </row>
    <row r="47" spans="5:98" ht="3.75" customHeight="1" x14ac:dyDescent="0.25">
      <c r="E47" s="365"/>
      <c r="F47" s="185"/>
      <c r="G47" s="185"/>
      <c r="H47" s="185"/>
      <c r="I47" s="185"/>
      <c r="J47" s="185"/>
      <c r="K47" s="122"/>
      <c r="L47" s="122"/>
      <c r="M47" s="122"/>
      <c r="N47" s="122"/>
      <c r="O47" s="161"/>
      <c r="P47" s="122"/>
      <c r="Q47" s="122"/>
      <c r="R47" s="122"/>
      <c r="S47" s="122"/>
      <c r="T47" s="161"/>
      <c r="U47" s="122"/>
      <c r="V47" s="122"/>
      <c r="W47" s="122"/>
      <c r="X47" s="122"/>
      <c r="Y47" s="161"/>
      <c r="Z47" s="128"/>
      <c r="AA47" s="128"/>
      <c r="AB47" s="128"/>
      <c r="AC47" s="128"/>
      <c r="AD47" s="161"/>
      <c r="AE47" s="128"/>
      <c r="AF47" s="128"/>
      <c r="AG47" s="128"/>
      <c r="AH47" s="128"/>
      <c r="AI47" s="140"/>
      <c r="AJ47" s="85"/>
      <c r="AK47" s="85"/>
      <c r="AL47" s="85"/>
      <c r="AM47" s="85"/>
      <c r="AN47" s="140"/>
      <c r="AO47" s="85"/>
      <c r="AP47" s="85"/>
      <c r="AQ47" s="85"/>
      <c r="AR47" s="364"/>
      <c r="AS47" s="161"/>
      <c r="AT47" s="439"/>
      <c r="AU47" s="439"/>
      <c r="AV47" s="439"/>
      <c r="AW47" s="439"/>
      <c r="AX47" s="161"/>
      <c r="AY47" s="439"/>
      <c r="AZ47" s="439"/>
      <c r="BA47" s="439"/>
      <c r="BB47" s="439"/>
      <c r="BC47" s="161"/>
      <c r="BD47" s="439"/>
      <c r="BE47" s="439"/>
      <c r="BF47" s="439"/>
      <c r="BG47" s="439"/>
      <c r="BH47" s="161"/>
      <c r="BI47" s="439"/>
      <c r="BJ47" s="439"/>
      <c r="BK47" s="439"/>
      <c r="BL47" s="439"/>
      <c r="BM47" s="161"/>
      <c r="BN47" s="352"/>
      <c r="BO47" s="352"/>
      <c r="BP47" s="352"/>
      <c r="BQ47" s="352"/>
      <c r="BR47" s="643"/>
      <c r="BS47" s="352"/>
      <c r="BT47" s="352"/>
      <c r="BU47" s="352"/>
      <c r="BV47" s="352"/>
      <c r="BW47" s="643"/>
      <c r="BX47" s="352"/>
      <c r="BY47" s="352"/>
      <c r="BZ47" s="352"/>
      <c r="CA47" s="352"/>
      <c r="CB47" s="643"/>
      <c r="CC47" s="352"/>
      <c r="CD47" s="352"/>
      <c r="CE47" s="453"/>
      <c r="CF47" s="453"/>
      <c r="CG47" s="643"/>
      <c r="CH47" s="453"/>
      <c r="CI47" s="453"/>
      <c r="CJ47" s="453"/>
      <c r="CK47" s="453"/>
      <c r="CL47" s="643"/>
      <c r="CM47" s="453"/>
      <c r="CN47" s="453"/>
      <c r="CO47" s="453"/>
      <c r="CP47" s="453"/>
      <c r="CQ47" s="643"/>
    </row>
    <row r="48" spans="5:98" ht="13.5" x14ac:dyDescent="0.25">
      <c r="E48" s="54" t="s">
        <v>691</v>
      </c>
      <c r="F48" s="185"/>
      <c r="G48" s="185"/>
      <c r="H48" s="185"/>
      <c r="I48" s="185"/>
      <c r="J48" s="185"/>
      <c r="K48" s="122"/>
      <c r="L48" s="122"/>
      <c r="M48" s="122"/>
      <c r="N48" s="122"/>
      <c r="O48" s="161"/>
      <c r="P48" s="122"/>
      <c r="Q48" s="122"/>
      <c r="R48" s="122"/>
      <c r="S48" s="122"/>
      <c r="T48" s="161"/>
      <c r="U48" s="122"/>
      <c r="V48" s="122"/>
      <c r="W48" s="122"/>
      <c r="X48" s="122"/>
      <c r="Y48" s="161"/>
      <c r="Z48" s="128"/>
      <c r="AA48" s="128"/>
      <c r="AB48" s="128"/>
      <c r="AC48" s="128"/>
      <c r="AD48" s="161"/>
      <c r="AE48" s="128"/>
      <c r="AF48" s="128"/>
      <c r="AG48" s="128"/>
      <c r="AH48" s="128"/>
      <c r="AI48" s="140"/>
      <c r="AJ48" s="85"/>
      <c r="AK48" s="85"/>
      <c r="AL48" s="85"/>
      <c r="AM48" s="85"/>
      <c r="AN48" s="140"/>
      <c r="AO48" s="85"/>
      <c r="AP48" s="85"/>
      <c r="AQ48" s="85"/>
      <c r="AR48" s="364"/>
      <c r="AS48" s="161"/>
      <c r="AT48" s="439"/>
      <c r="AU48" s="439"/>
      <c r="AV48" s="439"/>
      <c r="AW48" s="439"/>
      <c r="AX48" s="161"/>
      <c r="AY48" s="439"/>
      <c r="AZ48" s="439"/>
      <c r="BA48" s="439"/>
      <c r="BB48" s="439"/>
      <c r="BC48" s="161"/>
      <c r="BD48" s="439"/>
      <c r="BE48" s="439"/>
      <c r="BF48" s="439"/>
      <c r="BG48" s="439"/>
      <c r="BH48" s="161"/>
      <c r="BI48" s="439"/>
      <c r="BJ48" s="439"/>
      <c r="BK48" s="439"/>
      <c r="BL48" s="439"/>
      <c r="BM48" s="161"/>
      <c r="BN48" s="417">
        <v>-1.764</v>
      </c>
      <c r="BO48" s="417">
        <v>0.16400000000000001</v>
      </c>
      <c r="BP48" s="417">
        <v>2.4510000000000001</v>
      </c>
      <c r="BQ48" s="417">
        <v>1.2729999999999999</v>
      </c>
      <c r="BR48" s="540">
        <f>SUM(BN48:BQ48)</f>
        <v>2.1239999999999997</v>
      </c>
      <c r="BS48" s="417">
        <v>0.749</v>
      </c>
      <c r="BT48" s="417">
        <v>-0.63</v>
      </c>
      <c r="BU48" s="417">
        <v>2.923</v>
      </c>
      <c r="BV48" s="417">
        <v>1.002</v>
      </c>
      <c r="BW48" s="540">
        <f>SUM(BS48:BV48)</f>
        <v>4.0439999999999996</v>
      </c>
      <c r="BX48" s="631">
        <f>BX51-BX44</f>
        <v>1.6849999999999987</v>
      </c>
      <c r="BY48" s="631">
        <f>BY51-BY44</f>
        <v>1.2930000000000028</v>
      </c>
      <c r="BZ48" s="631">
        <f>BZ51-BZ44</f>
        <v>2.8110000000000035</v>
      </c>
      <c r="CA48" s="631">
        <f>CA51-CA44</f>
        <v>2.2439999999999998</v>
      </c>
      <c r="CB48" s="540">
        <f>SUM(BX48:CA48)</f>
        <v>8.0330000000000048</v>
      </c>
      <c r="CC48" s="631">
        <f>CC51-CC44</f>
        <v>1.5690000000000026</v>
      </c>
      <c r="CD48" s="631">
        <f>CD51-CD44</f>
        <v>1.6469999999999985</v>
      </c>
      <c r="CE48" s="631">
        <f>CE51-CE44</f>
        <v>3.5510000000000019</v>
      </c>
      <c r="CF48" s="631">
        <f>CF51-CF44</f>
        <v>1.4409999999999954</v>
      </c>
      <c r="CG48" s="540">
        <f>SUM(CC48:CF48)</f>
        <v>8.2079999999999984</v>
      </c>
      <c r="CH48" s="631"/>
      <c r="CI48" s="631"/>
      <c r="CJ48" s="631"/>
      <c r="CK48" s="631"/>
      <c r="CL48" s="540"/>
      <c r="CM48" s="631"/>
      <c r="CN48" s="631"/>
      <c r="CO48" s="631"/>
      <c r="CP48" s="631"/>
      <c r="CQ48" s="540"/>
    </row>
    <row r="49" spans="5:97" ht="13.5" x14ac:dyDescent="0.25">
      <c r="E49" s="365" t="s">
        <v>2</v>
      </c>
      <c r="F49" s="185"/>
      <c r="G49" s="185"/>
      <c r="H49" s="185"/>
      <c r="I49" s="185"/>
      <c r="J49" s="185"/>
      <c r="K49" s="122"/>
      <c r="L49" s="122"/>
      <c r="M49" s="122"/>
      <c r="N49" s="122"/>
      <c r="O49" s="161"/>
      <c r="P49" s="122"/>
      <c r="Q49" s="122"/>
      <c r="R49" s="122"/>
      <c r="S49" s="122"/>
      <c r="T49" s="161"/>
      <c r="U49" s="122"/>
      <c r="V49" s="122"/>
      <c r="W49" s="122"/>
      <c r="X49" s="122"/>
      <c r="Y49" s="161"/>
      <c r="Z49" s="128"/>
      <c r="AA49" s="128"/>
      <c r="AB49" s="128"/>
      <c r="AC49" s="128"/>
      <c r="AD49" s="161"/>
      <c r="AE49" s="128"/>
      <c r="AF49" s="128"/>
      <c r="AG49" s="128"/>
      <c r="AH49" s="128"/>
      <c r="AI49" s="140"/>
      <c r="AJ49" s="85"/>
      <c r="AK49" s="85"/>
      <c r="AL49" s="85"/>
      <c r="AM49" s="85"/>
      <c r="AN49" s="140"/>
      <c r="AO49" s="85"/>
      <c r="AP49" s="85"/>
      <c r="AQ49" s="85"/>
      <c r="AR49" s="364"/>
      <c r="AS49" s="161"/>
      <c r="AT49" s="439"/>
      <c r="AU49" s="439"/>
      <c r="AV49" s="439"/>
      <c r="AW49" s="439"/>
      <c r="AX49" s="161"/>
      <c r="AY49" s="439"/>
      <c r="AZ49" s="439"/>
      <c r="BA49" s="439"/>
      <c r="BB49" s="439"/>
      <c r="BC49" s="161"/>
      <c r="BD49" s="439"/>
      <c r="BE49" s="439"/>
      <c r="BF49" s="439"/>
      <c r="BG49" s="439"/>
      <c r="BH49" s="161"/>
      <c r="BI49" s="439"/>
      <c r="BJ49" s="439"/>
      <c r="BK49" s="439"/>
      <c r="BL49" s="439"/>
      <c r="BM49" s="161"/>
      <c r="BN49" s="363"/>
      <c r="BO49" s="363"/>
      <c r="BP49" s="363"/>
      <c r="BQ49" s="363"/>
      <c r="BR49" s="525"/>
      <c r="BS49" s="363">
        <f t="shared" ref="BS49:CG49" si="11">(BS48-BN48)/ABS(BN48)</f>
        <v>1.4246031746031744</v>
      </c>
      <c r="BT49" s="363">
        <f t="shared" si="11"/>
        <v>-4.8414634146341466</v>
      </c>
      <c r="BU49" s="363">
        <f t="shared" si="11"/>
        <v>0.19257445940432474</v>
      </c>
      <c r="BV49" s="363">
        <f t="shared" si="11"/>
        <v>-0.21288295365278864</v>
      </c>
      <c r="BW49" s="525">
        <f t="shared" si="11"/>
        <v>0.90395480225988711</v>
      </c>
      <c r="BX49" s="363">
        <f t="shared" si="11"/>
        <v>1.2496662216288368</v>
      </c>
      <c r="BY49" s="363">
        <f t="shared" si="11"/>
        <v>3.0523809523809566</v>
      </c>
      <c r="BZ49" s="363">
        <f t="shared" si="11"/>
        <v>-3.8316797810467512E-2</v>
      </c>
      <c r="CA49" s="363">
        <f t="shared" si="11"/>
        <v>1.239520958083832</v>
      </c>
      <c r="CB49" s="525">
        <f t="shared" si="11"/>
        <v>0.98639960435212803</v>
      </c>
      <c r="CC49" s="363">
        <f t="shared" si="11"/>
        <v>-6.8842729970324146E-2</v>
      </c>
      <c r="CD49" s="363">
        <f t="shared" si="11"/>
        <v>0.2737819025522002</v>
      </c>
      <c r="CE49" s="363">
        <f t="shared" si="11"/>
        <v>0.26325151191746621</v>
      </c>
      <c r="CF49" s="363">
        <f>(CF48-CA48)/ABS(CA48)</f>
        <v>-0.35784313725490396</v>
      </c>
      <c r="CG49" s="525">
        <f t="shared" si="11"/>
        <v>2.1785136312709261E-2</v>
      </c>
      <c r="CH49" s="363"/>
      <c r="CI49" s="363"/>
      <c r="CJ49" s="363"/>
      <c r="CK49" s="363"/>
      <c r="CL49" s="525"/>
      <c r="CM49" s="363"/>
      <c r="CN49" s="363"/>
      <c r="CO49" s="363"/>
      <c r="CP49" s="363"/>
      <c r="CQ49" s="641"/>
    </row>
    <row r="50" spans="5:97" ht="13.5" x14ac:dyDescent="0.25">
      <c r="E50" s="365" t="s">
        <v>91</v>
      </c>
      <c r="F50" s="185"/>
      <c r="G50" s="185"/>
      <c r="H50" s="185"/>
      <c r="I50" s="185"/>
      <c r="J50" s="185"/>
      <c r="K50" s="122"/>
      <c r="L50" s="122"/>
      <c r="M50" s="122"/>
      <c r="N50" s="122"/>
      <c r="O50" s="161"/>
      <c r="P50" s="122"/>
      <c r="Q50" s="122"/>
      <c r="R50" s="122"/>
      <c r="S50" s="122"/>
      <c r="T50" s="161"/>
      <c r="U50" s="122"/>
      <c r="V50" s="122"/>
      <c r="W50" s="122"/>
      <c r="X50" s="122"/>
      <c r="Y50" s="161"/>
      <c r="Z50" s="128"/>
      <c r="AA50" s="128"/>
      <c r="AB50" s="128"/>
      <c r="AC50" s="128"/>
      <c r="AD50" s="161"/>
      <c r="AE50" s="128"/>
      <c r="AF50" s="128"/>
      <c r="AG50" s="128"/>
      <c r="AH50" s="128"/>
      <c r="AI50" s="140"/>
      <c r="AJ50" s="85"/>
      <c r="AK50" s="85"/>
      <c r="AL50" s="85"/>
      <c r="AM50" s="85"/>
      <c r="AN50" s="140"/>
      <c r="AO50" s="85"/>
      <c r="AP50" s="85"/>
      <c r="AQ50" s="85"/>
      <c r="AR50" s="364"/>
      <c r="AS50" s="161"/>
      <c r="AT50" s="439"/>
      <c r="AU50" s="439"/>
      <c r="AV50" s="439"/>
      <c r="AW50" s="439"/>
      <c r="AX50" s="161"/>
      <c r="AY50" s="439"/>
      <c r="AZ50" s="439"/>
      <c r="BA50" s="439"/>
      <c r="BB50" s="439"/>
      <c r="BC50" s="161"/>
      <c r="BD50" s="439"/>
      <c r="BE50" s="439"/>
      <c r="BF50" s="439"/>
      <c r="BG50" s="439"/>
      <c r="BH50" s="161"/>
      <c r="BI50" s="439"/>
      <c r="BJ50" s="439"/>
      <c r="BK50" s="439"/>
      <c r="BL50" s="439"/>
      <c r="BM50" s="161"/>
      <c r="BN50" s="352">
        <f>BN48/'Audience Solutions'!BN14</f>
        <v>-0.15365853658536599</v>
      </c>
      <c r="BO50" s="352">
        <f>BO48/'Audience Solutions'!BO14</f>
        <v>1.4786764042917708E-2</v>
      </c>
      <c r="BP50" s="352">
        <f>BP48/'Audience Solutions'!BP14</f>
        <v>0.20474479993317155</v>
      </c>
      <c r="BQ50" s="352">
        <f>BQ48/'Audience Solutions'!BQ14</f>
        <v>0.13920174958993992</v>
      </c>
      <c r="BR50" s="560">
        <f>BR48/'Audience Solutions'!BR14</f>
        <v>4.8618582186920604E-2</v>
      </c>
      <c r="BS50" s="352">
        <f>BS48/'Audience Solutions'!BS14</f>
        <v>8.9646918013165655E-2</v>
      </c>
      <c r="BT50" s="352">
        <f>BT48/'Audience Solutions'!BT14</f>
        <v>-9.2769842438521613E-2</v>
      </c>
      <c r="BU50" s="352">
        <f>BU48/'Audience Solutions'!BU14</f>
        <v>0.26794389953249559</v>
      </c>
      <c r="BV50" s="352">
        <f>BV48/'Audience Solutions'!BV14</f>
        <v>0.11523864289821746</v>
      </c>
      <c r="BW50" s="560">
        <f>BW48/'Audience Solutions'!BW14</f>
        <v>0.11637410071942438</v>
      </c>
      <c r="BX50" s="352">
        <f>BX48/'Audience Solutions'!BX14</f>
        <v>0.2072315828311399</v>
      </c>
      <c r="BY50" s="352">
        <f>BY48/'Audience Solutions'!BY14</f>
        <v>0.1799332034511556</v>
      </c>
      <c r="BZ50" s="352">
        <f>BZ48/'Audience Solutions'!BZ14</f>
        <v>0.30141539781256715</v>
      </c>
      <c r="CA50" s="352">
        <f>CA48/'Audience Solutions'!CA14</f>
        <v>0.26264044943820231</v>
      </c>
      <c r="CB50" s="643">
        <f>CB48/'Audience Solutions'!CB14</f>
        <v>0.24205261096212388</v>
      </c>
      <c r="CC50" s="352">
        <f>CC48/'Audience Solutions'!CC14</f>
        <v>0.20464327637928817</v>
      </c>
      <c r="CD50" s="352">
        <f>CD48/'Audience Solutions'!CD14</f>
        <v>0.20996940336562975</v>
      </c>
      <c r="CE50" s="352">
        <f>CE48/'Audience Solutions'!CE14</f>
        <v>0.34803489169852014</v>
      </c>
      <c r="CF50" s="352">
        <f>CF48/'Audience Solutions'!CF14</f>
        <v>0.15880537800308528</v>
      </c>
      <c r="CG50" s="643">
        <f>CG48/'Audience Solutions'!CG14</f>
        <v>0.23594342876854085</v>
      </c>
      <c r="CH50" s="453"/>
      <c r="CI50" s="453"/>
      <c r="CJ50" s="453"/>
      <c r="CK50" s="453"/>
      <c r="CL50" s="643"/>
      <c r="CM50" s="453"/>
      <c r="CN50" s="453"/>
      <c r="CO50" s="453"/>
      <c r="CP50" s="453"/>
      <c r="CQ50" s="643"/>
    </row>
    <row r="51" spans="5:97" ht="13.5" x14ac:dyDescent="0.25">
      <c r="E51" s="564" t="s">
        <v>697</v>
      </c>
      <c r="F51" s="565"/>
      <c r="G51" s="565"/>
      <c r="H51" s="565"/>
      <c r="I51" s="565"/>
      <c r="J51" s="565"/>
      <c r="K51" s="565"/>
      <c r="L51" s="565"/>
      <c r="M51" s="565"/>
      <c r="N51" s="565"/>
      <c r="O51" s="566"/>
      <c r="P51" s="565"/>
      <c r="Q51" s="565"/>
      <c r="R51" s="565"/>
      <c r="S51" s="565"/>
      <c r="T51" s="566"/>
      <c r="U51" s="565"/>
      <c r="V51" s="565"/>
      <c r="W51" s="565"/>
      <c r="X51" s="565"/>
      <c r="Y51" s="566"/>
      <c r="Z51" s="567"/>
      <c r="AA51" s="567"/>
      <c r="AB51" s="567"/>
      <c r="AC51" s="567"/>
      <c r="AD51" s="566"/>
      <c r="AE51" s="567"/>
      <c r="AF51" s="567"/>
      <c r="AG51" s="567"/>
      <c r="AH51" s="567"/>
      <c r="AI51" s="513"/>
      <c r="AJ51" s="568"/>
      <c r="AK51" s="568"/>
      <c r="AL51" s="568"/>
      <c r="AM51" s="568"/>
      <c r="AN51" s="513"/>
      <c r="AO51" s="568"/>
      <c r="AP51" s="568"/>
      <c r="AQ51" s="568"/>
      <c r="AR51" s="565"/>
      <c r="AS51" s="566"/>
      <c r="AT51" s="566"/>
      <c r="AU51" s="566"/>
      <c r="AV51" s="566"/>
      <c r="AW51" s="566"/>
      <c r="AX51" s="566"/>
      <c r="AY51" s="566"/>
      <c r="AZ51" s="566"/>
      <c r="BA51" s="566"/>
      <c r="BB51" s="566"/>
      <c r="BC51" s="566"/>
      <c r="BD51" s="566"/>
      <c r="BE51" s="566"/>
      <c r="BF51" s="566"/>
      <c r="BG51" s="566"/>
      <c r="BH51" s="566"/>
      <c r="BI51" s="566"/>
      <c r="BJ51" s="566"/>
      <c r="BK51" s="566"/>
      <c r="BL51" s="566"/>
      <c r="BM51" s="566"/>
      <c r="BN51" s="545">
        <v>24.19</v>
      </c>
      <c r="BO51" s="545">
        <v>31.375</v>
      </c>
      <c r="BP51" s="545">
        <v>28.919</v>
      </c>
      <c r="BQ51" s="545">
        <v>30.594000000000001</v>
      </c>
      <c r="BR51" s="540">
        <f>SUM(BN51:BQ51)</f>
        <v>115.078</v>
      </c>
      <c r="BS51" s="545">
        <v>24.087</v>
      </c>
      <c r="BT51" s="545">
        <v>25.19</v>
      </c>
      <c r="BU51" s="545">
        <v>30.722999999999999</v>
      </c>
      <c r="BV51" s="545">
        <v>29.597999999999999</v>
      </c>
      <c r="BW51" s="540">
        <f>SUM(BS51:BV51)</f>
        <v>109.598</v>
      </c>
      <c r="BX51" s="545">
        <v>25.096</v>
      </c>
      <c r="BY51" s="545">
        <v>29.972000000000001</v>
      </c>
      <c r="BZ51" s="545">
        <v>34.572000000000003</v>
      </c>
      <c r="CA51" s="545">
        <v>33.597999999999999</v>
      </c>
      <c r="CB51" s="540">
        <f>SUM(BX51:CA51)</f>
        <v>123.238</v>
      </c>
      <c r="CC51" s="545">
        <v>28.542000000000002</v>
      </c>
      <c r="CD51" s="545">
        <v>29.497</v>
      </c>
      <c r="CE51" s="545">
        <v>33.112000000000002</v>
      </c>
      <c r="CF51" s="545">
        <v>33.040999999999997</v>
      </c>
      <c r="CG51" s="540">
        <f>SUM(CC51:CF51)</f>
        <v>124.19200000000001</v>
      </c>
      <c r="CH51" s="536"/>
      <c r="CI51" s="536"/>
      <c r="CJ51" s="536"/>
      <c r="CK51" s="536"/>
      <c r="CL51" s="540"/>
      <c r="CM51" s="642"/>
      <c r="CN51" s="642"/>
      <c r="CO51" s="642"/>
      <c r="CP51" s="642"/>
      <c r="CQ51" s="540"/>
      <c r="CS51" s="721"/>
    </row>
    <row r="52" spans="5:97" ht="13.5" x14ac:dyDescent="0.25">
      <c r="E52" s="560" t="s">
        <v>2</v>
      </c>
      <c r="F52" s="565"/>
      <c r="G52" s="565"/>
      <c r="H52" s="565"/>
      <c r="I52" s="565"/>
      <c r="J52" s="565"/>
      <c r="K52" s="565"/>
      <c r="L52" s="565"/>
      <c r="M52" s="565"/>
      <c r="N52" s="565"/>
      <c r="O52" s="566"/>
      <c r="P52" s="565"/>
      <c r="Q52" s="565"/>
      <c r="R52" s="565"/>
      <c r="S52" s="565"/>
      <c r="T52" s="566"/>
      <c r="U52" s="565"/>
      <c r="V52" s="565"/>
      <c r="W52" s="565"/>
      <c r="X52" s="565"/>
      <c r="Y52" s="566"/>
      <c r="Z52" s="567"/>
      <c r="AA52" s="567"/>
      <c r="AB52" s="567"/>
      <c r="AC52" s="567"/>
      <c r="AD52" s="566"/>
      <c r="AE52" s="567"/>
      <c r="AF52" s="567"/>
      <c r="AG52" s="567"/>
      <c r="AH52" s="567"/>
      <c r="AI52" s="513"/>
      <c r="AJ52" s="568"/>
      <c r="AK52" s="568"/>
      <c r="AL52" s="568"/>
      <c r="AM52" s="568"/>
      <c r="AN52" s="513"/>
      <c r="AO52" s="568"/>
      <c r="AP52" s="568"/>
      <c r="AQ52" s="568"/>
      <c r="AR52" s="565"/>
      <c r="AS52" s="566"/>
      <c r="AT52" s="566"/>
      <c r="AU52" s="566"/>
      <c r="AV52" s="566"/>
      <c r="AW52" s="566"/>
      <c r="AX52" s="566"/>
      <c r="AY52" s="566"/>
      <c r="AZ52" s="566"/>
      <c r="BA52" s="566"/>
      <c r="BB52" s="566"/>
      <c r="BC52" s="566"/>
      <c r="BD52" s="566"/>
      <c r="BE52" s="566"/>
      <c r="BF52" s="566"/>
      <c r="BG52" s="566"/>
      <c r="BH52" s="566"/>
      <c r="BI52" s="566"/>
      <c r="BJ52" s="566"/>
      <c r="BK52" s="566"/>
      <c r="BL52" s="566"/>
      <c r="BM52" s="566"/>
      <c r="BN52" s="562"/>
      <c r="BO52" s="562"/>
      <c r="BP52" s="513"/>
      <c r="BQ52" s="562"/>
      <c r="BR52" s="562"/>
      <c r="BS52" s="525">
        <f t="shared" ref="BS52:CG52" si="12">(BS51-BN51)/ABS(BN51)</f>
        <v>-4.2579578338156898E-3</v>
      </c>
      <c r="BT52" s="525">
        <f t="shared" si="12"/>
        <v>-0.19713147410358561</v>
      </c>
      <c r="BU52" s="525">
        <f t="shared" si="12"/>
        <v>6.238113351084057E-2</v>
      </c>
      <c r="BV52" s="525">
        <f t="shared" si="12"/>
        <v>-3.2555403020200109E-2</v>
      </c>
      <c r="BW52" s="525">
        <f t="shared" si="12"/>
        <v>-4.761987521507155E-2</v>
      </c>
      <c r="BX52" s="525">
        <f t="shared" si="12"/>
        <v>4.1889816083364485E-2</v>
      </c>
      <c r="BY52" s="525">
        <f t="shared" si="12"/>
        <v>0.18983723699880906</v>
      </c>
      <c r="BZ52" s="525">
        <f t="shared" si="12"/>
        <v>0.12528073430329081</v>
      </c>
      <c r="CA52" s="525">
        <f t="shared" si="12"/>
        <v>0.13514426650449354</v>
      </c>
      <c r="CB52" s="641">
        <f t="shared" si="12"/>
        <v>0.12445482581798939</v>
      </c>
      <c r="CC52" s="525">
        <f t="shared" si="12"/>
        <v>0.13731271915843168</v>
      </c>
      <c r="CD52" s="525">
        <f t="shared" si="12"/>
        <v>-1.5848124916588862E-2</v>
      </c>
      <c r="CE52" s="525">
        <f t="shared" si="12"/>
        <v>-4.2230706930463983E-2</v>
      </c>
      <c r="CF52" s="525">
        <f t="shared" si="12"/>
        <v>-1.6578367759985779E-2</v>
      </c>
      <c r="CG52" s="641">
        <f t="shared" si="12"/>
        <v>7.7411188107564853E-3</v>
      </c>
      <c r="CH52" s="525"/>
      <c r="CI52" s="525"/>
      <c r="CJ52" s="525"/>
      <c r="CK52" s="525"/>
      <c r="CL52" s="525"/>
      <c r="CM52" s="641"/>
      <c r="CN52" s="641"/>
      <c r="CO52" s="641"/>
      <c r="CP52" s="641"/>
      <c r="CQ52" s="641"/>
    </row>
    <row r="53" spans="5:97" ht="13.5" x14ac:dyDescent="0.25">
      <c r="E53" s="560" t="s">
        <v>91</v>
      </c>
      <c r="F53" s="565"/>
      <c r="G53" s="565"/>
      <c r="H53" s="565"/>
      <c r="I53" s="565"/>
      <c r="J53" s="565"/>
      <c r="K53" s="565"/>
      <c r="L53" s="565"/>
      <c r="M53" s="565"/>
      <c r="N53" s="565"/>
      <c r="O53" s="566"/>
      <c r="P53" s="565"/>
      <c r="Q53" s="565"/>
      <c r="R53" s="565"/>
      <c r="S53" s="565"/>
      <c r="T53" s="566"/>
      <c r="U53" s="565"/>
      <c r="V53" s="565"/>
      <c r="W53" s="565"/>
      <c r="X53" s="565"/>
      <c r="Y53" s="566"/>
      <c r="Z53" s="567"/>
      <c r="AA53" s="567"/>
      <c r="AB53" s="567"/>
      <c r="AC53" s="567"/>
      <c r="AD53" s="566"/>
      <c r="AE53" s="567"/>
      <c r="AF53" s="567"/>
      <c r="AG53" s="567"/>
      <c r="AH53" s="567"/>
      <c r="AI53" s="513"/>
      <c r="AJ53" s="568"/>
      <c r="AK53" s="568"/>
      <c r="AL53" s="568"/>
      <c r="AM53" s="568"/>
      <c r="AN53" s="513"/>
      <c r="AO53" s="568"/>
      <c r="AP53" s="568"/>
      <c r="AQ53" s="568"/>
      <c r="AR53" s="565"/>
      <c r="AS53" s="566"/>
      <c r="AT53" s="566"/>
      <c r="AU53" s="566"/>
      <c r="AV53" s="566"/>
      <c r="AW53" s="566"/>
      <c r="AX53" s="566"/>
      <c r="AY53" s="566"/>
      <c r="AZ53" s="566"/>
      <c r="BA53" s="566"/>
      <c r="BB53" s="566"/>
      <c r="BC53" s="566"/>
      <c r="BD53" s="566"/>
      <c r="BE53" s="566"/>
      <c r="BF53" s="566"/>
      <c r="BG53" s="566"/>
      <c r="BH53" s="566"/>
      <c r="BI53" s="566"/>
      <c r="BJ53" s="566"/>
      <c r="BK53" s="566"/>
      <c r="BL53" s="566"/>
      <c r="BM53" s="566"/>
      <c r="BN53" s="560">
        <f>BN51/'Audience Solutions'!BN17</f>
        <v>0.33109319609641263</v>
      </c>
      <c r="BO53" s="560">
        <f>BO51/'Audience Solutions'!BO17</f>
        <v>0.4021095532258479</v>
      </c>
      <c r="BP53" s="560">
        <f>BP51/'Audience Solutions'!BP17</f>
        <v>0.38084890627263501</v>
      </c>
      <c r="BQ53" s="560">
        <f>BQ51/'Audience Solutions'!BQ17</f>
        <v>0.39827640074984377</v>
      </c>
      <c r="BR53" s="560">
        <f>BR51/'Audience Solutions'!BR17</f>
        <v>0.37875037849366106</v>
      </c>
      <c r="BS53" s="560">
        <f>BS51/'Audience Solutions'!BS17</f>
        <v>0.35137855579868704</v>
      </c>
      <c r="BT53" s="560">
        <f>BT51/'Audience Solutions'!BT17</f>
        <v>0.34927413652056966</v>
      </c>
      <c r="BU53" s="560">
        <f>BU51/'Audience Solutions'!BU17</f>
        <v>0.39876177867767298</v>
      </c>
      <c r="BV53" s="560">
        <f>BV51/'Audience Solutions'!BV17</f>
        <v>0.36938398562300317</v>
      </c>
      <c r="BW53" s="560">
        <f>BW51/'Audience Solutions'!BW17</f>
        <v>0.36796991723883227</v>
      </c>
      <c r="BX53" s="560">
        <f>BX51/'Audience Solutions'!BX17</f>
        <v>0.34031243219787372</v>
      </c>
      <c r="BY53" s="560">
        <f>BY51/'Audience Solutions'!BY17</f>
        <v>0.38168250006367321</v>
      </c>
      <c r="BZ53" s="560">
        <f>BZ51/'Audience Solutions'!BZ17</f>
        <v>0.41453734457247693</v>
      </c>
      <c r="CA53" s="560">
        <f>CA51/'Audience Solutions'!CA17</f>
        <v>0.38888374461780634</v>
      </c>
      <c r="CB53" s="643">
        <f>CB51/'Audience Solutions'!CB17</f>
        <v>0.38264946517007437</v>
      </c>
      <c r="CC53" s="560">
        <f>CC51/'Audience Solutions'!CC17</f>
        <v>0.37687168246758396</v>
      </c>
      <c r="CD53" s="560">
        <f>CD51/'Audience Solutions'!CD17</f>
        <v>0.37426091811099554</v>
      </c>
      <c r="CE53" s="560">
        <f>CE51/'Audience Solutions'!CE17</f>
        <v>0.3921550049741816</v>
      </c>
      <c r="CF53" s="560">
        <f>CF51/'Audience Solutions'!CF17</f>
        <v>0.3738769321293593</v>
      </c>
      <c r="CG53" s="643">
        <f>CG51/'Audience Solutions'!CG17</f>
        <v>0.37937670684693825</v>
      </c>
      <c r="CH53" s="560"/>
      <c r="CI53" s="560"/>
      <c r="CJ53" s="560"/>
      <c r="CK53" s="560"/>
      <c r="CL53" s="643"/>
      <c r="CM53" s="643"/>
      <c r="CN53" s="643"/>
      <c r="CO53" s="643"/>
      <c r="CP53" s="643"/>
      <c r="CQ53" s="643"/>
    </row>
    <row r="54" spans="5:97" ht="3.75" customHeight="1" x14ac:dyDescent="0.25">
      <c r="E54" s="702"/>
      <c r="F54" s="703"/>
      <c r="G54" s="703"/>
      <c r="H54" s="703"/>
      <c r="I54" s="703"/>
      <c r="J54" s="703"/>
      <c r="K54" s="703"/>
      <c r="L54" s="703"/>
      <c r="M54" s="703"/>
      <c r="N54" s="703"/>
      <c r="O54" s="549"/>
      <c r="P54" s="703"/>
      <c r="Q54" s="703"/>
      <c r="R54" s="703"/>
      <c r="S54" s="703"/>
      <c r="T54" s="549"/>
      <c r="U54" s="703"/>
      <c r="V54" s="703"/>
      <c r="W54" s="703"/>
      <c r="X54" s="703"/>
      <c r="Y54" s="549"/>
      <c r="Z54" s="704"/>
      <c r="AA54" s="704"/>
      <c r="AB54" s="704"/>
      <c r="AC54" s="704"/>
      <c r="AD54" s="549"/>
      <c r="AE54" s="704"/>
      <c r="AF54" s="704"/>
      <c r="AG54" s="704"/>
      <c r="AH54" s="704"/>
      <c r="AI54" s="636"/>
      <c r="AJ54" s="645"/>
      <c r="AK54" s="645"/>
      <c r="AL54" s="645"/>
      <c r="AM54" s="645"/>
      <c r="AN54" s="636"/>
      <c r="AO54" s="645"/>
      <c r="AP54" s="645"/>
      <c r="AQ54" s="645"/>
      <c r="AR54" s="703"/>
      <c r="AS54" s="549"/>
      <c r="AT54" s="549"/>
      <c r="AU54" s="549"/>
      <c r="AV54" s="549"/>
      <c r="AW54" s="549"/>
      <c r="AX54" s="549"/>
      <c r="AY54" s="549"/>
      <c r="AZ54" s="549"/>
      <c r="BA54" s="549"/>
      <c r="BB54" s="549"/>
      <c r="BC54" s="549"/>
      <c r="BD54" s="549"/>
      <c r="BE54" s="549"/>
      <c r="BF54" s="549"/>
      <c r="BG54" s="549"/>
      <c r="BH54" s="549"/>
      <c r="BI54" s="549"/>
      <c r="BJ54" s="549"/>
      <c r="BK54" s="549"/>
      <c r="BL54" s="549"/>
      <c r="BM54" s="643"/>
      <c r="BN54" s="702"/>
      <c r="BO54" s="702"/>
      <c r="BP54" s="702"/>
      <c r="BQ54" s="702"/>
      <c r="BR54" s="643"/>
      <c r="BS54" s="702"/>
      <c r="BT54" s="702"/>
      <c r="BU54" s="702"/>
      <c r="BV54" s="702"/>
      <c r="BW54" s="643"/>
      <c r="BX54" s="702"/>
      <c r="BY54" s="705"/>
      <c r="BZ54" s="705"/>
      <c r="CA54" s="705"/>
      <c r="CB54" s="643"/>
      <c r="CC54" s="705"/>
      <c r="CD54" s="705"/>
      <c r="CE54" s="705"/>
      <c r="CF54" s="705"/>
      <c r="CG54" s="643"/>
      <c r="CH54" s="705"/>
      <c r="CI54" s="705"/>
      <c r="CJ54" s="705"/>
      <c r="CK54" s="705"/>
      <c r="CL54" s="643"/>
      <c r="CM54" s="705"/>
      <c r="CN54" s="705"/>
      <c r="CO54" s="705"/>
      <c r="CP54" s="705"/>
      <c r="CQ54" s="643"/>
    </row>
    <row r="55" spans="5:97" ht="13.5" hidden="1" x14ac:dyDescent="0.25">
      <c r="E55" s="54" t="s">
        <v>606</v>
      </c>
      <c r="F55" s="150"/>
      <c r="G55" s="150"/>
      <c r="H55" s="150"/>
      <c r="I55" s="150"/>
      <c r="J55" s="150"/>
      <c r="O55" s="204"/>
      <c r="S55" s="191"/>
      <c r="T55" s="204"/>
      <c r="Y55" s="204"/>
      <c r="Z55" s="59"/>
      <c r="AA55" s="59"/>
      <c r="AB55" s="59"/>
      <c r="AC55" s="59"/>
      <c r="AD55" s="204"/>
      <c r="AE55" s="59"/>
      <c r="AF55" s="59"/>
      <c r="AG55" s="59"/>
      <c r="AH55" s="59"/>
      <c r="AI55" s="204"/>
      <c r="AJ55" s="59"/>
      <c r="AK55" s="59"/>
      <c r="AL55" s="59"/>
      <c r="AM55" s="59"/>
      <c r="AN55" s="204"/>
      <c r="AO55" s="59"/>
      <c r="AP55" s="59"/>
      <c r="AQ55" s="59"/>
      <c r="AR55" s="59"/>
      <c r="AS55" s="204"/>
      <c r="AT55" s="59"/>
      <c r="AU55" s="59"/>
      <c r="AV55" s="59"/>
      <c r="AW55" s="59"/>
      <c r="AX55" s="204"/>
      <c r="AY55" s="59"/>
      <c r="AZ55" s="59"/>
      <c r="BA55" s="59"/>
      <c r="BB55" s="59"/>
      <c r="BC55" s="204"/>
      <c r="BD55" s="59"/>
      <c r="BE55" s="59"/>
      <c r="BF55" s="59"/>
      <c r="BG55" s="59"/>
      <c r="BH55" s="204"/>
      <c r="BI55" s="439">
        <f>'Audience Solutions'!BI142-Connectivity!BI37</f>
        <v>163.4</v>
      </c>
      <c r="BJ55" s="439">
        <f>'Audience Solutions'!BJ142-Connectivity!BJ37</f>
        <v>171.82000000000002</v>
      </c>
      <c r="BK55" s="439">
        <f>'Audience Solutions'!BK142-Connectivity!BK37</f>
        <v>171.13735</v>
      </c>
      <c r="BL55" s="439">
        <f>'Audience Solutions'!BL142-Connectivity!BL37</f>
        <v>171.94582500000001</v>
      </c>
      <c r="BM55" s="161">
        <f>SUM(BI55:BL55)</f>
        <v>678.30317500000001</v>
      </c>
      <c r="BN55" s="549">
        <f>'Audience Solutions'!BN142-Connectivity!BN37</f>
        <v>160.16900000000001</v>
      </c>
      <c r="BO55" s="549">
        <f>'Audience Solutions'!BO142-Connectivity!BO37</f>
        <v>165.732</v>
      </c>
      <c r="BP55" s="549">
        <f>'Audience Solutions'!BP142-Connectivity!BP37</f>
        <v>166.98599999999999</v>
      </c>
      <c r="BQ55" s="549">
        <f>'Audience Solutions'!BQ142-Connectivity!BQ37</f>
        <v>167.96200000000002</v>
      </c>
      <c r="BR55" s="161">
        <f>SUM(BN55:BQ55)</f>
        <v>660.84900000000005</v>
      </c>
      <c r="BS55" s="549">
        <f>'Audience Solutions'!BS67-Connectivity!BS37</f>
        <v>158.70899999999997</v>
      </c>
      <c r="BT55" s="549">
        <f>'Audience Solutions'!BT67-Connectivity!BT37</f>
        <v>168.375</v>
      </c>
      <c r="BU55" s="549">
        <f>'Audience Solutions'!BU67-Connectivity!BU37</f>
        <v>171.875</v>
      </c>
      <c r="BV55" s="549">
        <f>'Audience Solutions'!BV67-Connectivity!BV37</f>
        <v>175.78800000000001</v>
      </c>
      <c r="BW55" s="161">
        <f>SUM(BS55:BV55)</f>
        <v>674.74699999999996</v>
      </c>
      <c r="BX55" s="549">
        <f>'Audience Solutions'!BX67-Connectivity!BX37</f>
        <v>167.96899999999999</v>
      </c>
      <c r="BY55" s="549">
        <f>'Audience Solutions'!BY67-Connectivity!BY37</f>
        <v>169.12899999999999</v>
      </c>
      <c r="BZ55" s="549">
        <f>'Audience Solutions'!BZ67-Connectivity!BZ37</f>
        <v>166.91099999999997</v>
      </c>
      <c r="CA55" s="549">
        <f>'Audience Solutions'!CA67-Connectivity!CA37</f>
        <v>165.23500000000001</v>
      </c>
      <c r="CB55" s="566">
        <f>SUM(BX55:CA55)</f>
        <v>669.24399999999991</v>
      </c>
      <c r="CC55" s="549">
        <f>'Audience Solutions'!CC67-Connectivity!CC37</f>
        <v>152.738</v>
      </c>
      <c r="CD55" s="549">
        <f>'Audience Solutions'!CD67-Connectivity!CD37</f>
        <v>157.97499999999997</v>
      </c>
      <c r="CE55" s="549">
        <f>'Audience Solutions'!CE67-Connectivity!CE37</f>
        <v>161.79599999999999</v>
      </c>
      <c r="CF55" s="549">
        <f>'Audience Solutions'!CF67-Connectivity!CF37</f>
        <v>169.9</v>
      </c>
      <c r="CG55" s="566">
        <f>SUM(CC55:CF55)</f>
        <v>642.40899999999999</v>
      </c>
      <c r="CH55" s="549"/>
      <c r="CI55" s="549"/>
      <c r="CJ55" s="549"/>
      <c r="CK55" s="549"/>
      <c r="CL55" s="566"/>
      <c r="CM55" s="549"/>
      <c r="CN55" s="549"/>
      <c r="CO55" s="549"/>
      <c r="CP55" s="549"/>
      <c r="CQ55" s="566"/>
    </row>
    <row r="56" spans="5:97" ht="13.5" hidden="1" x14ac:dyDescent="0.25">
      <c r="E56" s="91" t="s">
        <v>2</v>
      </c>
      <c r="F56" s="150"/>
      <c r="G56" s="150"/>
      <c r="H56" s="150"/>
      <c r="I56" s="150"/>
      <c r="J56" s="150"/>
      <c r="O56" s="204"/>
      <c r="S56" s="191"/>
      <c r="T56" s="204"/>
      <c r="Y56" s="204"/>
      <c r="Z56" s="59"/>
      <c r="AA56" s="59"/>
      <c r="AB56" s="59"/>
      <c r="AC56" s="59"/>
      <c r="AD56" s="204"/>
      <c r="AE56" s="59"/>
      <c r="AF56" s="59"/>
      <c r="AG56" s="59"/>
      <c r="AH56" s="59"/>
      <c r="AI56" s="204"/>
      <c r="AJ56" s="59"/>
      <c r="AK56" s="59"/>
      <c r="AL56" s="59"/>
      <c r="AM56" s="59"/>
      <c r="AN56" s="204"/>
      <c r="AO56" s="59"/>
      <c r="AP56" s="59"/>
      <c r="AQ56" s="59"/>
      <c r="AR56" s="59"/>
      <c r="AS56" s="204"/>
      <c r="AT56" s="59"/>
      <c r="AU56" s="59"/>
      <c r="AV56" s="59"/>
      <c r="AW56" s="59"/>
      <c r="AX56" s="204"/>
      <c r="AY56" s="59"/>
      <c r="AZ56" s="59"/>
      <c r="BA56" s="59"/>
      <c r="BB56" s="59"/>
      <c r="BC56" s="204"/>
      <c r="BD56" s="59"/>
      <c r="BE56" s="59"/>
      <c r="BF56" s="59"/>
      <c r="BG56" s="59"/>
      <c r="BH56" s="204"/>
      <c r="BI56" s="183"/>
      <c r="BJ56" s="183"/>
      <c r="BK56" s="183"/>
      <c r="BL56" s="183"/>
      <c r="BM56" s="32"/>
      <c r="BN56" s="680">
        <f t="shared" ref="BN56:CG56" si="13">BN55/BI55-1</f>
        <v>-1.9773561811505469E-2</v>
      </c>
      <c r="BO56" s="680">
        <f t="shared" si="13"/>
        <v>-3.543242928646273E-2</v>
      </c>
      <c r="BP56" s="680">
        <f t="shared" si="13"/>
        <v>-2.4257416630560247E-2</v>
      </c>
      <c r="BQ56" s="680">
        <f t="shared" si="13"/>
        <v>-2.3169070839608952E-2</v>
      </c>
      <c r="BR56" s="32">
        <f t="shared" si="13"/>
        <v>-2.5732114551874186E-2</v>
      </c>
      <c r="BS56" s="680">
        <f t="shared" si="13"/>
        <v>-9.1153718884430246E-3</v>
      </c>
      <c r="BT56" s="680">
        <f t="shared" si="13"/>
        <v>1.5947433205415917E-2</v>
      </c>
      <c r="BU56" s="680">
        <f t="shared" si="13"/>
        <v>2.927790353682358E-2</v>
      </c>
      <c r="BV56" s="680">
        <f t="shared" si="13"/>
        <v>4.6593872423524418E-2</v>
      </c>
      <c r="BW56" s="32">
        <f t="shared" si="13"/>
        <v>2.1030522857717671E-2</v>
      </c>
      <c r="BX56" s="680">
        <f t="shared" si="13"/>
        <v>5.8345777492139872E-2</v>
      </c>
      <c r="BY56" s="680">
        <f t="shared" si="13"/>
        <v>4.478099480326625E-3</v>
      </c>
      <c r="BZ56" s="680">
        <f t="shared" si="13"/>
        <v>-2.8881454545454655E-2</v>
      </c>
      <c r="CA56" s="680">
        <f t="shared" si="13"/>
        <v>-6.0032539194939338E-2</v>
      </c>
      <c r="CB56" s="641">
        <f t="shared" si="13"/>
        <v>-8.1556494508312483E-3</v>
      </c>
      <c r="CC56" s="680">
        <f t="shared" si="13"/>
        <v>-9.0677446433568121E-2</v>
      </c>
      <c r="CD56" s="680">
        <f t="shared" si="13"/>
        <v>-6.594965972719069E-2</v>
      </c>
      <c r="CE56" s="680">
        <f t="shared" si="13"/>
        <v>-3.064507432104524E-2</v>
      </c>
      <c r="CF56" s="680">
        <f t="shared" si="13"/>
        <v>2.8232517323811601E-2</v>
      </c>
      <c r="CG56" s="641">
        <f t="shared" si="13"/>
        <v>-4.0097483130218436E-2</v>
      </c>
      <c r="CH56" s="680"/>
      <c r="CI56" s="680"/>
      <c r="CJ56" s="680"/>
      <c r="CK56" s="680"/>
      <c r="CL56" s="641"/>
      <c r="CM56" s="680"/>
      <c r="CN56" s="680"/>
      <c r="CO56" s="680"/>
      <c r="CP56" s="680"/>
      <c r="CQ56" s="641"/>
    </row>
    <row r="57" spans="5:97" ht="13.5" hidden="1" x14ac:dyDescent="0.25">
      <c r="E57" s="174"/>
      <c r="F57" s="185"/>
      <c r="G57" s="185"/>
      <c r="H57" s="185"/>
      <c r="I57" s="185"/>
      <c r="J57" s="185"/>
      <c r="K57" s="122"/>
      <c r="L57" s="122"/>
      <c r="M57" s="122"/>
      <c r="N57" s="122"/>
      <c r="O57" s="161"/>
      <c r="P57" s="122"/>
      <c r="Q57" s="122"/>
      <c r="R57" s="122"/>
      <c r="S57" s="122"/>
      <c r="T57" s="161"/>
      <c r="U57" s="122"/>
      <c r="V57" s="122"/>
      <c r="W57" s="122"/>
      <c r="X57" s="122"/>
      <c r="Y57" s="161"/>
      <c r="Z57" s="128"/>
      <c r="AA57" s="128"/>
      <c r="AB57" s="128"/>
      <c r="AC57" s="128"/>
      <c r="AD57" s="161"/>
      <c r="AE57" s="128"/>
      <c r="AF57" s="128"/>
      <c r="AG57" s="128"/>
      <c r="AH57" s="128"/>
      <c r="AI57" s="140"/>
      <c r="AJ57" s="85"/>
      <c r="AK57" s="85"/>
      <c r="AL57" s="85"/>
      <c r="AM57" s="85"/>
      <c r="AN57" s="140"/>
      <c r="AO57" s="85"/>
      <c r="AP57" s="85"/>
      <c r="AQ57" s="85"/>
      <c r="AR57" s="364"/>
      <c r="AS57" s="161"/>
      <c r="AT57" s="197"/>
      <c r="AU57" s="197"/>
      <c r="AV57" s="197"/>
      <c r="AW57" s="197"/>
      <c r="AX57" s="161"/>
      <c r="AY57" s="157"/>
      <c r="AZ57" s="197"/>
      <c r="BA57" s="197"/>
      <c r="BB57" s="157"/>
      <c r="BC57" s="161"/>
      <c r="BD57" s="157"/>
      <c r="BE57" s="157"/>
      <c r="BF57" s="157"/>
      <c r="BG57" s="157"/>
      <c r="BH57" s="161"/>
      <c r="BI57" s="157"/>
      <c r="BJ57" s="157"/>
      <c r="BK57" s="157"/>
      <c r="BL57" s="157"/>
      <c r="BM57" s="161"/>
      <c r="BN57" s="549"/>
      <c r="BO57" s="549"/>
      <c r="BP57" s="549"/>
      <c r="BQ57" s="549"/>
      <c r="BR57" s="161"/>
      <c r="BS57" s="549"/>
      <c r="BT57" s="549"/>
      <c r="BU57" s="549"/>
      <c r="BV57" s="549"/>
      <c r="BW57" s="161"/>
      <c r="BX57" s="549"/>
      <c r="BY57" s="549"/>
      <c r="BZ57" s="549"/>
      <c r="CA57" s="549"/>
      <c r="CB57" s="566"/>
      <c r="CC57" s="549"/>
      <c r="CD57" s="549"/>
      <c r="CE57" s="549"/>
      <c r="CF57" s="549"/>
      <c r="CG57" s="566"/>
      <c r="CH57" s="549"/>
      <c r="CI57" s="549"/>
      <c r="CJ57" s="549"/>
      <c r="CK57" s="549"/>
      <c r="CL57" s="566"/>
      <c r="CM57" s="549"/>
      <c r="CN57" s="549"/>
      <c r="CO57" s="549"/>
      <c r="CP57" s="549"/>
      <c r="CQ57" s="566"/>
    </row>
    <row r="58" spans="5:97" ht="13.5" hidden="1" x14ac:dyDescent="0.25">
      <c r="E58" s="54" t="s">
        <v>604</v>
      </c>
      <c r="F58" s="150"/>
      <c r="G58" s="150"/>
      <c r="H58" s="150"/>
      <c r="I58" s="150"/>
      <c r="J58" s="150"/>
      <c r="O58" s="204"/>
      <c r="S58" s="191"/>
      <c r="T58" s="204"/>
      <c r="Y58" s="204"/>
      <c r="Z58" s="59"/>
      <c r="AA58" s="59"/>
      <c r="AB58" s="59"/>
      <c r="AC58" s="59"/>
      <c r="AD58" s="204"/>
      <c r="AE58" s="59"/>
      <c r="AF58" s="59"/>
      <c r="AG58" s="59"/>
      <c r="AH58" s="59"/>
      <c r="AI58" s="204"/>
      <c r="AJ58" s="59"/>
      <c r="AK58" s="59"/>
      <c r="AL58" s="59"/>
      <c r="AM58" s="59"/>
      <c r="AN58" s="204"/>
      <c r="AO58" s="59"/>
      <c r="AP58" s="59"/>
      <c r="AQ58" s="59"/>
      <c r="AR58" s="59"/>
      <c r="AS58" s="204"/>
      <c r="AT58" s="59"/>
      <c r="AU58" s="59"/>
      <c r="AV58" s="59"/>
      <c r="AW58" s="59"/>
      <c r="AX58" s="204"/>
      <c r="AY58" s="59"/>
      <c r="AZ58" s="59"/>
      <c r="BA58" s="59"/>
      <c r="BB58" s="59"/>
      <c r="BC58" s="204"/>
      <c r="BD58" s="59"/>
      <c r="BE58" s="59"/>
      <c r="BF58" s="59"/>
      <c r="BG58" s="59"/>
      <c r="BH58" s="204"/>
      <c r="BI58" s="439">
        <f>'Audience Solutions'!BI144-Connectivity!BI41</f>
        <v>24.393000000000001</v>
      </c>
      <c r="BJ58" s="439">
        <f>'Audience Solutions'!BJ144-Connectivity!BJ41</f>
        <v>28.211999999999989</v>
      </c>
      <c r="BK58" s="439">
        <f>'Audience Solutions'!BK144-Connectivity!BK41</f>
        <v>31.532149999999994</v>
      </c>
      <c r="BL58" s="439">
        <f>'Audience Solutions'!BL144-Connectivity!BL41</f>
        <v>27.953674999999997</v>
      </c>
      <c r="BM58" s="161">
        <f>SUM(BI58:BL58)</f>
        <v>112.090825</v>
      </c>
      <c r="BN58" s="549">
        <f>'Audience Solutions'!BN144-Connectivity!BN41</f>
        <v>22.179999999999993</v>
      </c>
      <c r="BO58" s="549">
        <f>'Audience Solutions'!BO144-Connectivity!BO41</f>
        <v>25.043999999999983</v>
      </c>
      <c r="BP58" s="549">
        <f>'Audience Solutions'!BP144-Connectivity!BP41</f>
        <v>23.350000000000016</v>
      </c>
      <c r="BQ58" s="549">
        <f>'Audience Solutions'!BQ144-Connectivity!BQ41</f>
        <v>18.515999999999998</v>
      </c>
      <c r="BR58" s="161">
        <f>SUM(BN58:BQ58)</f>
        <v>89.089999999999975</v>
      </c>
      <c r="BS58" s="549">
        <f>'Audience Solutions'!BS69-Connectivity!BS41</f>
        <v>17.567000000000029</v>
      </c>
      <c r="BT58" s="549">
        <f>'Audience Solutions'!BT69-Connectivity!BT41</f>
        <v>16.726000000000006</v>
      </c>
      <c r="BU58" s="549">
        <f>'Audience Solutions'!BU69-Connectivity!BU41</f>
        <v>20.896000000000026</v>
      </c>
      <c r="BV58" s="549">
        <f>'Audience Solutions'!BV69-Connectivity!BV41</f>
        <v>17.681999999999988</v>
      </c>
      <c r="BW58" s="161">
        <f>SUM(BS58:BV58)</f>
        <v>72.871000000000052</v>
      </c>
      <c r="BX58" s="549">
        <f>'Audience Solutions'!BX69-Connectivity!BX41</f>
        <v>15.490000000000013</v>
      </c>
      <c r="BY58" s="549">
        <f>'Audience Solutions'!BY69-Connectivity!BY41</f>
        <v>15.076000000000001</v>
      </c>
      <c r="BZ58" s="549">
        <f>'Audience Solutions'!BZ69-Connectivity!BZ41</f>
        <v>17.665000000000035</v>
      </c>
      <c r="CA58" s="549">
        <f>'Audience Solutions'!CA69-Connectivity!CA41</f>
        <v>15.429999999999986</v>
      </c>
      <c r="CB58" s="566">
        <f>SUM(BX58:CA58)</f>
        <v>63.661000000000037</v>
      </c>
      <c r="CC58" s="549">
        <f>'Audience Solutions'!CC69-Connectivity!CC41</f>
        <v>14.590000000000018</v>
      </c>
      <c r="CD58" s="549">
        <f>'Audience Solutions'!CD69-Connectivity!CD41</f>
        <v>14.881</v>
      </c>
      <c r="CE58" s="549">
        <f>'Audience Solutions'!CE69-Connectivity!CE41</f>
        <v>17.097000000000016</v>
      </c>
      <c r="CF58" s="549">
        <f>'Audience Solutions'!CF69-Connectivity!CF41</f>
        <v>17.427999999999962</v>
      </c>
      <c r="CG58" s="566">
        <f>SUM(CC58:CF58)</f>
        <v>63.995999999999995</v>
      </c>
      <c r="CH58" s="549"/>
      <c r="CI58" s="549"/>
      <c r="CJ58" s="549"/>
      <c r="CK58" s="549"/>
      <c r="CL58" s="566"/>
      <c r="CM58" s="549"/>
      <c r="CN58" s="549"/>
      <c r="CO58" s="549"/>
      <c r="CP58" s="549"/>
      <c r="CQ58" s="566"/>
    </row>
    <row r="59" spans="5:97" ht="13.5" hidden="1" x14ac:dyDescent="0.25">
      <c r="E59" s="91" t="s">
        <v>2</v>
      </c>
      <c r="F59" s="150"/>
      <c r="G59" s="150"/>
      <c r="H59" s="150"/>
      <c r="I59" s="150"/>
      <c r="J59" s="150"/>
      <c r="O59" s="204"/>
      <c r="S59" s="191"/>
      <c r="T59" s="204"/>
      <c r="Y59" s="204"/>
      <c r="Z59" s="59"/>
      <c r="AA59" s="59"/>
      <c r="AB59" s="59"/>
      <c r="AC59" s="59"/>
      <c r="AD59" s="204"/>
      <c r="AE59" s="59"/>
      <c r="AF59" s="59"/>
      <c r="AG59" s="59"/>
      <c r="AH59" s="59"/>
      <c r="AI59" s="204"/>
      <c r="AJ59" s="59"/>
      <c r="AK59" s="59"/>
      <c r="AL59" s="59"/>
      <c r="AM59" s="59"/>
      <c r="AN59" s="204"/>
      <c r="AO59" s="59"/>
      <c r="AP59" s="59"/>
      <c r="AQ59" s="59"/>
      <c r="AR59" s="59"/>
      <c r="AS59" s="204"/>
      <c r="AT59" s="59"/>
      <c r="AU59" s="59"/>
      <c r="AV59" s="59"/>
      <c r="AW59" s="59"/>
      <c r="AX59" s="204"/>
      <c r="AY59" s="59"/>
      <c r="AZ59" s="59"/>
      <c r="BA59" s="59"/>
      <c r="BB59" s="59"/>
      <c r="BC59" s="204"/>
      <c r="BD59" s="59"/>
      <c r="BE59" s="59"/>
      <c r="BF59" s="59"/>
      <c r="BG59" s="59"/>
      <c r="BH59" s="204"/>
      <c r="BI59" s="183"/>
      <c r="BJ59" s="183"/>
      <c r="BK59" s="183"/>
      <c r="BL59" s="183"/>
      <c r="BM59" s="32"/>
      <c r="BN59" s="680">
        <f t="shared" ref="BN59:CG59" si="14">BN58/BI58-1</f>
        <v>-9.0722748329439051E-2</v>
      </c>
      <c r="BO59" s="680">
        <f t="shared" si="14"/>
        <v>-0.11229264142917939</v>
      </c>
      <c r="BP59" s="680">
        <f t="shared" si="14"/>
        <v>-0.25948595322551682</v>
      </c>
      <c r="BQ59" s="680">
        <f t="shared" si="14"/>
        <v>-0.33761839901193669</v>
      </c>
      <c r="BR59" s="32">
        <f t="shared" si="14"/>
        <v>-0.20519810608941469</v>
      </c>
      <c r="BS59" s="680">
        <f t="shared" si="14"/>
        <v>-0.20798016230838434</v>
      </c>
      <c r="BT59" s="680">
        <f t="shared" si="14"/>
        <v>-0.33213544162274322</v>
      </c>
      <c r="BU59" s="680">
        <f t="shared" si="14"/>
        <v>-0.10509635974304021</v>
      </c>
      <c r="BV59" s="680">
        <f t="shared" si="14"/>
        <v>-4.5042125729099713E-2</v>
      </c>
      <c r="BW59" s="32">
        <f t="shared" si="14"/>
        <v>-0.18205185767201626</v>
      </c>
      <c r="BX59" s="680">
        <f t="shared" si="14"/>
        <v>-0.11823305060625111</v>
      </c>
      <c r="BY59" s="680">
        <f t="shared" si="14"/>
        <v>-9.8648810235561712E-2</v>
      </c>
      <c r="BZ59" s="680">
        <f t="shared" si="14"/>
        <v>-0.15462289433384313</v>
      </c>
      <c r="CA59" s="680">
        <f t="shared" si="14"/>
        <v>-0.12736115824001837</v>
      </c>
      <c r="CB59" s="641">
        <f t="shared" si="14"/>
        <v>-0.12638772625598671</v>
      </c>
      <c r="CC59" s="680">
        <f t="shared" si="14"/>
        <v>-5.810200129115517E-2</v>
      </c>
      <c r="CD59" s="680">
        <f t="shared" si="14"/>
        <v>-1.2934465375431192E-2</v>
      </c>
      <c r="CE59" s="680">
        <f t="shared" si="14"/>
        <v>-3.2153976790264216E-2</v>
      </c>
      <c r="CF59" s="680">
        <f t="shared" si="14"/>
        <v>0.12948801036940871</v>
      </c>
      <c r="CG59" s="641">
        <f t="shared" si="14"/>
        <v>5.2622484723765517E-3</v>
      </c>
      <c r="CH59" s="680"/>
      <c r="CI59" s="680"/>
      <c r="CJ59" s="680"/>
      <c r="CK59" s="680"/>
      <c r="CL59" s="641"/>
      <c r="CM59" s="680"/>
      <c r="CN59" s="680"/>
      <c r="CO59" s="680"/>
      <c r="CP59" s="680"/>
      <c r="CQ59" s="641"/>
    </row>
    <row r="60" spans="5:97" ht="13.5" hidden="1" x14ac:dyDescent="0.25">
      <c r="E60" s="91"/>
      <c r="F60" s="150"/>
      <c r="G60" s="150"/>
      <c r="H60" s="150"/>
      <c r="I60" s="150"/>
      <c r="J60" s="150"/>
      <c r="O60" s="204"/>
      <c r="S60" s="191"/>
      <c r="T60" s="204"/>
      <c r="Y60" s="204"/>
      <c r="Z60" s="59"/>
      <c r="AA60" s="59"/>
      <c r="AB60" s="59"/>
      <c r="AC60" s="59"/>
      <c r="AD60" s="204"/>
      <c r="AE60" s="59"/>
      <c r="AF60" s="59"/>
      <c r="AG60" s="59"/>
      <c r="AH60" s="59"/>
      <c r="AI60" s="204"/>
      <c r="AJ60" s="59"/>
      <c r="AK60" s="59"/>
      <c r="AL60" s="59"/>
      <c r="AM60" s="59"/>
      <c r="AN60" s="204"/>
      <c r="AO60" s="59"/>
      <c r="AP60" s="59"/>
      <c r="AQ60" s="59"/>
      <c r="AR60" s="59"/>
      <c r="AS60" s="204"/>
      <c r="AT60" s="59"/>
      <c r="AU60" s="59"/>
      <c r="AV60" s="59"/>
      <c r="AW60" s="59"/>
      <c r="AX60" s="204"/>
      <c r="AY60" s="59"/>
      <c r="AZ60" s="59"/>
      <c r="BA60" s="59"/>
      <c r="BB60" s="59"/>
      <c r="BC60" s="204"/>
      <c r="BD60" s="59"/>
      <c r="BE60" s="59"/>
      <c r="BF60" s="59"/>
      <c r="BG60" s="59"/>
      <c r="BH60" s="204"/>
      <c r="BI60" s="183"/>
      <c r="BJ60" s="183"/>
      <c r="BK60" s="183"/>
      <c r="BL60" s="183"/>
      <c r="BM60" s="204"/>
      <c r="BN60" s="680"/>
      <c r="BO60" s="680"/>
      <c r="BP60" s="680"/>
      <c r="BQ60" s="680"/>
      <c r="BR60" s="32"/>
      <c r="BS60" s="680"/>
      <c r="BT60" s="680"/>
      <c r="BU60" s="680"/>
      <c r="BV60" s="680"/>
      <c r="BW60" s="32"/>
      <c r="BX60" s="680"/>
      <c r="BY60" s="680"/>
      <c r="BZ60" s="680"/>
      <c r="CA60" s="680"/>
      <c r="CB60" s="641"/>
      <c r="CC60" s="680"/>
      <c r="CD60" s="680"/>
      <c r="CE60" s="680"/>
      <c r="CF60" s="680"/>
      <c r="CG60" s="641"/>
      <c r="CH60" s="680"/>
      <c r="CI60" s="680"/>
      <c r="CJ60" s="680"/>
      <c r="CK60" s="680"/>
      <c r="CL60" s="641"/>
      <c r="CM60" s="680"/>
      <c r="CN60" s="680"/>
      <c r="CO60" s="680"/>
      <c r="CP60" s="680"/>
      <c r="CQ60" s="641"/>
    </row>
    <row r="61" spans="5:97" ht="13.5" hidden="1" x14ac:dyDescent="0.25">
      <c r="E61" s="536" t="s">
        <v>639</v>
      </c>
      <c r="F61" s="537"/>
      <c r="G61" s="537"/>
      <c r="H61" s="537"/>
      <c r="I61" s="537"/>
      <c r="J61" s="537"/>
      <c r="K61" s="537"/>
      <c r="L61" s="537"/>
      <c r="M61" s="537"/>
      <c r="N61" s="537"/>
      <c r="O61" s="538"/>
      <c r="P61" s="537"/>
      <c r="Q61" s="537"/>
      <c r="R61" s="537"/>
      <c r="S61" s="539"/>
      <c r="T61" s="538"/>
      <c r="U61" s="537"/>
      <c r="V61" s="537"/>
      <c r="W61" s="537"/>
      <c r="X61" s="537"/>
      <c r="Y61" s="538"/>
      <c r="Z61" s="538"/>
      <c r="AA61" s="538"/>
      <c r="AB61" s="538"/>
      <c r="AC61" s="538"/>
      <c r="AD61" s="538"/>
      <c r="AE61" s="538"/>
      <c r="AF61" s="538"/>
      <c r="AG61" s="538"/>
      <c r="AH61" s="538"/>
      <c r="AI61" s="538"/>
      <c r="AJ61" s="538"/>
      <c r="AK61" s="538"/>
      <c r="AL61" s="538"/>
      <c r="AM61" s="538"/>
      <c r="AN61" s="538"/>
      <c r="AO61" s="538"/>
      <c r="AP61" s="538"/>
      <c r="AQ61" s="538"/>
      <c r="AR61" s="538"/>
      <c r="AS61" s="538"/>
      <c r="AT61" s="538"/>
      <c r="AU61" s="538"/>
      <c r="AV61" s="538"/>
      <c r="AW61" s="538"/>
      <c r="AX61" s="538"/>
      <c r="AY61" s="538"/>
      <c r="AZ61" s="538"/>
      <c r="BA61" s="538"/>
      <c r="BB61" s="538"/>
      <c r="BC61" s="538"/>
      <c r="BD61" s="538"/>
      <c r="BE61" s="538"/>
      <c r="BF61" s="538"/>
      <c r="BG61" s="538"/>
      <c r="BH61" s="538"/>
      <c r="BI61" s="540">
        <f>BI55+BI58</f>
        <v>187.79300000000001</v>
      </c>
      <c r="BJ61" s="540">
        <f>BJ55+BJ58</f>
        <v>200.03200000000001</v>
      </c>
      <c r="BK61" s="540">
        <f>BK55+BK58</f>
        <v>202.6695</v>
      </c>
      <c r="BL61" s="540">
        <f>BL55+BL58</f>
        <v>199.89950000000002</v>
      </c>
      <c r="BM61" s="540">
        <f>BM55+BM58</f>
        <v>790.39400000000001</v>
      </c>
      <c r="BN61" s="707">
        <f>'Audience Solutions'!BN17+'Marketing Services'!BN14</f>
        <v>182.34899999999999</v>
      </c>
      <c r="BO61" s="707">
        <f>'Audience Solutions'!BO17+'Marketing Services'!BO14</f>
        <v>190.77599999999998</v>
      </c>
      <c r="BP61" s="707">
        <f>'Audience Solutions'!BP17+'Marketing Services'!BP14</f>
        <v>190.33600000000001</v>
      </c>
      <c r="BQ61" s="707">
        <f>'Audience Solutions'!BQ17+'Marketing Services'!BQ14</f>
        <v>186.47800000000001</v>
      </c>
      <c r="BR61" s="540">
        <f>SUM(BN61:BQ61)</f>
        <v>749.93900000000008</v>
      </c>
      <c r="BS61" s="707">
        <f>'Audience Solutions'!BS17+'Marketing Services'!BS14</f>
        <v>176.27600000000001</v>
      </c>
      <c r="BT61" s="707">
        <f>'Audience Solutions'!BT17+'Marketing Services'!BT14</f>
        <v>185.101</v>
      </c>
      <c r="BU61" s="707">
        <f>'Audience Solutions'!BU17+'Marketing Services'!BU14</f>
        <v>192.77100000000002</v>
      </c>
      <c r="BV61" s="707">
        <f>'Audience Solutions'!BV17+'Marketing Services'!BV14</f>
        <v>193.47</v>
      </c>
      <c r="BW61" s="540">
        <f>SUM(BS61:BV61)</f>
        <v>747.61800000000005</v>
      </c>
      <c r="BX61" s="707">
        <f>'Audience Solutions'!BX17+'Marketing Services'!BX14</f>
        <v>183.459</v>
      </c>
      <c r="BY61" s="707">
        <f>'Audience Solutions'!BY17+'Marketing Services'!BY14</f>
        <v>184.20499999999998</v>
      </c>
      <c r="BZ61" s="707">
        <f>'Audience Solutions'!BZ17+'Marketing Services'!BZ14</f>
        <v>184.57600000000002</v>
      </c>
      <c r="CA61" s="707">
        <f>'Audience Solutions'!CA17+'Marketing Services'!CA14</f>
        <v>180.66500000000002</v>
      </c>
      <c r="CB61" s="540">
        <f>SUM(BX61:CA61)</f>
        <v>732.90499999999997</v>
      </c>
      <c r="CC61" s="707">
        <f>'Audience Solutions'!CC17+'Marketing Services'!CC14</f>
        <v>167.32799999999997</v>
      </c>
      <c r="CD61" s="707">
        <f>'Audience Solutions'!CD17+'Marketing Services'!CD14</f>
        <v>172.85599999999999</v>
      </c>
      <c r="CE61" s="707">
        <f>'Audience Solutions'!CE17+'Marketing Services'!CE14</f>
        <v>178.893</v>
      </c>
      <c r="CF61" s="707">
        <f>'Audience Solutions'!CF17+'Marketing Services'!CF14</f>
        <v>187.32799999999997</v>
      </c>
      <c r="CG61" s="540">
        <f>SUM(CC61:CF61)</f>
        <v>706.40499999999997</v>
      </c>
      <c r="CH61" s="707"/>
      <c r="CI61" s="707"/>
      <c r="CJ61" s="707"/>
      <c r="CK61" s="707"/>
      <c r="CL61" s="540"/>
      <c r="CM61" s="707"/>
      <c r="CN61" s="707"/>
      <c r="CO61" s="707"/>
      <c r="CP61" s="707"/>
      <c r="CQ61" s="540"/>
    </row>
    <row r="62" spans="5:97" ht="13.5" hidden="1" x14ac:dyDescent="0.25">
      <c r="E62" s="541" t="s">
        <v>2</v>
      </c>
      <c r="F62" s="524"/>
      <c r="G62" s="524"/>
      <c r="H62" s="524"/>
      <c r="I62" s="524"/>
      <c r="J62" s="524"/>
      <c r="K62" s="524"/>
      <c r="L62" s="524"/>
      <c r="M62" s="524"/>
      <c r="N62" s="524"/>
      <c r="O62" s="542"/>
      <c r="P62" s="524"/>
      <c r="Q62" s="524"/>
      <c r="R62" s="524"/>
      <c r="S62" s="539"/>
      <c r="T62" s="542"/>
      <c r="U62" s="524"/>
      <c r="V62" s="524"/>
      <c r="W62" s="524"/>
      <c r="X62" s="524"/>
      <c r="Y62" s="542"/>
      <c r="Z62" s="542"/>
      <c r="AA62" s="542"/>
      <c r="AB62" s="542"/>
      <c r="AC62" s="542"/>
      <c r="AD62" s="542"/>
      <c r="AE62" s="542"/>
      <c r="AF62" s="542"/>
      <c r="AG62" s="542"/>
      <c r="AH62" s="542"/>
      <c r="AI62" s="542"/>
      <c r="AJ62" s="542"/>
      <c r="AK62" s="542"/>
      <c r="AL62" s="542"/>
      <c r="AM62" s="542"/>
      <c r="AN62" s="542"/>
      <c r="AO62" s="542"/>
      <c r="AP62" s="542"/>
      <c r="AQ62" s="542"/>
      <c r="AR62" s="542"/>
      <c r="AS62" s="542"/>
      <c r="AT62" s="542"/>
      <c r="AU62" s="542"/>
      <c r="AV62" s="542"/>
      <c r="AW62" s="542"/>
      <c r="AX62" s="542"/>
      <c r="AY62" s="542"/>
      <c r="AZ62" s="542"/>
      <c r="BA62" s="542"/>
      <c r="BB62" s="542"/>
      <c r="BC62" s="542"/>
      <c r="BD62" s="542"/>
      <c r="BE62" s="542"/>
      <c r="BF62" s="542"/>
      <c r="BG62" s="542"/>
      <c r="BH62" s="542"/>
      <c r="BI62" s="525">
        <f>BI61/'Audience Solutions'!BD146-1</f>
        <v>-2.4360719443896062E-2</v>
      </c>
      <c r="BJ62" s="525">
        <f>BJ61/'Audience Solutions'!BE146-1</f>
        <v>7.2003303088590265E-3</v>
      </c>
      <c r="BK62" s="525">
        <f>BK61/'Audience Solutions'!BF146-1</f>
        <v>3.8553185819847791E-2</v>
      </c>
      <c r="BL62" s="525">
        <f>BL61/'Audience Solutions'!BG146-1</f>
        <v>-1.2890721445854347E-2</v>
      </c>
      <c r="BM62" s="542"/>
      <c r="BN62" s="680">
        <f>BN61/'Audience Solutions'!BI146-1</f>
        <v>-2.8989365950807588E-2</v>
      </c>
      <c r="BO62" s="680">
        <f t="shared" ref="BO62:CG62" si="15">BO61/BJ61-1</f>
        <v>-4.627259638457859E-2</v>
      </c>
      <c r="BP62" s="680">
        <f t="shared" si="15"/>
        <v>-6.0855234754119358E-2</v>
      </c>
      <c r="BQ62" s="680">
        <f t="shared" si="15"/>
        <v>-6.7141238472332332E-2</v>
      </c>
      <c r="BR62" s="525">
        <f t="shared" si="15"/>
        <v>-5.1183333881583026E-2</v>
      </c>
      <c r="BS62" s="680">
        <f t="shared" si="15"/>
        <v>-3.330426818902199E-2</v>
      </c>
      <c r="BT62" s="680">
        <f t="shared" si="15"/>
        <v>-2.9746928334800971E-2</v>
      </c>
      <c r="BU62" s="680">
        <f t="shared" si="15"/>
        <v>1.2793165770006665E-2</v>
      </c>
      <c r="BV62" s="680">
        <f t="shared" si="15"/>
        <v>3.7495039629339644E-2</v>
      </c>
      <c r="BW62" s="525">
        <f t="shared" si="15"/>
        <v>-3.094918386695511E-3</v>
      </c>
      <c r="BX62" s="680">
        <f t="shared" si="15"/>
        <v>4.0748598788263868E-2</v>
      </c>
      <c r="BY62" s="680">
        <f t="shared" si="15"/>
        <v>-4.8406005370041916E-3</v>
      </c>
      <c r="BZ62" s="680">
        <f t="shared" si="15"/>
        <v>-4.2511581098816698E-2</v>
      </c>
      <c r="CA62" s="680">
        <f t="shared" si="15"/>
        <v>-6.6185971985320613E-2</v>
      </c>
      <c r="CB62" s="641">
        <f t="shared" si="15"/>
        <v>-1.9679836494038483E-2</v>
      </c>
      <c r="CC62" s="680">
        <f t="shared" si="15"/>
        <v>-8.7927002763560358E-2</v>
      </c>
      <c r="CD62" s="680">
        <f t="shared" si="15"/>
        <v>-6.1610705464021032E-2</v>
      </c>
      <c r="CE62" s="680">
        <f t="shared" si="15"/>
        <v>-3.0789485090152668E-2</v>
      </c>
      <c r="CF62" s="680">
        <f t="shared" si="15"/>
        <v>3.6880414025959318E-2</v>
      </c>
      <c r="CG62" s="641">
        <f t="shared" si="15"/>
        <v>-3.6157482893417248E-2</v>
      </c>
      <c r="CH62" s="680"/>
      <c r="CI62" s="680"/>
      <c r="CJ62" s="680"/>
      <c r="CK62" s="680"/>
      <c r="CL62" s="641"/>
      <c r="CM62" s="680"/>
      <c r="CN62" s="680"/>
      <c r="CO62" s="680"/>
      <c r="CP62" s="680"/>
      <c r="CQ62" s="641"/>
    </row>
    <row r="63" spans="5:97" hidden="1" x14ac:dyDescent="0.25">
      <c r="BN63" s="700"/>
      <c r="BO63" s="700"/>
      <c r="BP63" s="700"/>
      <c r="BQ63" s="700"/>
      <c r="BS63" s="700"/>
      <c r="BT63" s="700"/>
      <c r="BU63" s="700"/>
      <c r="BV63" s="700"/>
      <c r="BX63" s="700"/>
      <c r="BY63" s="700"/>
      <c r="BZ63" s="700"/>
      <c r="CA63" s="700"/>
      <c r="CB63" s="574"/>
      <c r="CC63" s="700"/>
      <c r="CD63" s="700"/>
      <c r="CE63" s="700"/>
      <c r="CF63" s="700"/>
      <c r="CG63" s="574"/>
      <c r="CH63" s="700"/>
      <c r="CI63" s="700"/>
      <c r="CJ63" s="700"/>
      <c r="CK63" s="700"/>
      <c r="CL63" s="574"/>
      <c r="CM63" s="700"/>
      <c r="CN63" s="700"/>
      <c r="CO63" s="700"/>
      <c r="CP63" s="700"/>
      <c r="CQ63" s="574"/>
    </row>
    <row r="64" spans="5:97" hidden="1" x14ac:dyDescent="0.25">
      <c r="BN64" s="700"/>
      <c r="BO64" s="700"/>
      <c r="BP64" s="700"/>
      <c r="BQ64" s="700"/>
      <c r="BS64" s="700"/>
      <c r="BT64" s="700"/>
      <c r="BU64" s="700"/>
      <c r="BV64" s="700"/>
      <c r="BX64" s="700"/>
      <c r="BY64" s="700"/>
      <c r="BZ64" s="700"/>
      <c r="CA64" s="700"/>
      <c r="CB64" s="574"/>
      <c r="CC64" s="700"/>
      <c r="CD64" s="700"/>
      <c r="CE64" s="700"/>
      <c r="CF64" s="700"/>
      <c r="CG64" s="574"/>
      <c r="CH64" s="700"/>
      <c r="CI64" s="700"/>
      <c r="CJ64" s="700"/>
      <c r="CK64" s="700"/>
      <c r="CL64" s="574"/>
      <c r="CM64" s="700"/>
      <c r="CN64" s="700"/>
      <c r="CO64" s="700"/>
      <c r="CP64" s="700"/>
      <c r="CQ64" s="574"/>
    </row>
    <row r="65" spans="5:95" ht="13.5" hidden="1" x14ac:dyDescent="0.25">
      <c r="E65" s="298" t="s">
        <v>69</v>
      </c>
      <c r="F65" s="185"/>
      <c r="G65" s="185"/>
      <c r="H65" s="185"/>
      <c r="I65" s="185"/>
      <c r="J65" s="185"/>
      <c r="K65" s="185"/>
      <c r="L65" s="185"/>
      <c r="M65" s="185"/>
      <c r="N65" s="185"/>
      <c r="O65" s="161"/>
      <c r="P65" s="185"/>
      <c r="Q65" s="185"/>
      <c r="R65" s="185"/>
      <c r="S65" s="185"/>
      <c r="T65" s="161"/>
      <c r="U65" s="185"/>
      <c r="V65" s="185"/>
      <c r="W65" s="185"/>
      <c r="X65" s="185"/>
      <c r="Y65" s="161"/>
      <c r="Z65" s="443"/>
      <c r="AA65" s="443"/>
      <c r="AB65" s="443"/>
      <c r="AC65" s="443"/>
      <c r="AD65" s="161"/>
      <c r="AE65" s="443"/>
      <c r="AF65" s="443"/>
      <c r="AG65" s="443"/>
      <c r="AH65" s="443"/>
      <c r="AI65" s="140"/>
      <c r="AJ65" s="139"/>
      <c r="AK65" s="139"/>
      <c r="AL65" s="139"/>
      <c r="AM65" s="139"/>
      <c r="AN65" s="140"/>
      <c r="AO65" s="139"/>
      <c r="AP65" s="139"/>
      <c r="AQ65" s="139"/>
      <c r="AR65" s="185"/>
      <c r="AS65" s="161"/>
      <c r="AT65" s="298">
        <f>'Audience Solutions'!AT156+'Audience Solutions'!AT149+'Audience Solutions'!AT146</f>
        <v>259.17900000000003</v>
      </c>
      <c r="AU65" s="298">
        <f>'Audience Solutions'!AU156+'Audience Solutions'!AU149+'Audience Solutions'!AU146</f>
        <v>279.44499999999999</v>
      </c>
      <c r="AV65" s="298">
        <f>'Audience Solutions'!AV156+'Audience Solutions'!AV149+'Audience Solutions'!AV146</f>
        <v>287.90500000000003</v>
      </c>
      <c r="AW65" s="298">
        <f>'Audience Solutions'!AW156+'Audience Solutions'!AW149+'Audience Solutions'!AW146</f>
        <v>287.22500000000002</v>
      </c>
      <c r="AX65" s="203">
        <f>SUM(AT65:AW65)</f>
        <v>1113.7539999999999</v>
      </c>
      <c r="AY65" s="298">
        <f>'Audience Solutions'!AY156+'Audience Solutions'!AY149+'Audience Solutions'!AY146</f>
        <v>276.04399999999998</v>
      </c>
      <c r="AZ65" s="298">
        <f>'Audience Solutions'!AZ156+'Audience Solutions'!AZ149+'Audience Solutions'!AZ146</f>
        <v>286.43200000000002</v>
      </c>
      <c r="BA65" s="298">
        <f>'Audience Solutions'!BA156+'Audience Solutions'!BA149+'Audience Solutions'!BA146</f>
        <v>280.89300000000003</v>
      </c>
      <c r="BB65" s="298">
        <f>'Audience Solutions'!BB156+'Audience Solutions'!BB149+'Audience Solutions'!BB146</f>
        <v>287.255</v>
      </c>
      <c r="BC65" s="203">
        <f>SUM(AY65:BB65)</f>
        <v>1130.624</v>
      </c>
      <c r="BD65" s="298">
        <f>'Audience Solutions'!BD156+'Audience Solutions'!BD149+'Audience Solutions'!BD146</f>
        <v>271.65899999999999</v>
      </c>
      <c r="BE65" s="298">
        <f>'Audience Solutions'!BE156+'Audience Solutions'!BE149+'Audience Solutions'!BE146</f>
        <v>277.46699999999998</v>
      </c>
      <c r="BF65" s="298">
        <f>'Audience Solutions'!BF156+'Audience Solutions'!BF149+'Audience Solutions'!BF146</f>
        <v>273.10199999999998</v>
      </c>
      <c r="BG65" s="298">
        <f>'Audience Solutions'!BG156+'Audience Solutions'!BG149+'Audience Solutions'!BG146</f>
        <v>277.13099999999997</v>
      </c>
      <c r="BH65" s="203">
        <f>SUM(BD65:BG65)</f>
        <v>1099.3589999999999</v>
      </c>
      <c r="BI65" s="298">
        <f>'Audience Solutions'!BI156+'Audience Solutions'!BI149+'Audience Solutions'!BI146</f>
        <v>266.19299999999998</v>
      </c>
      <c r="BJ65" s="298">
        <f>'Audience Solutions'!BJ156+'Audience Solutions'!BJ149+'Audience Solutions'!BJ146</f>
        <v>276.27100000000002</v>
      </c>
      <c r="BK65" s="298">
        <f>'Audience Solutions'!BK156+'Audience Solutions'!BK149+'Audience Solutions'!BK146</f>
        <v>277.87299999999999</v>
      </c>
      <c r="BL65" s="298">
        <f>'Audience Solutions'!BL156+'Audience Solutions'!BL149+'Audience Solutions'!BL146</f>
        <v>277.20800000000003</v>
      </c>
      <c r="BM65" s="203">
        <f>SUM(BI65:BL65)</f>
        <v>1097.5450000000001</v>
      </c>
      <c r="BN65" s="707">
        <f>'Audience Solutions'!BN149+'Audience Solutions'!BN146</f>
        <v>242.21499999999997</v>
      </c>
      <c r="BO65" s="707">
        <f>'Audience Solutions'!BO149+'Audience Solutions'!BO146</f>
        <v>260.03699999999998</v>
      </c>
      <c r="BP65" s="707">
        <f>'Audience Solutions'!BP149+'Audience Solutions'!BP146</f>
        <v>260.44</v>
      </c>
      <c r="BQ65" s="707">
        <f>'Audience Solutions'!BQ149+'Audience Solutions'!BQ146</f>
        <v>257.36700000000002</v>
      </c>
      <c r="BR65" s="203">
        <f>SUM(BN65:BQ65)</f>
        <v>1020.059</v>
      </c>
      <c r="BS65" s="708">
        <v>196.89500000000001</v>
      </c>
      <c r="BT65" s="708">
        <v>207.345</v>
      </c>
      <c r="BU65" s="708">
        <v>221.19300000000001</v>
      </c>
      <c r="BV65" s="708">
        <v>224.655</v>
      </c>
      <c r="BW65" s="203">
        <f>SUM(BS65:BV65)</f>
        <v>850.08799999999997</v>
      </c>
      <c r="BX65" s="707">
        <f>Connectivity!BX45+'Marketing Services'!BX14+'Audience Solutions'!BX17</f>
        <v>214.80100000000002</v>
      </c>
      <c r="BY65" s="707">
        <f>Connectivity!BY45+'Marketing Services'!BY14+'Audience Solutions'!BY17</f>
        <v>217.267</v>
      </c>
      <c r="BZ65" s="707">
        <f>Connectivity!BZ45+'Marketing Services'!BZ14+'Audience Solutions'!BZ17</f>
        <v>223.31200000000001</v>
      </c>
      <c r="CA65" s="707">
        <f>Connectivity!CA45+'Marketing Services'!CA14+'Audience Solutions'!CA17</f>
        <v>224.86799999999999</v>
      </c>
      <c r="CB65" s="576">
        <f>SUM(BX65:CA65)</f>
        <v>880.24800000000005</v>
      </c>
      <c r="CC65" s="707">
        <f>Connectivity!CC45+'Marketing Services'!CC14+'Audience Solutions'!CC17</f>
        <v>212.51400000000001</v>
      </c>
      <c r="CD65" s="707">
        <f>Connectivity!CD45+'Marketing Services'!CD14+'Audience Solutions'!CD17</f>
        <v>225.23999999999998</v>
      </c>
      <c r="CE65" s="707">
        <f>Connectivity!CE45+'Marketing Services'!CE14+'Audience Solutions'!CE17</f>
        <v>234.87100000000001</v>
      </c>
      <c r="CF65" s="707">
        <f>Connectivity!CF45+'Marketing Services'!CF14+'Audience Solutions'!CF17</f>
        <v>244.78099999999998</v>
      </c>
      <c r="CG65" s="576">
        <f>SUM(CC65:CF65)</f>
        <v>917.40599999999995</v>
      </c>
      <c r="CH65" s="707"/>
      <c r="CI65" s="707"/>
      <c r="CJ65" s="707"/>
      <c r="CK65" s="707"/>
      <c r="CL65" s="576"/>
      <c r="CM65" s="707"/>
      <c r="CN65" s="707"/>
      <c r="CO65" s="707"/>
      <c r="CP65" s="707"/>
      <c r="CQ65" s="576"/>
    </row>
    <row r="66" spans="5:95" ht="13.5" hidden="1" x14ac:dyDescent="0.25">
      <c r="E66" s="356" t="s">
        <v>730</v>
      </c>
      <c r="F66" s="448"/>
      <c r="G66" s="448"/>
      <c r="H66" s="448"/>
      <c r="I66" s="448"/>
      <c r="J66" s="448"/>
      <c r="K66" s="448"/>
      <c r="L66" s="448"/>
      <c r="M66" s="448"/>
      <c r="N66" s="448"/>
      <c r="O66" s="449"/>
      <c r="P66" s="448"/>
      <c r="Q66" s="448"/>
      <c r="R66" s="448"/>
      <c r="S66" s="448"/>
      <c r="T66" s="449"/>
      <c r="U66" s="448"/>
      <c r="V66" s="448"/>
      <c r="W66" s="448"/>
      <c r="X66" s="448"/>
      <c r="Y66" s="449"/>
      <c r="Z66" s="455"/>
      <c r="AA66" s="455"/>
      <c r="AB66" s="455"/>
      <c r="AC66" s="455"/>
      <c r="AD66" s="449"/>
      <c r="AE66" s="455"/>
      <c r="AF66" s="455"/>
      <c r="AG66" s="455"/>
      <c r="AH66" s="455"/>
      <c r="AI66" s="370"/>
      <c r="AJ66" s="127"/>
      <c r="AK66" s="127"/>
      <c r="AL66" s="127"/>
      <c r="AM66" s="127"/>
      <c r="AN66" s="370"/>
      <c r="AO66" s="127"/>
      <c r="AP66" s="127"/>
      <c r="AQ66" s="127"/>
      <c r="AR66" s="448"/>
      <c r="AS66" s="449"/>
      <c r="AT66" s="449"/>
      <c r="AU66" s="449"/>
      <c r="AV66" s="449"/>
      <c r="AW66" s="449"/>
      <c r="AX66" s="449"/>
      <c r="AY66" s="32">
        <f t="shared" ref="AY66:BR66" si="16">(AY65-AT65)/ABS(AT65)</f>
        <v>6.5070858364296297E-2</v>
      </c>
      <c r="AZ66" s="32">
        <f t="shared" si="16"/>
        <v>2.5003131206498681E-2</v>
      </c>
      <c r="BA66" s="32">
        <f t="shared" si="16"/>
        <v>-2.4355256074052204E-2</v>
      </c>
      <c r="BB66" s="32">
        <f t="shared" si="16"/>
        <v>1.0444773261370951E-4</v>
      </c>
      <c r="BC66" s="32">
        <f t="shared" si="16"/>
        <v>1.5146971413795254E-2</v>
      </c>
      <c r="BD66" s="32">
        <f t="shared" si="16"/>
        <v>-1.5885148744403034E-2</v>
      </c>
      <c r="BE66" s="32">
        <f t="shared" si="16"/>
        <v>-3.1298877220422405E-2</v>
      </c>
      <c r="BF66" s="32">
        <f t="shared" si="16"/>
        <v>-2.7736540248422186E-2</v>
      </c>
      <c r="BG66" s="32">
        <f t="shared" si="16"/>
        <v>-3.5243947015717828E-2</v>
      </c>
      <c r="BH66" s="32">
        <f t="shared" si="16"/>
        <v>-2.7652871334767438E-2</v>
      </c>
      <c r="BI66" s="32">
        <f t="shared" si="16"/>
        <v>-2.0120813225403936E-2</v>
      </c>
      <c r="BJ66" s="32">
        <f t="shared" si="16"/>
        <v>-4.3104225006936666E-3</v>
      </c>
      <c r="BK66" s="32">
        <f t="shared" si="16"/>
        <v>1.7469663349224888E-2</v>
      </c>
      <c r="BL66" s="32">
        <f t="shared" si="16"/>
        <v>2.7784693881252923E-4</v>
      </c>
      <c r="BM66" s="32">
        <f t="shared" si="16"/>
        <v>-1.6500524396487872E-3</v>
      </c>
      <c r="BN66" s="680">
        <f t="shared" si="16"/>
        <v>-9.0077500159658638E-2</v>
      </c>
      <c r="BO66" s="680">
        <f t="shared" si="16"/>
        <v>-5.8761143949238377E-2</v>
      </c>
      <c r="BP66" s="680">
        <f t="shared" si="16"/>
        <v>-6.2737293655734785E-2</v>
      </c>
      <c r="BQ66" s="680">
        <f t="shared" si="16"/>
        <v>-7.1574413436841677E-2</v>
      </c>
      <c r="BR66" s="32">
        <f t="shared" si="16"/>
        <v>-7.0599383168799545E-2</v>
      </c>
      <c r="BS66" s="680">
        <f>(BS65-Connectivity!BN45-'Audience Solutions'!BN61)/ABS(Connectivity!BN45+'Audience Solutions'!BN61)</f>
        <v>5.4702356400957872E-2</v>
      </c>
      <c r="BT66" s="680">
        <f>(BT65-Connectivity!BO45-'Audience Solutions'!BO61)/ABS(Connectivity!BO45+'Audience Solutions'!BO61)</f>
        <v>1.5162939171987038E-2</v>
      </c>
      <c r="BU66" s="680">
        <f>(BU65-Connectivity!BP45-'Audience Solutions'!BP61)/ABS(Connectivity!BP45+'Audience Solutions'!BP61)</f>
        <v>6.2171662360861683E-2</v>
      </c>
      <c r="BV66" s="680">
        <f>(BV65-Connectivity!BQ45-'Audience Solutions'!BQ61)/ABS(Connectivity!BQ45+'Audience Solutions'!BQ61)</f>
        <v>9.1968269707486325E-2</v>
      </c>
      <c r="BW66" s="32">
        <f>(BW65-Connectivity!BR45-'Audience Solutions'!BR61)/ABS(Connectivity!BR45+'Audience Solutions'!BR61)</f>
        <v>5.6126702206827715E-2</v>
      </c>
      <c r="BX66" s="680">
        <f t="shared" ref="BX66:CG66" si="17">(BX65-BS65)/ABS(BS65)</f>
        <v>9.0941872571675283E-2</v>
      </c>
      <c r="BY66" s="680">
        <f t="shared" si="17"/>
        <v>4.785261279509994E-2</v>
      </c>
      <c r="BZ66" s="680">
        <f t="shared" si="17"/>
        <v>9.5798691640332188E-3</v>
      </c>
      <c r="CA66" s="680">
        <f t="shared" si="17"/>
        <v>9.4812045135872275E-4</v>
      </c>
      <c r="CB66" s="641">
        <f t="shared" si="17"/>
        <v>3.5478679854321064E-2</v>
      </c>
      <c r="CC66" s="680">
        <f t="shared" si="17"/>
        <v>-1.0647064026703814E-2</v>
      </c>
      <c r="CD66" s="680">
        <f t="shared" si="17"/>
        <v>3.6696783220645499E-2</v>
      </c>
      <c r="CE66" s="680">
        <f t="shared" si="17"/>
        <v>5.1761660815361453E-2</v>
      </c>
      <c r="CF66" s="680">
        <f t="shared" si="17"/>
        <v>8.8554174004304667E-2</v>
      </c>
      <c r="CG66" s="641">
        <f t="shared" si="17"/>
        <v>4.2213103579900095E-2</v>
      </c>
      <c r="CH66" s="680"/>
      <c r="CI66" s="680"/>
      <c r="CJ66" s="680"/>
      <c r="CK66" s="680"/>
      <c r="CL66" s="641"/>
      <c r="CM66" s="680"/>
      <c r="CN66" s="680"/>
      <c r="CO66" s="680"/>
      <c r="CP66" s="680"/>
      <c r="CQ66" s="641"/>
    </row>
    <row r="67" spans="5:95" ht="13.5" hidden="1" x14ac:dyDescent="0.25">
      <c r="E67" s="298" t="s">
        <v>459</v>
      </c>
      <c r="F67" s="185"/>
      <c r="G67" s="185"/>
      <c r="H67" s="185"/>
      <c r="I67" s="185"/>
      <c r="J67" s="185"/>
      <c r="K67" s="185"/>
      <c r="L67" s="185"/>
      <c r="M67" s="185"/>
      <c r="N67" s="185"/>
      <c r="O67" s="161"/>
      <c r="P67" s="185"/>
      <c r="Q67" s="185"/>
      <c r="R67" s="185"/>
      <c r="S67" s="185"/>
      <c r="T67" s="161"/>
      <c r="U67" s="185"/>
      <c r="V67" s="185"/>
      <c r="W67" s="185"/>
      <c r="X67" s="185"/>
      <c r="Y67" s="161"/>
      <c r="Z67" s="443"/>
      <c r="AA67" s="443"/>
      <c r="AB67" s="443"/>
      <c r="AC67" s="443"/>
      <c r="AD67" s="161"/>
      <c r="AE67" s="443"/>
      <c r="AF67" s="443"/>
      <c r="AG67" s="443"/>
      <c r="AH67" s="443"/>
      <c r="AI67" s="140"/>
      <c r="AJ67" s="139"/>
      <c r="AK67" s="139"/>
      <c r="AL67" s="139"/>
      <c r="AM67" s="139"/>
      <c r="AN67" s="140"/>
      <c r="AO67" s="139"/>
      <c r="AP67" s="139"/>
      <c r="AQ67" s="139"/>
      <c r="AR67" s="185"/>
      <c r="AS67" s="161"/>
      <c r="AT67" s="298"/>
      <c r="AU67" s="298"/>
      <c r="AV67" s="298">
        <f>'Audience Solutions'!AV142+'Audience Solutions'!AV152+'Audience Solutions'!AV149</f>
        <v>241.39400000000001</v>
      </c>
      <c r="AW67" s="298">
        <f>'Audience Solutions'!AW142+'Audience Solutions'!AW152+'Audience Solutions'!AW149</f>
        <v>241.55</v>
      </c>
      <c r="AX67" s="298"/>
      <c r="AY67" s="298">
        <f>'Audience Solutions'!AY142+'Audience Solutions'!AY152+'Audience Solutions'!AY149</f>
        <v>238.15000000000003</v>
      </c>
      <c r="AZ67" s="298">
        <f>'Audience Solutions'!AZ142+'Audience Solutions'!AZ152+'Audience Solutions'!AZ149</f>
        <v>244.41200000000003</v>
      </c>
      <c r="BA67" s="298">
        <f>'Audience Solutions'!BA142+'Audience Solutions'!BA152+'Audience Solutions'!BA149</f>
        <v>241.273</v>
      </c>
      <c r="BB67" s="298">
        <f>'Audience Solutions'!BB142+'Audience Solutions'!BB152+'Audience Solutions'!BB149</f>
        <v>246.09</v>
      </c>
      <c r="BC67" s="203">
        <f>SUM(AY67:BB67)</f>
        <v>969.92500000000007</v>
      </c>
      <c r="BD67" s="298">
        <f>'Audience Solutions'!BD142+'Audience Solutions'!BD152+'Audience Solutions'!BD149</f>
        <v>238.77699999999999</v>
      </c>
      <c r="BE67" s="298">
        <f>'Audience Solutions'!BE142+'Audience Solutions'!BE152+'Audience Solutions'!BE149</f>
        <v>240.82000000000002</v>
      </c>
      <c r="BF67" s="298">
        <f>'Audience Solutions'!BF142+'Audience Solutions'!BF152+'Audience Solutions'!BF149</f>
        <v>235.86599999999999</v>
      </c>
      <c r="BG67" s="298">
        <f>'Audience Solutions'!BG142+'Audience Solutions'!BG152+'Audience Solutions'!BG149</f>
        <v>233.50200000000001</v>
      </c>
      <c r="BH67" s="298">
        <f>'Audience Solutions'!BH142+'Audience Solutions'!BH152+'Audience Solutions'!BH149</f>
        <v>948.96500000000015</v>
      </c>
      <c r="BI67" s="298">
        <f>'Audience Solutions'!BI142+'Audience Solutions'!BI152+'Audience Solutions'!BI149</f>
        <v>232.78500000000003</v>
      </c>
      <c r="BJ67" s="298">
        <f>'Audience Solutions'!BJ142+'Audience Solutions'!BJ152+'Audience Solutions'!BJ149</f>
        <v>239.565</v>
      </c>
      <c r="BK67" s="298">
        <f>'Audience Solutions'!BK142+'Audience Solutions'!BK152+'Audience Solutions'!BK149</f>
        <v>237.149</v>
      </c>
      <c r="BL67" s="298">
        <f>'Audience Solutions'!BL142+'Audience Solutions'!BL152+'Audience Solutions'!BL149</f>
        <v>240.11600000000001</v>
      </c>
      <c r="BM67" s="203">
        <f>SUM(BI67:BL67)</f>
        <v>949.61500000000001</v>
      </c>
      <c r="BN67" s="707">
        <f>'Audience Solutions'!BN142+'Audience Solutions'!BN149</f>
        <v>218.53199999999998</v>
      </c>
      <c r="BO67" s="707">
        <f>'Audience Solutions'!BO142+'Audience Solutions'!BO149</f>
        <v>233.18900000000002</v>
      </c>
      <c r="BP67" s="707">
        <f>'Audience Solutions'!BP142+'Audience Solutions'!BP149</f>
        <v>235.79399999999998</v>
      </c>
      <c r="BQ67" s="707">
        <f>'Audience Solutions'!BQ142+'Audience Solutions'!BQ149</f>
        <v>236.93300000000002</v>
      </c>
      <c r="BR67" s="203">
        <f>SUM(BN67:BQ67)</f>
        <v>924.44799999999998</v>
      </c>
      <c r="BS67" s="707">
        <f>Connectivity!BS37+'Marketing Services'!BS8+'Audience Solutions'!BS11</f>
        <v>177.62699999999998</v>
      </c>
      <c r="BT67" s="707">
        <f>Connectivity!BT37+'Marketing Services'!BT8+'Audience Solutions'!BT11</f>
        <v>188.90899999999999</v>
      </c>
      <c r="BU67" s="707">
        <f>Connectivity!BU37+'Marketing Services'!BU8+'Audience Solutions'!BU11</f>
        <v>198.46699999999998</v>
      </c>
      <c r="BV67" s="707">
        <f>Connectivity!BV37+'Marketing Services'!BV8+'Audience Solutions'!BV11</f>
        <v>205.02100000000002</v>
      </c>
      <c r="BW67" s="203">
        <f>SUM(BS67:BV67)</f>
        <v>770.02399999999989</v>
      </c>
      <c r="BX67" s="707">
        <f>Connectivity!BX37+'Marketing Services'!BX8+'Audience Solutions'!BX11</f>
        <v>196.876</v>
      </c>
      <c r="BY67" s="707">
        <f>Connectivity!BY37+'Marketing Services'!BY8+'Audience Solutions'!BY11</f>
        <v>199.827</v>
      </c>
      <c r="BZ67" s="707">
        <f>Connectivity!BZ37+'Marketing Services'!BZ8+'Audience Solutions'!BZ11</f>
        <v>202.99599999999998</v>
      </c>
      <c r="CA67" s="707">
        <f>Connectivity!CA37+'Marketing Services'!CA8+'Audience Solutions'!CA11</f>
        <v>206.739</v>
      </c>
      <c r="CB67" s="576">
        <f>SUM(BX67:CA67)</f>
        <v>806.43799999999999</v>
      </c>
      <c r="CC67" s="707">
        <f>Connectivity!CC37+'Marketing Services'!CC8+'Audience Solutions'!CC11</f>
        <v>194.24799999999999</v>
      </c>
      <c r="CD67" s="707">
        <f>Connectivity!CD37+'Marketing Services'!CD8+'Audience Solutions'!CD11</f>
        <v>206.20399999999998</v>
      </c>
      <c r="CE67" s="707">
        <f>Connectivity!CE37+'Marketing Services'!CE8+'Audience Solutions'!CE11</f>
        <v>212.48099999999999</v>
      </c>
      <c r="CF67" s="707">
        <f>Connectivity!CF37+'Marketing Services'!CF8+'Audience Solutions'!CF11</f>
        <v>221.8</v>
      </c>
      <c r="CG67" s="576">
        <f>SUM(CC67:CF67)</f>
        <v>834.73299999999995</v>
      </c>
      <c r="CH67" s="707"/>
      <c r="CI67" s="707"/>
      <c r="CJ67" s="707"/>
      <c r="CK67" s="707"/>
      <c r="CL67" s="576"/>
      <c r="CM67" s="707"/>
      <c r="CN67" s="707"/>
      <c r="CO67" s="707"/>
      <c r="CP67" s="707"/>
      <c r="CQ67" s="576"/>
    </row>
    <row r="68" spans="5:95" ht="13.5" hidden="1" x14ac:dyDescent="0.25">
      <c r="E68" s="356" t="s">
        <v>2</v>
      </c>
      <c r="F68" s="448"/>
      <c r="G68" s="448"/>
      <c r="H68" s="448"/>
      <c r="I68" s="448"/>
      <c r="J68" s="448"/>
      <c r="K68" s="448"/>
      <c r="L68" s="448"/>
      <c r="M68" s="448"/>
      <c r="N68" s="448"/>
      <c r="O68" s="449"/>
      <c r="P68" s="448"/>
      <c r="Q68" s="448"/>
      <c r="R68" s="448"/>
      <c r="S68" s="448"/>
      <c r="T68" s="449"/>
      <c r="U68" s="448"/>
      <c r="V68" s="448"/>
      <c r="W68" s="448"/>
      <c r="X68" s="448"/>
      <c r="Y68" s="449"/>
      <c r="Z68" s="455"/>
      <c r="AA68" s="455"/>
      <c r="AB68" s="455"/>
      <c r="AC68" s="455"/>
      <c r="AD68" s="449"/>
      <c r="AE68" s="455"/>
      <c r="AF68" s="455"/>
      <c r="AG68" s="455"/>
      <c r="AH68" s="455"/>
      <c r="AI68" s="370"/>
      <c r="AJ68" s="127"/>
      <c r="AK68" s="127"/>
      <c r="AL68" s="127"/>
      <c r="AM68" s="127"/>
      <c r="AN68" s="370"/>
      <c r="AO68" s="127"/>
      <c r="AP68" s="127"/>
      <c r="AQ68" s="127"/>
      <c r="AR68" s="448"/>
      <c r="AS68" s="449"/>
      <c r="AT68" s="449"/>
      <c r="AU68" s="449"/>
      <c r="AV68" s="449"/>
      <c r="AW68" s="449"/>
      <c r="AX68" s="449"/>
      <c r="AY68" s="32"/>
      <c r="AZ68" s="32"/>
      <c r="BA68" s="32">
        <f>BA67/AV67-1</f>
        <v>-5.012552093258682E-4</v>
      </c>
      <c r="BB68" s="32"/>
      <c r="BC68" s="32"/>
      <c r="BD68" s="32">
        <f>BD67/AY67-1</f>
        <v>2.6327944572746009E-3</v>
      </c>
      <c r="BE68" s="32">
        <f>BE67/AZ67-1</f>
        <v>-1.4696496080388921E-2</v>
      </c>
      <c r="BF68" s="32">
        <f>BF67/BA67-1</f>
        <v>-2.2410298707273513E-2</v>
      </c>
      <c r="BG68" s="32">
        <f>BG67/BB67-1</f>
        <v>-5.1152017554553231E-2</v>
      </c>
      <c r="BH68" s="32"/>
      <c r="BI68" s="32">
        <f t="shared" ref="BI68:BR68" si="18">BI67/BD67-1</f>
        <v>-2.5094544281903053E-2</v>
      </c>
      <c r="BJ68" s="32">
        <f t="shared" si="18"/>
        <v>-5.2113611826261064E-3</v>
      </c>
      <c r="BK68" s="32">
        <f t="shared" si="18"/>
        <v>5.4395292242206406E-3</v>
      </c>
      <c r="BL68" s="32">
        <f t="shared" si="18"/>
        <v>2.8325239184246787E-2</v>
      </c>
      <c r="BM68" s="32">
        <f t="shared" si="18"/>
        <v>6.8495676868995936E-4</v>
      </c>
      <c r="BN68" s="680">
        <f t="shared" si="18"/>
        <v>-6.1228171918293883E-2</v>
      </c>
      <c r="BO68" s="680">
        <f t="shared" si="18"/>
        <v>-2.661490618412532E-2</v>
      </c>
      <c r="BP68" s="680">
        <f t="shared" si="18"/>
        <v>-5.7137074160128476E-3</v>
      </c>
      <c r="BQ68" s="680">
        <f t="shared" si="18"/>
        <v>-1.325609288843721E-2</v>
      </c>
      <c r="BR68" s="32">
        <f t="shared" si="18"/>
        <v>-2.6502319361004223E-2</v>
      </c>
      <c r="BS68" s="680"/>
      <c r="BT68" s="680"/>
      <c r="BU68" s="680"/>
      <c r="BV68" s="680"/>
      <c r="BW68" s="32"/>
      <c r="BX68" s="680">
        <f t="shared" ref="BX68:CG68" si="19">BX67/BS67-1</f>
        <v>0.10836753421495615</v>
      </c>
      <c r="BY68" s="680">
        <f t="shared" si="19"/>
        <v>5.779502300049244E-2</v>
      </c>
      <c r="BZ68" s="680">
        <f t="shared" si="19"/>
        <v>2.281991464575972E-2</v>
      </c>
      <c r="CA68" s="680">
        <f t="shared" si="19"/>
        <v>8.3796294038172014E-3</v>
      </c>
      <c r="CB68" s="641">
        <f t="shared" si="19"/>
        <v>4.7289435134489466E-2</v>
      </c>
      <c r="CC68" s="680">
        <f t="shared" si="19"/>
        <v>-1.33485036266483E-2</v>
      </c>
      <c r="CD68" s="680">
        <f t="shared" si="19"/>
        <v>3.1912604402808409E-2</v>
      </c>
      <c r="CE68" s="680">
        <f t="shared" si="19"/>
        <v>4.6725058621844839E-2</v>
      </c>
      <c r="CF68" s="680">
        <f t="shared" si="19"/>
        <v>7.285030884351773E-2</v>
      </c>
      <c r="CG68" s="641">
        <f t="shared" si="19"/>
        <v>3.5086392258301347E-2</v>
      </c>
      <c r="CH68" s="680"/>
      <c r="CI68" s="680"/>
      <c r="CJ68" s="680"/>
      <c r="CK68" s="680"/>
      <c r="CL68" s="641"/>
      <c r="CM68" s="680"/>
      <c r="CN68" s="680"/>
      <c r="CO68" s="680"/>
      <c r="CP68" s="680"/>
      <c r="CQ68" s="641"/>
    </row>
    <row r="69" spans="5:95" ht="13.5" hidden="1" x14ac:dyDescent="0.25">
      <c r="E69" s="298" t="s">
        <v>449</v>
      </c>
      <c r="F69" s="185"/>
      <c r="G69" s="185"/>
      <c r="H69" s="185"/>
      <c r="I69" s="185"/>
      <c r="J69" s="185"/>
      <c r="K69" s="185"/>
      <c r="L69" s="185"/>
      <c r="M69" s="185"/>
      <c r="N69" s="185"/>
      <c r="O69" s="161"/>
      <c r="P69" s="185"/>
      <c r="Q69" s="185"/>
      <c r="R69" s="185"/>
      <c r="S69" s="185"/>
      <c r="T69" s="161"/>
      <c r="U69" s="185"/>
      <c r="V69" s="185"/>
      <c r="W69" s="185"/>
      <c r="X69" s="185"/>
      <c r="Y69" s="161"/>
      <c r="Z69" s="443"/>
      <c r="AA69" s="443"/>
      <c r="AB69" s="443"/>
      <c r="AC69" s="443"/>
      <c r="AD69" s="161"/>
      <c r="AE69" s="443"/>
      <c r="AF69" s="443"/>
      <c r="AG69" s="443"/>
      <c r="AH69" s="443"/>
      <c r="AI69" s="140"/>
      <c r="AJ69" s="139"/>
      <c r="AK69" s="139"/>
      <c r="AL69" s="139"/>
      <c r="AM69" s="139"/>
      <c r="AN69" s="140"/>
      <c r="AO69" s="139"/>
      <c r="AP69" s="139"/>
      <c r="AQ69" s="139"/>
      <c r="AR69" s="185"/>
      <c r="AS69" s="161"/>
      <c r="AT69" s="298"/>
      <c r="AU69" s="298"/>
      <c r="AV69" s="298">
        <f>'Audience Solutions'!AV144+'Audience Solutions'!AV154</f>
        <v>46.511000000000017</v>
      </c>
      <c r="AW69" s="298">
        <f>'Audience Solutions'!AW144+'Audience Solutions'!AW154</f>
        <v>45.674999999999997</v>
      </c>
      <c r="AX69" s="298"/>
      <c r="AY69" s="298">
        <f>'Audience Solutions'!AY144+'Audience Solutions'!AY154</f>
        <v>37.893999999999998</v>
      </c>
      <c r="AZ69" s="298">
        <f>'Audience Solutions'!AZ144+'Audience Solutions'!AZ154</f>
        <v>42.019999999999989</v>
      </c>
      <c r="BA69" s="298">
        <f>'Audience Solutions'!BA144+'Audience Solutions'!BA154</f>
        <v>39.620000000000012</v>
      </c>
      <c r="BB69" s="298">
        <f>'Audience Solutions'!BB144+'Audience Solutions'!BB154</f>
        <v>41.164999999999992</v>
      </c>
      <c r="BC69" s="203">
        <f>SUM(AY69:BB69)</f>
        <v>160.69899999999998</v>
      </c>
      <c r="BD69" s="298">
        <f>'Audience Solutions'!BD144+'Audience Solutions'!BD154</f>
        <v>32.881999999999998</v>
      </c>
      <c r="BE69" s="298">
        <f>'Audience Solutions'!BE144+'Audience Solutions'!BE154</f>
        <v>36.646999999999991</v>
      </c>
      <c r="BF69" s="298">
        <f>'Audience Solutions'!BF144+'Audience Solutions'!BF154</f>
        <v>37.23599999999999</v>
      </c>
      <c r="BG69" s="298">
        <f>'Audience Solutions'!BG144+'Audience Solutions'!BG154</f>
        <v>43.628999999999976</v>
      </c>
      <c r="BH69" s="298">
        <f>'Audience Solutions'!BH144+'Audience Solutions'!BH154</f>
        <v>150.39399999999998</v>
      </c>
      <c r="BI69" s="298">
        <f>'Audience Solutions'!BI144+'Audience Solutions'!BI154</f>
        <v>33.408000000000001</v>
      </c>
      <c r="BJ69" s="298">
        <f>'Audience Solutions'!BJ144+'Audience Solutions'!BJ154</f>
        <v>36.705999999999989</v>
      </c>
      <c r="BK69" s="298">
        <f>'Audience Solutions'!BK144+'Audience Solutions'!BK154</f>
        <v>40.723999999999997</v>
      </c>
      <c r="BL69" s="298">
        <f>'Audience Solutions'!BL144+'Audience Solutions'!BL154</f>
        <v>37.091999999999999</v>
      </c>
      <c r="BM69" s="203">
        <f>SUM(BI69:BL69)</f>
        <v>147.93</v>
      </c>
      <c r="BN69" s="707">
        <f>'Audience Solutions'!BN144</f>
        <v>23.682999999999993</v>
      </c>
      <c r="BO69" s="707">
        <f>'Audience Solutions'!BO144</f>
        <v>26.847999999999985</v>
      </c>
      <c r="BP69" s="707">
        <f>'Audience Solutions'!BP144</f>
        <v>24.646000000000015</v>
      </c>
      <c r="BQ69" s="707">
        <f>'Audience Solutions'!BQ144</f>
        <v>20.433999999999997</v>
      </c>
      <c r="BR69" s="203">
        <f>SUM(BN69:BQ69)</f>
        <v>95.61099999999999</v>
      </c>
      <c r="BS69" s="707">
        <f>BS65-BS67</f>
        <v>19.268000000000029</v>
      </c>
      <c r="BT69" s="707">
        <f>BT65-BT67</f>
        <v>18.436000000000007</v>
      </c>
      <c r="BU69" s="707">
        <f>BU65-BU67</f>
        <v>22.726000000000028</v>
      </c>
      <c r="BV69" s="707">
        <f>BV65-BV67</f>
        <v>19.633999999999986</v>
      </c>
      <c r="BW69" s="203">
        <f>SUM(BS69:BV69)</f>
        <v>80.06400000000005</v>
      </c>
      <c r="BX69" s="707">
        <f>BX65-BX67</f>
        <v>17.925000000000011</v>
      </c>
      <c r="BY69" s="707">
        <f>BY65-BY67</f>
        <v>17.439999999999998</v>
      </c>
      <c r="BZ69" s="707">
        <f>BZ65-BZ67</f>
        <v>20.316000000000031</v>
      </c>
      <c r="CA69" s="707">
        <f>CA65-CA67</f>
        <v>18.128999999999991</v>
      </c>
      <c r="CB69" s="576">
        <f>SUM(BX69:CA69)</f>
        <v>73.810000000000031</v>
      </c>
      <c r="CC69" s="707">
        <f>CC65-CC67</f>
        <v>18.26600000000002</v>
      </c>
      <c r="CD69" s="707">
        <f>CD65-CD67</f>
        <v>19.036000000000001</v>
      </c>
      <c r="CE69" s="707">
        <f>CE65-CE67</f>
        <v>22.390000000000015</v>
      </c>
      <c r="CF69" s="707">
        <f>CF65-CF67</f>
        <v>22.980999999999966</v>
      </c>
      <c r="CG69" s="576">
        <f>SUM(CC69:CF69)</f>
        <v>82.673000000000002</v>
      </c>
      <c r="CH69" s="707"/>
      <c r="CI69" s="707"/>
      <c r="CJ69" s="707"/>
      <c r="CK69" s="707"/>
      <c r="CL69" s="576"/>
      <c r="CM69" s="707"/>
      <c r="CN69" s="707"/>
      <c r="CO69" s="707"/>
      <c r="CP69" s="707"/>
      <c r="CQ69" s="576"/>
    </row>
    <row r="70" spans="5:95" ht="13.5" hidden="1" x14ac:dyDescent="0.25">
      <c r="E70" s="356" t="s">
        <v>2</v>
      </c>
      <c r="F70" s="448"/>
      <c r="G70" s="448"/>
      <c r="H70" s="448"/>
      <c r="I70" s="448"/>
      <c r="J70" s="448"/>
      <c r="K70" s="448"/>
      <c r="L70" s="448"/>
      <c r="M70" s="448"/>
      <c r="N70" s="448"/>
      <c r="O70" s="449"/>
      <c r="P70" s="448"/>
      <c r="Q70" s="448"/>
      <c r="R70" s="448"/>
      <c r="S70" s="448"/>
      <c r="T70" s="449"/>
      <c r="U70" s="448"/>
      <c r="V70" s="448"/>
      <c r="W70" s="448"/>
      <c r="X70" s="448"/>
      <c r="Y70" s="449"/>
      <c r="Z70" s="455"/>
      <c r="AA70" s="455"/>
      <c r="AB70" s="455"/>
      <c r="AC70" s="455"/>
      <c r="AD70" s="449"/>
      <c r="AE70" s="455"/>
      <c r="AF70" s="455"/>
      <c r="AG70" s="455"/>
      <c r="AH70" s="455"/>
      <c r="AI70" s="370"/>
      <c r="AJ70" s="127"/>
      <c r="AK70" s="127"/>
      <c r="AL70" s="127"/>
      <c r="AM70" s="127"/>
      <c r="AN70" s="370"/>
      <c r="AO70" s="127"/>
      <c r="AP70" s="127"/>
      <c r="AQ70" s="127"/>
      <c r="AR70" s="448"/>
      <c r="AS70" s="449"/>
      <c r="AT70" s="449"/>
      <c r="AU70" s="449"/>
      <c r="AV70" s="449"/>
      <c r="AW70" s="449"/>
      <c r="AX70" s="449"/>
      <c r="AY70" s="32"/>
      <c r="AZ70" s="32"/>
      <c r="BA70" s="32">
        <f>BA69/AV69-1</f>
        <v>-0.14815850013975196</v>
      </c>
      <c r="BB70" s="32"/>
      <c r="BC70" s="32"/>
      <c r="BD70" s="32">
        <f>BD69/AY69-1</f>
        <v>-0.13226368290494539</v>
      </c>
      <c r="BE70" s="32">
        <f>BE69/AZ69-1</f>
        <v>-0.12786768205616372</v>
      </c>
      <c r="BF70" s="32">
        <f>BF69/BA69-1</f>
        <v>-6.0171630489652239E-2</v>
      </c>
      <c r="BG70" s="32">
        <f>BG69/BB69-1</f>
        <v>5.9856674359285433E-2</v>
      </c>
      <c r="BH70" s="32"/>
      <c r="BI70" s="32">
        <f t="shared" ref="BI70:BR70" si="20">BI69/BD69-1</f>
        <v>1.5996593881150822E-2</v>
      </c>
      <c r="BJ70" s="32">
        <f t="shared" si="20"/>
        <v>1.6099544301033664E-3</v>
      </c>
      <c r="BK70" s="32">
        <f t="shared" si="20"/>
        <v>9.3672789773337817E-2</v>
      </c>
      <c r="BL70" s="32">
        <f t="shared" si="20"/>
        <v>-0.14983153407137406</v>
      </c>
      <c r="BM70" s="32">
        <f t="shared" si="20"/>
        <v>-1.6383632325757458E-2</v>
      </c>
      <c r="BN70" s="680">
        <f t="shared" si="20"/>
        <v>-0.29109794061302707</v>
      </c>
      <c r="BO70" s="680">
        <f t="shared" si="20"/>
        <v>-0.26856644690241394</v>
      </c>
      <c r="BP70" s="680">
        <f t="shared" si="20"/>
        <v>-0.39480404675375658</v>
      </c>
      <c r="BQ70" s="680">
        <f t="shared" si="20"/>
        <v>-0.44909953628814847</v>
      </c>
      <c r="BR70" s="32">
        <f t="shared" si="20"/>
        <v>-0.35367403501656203</v>
      </c>
      <c r="BS70" s="680"/>
      <c r="BT70" s="680"/>
      <c r="BU70" s="680"/>
      <c r="BV70" s="680"/>
      <c r="BW70" s="32"/>
      <c r="BX70" s="680">
        <f t="shared" ref="BX70:CG70" si="21">BX69/BS69-1</f>
        <v>-6.9701058750260336E-2</v>
      </c>
      <c r="BY70" s="680">
        <f t="shared" si="21"/>
        <v>-5.4024734215665449E-2</v>
      </c>
      <c r="BZ70" s="680">
        <f t="shared" si="21"/>
        <v>-0.10604593857255984</v>
      </c>
      <c r="CA70" s="680">
        <f t="shared" si="21"/>
        <v>-7.6652745237852482E-2</v>
      </c>
      <c r="CB70" s="641">
        <f t="shared" si="21"/>
        <v>-7.8112509992006585E-2</v>
      </c>
      <c r="CC70" s="680">
        <f t="shared" si="21"/>
        <v>1.9023709902371344E-2</v>
      </c>
      <c r="CD70" s="680">
        <f t="shared" si="21"/>
        <v>9.1513761467890031E-2</v>
      </c>
      <c r="CE70" s="680">
        <f t="shared" si="21"/>
        <v>0.10208702500492128</v>
      </c>
      <c r="CF70" s="680">
        <f t="shared" si="21"/>
        <v>0.26763748689944156</v>
      </c>
      <c r="CG70" s="641">
        <f t="shared" si="21"/>
        <v>0.12007858013819228</v>
      </c>
      <c r="CH70" s="680"/>
      <c r="CI70" s="680"/>
      <c r="CJ70" s="680"/>
      <c r="CK70" s="680"/>
      <c r="CL70" s="641"/>
      <c r="CM70" s="680"/>
      <c r="CN70" s="680"/>
      <c r="CO70" s="680"/>
      <c r="CP70" s="680"/>
      <c r="CQ70" s="641"/>
    </row>
    <row r="71" spans="5:95" hidden="1" x14ac:dyDescent="0.25">
      <c r="BN71" s="700"/>
      <c r="BO71" s="700"/>
      <c r="BP71" s="700"/>
      <c r="BQ71" s="700"/>
      <c r="BS71" s="700"/>
      <c r="BT71" s="700"/>
      <c r="BU71" s="700"/>
      <c r="BV71" s="700"/>
      <c r="BX71" s="700"/>
      <c r="BY71" s="700"/>
      <c r="BZ71" s="700"/>
      <c r="CA71" s="700"/>
      <c r="CB71" s="574"/>
      <c r="CC71" s="700"/>
      <c r="CD71" s="700"/>
      <c r="CE71" s="700"/>
      <c r="CF71" s="700"/>
      <c r="CG71" s="574"/>
      <c r="CH71" s="700"/>
      <c r="CI71" s="700"/>
      <c r="CJ71" s="700"/>
      <c r="CK71" s="700"/>
      <c r="CL71" s="574"/>
      <c r="CM71" s="700"/>
      <c r="CN71" s="700"/>
      <c r="CO71" s="700"/>
      <c r="CP71" s="700"/>
      <c r="CQ71" s="574"/>
    </row>
    <row r="72" spans="5:95" hidden="1" x14ac:dyDescent="0.25">
      <c r="BN72" s="700"/>
      <c r="BO72" s="700"/>
      <c r="BP72" s="700"/>
      <c r="BQ72" s="700"/>
      <c r="BS72" s="700"/>
      <c r="BT72" s="700"/>
      <c r="BU72" s="700"/>
      <c r="BV72" s="700"/>
      <c r="BX72" s="700"/>
      <c r="BY72" s="700"/>
      <c r="BZ72" s="700"/>
      <c r="CA72" s="700"/>
      <c r="CB72" s="574"/>
      <c r="CC72" s="700"/>
      <c r="CD72" s="700"/>
      <c r="CE72" s="700"/>
      <c r="CF72" s="700"/>
      <c r="CG72" s="574"/>
      <c r="CH72" s="700"/>
      <c r="CI72" s="700"/>
      <c r="CJ72" s="700"/>
      <c r="CK72" s="700"/>
      <c r="CL72" s="574"/>
      <c r="CM72" s="700"/>
      <c r="CN72" s="700"/>
      <c r="CO72" s="700"/>
      <c r="CP72" s="700"/>
      <c r="CQ72" s="574"/>
    </row>
    <row r="73" spans="5:95" hidden="1" x14ac:dyDescent="0.25">
      <c r="E73" s="54" t="s">
        <v>669</v>
      </c>
      <c r="F73" s="542"/>
      <c r="G73" s="542"/>
      <c r="H73" s="542"/>
      <c r="I73" s="542"/>
      <c r="J73" s="542"/>
      <c r="O73" s="542"/>
      <c r="T73" s="542"/>
      <c r="Y73" s="542"/>
      <c r="Z73" s="59"/>
      <c r="AA73" s="59"/>
      <c r="AB73" s="59"/>
      <c r="AC73" s="59"/>
      <c r="AD73" s="542"/>
      <c r="AE73" s="59"/>
      <c r="AF73" s="59"/>
      <c r="AG73" s="59"/>
      <c r="AH73" s="59"/>
      <c r="AI73" s="542"/>
      <c r="AJ73" s="59"/>
      <c r="AK73" s="59"/>
      <c r="AL73" s="59"/>
      <c r="AM73" s="59"/>
      <c r="AN73" s="542"/>
      <c r="AO73" s="59"/>
      <c r="AP73" s="59"/>
      <c r="AQ73" s="59"/>
      <c r="AR73" s="59"/>
      <c r="AS73" s="542"/>
      <c r="AT73" s="59"/>
      <c r="AU73" s="59"/>
      <c r="AV73" s="59"/>
      <c r="AW73" s="59"/>
      <c r="AX73" s="542"/>
      <c r="BC73" s="542"/>
      <c r="BD73" s="59"/>
      <c r="BE73" s="59"/>
      <c r="BF73" s="59"/>
      <c r="BG73" s="59"/>
      <c r="BH73" s="542"/>
      <c r="BM73" s="542"/>
      <c r="BN73" s="635">
        <f>'Audience Solutions'!BN51</f>
        <v>24.19</v>
      </c>
      <c r="BO73" s="635">
        <f>'Audience Solutions'!BO51</f>
        <v>31.375</v>
      </c>
      <c r="BP73" s="635">
        <f>'Audience Solutions'!BP51</f>
        <v>28.919</v>
      </c>
      <c r="BQ73" s="635">
        <f>'Audience Solutions'!BQ51</f>
        <v>30.594000000000001</v>
      </c>
      <c r="BR73" s="575">
        <f>SUM(BN73:BQ73)</f>
        <v>115.078</v>
      </c>
      <c r="BS73" s="635">
        <f>'Audience Solutions'!BS51</f>
        <v>24.087</v>
      </c>
      <c r="BT73" s="635">
        <f>'Audience Solutions'!BT51</f>
        <v>25.19</v>
      </c>
      <c r="BU73" s="635">
        <f>'Audience Solutions'!BU51</f>
        <v>30.722999999999999</v>
      </c>
      <c r="BV73" s="635">
        <f>'Audience Solutions'!BV51</f>
        <v>29.597999999999999</v>
      </c>
      <c r="BW73" s="575">
        <f>SUM(BS73:BV73)</f>
        <v>109.598</v>
      </c>
      <c r="BX73" s="635">
        <f>'Audience Solutions'!BX51</f>
        <v>25.096</v>
      </c>
      <c r="BY73" s="635">
        <f>'Audience Solutions'!BY51</f>
        <v>29.972000000000001</v>
      </c>
      <c r="BZ73" s="635">
        <f>'Audience Solutions'!BZ51</f>
        <v>34.572000000000003</v>
      </c>
      <c r="CA73" s="635">
        <f>'Audience Solutions'!CA51</f>
        <v>33.597999999999999</v>
      </c>
      <c r="CB73" s="575">
        <f>SUM(BX73:CA73)</f>
        <v>123.238</v>
      </c>
      <c r="CC73" s="635">
        <f>'Audience Solutions'!CC51</f>
        <v>28.542000000000002</v>
      </c>
      <c r="CD73" s="635">
        <f>'Audience Solutions'!CD51</f>
        <v>29.497</v>
      </c>
      <c r="CE73" s="635">
        <f>'Audience Solutions'!CE51</f>
        <v>33.112000000000002</v>
      </c>
      <c r="CF73" s="635">
        <f>'Audience Solutions'!CF51</f>
        <v>33.040999999999997</v>
      </c>
      <c r="CG73" s="575">
        <f>SUM(CC73:CF73)</f>
        <v>124.19200000000001</v>
      </c>
      <c r="CH73" s="635"/>
      <c r="CI73" s="635"/>
      <c r="CJ73" s="635"/>
      <c r="CK73" s="635"/>
      <c r="CL73" s="575"/>
      <c r="CM73" s="635"/>
      <c r="CN73" s="635"/>
      <c r="CO73" s="635"/>
      <c r="CP73" s="635"/>
      <c r="CQ73" s="575"/>
    </row>
    <row r="74" spans="5:95" ht="13.5" hidden="1" x14ac:dyDescent="0.25">
      <c r="E74" s="365" t="s">
        <v>2</v>
      </c>
      <c r="F74" s="542"/>
      <c r="G74" s="542"/>
      <c r="H74" s="542"/>
      <c r="I74" s="542"/>
      <c r="J74" s="542"/>
      <c r="O74" s="542"/>
      <c r="T74" s="542"/>
      <c r="Y74" s="542"/>
      <c r="Z74" s="59"/>
      <c r="AA74" s="59"/>
      <c r="AB74" s="59"/>
      <c r="AC74" s="59"/>
      <c r="AD74" s="542"/>
      <c r="AE74" s="59"/>
      <c r="AF74" s="59"/>
      <c r="AG74" s="59"/>
      <c r="AH74" s="59"/>
      <c r="AI74" s="542"/>
      <c r="AJ74" s="59"/>
      <c r="AK74" s="59"/>
      <c r="AL74" s="59"/>
      <c r="AM74" s="59"/>
      <c r="AN74" s="542"/>
      <c r="AO74" s="59"/>
      <c r="AP74" s="59"/>
      <c r="AQ74" s="59"/>
      <c r="AR74" s="59"/>
      <c r="AS74" s="542"/>
      <c r="AT74" s="59"/>
      <c r="AU74" s="59"/>
      <c r="AV74" s="59"/>
      <c r="AW74" s="59"/>
      <c r="AX74" s="542"/>
      <c r="BC74" s="542"/>
      <c r="BD74" s="59"/>
      <c r="BE74" s="59"/>
      <c r="BF74" s="59"/>
      <c r="BG74" s="59"/>
      <c r="BH74" s="542"/>
      <c r="BM74" s="542"/>
      <c r="BN74" s="635"/>
      <c r="BO74" s="635"/>
      <c r="BP74" s="635"/>
      <c r="BQ74" s="635"/>
      <c r="BR74" s="575"/>
      <c r="BS74" s="680">
        <f t="shared" ref="BS74:CG74" si="22">(BS73-BN73)/ABS(BN73)</f>
        <v>-4.2579578338156898E-3</v>
      </c>
      <c r="BT74" s="680">
        <f t="shared" si="22"/>
        <v>-0.19713147410358561</v>
      </c>
      <c r="BU74" s="680">
        <f t="shared" si="22"/>
        <v>6.238113351084057E-2</v>
      </c>
      <c r="BV74" s="680">
        <f t="shared" si="22"/>
        <v>-3.2555403020200109E-2</v>
      </c>
      <c r="BW74" s="525">
        <f t="shared" si="22"/>
        <v>-4.761987521507155E-2</v>
      </c>
      <c r="BX74" s="680">
        <f t="shared" si="22"/>
        <v>4.1889816083364485E-2</v>
      </c>
      <c r="BY74" s="680">
        <f t="shared" si="22"/>
        <v>0.18983723699880906</v>
      </c>
      <c r="BZ74" s="680">
        <f t="shared" si="22"/>
        <v>0.12528073430329081</v>
      </c>
      <c r="CA74" s="680">
        <f t="shared" si="22"/>
        <v>0.13514426650449354</v>
      </c>
      <c r="CB74" s="641">
        <f t="shared" si="22"/>
        <v>0.12445482581798939</v>
      </c>
      <c r="CC74" s="680">
        <f t="shared" si="22"/>
        <v>0.13731271915843168</v>
      </c>
      <c r="CD74" s="680">
        <f t="shared" si="22"/>
        <v>-1.5848124916588862E-2</v>
      </c>
      <c r="CE74" s="680">
        <f t="shared" si="22"/>
        <v>-4.2230706930463983E-2</v>
      </c>
      <c r="CF74" s="680">
        <f t="shared" si="22"/>
        <v>-1.6578367759985779E-2</v>
      </c>
      <c r="CG74" s="641">
        <f t="shared" si="22"/>
        <v>7.7411188107564853E-3</v>
      </c>
      <c r="CH74" s="680"/>
      <c r="CI74" s="680"/>
      <c r="CJ74" s="680"/>
      <c r="CK74" s="680"/>
      <c r="CL74" s="641"/>
      <c r="CM74" s="680"/>
      <c r="CN74" s="680"/>
      <c r="CO74" s="680"/>
      <c r="CP74" s="680"/>
      <c r="CQ74" s="641"/>
    </row>
    <row r="75" spans="5:95" ht="13.5" hidden="1" x14ac:dyDescent="0.25">
      <c r="E75" s="365" t="s">
        <v>91</v>
      </c>
      <c r="F75" s="542"/>
      <c r="G75" s="542"/>
      <c r="H75" s="542"/>
      <c r="I75" s="542"/>
      <c r="J75" s="542"/>
      <c r="O75" s="542"/>
      <c r="T75" s="542"/>
      <c r="Y75" s="542"/>
      <c r="Z75" s="59"/>
      <c r="AA75" s="59"/>
      <c r="AB75" s="59"/>
      <c r="AC75" s="59"/>
      <c r="AD75" s="542"/>
      <c r="AE75" s="59"/>
      <c r="AF75" s="59"/>
      <c r="AG75" s="59"/>
      <c r="AH75" s="59"/>
      <c r="AI75" s="542"/>
      <c r="AJ75" s="59"/>
      <c r="AK75" s="59"/>
      <c r="AL75" s="59"/>
      <c r="AM75" s="59"/>
      <c r="AN75" s="542"/>
      <c r="AO75" s="59"/>
      <c r="AP75" s="59"/>
      <c r="AQ75" s="59"/>
      <c r="AR75" s="59"/>
      <c r="AS75" s="542"/>
      <c r="AT75" s="59"/>
      <c r="AU75" s="59"/>
      <c r="AV75" s="59"/>
      <c r="AW75" s="59"/>
      <c r="AX75" s="542"/>
      <c r="BC75" s="542"/>
      <c r="BD75" s="59"/>
      <c r="BE75" s="59"/>
      <c r="BF75" s="59"/>
      <c r="BG75" s="59"/>
      <c r="BH75" s="542"/>
      <c r="BM75" s="542"/>
      <c r="BN75" s="680">
        <f>BN73/'Audience Solutions'!BN17</f>
        <v>0.33109319609641263</v>
      </c>
      <c r="BO75" s="680">
        <f>BO73/'Audience Solutions'!BO17</f>
        <v>0.4021095532258479</v>
      </c>
      <c r="BP75" s="680">
        <f>BP73/'Audience Solutions'!BP17</f>
        <v>0.38084890627263501</v>
      </c>
      <c r="BQ75" s="680">
        <f>BQ73/'Audience Solutions'!BQ17</f>
        <v>0.39827640074984377</v>
      </c>
      <c r="BR75" s="525">
        <f>BR73/'Audience Solutions'!BR17</f>
        <v>0.37875037849366106</v>
      </c>
      <c r="BS75" s="680">
        <f>BS73/'Audience Solutions'!BS17</f>
        <v>0.35137855579868704</v>
      </c>
      <c r="BT75" s="680">
        <f>BT73/'Audience Solutions'!BT17</f>
        <v>0.34927413652056966</v>
      </c>
      <c r="BU75" s="680">
        <f>BU73/'Audience Solutions'!BU17</f>
        <v>0.39876177867767298</v>
      </c>
      <c r="BV75" s="680">
        <f>BV73/'Audience Solutions'!BV17</f>
        <v>0.36938398562300317</v>
      </c>
      <c r="BW75" s="525">
        <f>BW73/'Audience Solutions'!BW17</f>
        <v>0.36796991723883227</v>
      </c>
      <c r="BX75" s="680">
        <f>BX73/'Audience Solutions'!BX17</f>
        <v>0.34031243219787372</v>
      </c>
      <c r="BY75" s="680">
        <f>BY73/'Audience Solutions'!BY17</f>
        <v>0.38168250006367321</v>
      </c>
      <c r="BZ75" s="680">
        <f>BZ73/'Audience Solutions'!BZ17</f>
        <v>0.41453734457247693</v>
      </c>
      <c r="CA75" s="680">
        <f>CA73/'Audience Solutions'!CA17</f>
        <v>0.38888374461780634</v>
      </c>
      <c r="CB75" s="641">
        <f>CB73/'Audience Solutions'!CB17</f>
        <v>0.38264946517007437</v>
      </c>
      <c r="CC75" s="680">
        <f>CC73/'Audience Solutions'!CC17</f>
        <v>0.37687168246758396</v>
      </c>
      <c r="CD75" s="680">
        <f>CD73/'Audience Solutions'!CD17</f>
        <v>0.37426091811099554</v>
      </c>
      <c r="CE75" s="680">
        <f>CE73/'Audience Solutions'!CE17</f>
        <v>0.3921550049741816</v>
      </c>
      <c r="CF75" s="680">
        <f>CF73/'Audience Solutions'!CF17</f>
        <v>0.3738769321293593</v>
      </c>
      <c r="CG75" s="641">
        <f>CG73/'Audience Solutions'!CG17</f>
        <v>0.37937670684693825</v>
      </c>
      <c r="CH75" s="680"/>
      <c r="CI75" s="680"/>
      <c r="CJ75" s="680"/>
      <c r="CK75" s="680"/>
      <c r="CL75" s="641"/>
      <c r="CM75" s="680"/>
      <c r="CN75" s="680"/>
      <c r="CO75" s="680"/>
      <c r="CP75" s="680"/>
      <c r="CQ75" s="641"/>
    </row>
    <row r="76" spans="5:95" x14ac:dyDescent="0.25">
      <c r="E76" s="27" t="s">
        <v>426</v>
      </c>
      <c r="F76" s="542"/>
      <c r="G76" s="542"/>
      <c r="H76" s="542"/>
      <c r="I76" s="542"/>
      <c r="J76" s="542"/>
      <c r="O76" s="542"/>
      <c r="T76" s="542"/>
      <c r="Y76" s="542"/>
      <c r="Z76" s="59"/>
      <c r="AA76" s="59"/>
      <c r="AB76" s="59"/>
      <c r="AC76" s="59"/>
      <c r="AD76" s="542"/>
      <c r="AE76" s="59"/>
      <c r="AF76" s="59"/>
      <c r="AG76" s="59"/>
      <c r="AH76" s="59"/>
      <c r="AI76" s="542"/>
      <c r="AJ76" s="59"/>
      <c r="AK76" s="59"/>
      <c r="AL76" s="59"/>
      <c r="AM76" s="59"/>
      <c r="AN76" s="542"/>
      <c r="AO76" s="59"/>
      <c r="AP76" s="59"/>
      <c r="AQ76" s="59"/>
      <c r="AR76" s="59"/>
      <c r="AS76" s="542"/>
      <c r="AT76" s="59"/>
      <c r="AU76" s="59"/>
      <c r="AV76" s="59"/>
      <c r="AW76" s="59"/>
      <c r="AX76" s="542"/>
      <c r="BC76" s="542"/>
      <c r="BD76" s="59"/>
      <c r="BE76" s="59"/>
      <c r="BF76" s="59"/>
      <c r="BG76" s="59"/>
      <c r="BH76" s="542"/>
      <c r="BM76" s="542"/>
      <c r="BN76" s="635">
        <f>BN77*(Income!BN130-Income!BN117-Income!BN121)</f>
        <v>4.994955</v>
      </c>
      <c r="BO76" s="635">
        <f>BO77*(Income!BO130-Income!BO117-Income!BO121)</f>
        <v>5.1948000000000008</v>
      </c>
      <c r="BP76" s="635">
        <f>BP77*(Income!BP130-Income!BP117-Income!BP121)</f>
        <v>4.8508300000000011</v>
      </c>
      <c r="BQ76" s="635">
        <f>BQ77*(Income!BQ130-Income!BQ117-Income!BQ121)</f>
        <v>5.7404750000000027</v>
      </c>
      <c r="BR76" s="575">
        <f>SUM(BN76:BQ76)</f>
        <v>20.781060000000007</v>
      </c>
      <c r="BS76" s="635">
        <f>BS77*(Income!BS130-Income!BS117-Income!BS121)</f>
        <v>4.8908049999999994</v>
      </c>
      <c r="BT76" s="635">
        <f>BT77*(Income!BT130-Income!BT117-Income!BT121)</f>
        <v>5.7970350000000019</v>
      </c>
      <c r="BU76" s="635">
        <f>BU77*(Income!BU130-Income!BU117-Income!BU121)</f>
        <v>5.4332800000000008</v>
      </c>
      <c r="BV76" s="635">
        <f>BV77*(Income!BV130-Income!BV117-Income!BV121)</f>
        <v>5.5136600000000016</v>
      </c>
      <c r="BW76" s="575">
        <f>SUM(BS76:BV76)</f>
        <v>21.634780000000003</v>
      </c>
      <c r="BX76" s="635">
        <f>BX77*(Income!BX130-Income!BX117-Income!BX121)</f>
        <v>5.882976000000002</v>
      </c>
      <c r="BY76" s="635">
        <f>BY77*(Income!BY130-Income!BY117-Income!BY121)</f>
        <v>5.3033399999999995</v>
      </c>
      <c r="BZ76" s="635">
        <f>BZ77*(Income!BZ130-Income!BZ117-Income!BZ121)</f>
        <v>4.7817120000000006</v>
      </c>
      <c r="CA76" s="635">
        <f>CA77*(Income!CA130-Income!CA117-Income!CA121)</f>
        <v>4.3658969999999986</v>
      </c>
      <c r="CB76" s="575">
        <f>SUM(BX76:CA76)</f>
        <v>20.333925000000001</v>
      </c>
      <c r="CC76" s="635">
        <f>CC77*(Income!CC130-Income!CC117-Income!CC121)</f>
        <v>1.0167120000000009</v>
      </c>
      <c r="CD76" s="635">
        <f>CD77*(Income!CD130-Income!CD117-Income!CD121)</f>
        <v>1.1448360000000002</v>
      </c>
      <c r="CE76" s="635">
        <f>CE77*(Income!CE130-Income!CE117-Income!CE121)</f>
        <v>1.0095859999999999</v>
      </c>
      <c r="CF76" s="635">
        <f>CF77*(Income!CF130-Income!CF117-Income!CF121)</f>
        <v>1.4601020000000002</v>
      </c>
      <c r="CG76" s="575">
        <f>SUM(CC76:CF76)</f>
        <v>4.6312360000000012</v>
      </c>
      <c r="CH76" s="635"/>
      <c r="CI76" s="635"/>
      <c r="CJ76" s="635"/>
      <c r="CK76" s="635"/>
      <c r="CL76" s="575"/>
      <c r="CM76" s="635"/>
      <c r="CN76" s="635"/>
      <c r="CO76" s="635"/>
      <c r="CP76" s="635"/>
      <c r="CQ76" s="575"/>
    </row>
    <row r="77" spans="5:95" ht="13.5" x14ac:dyDescent="0.25">
      <c r="E77" s="365" t="s">
        <v>672</v>
      </c>
      <c r="F77" s="542"/>
      <c r="G77" s="542"/>
      <c r="H77" s="542"/>
      <c r="I77" s="542"/>
      <c r="J77" s="542"/>
      <c r="O77" s="542"/>
      <c r="T77" s="542"/>
      <c r="Y77" s="542"/>
      <c r="Z77" s="59"/>
      <c r="AA77" s="59"/>
      <c r="AB77" s="59"/>
      <c r="AC77" s="59"/>
      <c r="AD77" s="542"/>
      <c r="AE77" s="59"/>
      <c r="AF77" s="59"/>
      <c r="AG77" s="59"/>
      <c r="AH77" s="59"/>
      <c r="AI77" s="542"/>
      <c r="AJ77" s="59"/>
      <c r="AK77" s="59"/>
      <c r="AL77" s="59"/>
      <c r="AM77" s="59"/>
      <c r="AN77" s="542"/>
      <c r="AO77" s="59"/>
      <c r="AP77" s="59"/>
      <c r="AQ77" s="59"/>
      <c r="AR77" s="59"/>
      <c r="AS77" s="542"/>
      <c r="AT77" s="59"/>
      <c r="AU77" s="59"/>
      <c r="AV77" s="59"/>
      <c r="AW77" s="59"/>
      <c r="AX77" s="542"/>
      <c r="BC77" s="542"/>
      <c r="BD77" s="59"/>
      <c r="BE77" s="59"/>
      <c r="BF77" s="59"/>
      <c r="BG77" s="59"/>
      <c r="BH77" s="542"/>
      <c r="BM77" s="542"/>
      <c r="BN77" s="680">
        <f>1-'Marketing Services'!BN56-Connectivity!BN97-Income!BN178</f>
        <v>0.315</v>
      </c>
      <c r="BO77" s="680">
        <f>1-'Marketing Services'!BO56-Connectivity!BO97-Income!BO178</f>
        <v>0.36000000000000004</v>
      </c>
      <c r="BP77" s="680">
        <f>1-'Marketing Services'!BP56-Connectivity!BP97-Income!BP178</f>
        <v>0.29000000000000004</v>
      </c>
      <c r="BQ77" s="680">
        <f>1-'Marketing Services'!BQ56-Connectivity!BQ97-Income!BQ178</f>
        <v>0.32500000000000007</v>
      </c>
      <c r="BR77" s="641">
        <f>BR76/(Income!BR130-Income!BR117-Income!BR121)</f>
        <v>0.3213052553457954</v>
      </c>
      <c r="BS77" s="680">
        <f>1-'Marketing Services'!BS56-Connectivity!BS97-Income!BS178</f>
        <v>0.29500000000000004</v>
      </c>
      <c r="BT77" s="680">
        <f>1-'Marketing Services'!BT56-Connectivity!BT97-Income!BT178</f>
        <v>0.34500000000000008</v>
      </c>
      <c r="BU77" s="680">
        <f>1-'Marketing Services'!BU56-Connectivity!BU97-Income!BU178</f>
        <v>0.32000000000000006</v>
      </c>
      <c r="BV77" s="680">
        <f>1-'Marketing Services'!BV56-Connectivity!BV97-Income!BV178</f>
        <v>0.31000000000000005</v>
      </c>
      <c r="BW77" s="641">
        <f>BW76/(Income!BW130-Income!BW117-Income!BW121)</f>
        <v>0.31747222915168688</v>
      </c>
      <c r="BX77" s="680">
        <f>1-'Marketing Services'!BX56-Connectivity!BX97-Income!BX178</f>
        <v>0.35200000000000009</v>
      </c>
      <c r="BY77" s="680">
        <f>1-'Marketing Services'!BY56-Connectivity!BY97-Income!BY178</f>
        <v>0.32200000000000001</v>
      </c>
      <c r="BZ77" s="680">
        <f>1-'Marketing Services'!BZ56-Connectivity!BZ97-Income!BZ178</f>
        <v>0.31200000000000006</v>
      </c>
      <c r="CA77" s="680">
        <f>1-'Marketing Services'!CA56-Connectivity!CA97-Income!CA178</f>
        <v>0.28099999999999997</v>
      </c>
      <c r="CB77" s="641">
        <f>CB76/(Income!CB130-Income!CB117-Income!CB121)</f>
        <v>0.31748938263123383</v>
      </c>
      <c r="CC77" s="680">
        <f>1-'Marketing Services'!CC56-Connectivity!CC97-Income!CC178</f>
        <v>0.31380000000000008</v>
      </c>
      <c r="CD77" s="680">
        <f>1-'Marketing Services'!CD56-Connectivity!CD97-Income!CD178</f>
        <v>0.30800000000000005</v>
      </c>
      <c r="CE77" s="680">
        <f>1-'Marketing Services'!CE56-Connectivity!CE97-Income!CE178</f>
        <v>0.30199999999999994</v>
      </c>
      <c r="CF77" s="680">
        <f>1-'Marketing Services'!CF56-Connectivity!CF97-Income!CF178</f>
        <v>0.32900000000000007</v>
      </c>
      <c r="CG77" s="641">
        <f>CG76/(Income!CG130-Income!CG117-Income!CG121)</f>
        <v>0.31423775274799837</v>
      </c>
      <c r="CH77" s="680"/>
      <c r="CI77" s="680"/>
      <c r="CJ77" s="680"/>
      <c r="CK77" s="680"/>
      <c r="CL77" s="641"/>
      <c r="CM77" s="680"/>
      <c r="CN77" s="680"/>
      <c r="CO77" s="680"/>
      <c r="CP77" s="680"/>
      <c r="CQ77" s="641"/>
    </row>
    <row r="78" spans="5:95" ht="13.5" x14ac:dyDescent="0.25">
      <c r="E78" s="642" t="s">
        <v>670</v>
      </c>
      <c r="F78" s="542"/>
      <c r="G78" s="542"/>
      <c r="H78" s="542"/>
      <c r="I78" s="542"/>
      <c r="J78" s="542"/>
      <c r="K78" s="524"/>
      <c r="L78" s="524"/>
      <c r="M78" s="524"/>
      <c r="N78" s="524"/>
      <c r="O78" s="542"/>
      <c r="P78" s="524"/>
      <c r="Q78" s="524"/>
      <c r="R78" s="524"/>
      <c r="S78" s="524"/>
      <c r="T78" s="542"/>
      <c r="U78" s="524"/>
      <c r="V78" s="524"/>
      <c r="W78" s="524"/>
      <c r="X78" s="524"/>
      <c r="Y78" s="542"/>
      <c r="Z78" s="542"/>
      <c r="AA78" s="542"/>
      <c r="AB78" s="542"/>
      <c r="AC78" s="542"/>
      <c r="AD78" s="542"/>
      <c r="AE78" s="542"/>
      <c r="AF78" s="542"/>
      <c r="AG78" s="542"/>
      <c r="AH78" s="542"/>
      <c r="AI78" s="542"/>
      <c r="AJ78" s="542"/>
      <c r="AK78" s="542"/>
      <c r="AL78" s="542"/>
      <c r="AM78" s="542"/>
      <c r="AN78" s="542"/>
      <c r="AO78" s="542"/>
      <c r="AP78" s="542"/>
      <c r="AQ78" s="542"/>
      <c r="AR78" s="542"/>
      <c r="AS78" s="542"/>
      <c r="AT78" s="542"/>
      <c r="AU78" s="542"/>
      <c r="AV78" s="542"/>
      <c r="AW78" s="542"/>
      <c r="AX78" s="542"/>
      <c r="AY78" s="574"/>
      <c r="AZ78" s="574"/>
      <c r="BA78" s="574"/>
      <c r="BB78" s="574"/>
      <c r="BC78" s="542"/>
      <c r="BD78" s="542"/>
      <c r="BE78" s="542"/>
      <c r="BF78" s="542"/>
      <c r="BG78" s="542"/>
      <c r="BH78" s="542"/>
      <c r="BI78" s="574"/>
      <c r="BJ78" s="574"/>
      <c r="BK78" s="574"/>
      <c r="BL78" s="574"/>
      <c r="BM78" s="542"/>
      <c r="BN78" s="540">
        <f t="shared" ref="BN78:CB78" si="23">BN73+BN76</f>
        <v>29.184955000000002</v>
      </c>
      <c r="BO78" s="540">
        <f t="shared" si="23"/>
        <v>36.569800000000001</v>
      </c>
      <c r="BP78" s="540">
        <f t="shared" si="23"/>
        <v>33.769829999999999</v>
      </c>
      <c r="BQ78" s="540">
        <f t="shared" si="23"/>
        <v>36.334475000000005</v>
      </c>
      <c r="BR78" s="540">
        <f t="shared" si="23"/>
        <v>135.85906</v>
      </c>
      <c r="BS78" s="540">
        <f t="shared" si="23"/>
        <v>28.977805</v>
      </c>
      <c r="BT78" s="540">
        <f t="shared" si="23"/>
        <v>30.987035000000002</v>
      </c>
      <c r="BU78" s="540">
        <f t="shared" si="23"/>
        <v>36.156280000000002</v>
      </c>
      <c r="BV78" s="540">
        <f t="shared" si="23"/>
        <v>35.111660000000001</v>
      </c>
      <c r="BW78" s="540">
        <f t="shared" si="23"/>
        <v>131.23277999999999</v>
      </c>
      <c r="BX78" s="540">
        <f t="shared" si="23"/>
        <v>30.978976000000003</v>
      </c>
      <c r="BY78" s="540">
        <f t="shared" si="23"/>
        <v>35.27534</v>
      </c>
      <c r="BZ78" s="540">
        <f t="shared" si="23"/>
        <v>39.353712000000002</v>
      </c>
      <c r="CA78" s="540">
        <f t="shared" si="23"/>
        <v>37.963896999999996</v>
      </c>
      <c r="CB78" s="540">
        <f t="shared" si="23"/>
        <v>143.57192499999999</v>
      </c>
      <c r="CC78" s="540">
        <f t="shared" ref="CC78:CG78" si="24">CC73+CC76</f>
        <v>29.558712000000003</v>
      </c>
      <c r="CD78" s="540">
        <f t="shared" si="24"/>
        <v>30.641836000000001</v>
      </c>
      <c r="CE78" s="540">
        <f t="shared" si="24"/>
        <v>34.121586000000001</v>
      </c>
      <c r="CF78" s="540">
        <f t="shared" si="24"/>
        <v>34.501101999999996</v>
      </c>
      <c r="CG78" s="540">
        <f t="shared" si="24"/>
        <v>128.82323600000001</v>
      </c>
      <c r="CH78" s="540"/>
      <c r="CI78" s="540"/>
      <c r="CJ78" s="540"/>
      <c r="CK78" s="540"/>
      <c r="CL78" s="540"/>
      <c r="CM78" s="540"/>
      <c r="CN78" s="540"/>
      <c r="CO78" s="540"/>
      <c r="CP78" s="540"/>
      <c r="CQ78" s="540"/>
    </row>
    <row r="79" spans="5:95" ht="13.5" x14ac:dyDescent="0.25">
      <c r="E79" s="643" t="s">
        <v>2</v>
      </c>
      <c r="F79" s="542"/>
      <c r="G79" s="542"/>
      <c r="H79" s="542"/>
      <c r="I79" s="542"/>
      <c r="J79" s="542"/>
      <c r="K79" s="524"/>
      <c r="L79" s="524"/>
      <c r="M79" s="524"/>
      <c r="N79" s="524"/>
      <c r="O79" s="542"/>
      <c r="P79" s="524"/>
      <c r="Q79" s="524"/>
      <c r="R79" s="524"/>
      <c r="S79" s="524"/>
      <c r="T79" s="542"/>
      <c r="U79" s="524"/>
      <c r="V79" s="524"/>
      <c r="W79" s="524"/>
      <c r="X79" s="524"/>
      <c r="Y79" s="542"/>
      <c r="Z79" s="542"/>
      <c r="AA79" s="542"/>
      <c r="AB79" s="542"/>
      <c r="AC79" s="542"/>
      <c r="AD79" s="542"/>
      <c r="AE79" s="542"/>
      <c r="AF79" s="542"/>
      <c r="AG79" s="542"/>
      <c r="AH79" s="542"/>
      <c r="AI79" s="542"/>
      <c r="AJ79" s="542"/>
      <c r="AK79" s="542"/>
      <c r="AL79" s="542"/>
      <c r="AM79" s="542"/>
      <c r="AN79" s="542"/>
      <c r="AO79" s="542"/>
      <c r="AP79" s="542"/>
      <c r="AQ79" s="542"/>
      <c r="AR79" s="542"/>
      <c r="AS79" s="542"/>
      <c r="AT79" s="542"/>
      <c r="AU79" s="542"/>
      <c r="AV79" s="542"/>
      <c r="AW79" s="542"/>
      <c r="AX79" s="542"/>
      <c r="AY79" s="574"/>
      <c r="AZ79" s="574"/>
      <c r="BA79" s="574"/>
      <c r="BB79" s="574"/>
      <c r="BC79" s="542"/>
      <c r="BD79" s="542"/>
      <c r="BE79" s="542"/>
      <c r="BF79" s="542"/>
      <c r="BG79" s="542"/>
      <c r="BH79" s="542"/>
      <c r="BI79" s="574"/>
      <c r="BJ79" s="574"/>
      <c r="BK79" s="574"/>
      <c r="BL79" s="574"/>
      <c r="BM79" s="542"/>
      <c r="BN79" s="540"/>
      <c r="BO79" s="540"/>
      <c r="BP79" s="540"/>
      <c r="BQ79" s="540"/>
      <c r="BR79" s="540"/>
      <c r="BS79" s="641">
        <f t="shared" ref="BS79:CG79" si="25">(BS78-BN78)/ABS(BN78)</f>
        <v>-7.0978351688396352E-3</v>
      </c>
      <c r="BT79" s="641">
        <f t="shared" si="25"/>
        <v>-0.15266052863291563</v>
      </c>
      <c r="BU79" s="641">
        <f t="shared" si="25"/>
        <v>7.0668108190062071E-2</v>
      </c>
      <c r="BV79" s="641">
        <f t="shared" si="25"/>
        <v>-3.3654401226383593E-2</v>
      </c>
      <c r="BW79" s="641">
        <f t="shared" si="25"/>
        <v>-3.4052053650305017E-2</v>
      </c>
      <c r="BX79" s="641">
        <f t="shared" si="25"/>
        <v>6.9058750309072853E-2</v>
      </c>
      <c r="BY79" s="641">
        <f t="shared" si="25"/>
        <v>0.13839029774871967</v>
      </c>
      <c r="BZ79" s="641">
        <f t="shared" si="25"/>
        <v>8.8433655232230721E-2</v>
      </c>
      <c r="CA79" s="641">
        <f t="shared" si="25"/>
        <v>8.1233328187844012E-2</v>
      </c>
      <c r="CB79" s="641">
        <f t="shared" si="25"/>
        <v>9.4024869396198141E-2</v>
      </c>
      <c r="CC79" s="641">
        <f t="shared" si="25"/>
        <v>-4.5846060244212054E-2</v>
      </c>
      <c r="CD79" s="641">
        <f t="shared" si="25"/>
        <v>-0.1313524972402817</v>
      </c>
      <c r="CE79" s="641">
        <f t="shared" si="25"/>
        <v>-0.13295127026390804</v>
      </c>
      <c r="CF79" s="641">
        <f>(CF78-CA78)/ABS(CA78)</f>
        <v>-9.1212843612972619E-2</v>
      </c>
      <c r="CG79" s="641">
        <f t="shared" si="25"/>
        <v>-0.10272683186493449</v>
      </c>
      <c r="CH79" s="641"/>
      <c r="CI79" s="641"/>
      <c r="CJ79" s="641"/>
      <c r="CK79" s="641"/>
      <c r="CL79" s="641"/>
      <c r="CM79" s="641"/>
      <c r="CN79" s="641"/>
      <c r="CO79" s="641"/>
      <c r="CP79" s="641"/>
      <c r="CQ79" s="641"/>
    </row>
    <row r="80" spans="5:95" ht="13.5" x14ac:dyDescent="0.25">
      <c r="E80" s="643" t="s">
        <v>91</v>
      </c>
      <c r="F80" s="542"/>
      <c r="G80" s="542"/>
      <c r="H80" s="542"/>
      <c r="I80" s="542"/>
      <c r="J80" s="542"/>
      <c r="K80" s="524"/>
      <c r="L80" s="524"/>
      <c r="M80" s="524"/>
      <c r="N80" s="524"/>
      <c r="O80" s="542"/>
      <c r="P80" s="524"/>
      <c r="Q80" s="524"/>
      <c r="R80" s="524"/>
      <c r="S80" s="524"/>
      <c r="T80" s="542"/>
      <c r="U80" s="524"/>
      <c r="V80" s="524"/>
      <c r="W80" s="524"/>
      <c r="X80" s="524"/>
      <c r="Y80" s="542"/>
      <c r="Z80" s="542"/>
      <c r="AA80" s="542"/>
      <c r="AB80" s="542"/>
      <c r="AC80" s="542"/>
      <c r="AD80" s="542"/>
      <c r="AE80" s="542"/>
      <c r="AF80" s="542"/>
      <c r="AG80" s="542"/>
      <c r="AH80" s="542"/>
      <c r="AI80" s="542"/>
      <c r="AJ80" s="542"/>
      <c r="AK80" s="542"/>
      <c r="AL80" s="542"/>
      <c r="AM80" s="542"/>
      <c r="AN80" s="542"/>
      <c r="AO80" s="542"/>
      <c r="AP80" s="542"/>
      <c r="AQ80" s="542"/>
      <c r="AR80" s="542"/>
      <c r="AS80" s="542"/>
      <c r="AT80" s="542"/>
      <c r="AU80" s="542"/>
      <c r="AV80" s="542"/>
      <c r="AW80" s="542"/>
      <c r="AX80" s="542"/>
      <c r="AY80" s="574"/>
      <c r="AZ80" s="574"/>
      <c r="BA80" s="574"/>
      <c r="BB80" s="574"/>
      <c r="BC80" s="542"/>
      <c r="BD80" s="542"/>
      <c r="BE80" s="542"/>
      <c r="BF80" s="542"/>
      <c r="BG80" s="542"/>
      <c r="BH80" s="542"/>
      <c r="BI80" s="574"/>
      <c r="BJ80" s="574"/>
      <c r="BK80" s="574"/>
      <c r="BL80" s="574"/>
      <c r="BM80" s="542"/>
      <c r="BN80" s="540"/>
      <c r="BO80" s="540"/>
      <c r="BP80" s="540"/>
      <c r="BQ80" s="540"/>
      <c r="BR80" s="641">
        <f>BR78/'Audience Solutions'!BR17</f>
        <v>0.44714602614568383</v>
      </c>
      <c r="BS80" s="641">
        <f>BS78/'Audience Solutions'!BS17</f>
        <v>0.42272509117432522</v>
      </c>
      <c r="BT80" s="641">
        <f>BT78/'Audience Solutions'!BT17</f>
        <v>0.4296534296529444</v>
      </c>
      <c r="BU80" s="641">
        <f>BU78/'Audience Solutions'!BU17</f>
        <v>0.46928172779897714</v>
      </c>
      <c r="BV80" s="641">
        <f>BV78/'Audience Solutions'!BV17</f>
        <v>0.43819463857827479</v>
      </c>
      <c r="BW80" s="641">
        <f>BW78/'Audience Solutions'!BW17</f>
        <v>0.4406076314861756</v>
      </c>
      <c r="BX80" s="641">
        <f>BX78/'Audience Solutions'!BX17</f>
        <v>0.4200880885224561</v>
      </c>
      <c r="BY80" s="641">
        <f>BY78/'Audience Solutions'!BY17</f>
        <v>0.44921860275577519</v>
      </c>
      <c r="BZ80" s="641">
        <f>BZ78/'Audience Solutions'!BZ17</f>
        <v>0.47187270830585498</v>
      </c>
      <c r="CA80" s="641">
        <f>CA78/'Audience Solutions'!CA17</f>
        <v>0.43941729941200974</v>
      </c>
      <c r="CB80" s="641">
        <f>CB78/'Audience Solutions'!CB17</f>
        <v>0.44578555571080369</v>
      </c>
      <c r="CC80" s="641">
        <f>CC78/'Audience Solutions'!CC17</f>
        <v>0.39029645865793444</v>
      </c>
      <c r="CD80" s="641">
        <f>CD78/'Audience Solutions'!CD17</f>
        <v>0.38878671302052942</v>
      </c>
      <c r="CE80" s="641">
        <f>CE78/'Audience Solutions'!CE17</f>
        <v>0.40411182434032872</v>
      </c>
      <c r="CF80" s="641">
        <f>CF78/'Audience Solutions'!CF17</f>
        <v>0.39039878244732612</v>
      </c>
      <c r="CG80" s="641">
        <f>CG78/'Audience Solutions'!CG17</f>
        <v>0.39352401957489969</v>
      </c>
      <c r="CH80" s="641"/>
      <c r="CI80" s="641"/>
      <c r="CJ80" s="641"/>
      <c r="CK80" s="641"/>
      <c r="CL80" s="641"/>
      <c r="CM80" s="641"/>
      <c r="CN80" s="641"/>
      <c r="CO80" s="641"/>
      <c r="CP80" s="641"/>
      <c r="CQ80" s="641"/>
    </row>
    <row r="82" spans="5:95" x14ac:dyDescent="0.25">
      <c r="E82" s="6" t="s">
        <v>19</v>
      </c>
      <c r="CL82" s="721"/>
      <c r="CM82" s="721"/>
      <c r="CN82" s="721"/>
      <c r="CO82" s="721"/>
      <c r="CP82" s="721"/>
      <c r="CQ82" s="721"/>
    </row>
    <row r="84" spans="5:95" x14ac:dyDescent="0.25">
      <c r="CB84" s="85"/>
      <c r="CG84" s="85"/>
      <c r="CH84" s="85"/>
      <c r="CI84" s="85"/>
      <c r="CJ84" s="85"/>
      <c r="CK84" s="85"/>
      <c r="CL84" s="85"/>
      <c r="CQ84" s="85"/>
    </row>
    <row r="85" spans="5:95" x14ac:dyDescent="0.25">
      <c r="CG85" s="355"/>
      <c r="CL85" s="355"/>
    </row>
    <row r="107" spans="5:95" hidden="1" x14ac:dyDescent="0.25">
      <c r="E107" s="54" t="s">
        <v>644</v>
      </c>
      <c r="F107" s="566"/>
      <c r="G107" s="566"/>
      <c r="H107" s="566"/>
      <c r="I107" s="566"/>
      <c r="J107" s="566"/>
      <c r="K107" s="122"/>
      <c r="L107" s="122"/>
      <c r="M107" s="122"/>
      <c r="N107" s="122"/>
      <c r="O107" s="566"/>
      <c r="P107" s="122"/>
      <c r="Q107" s="122"/>
      <c r="R107" s="122"/>
      <c r="S107" s="122"/>
      <c r="T107" s="566"/>
      <c r="U107" s="122"/>
      <c r="V107" s="122"/>
      <c r="W107" s="122"/>
      <c r="X107" s="122"/>
      <c r="Y107" s="566"/>
      <c r="Z107" s="128"/>
      <c r="AA107" s="128"/>
      <c r="AB107" s="128"/>
      <c r="AC107" s="128"/>
      <c r="AD107" s="566"/>
      <c r="AE107" s="128"/>
      <c r="AF107" s="128"/>
      <c r="AG107" s="128"/>
      <c r="AH107" s="128"/>
      <c r="AI107" s="513"/>
      <c r="AJ107" s="85"/>
      <c r="AK107" s="85"/>
      <c r="AL107" s="85"/>
      <c r="AM107" s="85"/>
      <c r="AN107" s="513"/>
      <c r="AO107" s="85"/>
      <c r="AP107" s="85"/>
      <c r="AQ107" s="85"/>
      <c r="AR107" s="364"/>
      <c r="AS107" s="566"/>
      <c r="AT107" s="417">
        <v>5.7000000000000002E-2</v>
      </c>
      <c r="AU107" s="417">
        <v>-7.8E-2</v>
      </c>
      <c r="AV107" s="417">
        <v>3.64</v>
      </c>
      <c r="AW107" s="417">
        <v>-87.893000000000001</v>
      </c>
      <c r="AX107" s="568">
        <f>SUM(AT107:AW107)</f>
        <v>-84.274000000000001</v>
      </c>
      <c r="AY107" s="417">
        <v>-0.24399999999999999</v>
      </c>
      <c r="AZ107" s="417">
        <v>-2.4649999999999999</v>
      </c>
      <c r="BA107" s="417">
        <v>-15.132</v>
      </c>
      <c r="BB107" s="417">
        <v>-12.6</v>
      </c>
      <c r="BC107" s="568">
        <f>SUM(AY107:BB107)</f>
        <v>-30.441000000000003</v>
      </c>
      <c r="BD107" s="417">
        <v>-0.16</v>
      </c>
      <c r="BE107" s="417">
        <v>-3.2000000000000001E-2</v>
      </c>
      <c r="BF107" s="417">
        <v>0.126</v>
      </c>
      <c r="BG107" s="417">
        <v>-1.944</v>
      </c>
      <c r="BH107" s="568">
        <f>SUM(BD107:BG107)</f>
        <v>-2.0099999999999998</v>
      </c>
      <c r="BI107" s="417">
        <v>0</v>
      </c>
      <c r="BJ107" s="417">
        <v>-8.5730000000000004</v>
      </c>
      <c r="BK107" s="417">
        <v>-9.5540000000000003</v>
      </c>
      <c r="BL107" s="417">
        <v>-46.81</v>
      </c>
      <c r="BM107" s="513">
        <v>-158.00700000000001</v>
      </c>
      <c r="BN107" s="417"/>
      <c r="BO107" s="417"/>
      <c r="BP107" s="417"/>
      <c r="BQ107" s="417"/>
      <c r="BR107" s="568"/>
      <c r="BS107" s="417"/>
      <c r="BT107" s="417"/>
      <c r="BU107" s="85"/>
      <c r="BV107" s="85"/>
      <c r="BW107" s="568"/>
      <c r="BX107" s="85"/>
      <c r="BY107" s="85"/>
      <c r="BZ107" s="85"/>
      <c r="CA107" s="85"/>
      <c r="CB107" s="568"/>
      <c r="CC107" s="85"/>
      <c r="CD107" s="85"/>
      <c r="CE107" s="85"/>
      <c r="CF107" s="85"/>
      <c r="CG107" s="568"/>
      <c r="CH107" s="85"/>
      <c r="CI107" s="85"/>
      <c r="CJ107" s="85"/>
      <c r="CK107" s="85"/>
      <c r="CL107" s="568"/>
      <c r="CM107" s="85"/>
      <c r="CN107" s="85"/>
      <c r="CO107" s="85"/>
      <c r="CP107" s="85"/>
      <c r="CQ107" s="568"/>
    </row>
    <row r="108" spans="5:95" hidden="1" x14ac:dyDescent="0.25">
      <c r="E108" s="54"/>
      <c r="F108" s="566"/>
      <c r="G108" s="566"/>
      <c r="H108" s="566"/>
      <c r="I108" s="566"/>
      <c r="J108" s="566"/>
      <c r="K108" s="122"/>
      <c r="L108" s="122"/>
      <c r="M108" s="122"/>
      <c r="N108" s="122"/>
      <c r="O108" s="566"/>
      <c r="P108" s="122"/>
      <c r="Q108" s="122"/>
      <c r="R108" s="122"/>
      <c r="S108" s="122"/>
      <c r="T108" s="566"/>
      <c r="U108" s="122"/>
      <c r="V108" s="122"/>
      <c r="W108" s="122"/>
      <c r="X108" s="122"/>
      <c r="Y108" s="566"/>
      <c r="Z108" s="128"/>
      <c r="AA108" s="128"/>
      <c r="AB108" s="128"/>
      <c r="AC108" s="128"/>
      <c r="AD108" s="566"/>
      <c r="AE108" s="128"/>
      <c r="AF108" s="128"/>
      <c r="AG108" s="128"/>
      <c r="AH108" s="128"/>
      <c r="AI108" s="513"/>
      <c r="AJ108" s="85"/>
      <c r="AK108" s="85"/>
      <c r="AL108" s="85"/>
      <c r="AM108" s="85"/>
      <c r="AN108" s="513"/>
      <c r="AO108" s="85"/>
      <c r="AP108" s="85"/>
      <c r="AQ108" s="85"/>
      <c r="AR108" s="364"/>
      <c r="AS108" s="566"/>
      <c r="AT108" s="417"/>
      <c r="AU108" s="417"/>
      <c r="AV108" s="417"/>
      <c r="AW108" s="417"/>
      <c r="AX108" s="568"/>
      <c r="AY108" s="417"/>
      <c r="AZ108" s="417"/>
      <c r="BA108" s="417"/>
      <c r="BB108" s="417"/>
      <c r="BC108" s="568"/>
      <c r="BD108" s="417"/>
      <c r="BE108" s="417"/>
      <c r="BF108" s="417"/>
      <c r="BG108" s="417"/>
      <c r="BH108" s="568"/>
      <c r="BI108" s="417"/>
      <c r="BJ108" s="417"/>
      <c r="BK108" s="417"/>
      <c r="BL108" s="417"/>
      <c r="BM108" s="513"/>
      <c r="BN108" s="417"/>
      <c r="BO108" s="417"/>
      <c r="BP108" s="417"/>
      <c r="BQ108" s="417"/>
      <c r="BR108" s="568"/>
      <c r="BS108" s="417"/>
      <c r="BT108" s="417"/>
      <c r="BU108" s="85"/>
      <c r="BV108" s="85"/>
      <c r="BW108" s="568"/>
      <c r="BX108" s="85"/>
      <c r="BY108" s="85"/>
      <c r="BZ108" s="85"/>
      <c r="CA108" s="85"/>
      <c r="CB108" s="568"/>
      <c r="CC108" s="85"/>
      <c r="CD108" s="85"/>
      <c r="CE108" s="85"/>
      <c r="CF108" s="85"/>
      <c r="CG108" s="568"/>
      <c r="CH108" s="85"/>
      <c r="CI108" s="85"/>
      <c r="CJ108" s="85"/>
      <c r="CK108" s="85"/>
      <c r="CL108" s="568"/>
      <c r="CM108" s="85"/>
      <c r="CN108" s="85"/>
      <c r="CO108" s="85"/>
      <c r="CP108" s="85"/>
      <c r="CQ108" s="568"/>
    </row>
    <row r="109" spans="5:95" ht="13.5" hidden="1" x14ac:dyDescent="0.25">
      <c r="E109" s="365" t="s">
        <v>645</v>
      </c>
      <c r="F109" s="566"/>
      <c r="G109" s="566"/>
      <c r="H109" s="566"/>
      <c r="I109" s="566"/>
      <c r="J109" s="566"/>
      <c r="K109" s="122"/>
      <c r="L109" s="122"/>
      <c r="M109" s="122"/>
      <c r="N109" s="122"/>
      <c r="O109" s="566"/>
      <c r="P109" s="122"/>
      <c r="Q109" s="122"/>
      <c r="R109" s="122"/>
      <c r="S109" s="122"/>
      <c r="T109" s="566"/>
      <c r="U109" s="122"/>
      <c r="V109" s="122"/>
      <c r="W109" s="122"/>
      <c r="X109" s="122"/>
      <c r="Y109" s="566"/>
      <c r="Z109" s="128"/>
      <c r="AA109" s="128"/>
      <c r="AB109" s="128"/>
      <c r="AC109" s="128"/>
      <c r="AD109" s="566"/>
      <c r="AE109" s="128"/>
      <c r="AF109" s="128"/>
      <c r="AG109" s="128"/>
      <c r="AH109" s="128"/>
      <c r="AI109" s="513"/>
      <c r="AJ109" s="85"/>
      <c r="AK109" s="85"/>
      <c r="AL109" s="85"/>
      <c r="AM109" s="85"/>
      <c r="AN109" s="513"/>
      <c r="AO109" s="85"/>
      <c r="AP109" s="85"/>
      <c r="AQ109" s="85"/>
      <c r="AR109" s="364"/>
      <c r="AS109" s="566"/>
      <c r="AT109" s="417"/>
      <c r="AU109" s="417"/>
      <c r="AV109" s="417"/>
      <c r="AW109" s="417"/>
      <c r="AX109" s="568"/>
      <c r="AY109" s="417"/>
      <c r="AZ109" s="417"/>
      <c r="BA109" s="417"/>
      <c r="BB109" s="417"/>
      <c r="BC109" s="568"/>
      <c r="BD109" s="417"/>
      <c r="BE109" s="417"/>
      <c r="BF109" s="417"/>
      <c r="BG109" s="417"/>
      <c r="BH109" s="568"/>
      <c r="BI109" s="417"/>
      <c r="BJ109" s="417"/>
      <c r="BK109" s="417"/>
      <c r="BL109" s="417"/>
      <c r="BM109" s="513"/>
      <c r="BN109" s="417"/>
      <c r="BO109" s="417"/>
      <c r="BP109" s="417"/>
      <c r="BQ109" s="417"/>
      <c r="BR109" s="568"/>
      <c r="BS109" s="417"/>
      <c r="BT109" s="417"/>
      <c r="BU109" s="85"/>
      <c r="BV109" s="85"/>
      <c r="BW109" s="568"/>
      <c r="BX109" s="85"/>
      <c r="BY109" s="85"/>
      <c r="BZ109" s="85"/>
      <c r="CA109" s="85"/>
      <c r="CB109" s="568"/>
      <c r="CC109" s="85"/>
      <c r="CD109" s="85"/>
      <c r="CE109" s="85"/>
      <c r="CF109" s="85"/>
      <c r="CG109" s="568"/>
      <c r="CH109" s="85"/>
      <c r="CI109" s="85"/>
      <c r="CJ109" s="85"/>
      <c r="CK109" s="85"/>
      <c r="CL109" s="568"/>
      <c r="CM109" s="85"/>
      <c r="CN109" s="85"/>
      <c r="CO109" s="85"/>
      <c r="CP109" s="85"/>
      <c r="CQ109" s="568"/>
    </row>
    <row r="110" spans="5:95" hidden="1" x14ac:dyDescent="0.25">
      <c r="E110" s="54" t="s">
        <v>649</v>
      </c>
      <c r="F110" s="566"/>
      <c r="G110" s="566"/>
      <c r="H110" s="566"/>
      <c r="I110" s="566"/>
      <c r="J110" s="566"/>
      <c r="K110" s="122"/>
      <c r="L110" s="122"/>
      <c r="M110" s="122"/>
      <c r="N110" s="122"/>
      <c r="O110" s="566"/>
      <c r="P110" s="122"/>
      <c r="Q110" s="122"/>
      <c r="R110" s="122"/>
      <c r="S110" s="122"/>
      <c r="T110" s="566"/>
      <c r="U110" s="122"/>
      <c r="V110" s="122"/>
      <c r="W110" s="122"/>
      <c r="X110" s="122"/>
      <c r="Y110" s="566"/>
      <c r="Z110" s="128"/>
      <c r="AA110" s="128"/>
      <c r="AB110" s="128"/>
      <c r="AC110" s="128"/>
      <c r="AD110" s="566"/>
      <c r="AE110" s="128"/>
      <c r="AF110" s="128"/>
      <c r="AG110" s="128"/>
      <c r="AH110" s="128"/>
      <c r="AI110" s="513"/>
      <c r="AJ110" s="85"/>
      <c r="AK110" s="85"/>
      <c r="AL110" s="85"/>
      <c r="AM110" s="85"/>
      <c r="AN110" s="513"/>
      <c r="AO110" s="85"/>
      <c r="AP110" s="85"/>
      <c r="AQ110" s="85"/>
      <c r="AR110" s="364"/>
      <c r="AS110" s="566"/>
      <c r="AT110" s="417"/>
      <c r="AU110" s="417"/>
      <c r="AV110" s="417"/>
      <c r="AW110" s="417"/>
      <c r="AX110" s="568"/>
      <c r="AY110" s="417"/>
      <c r="AZ110" s="417"/>
      <c r="BA110" s="417"/>
      <c r="BB110" s="417"/>
      <c r="BC110" s="568"/>
      <c r="BD110" s="417"/>
      <c r="BE110" s="417"/>
      <c r="BF110" s="417"/>
      <c r="BG110" s="417"/>
      <c r="BH110" s="568"/>
      <c r="BI110" s="417"/>
      <c r="BJ110" s="417"/>
      <c r="BK110" s="417"/>
      <c r="BL110" s="417"/>
      <c r="BM110" s="513"/>
      <c r="BN110" s="417"/>
      <c r="BO110" s="417"/>
      <c r="BP110" s="417"/>
      <c r="BQ110" s="417"/>
      <c r="BR110" s="568"/>
      <c r="BS110" s="417"/>
      <c r="BT110" s="417"/>
      <c r="BU110" s="85"/>
      <c r="BV110" s="85"/>
      <c r="BW110" s="568"/>
      <c r="BX110" s="85"/>
      <c r="BY110" s="85"/>
      <c r="BZ110" s="85"/>
      <c r="CA110" s="85"/>
      <c r="CB110" s="568"/>
      <c r="CC110" s="85"/>
      <c r="CD110" s="85"/>
      <c r="CE110" s="85"/>
      <c r="CF110" s="85"/>
      <c r="CG110" s="568"/>
      <c r="CH110" s="85"/>
      <c r="CI110" s="85"/>
      <c r="CJ110" s="85"/>
      <c r="CK110" s="85"/>
      <c r="CL110" s="568"/>
      <c r="CM110" s="85"/>
      <c r="CN110" s="85"/>
      <c r="CO110" s="85"/>
      <c r="CP110" s="85"/>
      <c r="CQ110" s="568"/>
    </row>
    <row r="111" spans="5:95" ht="13.5" hidden="1" x14ac:dyDescent="0.25">
      <c r="E111" s="365" t="s">
        <v>650</v>
      </c>
      <c r="F111" s="566"/>
      <c r="G111" s="566"/>
      <c r="H111" s="566"/>
      <c r="I111" s="566"/>
      <c r="J111" s="566"/>
      <c r="K111" s="122"/>
      <c r="L111" s="122"/>
      <c r="M111" s="122"/>
      <c r="N111" s="122"/>
      <c r="O111" s="566"/>
      <c r="P111" s="122"/>
      <c r="Q111" s="122"/>
      <c r="R111" s="122"/>
      <c r="S111" s="122"/>
      <c r="T111" s="566"/>
      <c r="U111" s="122"/>
      <c r="V111" s="122"/>
      <c r="W111" s="122"/>
      <c r="X111" s="122"/>
      <c r="Y111" s="566"/>
      <c r="Z111" s="128"/>
      <c r="AA111" s="128"/>
      <c r="AB111" s="128"/>
      <c r="AC111" s="128"/>
      <c r="AD111" s="566"/>
      <c r="AE111" s="128"/>
      <c r="AF111" s="128"/>
      <c r="AG111" s="128"/>
      <c r="AH111" s="128"/>
      <c r="AI111" s="513"/>
      <c r="AJ111" s="85"/>
      <c r="AK111" s="85"/>
      <c r="AL111" s="85"/>
      <c r="AM111" s="85"/>
      <c r="AN111" s="513"/>
      <c r="AO111" s="85"/>
      <c r="AP111" s="85"/>
      <c r="AQ111" s="85"/>
      <c r="AR111" s="364"/>
      <c r="AS111" s="566"/>
      <c r="AT111" s="417"/>
      <c r="AU111" s="417"/>
      <c r="AV111" s="417"/>
      <c r="AW111" s="417"/>
      <c r="AX111" s="568"/>
      <c r="AY111" s="417"/>
      <c r="AZ111" s="417"/>
      <c r="BA111" s="417"/>
      <c r="BB111" s="417"/>
      <c r="BC111" s="568"/>
      <c r="BD111" s="417"/>
      <c r="BE111" s="417"/>
      <c r="BF111" s="417"/>
      <c r="BG111" s="417"/>
      <c r="BH111" s="568"/>
      <c r="BI111" s="417"/>
      <c r="BJ111" s="417"/>
      <c r="BK111" s="417"/>
      <c r="BL111" s="417"/>
      <c r="BM111" s="513"/>
      <c r="BN111" s="417"/>
      <c r="BO111" s="183"/>
      <c r="BP111" s="417"/>
      <c r="BQ111" s="417"/>
      <c r="BR111" s="568"/>
      <c r="BS111" s="417"/>
      <c r="BT111" s="183"/>
      <c r="BU111" s="85"/>
      <c r="BV111" s="85"/>
      <c r="BW111" s="568"/>
      <c r="BX111" s="85"/>
      <c r="BY111" s="85"/>
      <c r="BZ111" s="85"/>
      <c r="CA111" s="85"/>
      <c r="CB111" s="568"/>
      <c r="CC111" s="85"/>
      <c r="CD111" s="85"/>
      <c r="CE111" s="85"/>
      <c r="CF111" s="85"/>
      <c r="CG111" s="568"/>
      <c r="CH111" s="85"/>
      <c r="CI111" s="85"/>
      <c r="CJ111" s="85"/>
      <c r="CK111" s="85"/>
      <c r="CL111" s="568"/>
      <c r="CM111" s="85"/>
      <c r="CN111" s="85"/>
      <c r="CO111" s="85"/>
      <c r="CP111" s="85"/>
      <c r="CQ111" s="568"/>
    </row>
    <row r="112" spans="5:95" hidden="1" x14ac:dyDescent="0.25">
      <c r="E112" s="54" t="s">
        <v>651</v>
      </c>
      <c r="F112" s="566"/>
      <c r="G112" s="566"/>
      <c r="H112" s="566"/>
      <c r="I112" s="566"/>
      <c r="J112" s="566"/>
      <c r="K112" s="122"/>
      <c r="L112" s="122"/>
      <c r="M112" s="122"/>
      <c r="N112" s="122"/>
      <c r="O112" s="566"/>
      <c r="P112" s="122"/>
      <c r="Q112" s="122"/>
      <c r="R112" s="122"/>
      <c r="S112" s="122"/>
      <c r="T112" s="566"/>
      <c r="U112" s="122"/>
      <c r="V112" s="122"/>
      <c r="W112" s="122"/>
      <c r="X112" s="122"/>
      <c r="Y112" s="566"/>
      <c r="Z112" s="128"/>
      <c r="AA112" s="128"/>
      <c r="AB112" s="128"/>
      <c r="AC112" s="128"/>
      <c r="AD112" s="566"/>
      <c r="AE112" s="128"/>
      <c r="AF112" s="128"/>
      <c r="AG112" s="128"/>
      <c r="AH112" s="128"/>
      <c r="AI112" s="513"/>
      <c r="AJ112" s="85"/>
      <c r="AK112" s="85"/>
      <c r="AL112" s="85"/>
      <c r="AM112" s="85"/>
      <c r="AN112" s="513"/>
      <c r="AO112" s="85"/>
      <c r="AP112" s="85"/>
      <c r="AQ112" s="85"/>
      <c r="AR112" s="364"/>
      <c r="AS112" s="566"/>
      <c r="AT112" s="417"/>
      <c r="AU112" s="417"/>
      <c r="AV112" s="417"/>
      <c r="AW112" s="417"/>
      <c r="AX112" s="568"/>
      <c r="AY112" s="417"/>
      <c r="AZ112" s="417"/>
      <c r="BA112" s="417"/>
      <c r="BB112" s="417"/>
      <c r="BC112" s="568"/>
      <c r="BD112" s="417"/>
      <c r="BE112" s="417"/>
      <c r="BF112" s="417"/>
      <c r="BG112" s="417"/>
      <c r="BH112" s="568"/>
      <c r="BI112" s="417"/>
      <c r="BJ112" s="417"/>
      <c r="BK112" s="417"/>
      <c r="BL112" s="417"/>
      <c r="BM112" s="513"/>
      <c r="BN112" s="417"/>
      <c r="BO112" s="85"/>
      <c r="BP112" s="417"/>
      <c r="BQ112" s="417"/>
      <c r="BR112" s="568"/>
      <c r="BS112" s="417"/>
      <c r="BT112" s="85"/>
      <c r="BU112" s="85"/>
      <c r="BV112" s="85"/>
      <c r="BW112" s="568"/>
      <c r="BX112" s="85"/>
      <c r="BY112" s="85"/>
      <c r="BZ112" s="85"/>
      <c r="CA112" s="85"/>
      <c r="CB112" s="568"/>
      <c r="CC112" s="85"/>
      <c r="CD112" s="85"/>
      <c r="CE112" s="85"/>
      <c r="CF112" s="85"/>
      <c r="CG112" s="568"/>
      <c r="CH112" s="85"/>
      <c r="CI112" s="85"/>
      <c r="CJ112" s="85"/>
      <c r="CK112" s="85"/>
      <c r="CL112" s="568"/>
      <c r="CM112" s="85"/>
      <c r="CN112" s="85"/>
      <c r="CO112" s="85"/>
      <c r="CP112" s="85"/>
      <c r="CQ112" s="568"/>
    </row>
    <row r="113" spans="5:95" ht="13.5" hidden="1" x14ac:dyDescent="0.25">
      <c r="E113" s="365" t="s">
        <v>650</v>
      </c>
      <c r="F113" s="566"/>
      <c r="G113" s="566"/>
      <c r="H113" s="566"/>
      <c r="I113" s="566"/>
      <c r="J113" s="566"/>
      <c r="K113" s="122"/>
      <c r="L113" s="122"/>
      <c r="M113" s="122"/>
      <c r="N113" s="122"/>
      <c r="O113" s="566"/>
      <c r="P113" s="122"/>
      <c r="Q113" s="122"/>
      <c r="R113" s="122"/>
      <c r="S113" s="122"/>
      <c r="T113" s="566"/>
      <c r="U113" s="122"/>
      <c r="V113" s="122"/>
      <c r="W113" s="122"/>
      <c r="X113" s="122"/>
      <c r="Y113" s="566"/>
      <c r="Z113" s="128"/>
      <c r="AA113" s="128"/>
      <c r="AB113" s="128"/>
      <c r="AC113" s="128"/>
      <c r="AD113" s="566"/>
      <c r="AE113" s="128"/>
      <c r="AF113" s="128"/>
      <c r="AG113" s="128"/>
      <c r="AH113" s="128"/>
      <c r="AI113" s="513"/>
      <c r="AJ113" s="85"/>
      <c r="AK113" s="85"/>
      <c r="AL113" s="85"/>
      <c r="AM113" s="85"/>
      <c r="AN113" s="513"/>
      <c r="AO113" s="85"/>
      <c r="AP113" s="85"/>
      <c r="AQ113" s="85"/>
      <c r="AR113" s="364"/>
      <c r="AS113" s="566"/>
      <c r="AT113" s="417"/>
      <c r="AU113" s="417"/>
      <c r="AV113" s="417"/>
      <c r="AW113" s="417"/>
      <c r="AX113" s="568"/>
      <c r="AY113" s="417"/>
      <c r="AZ113" s="417"/>
      <c r="BA113" s="417"/>
      <c r="BB113" s="417"/>
      <c r="BC113" s="568"/>
      <c r="BD113" s="417"/>
      <c r="BE113" s="417"/>
      <c r="BF113" s="417"/>
      <c r="BG113" s="417"/>
      <c r="BH113" s="568"/>
      <c r="BI113" s="417"/>
      <c r="BJ113" s="417"/>
      <c r="BK113" s="417"/>
      <c r="BL113" s="417"/>
      <c r="BM113" s="513"/>
      <c r="BN113" s="417"/>
      <c r="BO113" s="183"/>
      <c r="BP113" s="417"/>
      <c r="BQ113" s="417"/>
      <c r="BR113" s="568"/>
      <c r="BS113" s="417"/>
      <c r="BT113" s="183"/>
      <c r="BU113" s="85"/>
      <c r="BV113" s="85"/>
      <c r="BW113" s="568"/>
      <c r="BX113" s="85"/>
      <c r="BY113" s="85"/>
      <c r="BZ113" s="85"/>
      <c r="CA113" s="85"/>
      <c r="CB113" s="568"/>
      <c r="CC113" s="85"/>
      <c r="CD113" s="85"/>
      <c r="CE113" s="85"/>
      <c r="CF113" s="85"/>
      <c r="CG113" s="568"/>
      <c r="CH113" s="85"/>
      <c r="CI113" s="85"/>
      <c r="CJ113" s="85"/>
      <c r="CK113" s="85"/>
      <c r="CL113" s="568"/>
      <c r="CM113" s="85"/>
      <c r="CN113" s="85"/>
      <c r="CO113" s="85"/>
      <c r="CP113" s="85"/>
      <c r="CQ113" s="568"/>
    </row>
    <row r="114" spans="5:95" hidden="1" x14ac:dyDescent="0.25">
      <c r="E114" s="54" t="s">
        <v>608</v>
      </c>
      <c r="F114" s="566"/>
      <c r="G114" s="566"/>
      <c r="H114" s="566"/>
      <c r="I114" s="566"/>
      <c r="J114" s="566"/>
      <c r="K114" s="122"/>
      <c r="L114" s="122"/>
      <c r="M114" s="122"/>
      <c r="N114" s="122"/>
      <c r="O114" s="566"/>
      <c r="P114" s="122"/>
      <c r="Q114" s="122"/>
      <c r="R114" s="122"/>
      <c r="S114" s="122"/>
      <c r="T114" s="566"/>
      <c r="U114" s="122"/>
      <c r="V114" s="122"/>
      <c r="W114" s="122"/>
      <c r="X114" s="122"/>
      <c r="Y114" s="566"/>
      <c r="Z114" s="128"/>
      <c r="AA114" s="128"/>
      <c r="AB114" s="128"/>
      <c r="AC114" s="128"/>
      <c r="AD114" s="566"/>
      <c r="AE114" s="128"/>
      <c r="AF114" s="128"/>
      <c r="AG114" s="128"/>
      <c r="AH114" s="128"/>
      <c r="AI114" s="513"/>
      <c r="AJ114" s="85"/>
      <c r="AK114" s="85"/>
      <c r="AL114" s="85"/>
      <c r="AM114" s="85"/>
      <c r="AN114" s="513"/>
      <c r="AO114" s="85"/>
      <c r="AP114" s="85"/>
      <c r="AQ114" s="85"/>
      <c r="AR114" s="364"/>
      <c r="AS114" s="566"/>
      <c r="AT114" s="417"/>
      <c r="AU114" s="417"/>
      <c r="AV114" s="417"/>
      <c r="AW114" s="417"/>
      <c r="AX114" s="568"/>
      <c r="AY114" s="417"/>
      <c r="AZ114" s="417"/>
      <c r="BA114" s="417"/>
      <c r="BB114" s="417"/>
      <c r="BC114" s="568"/>
      <c r="BD114" s="417"/>
      <c r="BE114" s="417"/>
      <c r="BF114" s="417"/>
      <c r="BG114" s="417"/>
      <c r="BH114" s="568"/>
      <c r="BI114" s="417"/>
      <c r="BJ114" s="417"/>
      <c r="BK114" s="417"/>
      <c r="BL114" s="417"/>
      <c r="BM114" s="513"/>
      <c r="BN114" s="417"/>
      <c r="BO114" s="417"/>
      <c r="BP114" s="417"/>
      <c r="BQ114" s="417"/>
      <c r="BR114" s="568"/>
      <c r="BS114" s="417"/>
      <c r="BT114" s="417"/>
      <c r="BU114" s="85"/>
      <c r="BV114" s="85"/>
      <c r="BW114" s="568"/>
      <c r="BX114" s="85"/>
      <c r="BY114" s="85"/>
      <c r="BZ114" s="85"/>
      <c r="CA114" s="85"/>
      <c r="CB114" s="568"/>
      <c r="CC114" s="85"/>
      <c r="CD114" s="85"/>
      <c r="CE114" s="85"/>
      <c r="CF114" s="85"/>
      <c r="CG114" s="568"/>
      <c r="CH114" s="85"/>
      <c r="CI114" s="85"/>
      <c r="CJ114" s="85"/>
      <c r="CK114" s="85"/>
      <c r="CL114" s="568"/>
      <c r="CM114" s="85"/>
      <c r="CN114" s="85"/>
      <c r="CO114" s="85"/>
      <c r="CP114" s="85"/>
      <c r="CQ114" s="568"/>
    </row>
    <row r="115" spans="5:95" ht="13.5" hidden="1" x14ac:dyDescent="0.25">
      <c r="E115" s="365" t="s">
        <v>91</v>
      </c>
      <c r="F115" s="566"/>
      <c r="G115" s="566"/>
      <c r="H115" s="566"/>
      <c r="I115" s="566"/>
      <c r="J115" s="566"/>
      <c r="K115" s="122"/>
      <c r="L115" s="122"/>
      <c r="M115" s="122"/>
      <c r="N115" s="122"/>
      <c r="O115" s="566"/>
      <c r="P115" s="122"/>
      <c r="Q115" s="122"/>
      <c r="R115" s="122"/>
      <c r="S115" s="122"/>
      <c r="T115" s="566"/>
      <c r="U115" s="122"/>
      <c r="V115" s="122"/>
      <c r="W115" s="122"/>
      <c r="X115" s="122"/>
      <c r="Y115" s="566"/>
      <c r="Z115" s="128"/>
      <c r="AA115" s="128"/>
      <c r="AB115" s="128"/>
      <c r="AC115" s="128"/>
      <c r="AD115" s="566"/>
      <c r="AE115" s="128"/>
      <c r="AF115" s="128"/>
      <c r="AG115" s="128"/>
      <c r="AH115" s="128"/>
      <c r="AI115" s="513"/>
      <c r="AJ115" s="85"/>
      <c r="AK115" s="85"/>
      <c r="AL115" s="85"/>
      <c r="AM115" s="85"/>
      <c r="AN115" s="513"/>
      <c r="AO115" s="85"/>
      <c r="AP115" s="85"/>
      <c r="AQ115" s="85"/>
      <c r="AR115" s="364"/>
      <c r="AS115" s="566"/>
      <c r="AT115" s="417"/>
      <c r="AU115" s="417"/>
      <c r="AV115" s="417"/>
      <c r="AW115" s="417"/>
      <c r="AX115" s="568"/>
      <c r="AY115" s="417"/>
      <c r="AZ115" s="417"/>
      <c r="BA115" s="417"/>
      <c r="BB115" s="417"/>
      <c r="BC115" s="568"/>
      <c r="BD115" s="417"/>
      <c r="BE115" s="417"/>
      <c r="BF115" s="417"/>
      <c r="BG115" s="417"/>
      <c r="BH115" s="568"/>
      <c r="BI115" s="417"/>
      <c r="BJ115" s="417"/>
      <c r="BK115" s="417"/>
      <c r="BL115" s="417"/>
      <c r="BM115" s="513"/>
      <c r="BN115" s="363"/>
      <c r="BO115" s="363"/>
      <c r="BP115" s="363"/>
      <c r="BQ115" s="363"/>
      <c r="BR115" s="568"/>
      <c r="BS115" s="363"/>
      <c r="BT115" s="363"/>
      <c r="BU115" s="85"/>
      <c r="BV115" s="85"/>
      <c r="BW115" s="568"/>
      <c r="BX115" s="85"/>
      <c r="BY115" s="85"/>
      <c r="BZ115" s="85"/>
      <c r="CA115" s="85"/>
      <c r="CB115" s="568"/>
      <c r="CC115" s="85"/>
      <c r="CD115" s="85"/>
      <c r="CE115" s="85"/>
      <c r="CF115" s="85"/>
      <c r="CG115" s="568"/>
      <c r="CH115" s="85"/>
      <c r="CI115" s="85"/>
      <c r="CJ115" s="85"/>
      <c r="CK115" s="85"/>
      <c r="CL115" s="568"/>
      <c r="CM115" s="85"/>
      <c r="CN115" s="85"/>
      <c r="CO115" s="85"/>
      <c r="CP115" s="85"/>
      <c r="CQ115" s="568"/>
    </row>
    <row r="116" spans="5:95" hidden="1" x14ac:dyDescent="0.25">
      <c r="E116" s="54" t="s">
        <v>609</v>
      </c>
      <c r="F116" s="566"/>
      <c r="G116" s="566"/>
      <c r="H116" s="566"/>
      <c r="I116" s="566"/>
      <c r="J116" s="566"/>
      <c r="K116" s="122"/>
      <c r="L116" s="122"/>
      <c r="M116" s="122"/>
      <c r="N116" s="122"/>
      <c r="O116" s="566"/>
      <c r="P116" s="122"/>
      <c r="Q116" s="122"/>
      <c r="R116" s="122"/>
      <c r="S116" s="122"/>
      <c r="T116" s="566"/>
      <c r="U116" s="122"/>
      <c r="V116" s="122"/>
      <c r="W116" s="122"/>
      <c r="X116" s="122"/>
      <c r="Y116" s="566"/>
      <c r="Z116" s="128"/>
      <c r="AA116" s="128"/>
      <c r="AB116" s="128"/>
      <c r="AC116" s="128"/>
      <c r="AD116" s="566"/>
      <c r="AE116" s="128"/>
      <c r="AF116" s="128"/>
      <c r="AG116" s="128"/>
      <c r="AH116" s="128"/>
      <c r="AI116" s="513"/>
      <c r="AJ116" s="85"/>
      <c r="AK116" s="85"/>
      <c r="AL116" s="85"/>
      <c r="AM116" s="85"/>
      <c r="AN116" s="513"/>
      <c r="AO116" s="85"/>
      <c r="AP116" s="85"/>
      <c r="AQ116" s="85"/>
      <c r="AR116" s="364"/>
      <c r="AS116" s="566"/>
      <c r="AT116" s="417"/>
      <c r="AU116" s="417"/>
      <c r="AV116" s="417"/>
      <c r="AW116" s="417"/>
      <c r="AX116" s="568"/>
      <c r="AY116" s="417"/>
      <c r="AZ116" s="417"/>
      <c r="BA116" s="417"/>
      <c r="BB116" s="417"/>
      <c r="BC116" s="568"/>
      <c r="BD116" s="417"/>
      <c r="BE116" s="417"/>
      <c r="BF116" s="417"/>
      <c r="BG116" s="417"/>
      <c r="BH116" s="568"/>
      <c r="BI116" s="417"/>
      <c r="BJ116" s="417"/>
      <c r="BK116" s="417"/>
      <c r="BL116" s="417"/>
      <c r="BM116" s="513"/>
      <c r="BN116" s="417"/>
      <c r="BO116" s="417"/>
      <c r="BP116" s="417"/>
      <c r="BQ116" s="417"/>
      <c r="BR116" s="568"/>
      <c r="BS116" s="417"/>
      <c r="BT116" s="417"/>
      <c r="BU116" s="85"/>
      <c r="BV116" s="85"/>
      <c r="BW116" s="568"/>
      <c r="BX116" s="85"/>
      <c r="BY116" s="85"/>
      <c r="BZ116" s="85"/>
      <c r="CA116" s="85"/>
      <c r="CB116" s="568"/>
      <c r="CC116" s="85"/>
      <c r="CD116" s="85"/>
      <c r="CE116" s="85"/>
      <c r="CF116" s="85"/>
      <c r="CG116" s="568"/>
      <c r="CH116" s="85"/>
      <c r="CI116" s="85"/>
      <c r="CJ116" s="85"/>
      <c r="CK116" s="85"/>
      <c r="CL116" s="568"/>
      <c r="CM116" s="85"/>
      <c r="CN116" s="85"/>
      <c r="CO116" s="85"/>
      <c r="CP116" s="85"/>
      <c r="CQ116" s="568"/>
    </row>
    <row r="117" spans="5:95" ht="13.5" hidden="1" x14ac:dyDescent="0.25">
      <c r="E117" s="365" t="s">
        <v>91</v>
      </c>
      <c r="F117" s="566"/>
      <c r="G117" s="566"/>
      <c r="H117" s="566"/>
      <c r="I117" s="566"/>
      <c r="J117" s="566"/>
      <c r="K117" s="122"/>
      <c r="L117" s="122"/>
      <c r="M117" s="122"/>
      <c r="N117" s="122"/>
      <c r="O117" s="566"/>
      <c r="P117" s="122"/>
      <c r="Q117" s="122"/>
      <c r="R117" s="122"/>
      <c r="S117" s="122"/>
      <c r="T117" s="566"/>
      <c r="U117" s="122"/>
      <c r="V117" s="122"/>
      <c r="W117" s="122"/>
      <c r="X117" s="122"/>
      <c r="Y117" s="566"/>
      <c r="Z117" s="128"/>
      <c r="AA117" s="128"/>
      <c r="AB117" s="128"/>
      <c r="AC117" s="128"/>
      <c r="AD117" s="566"/>
      <c r="AE117" s="128"/>
      <c r="AF117" s="128"/>
      <c r="AG117" s="128"/>
      <c r="AH117" s="128"/>
      <c r="AI117" s="513"/>
      <c r="AJ117" s="85"/>
      <c r="AK117" s="85"/>
      <c r="AL117" s="85"/>
      <c r="AM117" s="85"/>
      <c r="AN117" s="513"/>
      <c r="AO117" s="85"/>
      <c r="AP117" s="85"/>
      <c r="AQ117" s="85"/>
      <c r="AR117" s="364"/>
      <c r="AS117" s="566"/>
      <c r="AT117" s="417"/>
      <c r="AU117" s="417"/>
      <c r="AV117" s="417"/>
      <c r="AW117" s="417"/>
      <c r="AX117" s="568"/>
      <c r="AY117" s="417"/>
      <c r="AZ117" s="417"/>
      <c r="BA117" s="417"/>
      <c r="BB117" s="417"/>
      <c r="BC117" s="568"/>
      <c r="BD117" s="417"/>
      <c r="BE117" s="417"/>
      <c r="BF117" s="417"/>
      <c r="BG117" s="417"/>
      <c r="BH117" s="568"/>
      <c r="BI117" s="417"/>
      <c r="BJ117" s="417"/>
      <c r="BK117" s="417"/>
      <c r="BL117" s="417"/>
      <c r="BM117" s="513"/>
      <c r="BN117" s="183"/>
      <c r="BO117" s="183"/>
      <c r="BP117" s="183"/>
      <c r="BQ117" s="183"/>
      <c r="BR117" s="568"/>
      <c r="BS117" s="183"/>
      <c r="BT117" s="183"/>
      <c r="BU117" s="85"/>
      <c r="BV117" s="85"/>
      <c r="BW117" s="568"/>
      <c r="BX117" s="85"/>
      <c r="BY117" s="85"/>
      <c r="BZ117" s="85"/>
      <c r="CA117" s="85"/>
      <c r="CB117" s="568"/>
      <c r="CC117" s="85"/>
      <c r="CD117" s="85"/>
      <c r="CE117" s="85"/>
      <c r="CF117" s="85"/>
      <c r="CG117" s="568"/>
      <c r="CH117" s="85"/>
      <c r="CI117" s="85"/>
      <c r="CJ117" s="85"/>
      <c r="CK117" s="85"/>
      <c r="CL117" s="568"/>
      <c r="CM117" s="85"/>
      <c r="CN117" s="85"/>
      <c r="CO117" s="85"/>
      <c r="CP117" s="85"/>
      <c r="CQ117" s="568"/>
    </row>
    <row r="118" spans="5:95" ht="13.5" hidden="1" x14ac:dyDescent="0.25">
      <c r="E118" s="444" t="s">
        <v>646</v>
      </c>
      <c r="F118" s="566"/>
      <c r="G118" s="566"/>
      <c r="H118" s="566"/>
      <c r="I118" s="566"/>
      <c r="J118" s="566"/>
      <c r="K118" s="122"/>
      <c r="L118" s="122"/>
      <c r="M118" s="122"/>
      <c r="N118" s="122"/>
      <c r="O118" s="566"/>
      <c r="P118" s="122"/>
      <c r="Q118" s="122"/>
      <c r="R118" s="122"/>
      <c r="S118" s="122"/>
      <c r="T118" s="566"/>
      <c r="U118" s="122"/>
      <c r="V118" s="122"/>
      <c r="W118" s="122"/>
      <c r="X118" s="122"/>
      <c r="Y118" s="566"/>
      <c r="Z118" s="128"/>
      <c r="AA118" s="128"/>
      <c r="AB118" s="128"/>
      <c r="AC118" s="128"/>
      <c r="AD118" s="566"/>
      <c r="AE118" s="128"/>
      <c r="AF118" s="128"/>
      <c r="AG118" s="128"/>
      <c r="AH118" s="128"/>
      <c r="AI118" s="513"/>
      <c r="AJ118" s="85"/>
      <c r="AK118" s="85"/>
      <c r="AL118" s="85"/>
      <c r="AM118" s="85"/>
      <c r="AN118" s="513"/>
      <c r="AO118" s="85"/>
      <c r="AP118" s="85"/>
      <c r="AQ118" s="85"/>
      <c r="AR118" s="364"/>
      <c r="AS118" s="566"/>
      <c r="AT118" s="417"/>
      <c r="AU118" s="417"/>
      <c r="AV118" s="417"/>
      <c r="AW118" s="417"/>
      <c r="AX118" s="568"/>
      <c r="AY118" s="417"/>
      <c r="AZ118" s="417"/>
      <c r="BA118" s="417"/>
      <c r="BB118" s="417"/>
      <c r="BC118" s="568"/>
      <c r="BD118" s="417"/>
      <c r="BE118" s="417"/>
      <c r="BF118" s="417"/>
      <c r="BG118" s="417"/>
      <c r="BH118" s="568"/>
      <c r="BI118" s="417"/>
      <c r="BJ118" s="417"/>
      <c r="BK118" s="417"/>
      <c r="BL118" s="417"/>
      <c r="BM118" s="513"/>
      <c r="BN118" s="87"/>
      <c r="BO118" s="87"/>
      <c r="BP118" s="87"/>
      <c r="BQ118" s="87"/>
      <c r="BR118" s="568"/>
      <c r="BS118" s="87"/>
      <c r="BT118" s="87"/>
      <c r="BU118" s="85"/>
      <c r="BV118" s="85"/>
      <c r="BW118" s="568"/>
      <c r="BX118" s="85"/>
      <c r="BY118" s="85"/>
      <c r="BZ118" s="85"/>
      <c r="CA118" s="85"/>
      <c r="CB118" s="568"/>
      <c r="CC118" s="85"/>
      <c r="CD118" s="85"/>
      <c r="CE118" s="85"/>
      <c r="CF118" s="85"/>
      <c r="CG118" s="568"/>
      <c r="CH118" s="85"/>
      <c r="CI118" s="85"/>
      <c r="CJ118" s="85"/>
      <c r="CK118" s="85"/>
      <c r="CL118" s="568"/>
      <c r="CM118" s="85"/>
      <c r="CN118" s="85"/>
      <c r="CO118" s="85"/>
      <c r="CP118" s="85"/>
      <c r="CQ118" s="568"/>
    </row>
    <row r="119" spans="5:95" ht="13.5" hidden="1" x14ac:dyDescent="0.25">
      <c r="E119" s="365" t="s">
        <v>91</v>
      </c>
      <c r="F119" s="566"/>
      <c r="G119" s="566"/>
      <c r="H119" s="566"/>
      <c r="I119" s="566"/>
      <c r="J119" s="566"/>
      <c r="K119" s="122"/>
      <c r="L119" s="122"/>
      <c r="M119" s="122"/>
      <c r="N119" s="122"/>
      <c r="O119" s="566"/>
      <c r="P119" s="122"/>
      <c r="Q119" s="122"/>
      <c r="R119" s="122"/>
      <c r="S119" s="122"/>
      <c r="T119" s="566"/>
      <c r="U119" s="122"/>
      <c r="V119" s="122"/>
      <c r="W119" s="122"/>
      <c r="X119" s="122"/>
      <c r="Y119" s="566"/>
      <c r="Z119" s="128"/>
      <c r="AA119" s="128"/>
      <c r="AB119" s="128"/>
      <c r="AC119" s="128"/>
      <c r="AD119" s="566"/>
      <c r="AE119" s="128"/>
      <c r="AF119" s="128"/>
      <c r="AG119" s="128"/>
      <c r="AH119" s="128"/>
      <c r="AI119" s="513"/>
      <c r="AJ119" s="85"/>
      <c r="AK119" s="85"/>
      <c r="AL119" s="85"/>
      <c r="AM119" s="85"/>
      <c r="AN119" s="513"/>
      <c r="AO119" s="85"/>
      <c r="AP119" s="85"/>
      <c r="AQ119" s="85"/>
      <c r="AR119" s="364"/>
      <c r="AS119" s="566"/>
      <c r="AT119" s="417"/>
      <c r="AU119" s="417"/>
      <c r="AV119" s="417"/>
      <c r="AW119" s="417"/>
      <c r="AX119" s="568"/>
      <c r="AY119" s="417"/>
      <c r="AZ119" s="417"/>
      <c r="BA119" s="417"/>
      <c r="BB119" s="417"/>
      <c r="BC119" s="568"/>
      <c r="BD119" s="417"/>
      <c r="BE119" s="417"/>
      <c r="BF119" s="417"/>
      <c r="BG119" s="417"/>
      <c r="BH119" s="568"/>
      <c r="BI119" s="417"/>
      <c r="BJ119" s="417"/>
      <c r="BK119" s="417"/>
      <c r="BL119" s="417"/>
      <c r="BM119" s="513"/>
      <c r="BN119" s="365"/>
      <c r="BO119" s="365"/>
      <c r="BP119" s="365"/>
      <c r="BQ119" s="365"/>
      <c r="BR119" s="568"/>
      <c r="BS119" s="365"/>
      <c r="BT119" s="365"/>
      <c r="BU119" s="85"/>
      <c r="BV119" s="85"/>
      <c r="BW119" s="568"/>
      <c r="BX119" s="85"/>
      <c r="BY119" s="85"/>
      <c r="BZ119" s="85"/>
      <c r="CA119" s="85"/>
      <c r="CB119" s="568"/>
      <c r="CC119" s="85"/>
      <c r="CD119" s="85"/>
      <c r="CE119" s="85"/>
      <c r="CF119" s="85"/>
      <c r="CG119" s="568"/>
      <c r="CH119" s="85"/>
      <c r="CI119" s="85"/>
      <c r="CJ119" s="85"/>
      <c r="CK119" s="85"/>
      <c r="CL119" s="568"/>
      <c r="CM119" s="85"/>
      <c r="CN119" s="85"/>
      <c r="CO119" s="85"/>
      <c r="CP119" s="85"/>
      <c r="CQ119" s="568"/>
    </row>
    <row r="120" spans="5:95" ht="13.5" hidden="1" x14ac:dyDescent="0.25">
      <c r="E120" s="444"/>
      <c r="F120" s="566"/>
      <c r="G120" s="566"/>
      <c r="H120" s="566"/>
      <c r="I120" s="566"/>
      <c r="J120" s="566"/>
      <c r="K120" s="122"/>
      <c r="L120" s="122"/>
      <c r="M120" s="122"/>
      <c r="N120" s="122"/>
      <c r="O120" s="566"/>
      <c r="P120" s="122"/>
      <c r="Q120" s="122"/>
      <c r="R120" s="122"/>
      <c r="S120" s="122"/>
      <c r="T120" s="566"/>
      <c r="U120" s="122"/>
      <c r="V120" s="122"/>
      <c r="W120" s="122"/>
      <c r="X120" s="122"/>
      <c r="Y120" s="566"/>
      <c r="Z120" s="128"/>
      <c r="AA120" s="128"/>
      <c r="AB120" s="128"/>
      <c r="AC120" s="128"/>
      <c r="AD120" s="566"/>
      <c r="AE120" s="128"/>
      <c r="AF120" s="128"/>
      <c r="AG120" s="128"/>
      <c r="AH120" s="128"/>
      <c r="AI120" s="513"/>
      <c r="AJ120" s="85"/>
      <c r="AK120" s="85"/>
      <c r="AL120" s="85"/>
      <c r="AM120" s="85"/>
      <c r="AN120" s="513"/>
      <c r="AO120" s="85"/>
      <c r="AP120" s="85"/>
      <c r="AQ120" s="85"/>
      <c r="AR120" s="364"/>
      <c r="AS120" s="566"/>
      <c r="AT120" s="417"/>
      <c r="AU120" s="417"/>
      <c r="AV120" s="417"/>
      <c r="AW120" s="417"/>
      <c r="AX120" s="568"/>
      <c r="AY120" s="417"/>
      <c r="AZ120" s="417"/>
      <c r="BA120" s="417"/>
      <c r="BB120" s="417"/>
      <c r="BC120" s="568"/>
      <c r="BD120" s="417"/>
      <c r="BE120" s="417"/>
      <c r="BF120" s="417"/>
      <c r="BG120" s="417"/>
      <c r="BH120" s="568"/>
      <c r="BI120" s="417"/>
      <c r="BJ120" s="417"/>
      <c r="BK120" s="417"/>
      <c r="BL120" s="417"/>
      <c r="BM120" s="513"/>
      <c r="BN120" s="459"/>
      <c r="BO120" s="459"/>
      <c r="BP120" s="459"/>
      <c r="BQ120" s="459"/>
      <c r="BR120" s="568"/>
      <c r="BS120" s="459"/>
      <c r="BT120" s="459"/>
      <c r="BU120" s="85"/>
      <c r="BV120" s="85"/>
      <c r="BW120" s="568"/>
      <c r="BX120" s="85"/>
      <c r="BY120" s="85"/>
      <c r="BZ120" s="85"/>
      <c r="CA120" s="85"/>
      <c r="CB120" s="568"/>
      <c r="CC120" s="85"/>
      <c r="CD120" s="85"/>
      <c r="CE120" s="85"/>
      <c r="CF120" s="85"/>
      <c r="CG120" s="568"/>
      <c r="CH120" s="85"/>
      <c r="CI120" s="85"/>
      <c r="CJ120" s="85"/>
      <c r="CK120" s="85"/>
      <c r="CL120" s="568"/>
      <c r="CM120" s="85"/>
      <c r="CN120" s="85"/>
      <c r="CO120" s="85"/>
      <c r="CP120" s="85"/>
      <c r="CQ120" s="568"/>
    </row>
    <row r="121" spans="5:95" hidden="1" x14ac:dyDescent="0.25">
      <c r="E121" s="54" t="s">
        <v>647</v>
      </c>
      <c r="F121" s="566"/>
      <c r="G121" s="566"/>
      <c r="H121" s="566"/>
      <c r="I121" s="566"/>
      <c r="J121" s="566"/>
      <c r="K121" s="122"/>
      <c r="L121" s="122"/>
      <c r="M121" s="122"/>
      <c r="N121" s="122"/>
      <c r="O121" s="566"/>
      <c r="P121" s="122"/>
      <c r="Q121" s="122"/>
      <c r="R121" s="122"/>
      <c r="S121" s="122"/>
      <c r="T121" s="566"/>
      <c r="U121" s="122"/>
      <c r="V121" s="122"/>
      <c r="W121" s="122"/>
      <c r="X121" s="122"/>
      <c r="Y121" s="566"/>
      <c r="Z121" s="128"/>
      <c r="AA121" s="128"/>
      <c r="AB121" s="128"/>
      <c r="AC121" s="128"/>
      <c r="AD121" s="566"/>
      <c r="AE121" s="128"/>
      <c r="AF121" s="128"/>
      <c r="AG121" s="128"/>
      <c r="AH121" s="128"/>
      <c r="AI121" s="513"/>
      <c r="AJ121" s="85"/>
      <c r="AK121" s="85"/>
      <c r="AL121" s="85"/>
      <c r="AM121" s="85"/>
      <c r="AN121" s="513"/>
      <c r="AO121" s="85"/>
      <c r="AP121" s="85"/>
      <c r="AQ121" s="85"/>
      <c r="AR121" s="364"/>
      <c r="AS121" s="566"/>
      <c r="AT121" s="417"/>
      <c r="AU121" s="417"/>
      <c r="AV121" s="417"/>
      <c r="AW121" s="417"/>
      <c r="AX121" s="568"/>
      <c r="AY121" s="417"/>
      <c r="AZ121" s="417"/>
      <c r="BA121" s="417"/>
      <c r="BB121" s="417"/>
      <c r="BC121" s="568"/>
      <c r="BD121" s="417"/>
      <c r="BE121" s="417"/>
      <c r="BF121" s="417"/>
      <c r="BG121" s="417"/>
      <c r="BH121" s="568"/>
      <c r="BI121" s="417"/>
      <c r="BJ121" s="417"/>
      <c r="BK121" s="417"/>
      <c r="BL121" s="417"/>
      <c r="BM121" s="513"/>
      <c r="BN121" s="417"/>
      <c r="BO121" s="417"/>
      <c r="BP121" s="417"/>
      <c r="BQ121" s="417"/>
      <c r="BR121" s="568"/>
      <c r="BS121" s="417"/>
      <c r="BT121" s="417"/>
      <c r="BU121" s="85"/>
      <c r="BV121" s="85"/>
      <c r="BW121" s="568"/>
      <c r="BX121" s="85"/>
      <c r="BY121" s="85"/>
      <c r="BZ121" s="85"/>
      <c r="CA121" s="85"/>
      <c r="CB121" s="568"/>
      <c r="CC121" s="85"/>
      <c r="CD121" s="85"/>
      <c r="CE121" s="85"/>
      <c r="CF121" s="85"/>
      <c r="CG121" s="568"/>
      <c r="CH121" s="85"/>
      <c r="CI121" s="85"/>
      <c r="CJ121" s="85"/>
      <c r="CK121" s="85"/>
      <c r="CL121" s="568"/>
      <c r="CM121" s="85"/>
      <c r="CN121" s="85"/>
      <c r="CO121" s="85"/>
      <c r="CP121" s="85"/>
      <c r="CQ121" s="568"/>
    </row>
    <row r="122" spans="5:95" hidden="1" x14ac:dyDescent="0.25">
      <c r="E122" s="54"/>
      <c r="F122" s="566"/>
      <c r="G122" s="566"/>
      <c r="H122" s="566"/>
      <c r="I122" s="566"/>
      <c r="J122" s="566"/>
      <c r="K122" s="122"/>
      <c r="L122" s="122"/>
      <c r="M122" s="122"/>
      <c r="N122" s="122"/>
      <c r="O122" s="566"/>
      <c r="P122" s="122"/>
      <c r="Q122" s="122"/>
      <c r="R122" s="122"/>
      <c r="S122" s="122"/>
      <c r="T122" s="566"/>
      <c r="U122" s="122"/>
      <c r="V122" s="122"/>
      <c r="W122" s="122"/>
      <c r="X122" s="122"/>
      <c r="Y122" s="566"/>
      <c r="Z122" s="128"/>
      <c r="AA122" s="128"/>
      <c r="AB122" s="128"/>
      <c r="AC122" s="128"/>
      <c r="AD122" s="566"/>
      <c r="AE122" s="128"/>
      <c r="AF122" s="128"/>
      <c r="AG122" s="128"/>
      <c r="AH122" s="128"/>
      <c r="AI122" s="513"/>
      <c r="AJ122" s="85"/>
      <c r="AK122" s="85"/>
      <c r="AL122" s="85"/>
      <c r="AM122" s="85"/>
      <c r="AN122" s="513"/>
      <c r="AO122" s="85"/>
      <c r="AP122" s="85"/>
      <c r="AQ122" s="85"/>
      <c r="AR122" s="364"/>
      <c r="AS122" s="566"/>
      <c r="AT122" s="439"/>
      <c r="AU122" s="439"/>
      <c r="AV122" s="439"/>
      <c r="AW122" s="439"/>
      <c r="AX122" s="568"/>
      <c r="AY122" s="439"/>
      <c r="AZ122" s="439"/>
      <c r="BA122" s="439"/>
      <c r="BB122" s="408"/>
      <c r="BC122" s="568"/>
      <c r="BD122" s="408"/>
      <c r="BE122" s="408"/>
      <c r="BF122" s="408"/>
      <c r="BG122" s="408"/>
      <c r="BH122" s="568"/>
      <c r="BI122" s="439"/>
      <c r="BJ122" s="439"/>
      <c r="BK122" s="439"/>
      <c r="BL122" s="439"/>
      <c r="BM122" s="568"/>
      <c r="BN122" s="439"/>
      <c r="BO122" s="439"/>
      <c r="BP122" s="439"/>
      <c r="BQ122" s="439"/>
      <c r="BR122" s="568"/>
      <c r="BS122" s="439"/>
      <c r="BT122" s="439"/>
      <c r="BU122" s="439"/>
      <c r="BV122" s="439"/>
      <c r="BW122" s="568"/>
      <c r="BX122" s="439"/>
      <c r="BY122" s="439"/>
      <c r="BZ122" s="439"/>
      <c r="CA122" s="439"/>
      <c r="CB122" s="568"/>
      <c r="CC122" s="439"/>
      <c r="CD122" s="439"/>
      <c r="CE122" s="439"/>
      <c r="CF122" s="439"/>
      <c r="CG122" s="568"/>
      <c r="CH122" s="439"/>
      <c r="CI122" s="439"/>
      <c r="CJ122" s="439"/>
      <c r="CK122" s="439"/>
      <c r="CL122" s="568"/>
      <c r="CM122" s="439"/>
      <c r="CN122" s="439"/>
      <c r="CO122" s="439"/>
      <c r="CP122" s="439"/>
      <c r="CQ122" s="568"/>
    </row>
    <row r="123" spans="5:95" ht="13.5" hidden="1" x14ac:dyDescent="0.25">
      <c r="E123" s="54"/>
      <c r="F123" s="566"/>
      <c r="G123" s="566"/>
      <c r="H123" s="566"/>
      <c r="I123" s="566"/>
      <c r="J123" s="566"/>
      <c r="K123" s="122"/>
      <c r="L123" s="122"/>
      <c r="M123" s="122"/>
      <c r="N123" s="122"/>
      <c r="O123" s="566"/>
      <c r="P123" s="122"/>
      <c r="Q123" s="122"/>
      <c r="R123" s="122"/>
      <c r="S123" s="122"/>
      <c r="T123" s="566"/>
      <c r="U123" s="122"/>
      <c r="V123" s="122"/>
      <c r="W123" s="122"/>
      <c r="X123" s="122"/>
      <c r="Y123" s="566"/>
      <c r="Z123" s="128"/>
      <c r="AA123" s="128"/>
      <c r="AB123" s="128"/>
      <c r="AC123" s="128"/>
      <c r="AD123" s="566"/>
      <c r="AE123" s="128"/>
      <c r="AF123" s="128"/>
      <c r="AG123" s="128"/>
      <c r="AH123" s="128"/>
      <c r="AI123" s="513"/>
      <c r="AJ123" s="85"/>
      <c r="AK123" s="85"/>
      <c r="AL123" s="85"/>
      <c r="AM123" s="85"/>
      <c r="AN123" s="513"/>
      <c r="AO123" s="85"/>
      <c r="AP123" s="85"/>
      <c r="AQ123" s="85"/>
      <c r="AR123" s="364"/>
      <c r="AS123" s="566"/>
      <c r="AT123" s="442"/>
      <c r="AU123" s="442"/>
      <c r="AV123" s="442"/>
      <c r="AW123" s="442"/>
      <c r="AX123" s="566"/>
      <c r="AY123" s="442"/>
      <c r="AZ123" s="442"/>
      <c r="BA123" s="442"/>
      <c r="BB123" s="439"/>
      <c r="BC123" s="566"/>
      <c r="BD123" s="439"/>
      <c r="BE123" s="439"/>
      <c r="BF123" s="439"/>
      <c r="BG123" s="439"/>
      <c r="BH123" s="566"/>
      <c r="BI123" s="439"/>
      <c r="BJ123" s="439"/>
      <c r="BK123" s="439"/>
      <c r="BL123" s="439"/>
      <c r="BM123" s="566"/>
      <c r="BN123" s="504"/>
      <c r="BO123" s="504"/>
      <c r="BP123" s="504"/>
      <c r="BQ123" s="504"/>
      <c r="BR123" s="566"/>
      <c r="BS123" s="157"/>
      <c r="BT123" s="157"/>
      <c r="BU123" s="157"/>
      <c r="BV123" s="157"/>
      <c r="BW123" s="566"/>
      <c r="BX123" s="157"/>
      <c r="BY123" s="157"/>
      <c r="BZ123" s="157"/>
      <c r="CA123" s="157"/>
      <c r="CB123" s="566"/>
      <c r="CC123" s="157"/>
      <c r="CD123" s="157"/>
      <c r="CE123" s="157"/>
      <c r="CF123" s="157"/>
      <c r="CG123" s="566"/>
      <c r="CH123" s="157"/>
      <c r="CI123" s="157"/>
      <c r="CJ123" s="157"/>
      <c r="CK123" s="157"/>
      <c r="CL123" s="566"/>
      <c r="CM123" s="157"/>
      <c r="CN123" s="157"/>
      <c r="CO123" s="157"/>
      <c r="CP123" s="157"/>
      <c r="CQ123" s="566"/>
    </row>
    <row r="124" spans="5:95" ht="13.5" hidden="1" x14ac:dyDescent="0.25">
      <c r="E124" s="462" t="s">
        <v>314</v>
      </c>
      <c r="F124" s="562"/>
      <c r="G124" s="562"/>
      <c r="H124" s="562"/>
      <c r="I124" s="562"/>
      <c r="J124" s="562"/>
      <c r="K124" s="461"/>
      <c r="L124" s="461"/>
      <c r="M124" s="461"/>
      <c r="N124" s="461"/>
      <c r="O124" s="562"/>
      <c r="P124" s="461"/>
      <c r="Q124" s="461"/>
      <c r="R124" s="461"/>
      <c r="S124" s="461"/>
      <c r="T124" s="562"/>
      <c r="U124" s="461"/>
      <c r="V124" s="461"/>
      <c r="W124" s="461"/>
      <c r="X124" s="461"/>
      <c r="Y124" s="562"/>
      <c r="Z124" s="461"/>
      <c r="AA124" s="461"/>
      <c r="AB124" s="461"/>
      <c r="AC124" s="461"/>
      <c r="AD124" s="562"/>
      <c r="AE124" s="461"/>
      <c r="AF124" s="461"/>
      <c r="AG124" s="461"/>
      <c r="AH124" s="461"/>
      <c r="AI124" s="562"/>
      <c r="AJ124" s="463"/>
      <c r="AK124" s="463"/>
      <c r="AL124" s="463"/>
      <c r="AM124" s="463"/>
      <c r="AN124" s="562"/>
      <c r="AO124" s="463"/>
      <c r="AP124" s="463"/>
      <c r="AQ124" s="463"/>
      <c r="AR124" s="463"/>
      <c r="AS124" s="562"/>
      <c r="AT124" s="463"/>
      <c r="AU124" s="463"/>
      <c r="AV124" s="463" t="e">
        <f>#REF!-Income!AV57</f>
        <v>#REF!</v>
      </c>
      <c r="AW124" s="463"/>
      <c r="AX124" s="562"/>
      <c r="AY124" s="463" t="e">
        <f>#REF!-Income!AY57</f>
        <v>#REF!</v>
      </c>
      <c r="AZ124" s="463" t="e">
        <f>#REF!-Income!AZ57</f>
        <v>#REF!</v>
      </c>
      <c r="BA124" s="463" t="e">
        <f>#REF!-Income!BA57</f>
        <v>#REF!</v>
      </c>
      <c r="BB124" s="463" t="e">
        <f>#REF!-Income!BB57</f>
        <v>#REF!</v>
      </c>
      <c r="BC124" s="562" t="e">
        <f>#REF!-Income!BC57</f>
        <v>#REF!</v>
      </c>
      <c r="BD124" s="463" t="e">
        <f>#REF!-Income!BD57</f>
        <v>#REF!</v>
      </c>
      <c r="BE124" s="463" t="e">
        <f>#REF!-Income!BE57</f>
        <v>#REF!</v>
      </c>
      <c r="BF124" s="463" t="e">
        <f>#REF!-Income!BF57</f>
        <v>#REF!</v>
      </c>
      <c r="BG124" s="463" t="e">
        <f>#REF!-Income!BG57</f>
        <v>#REF!</v>
      </c>
      <c r="BH124" s="562" t="e">
        <f>#REF!-Income!BH57</f>
        <v>#REF!</v>
      </c>
      <c r="BI124" s="463" t="e">
        <f>#REF!-Income!BI57</f>
        <v>#REF!</v>
      </c>
      <c r="BJ124" s="463" t="e">
        <f>#REF!-Income!BJ57</f>
        <v>#REF!</v>
      </c>
      <c r="BK124" s="463" t="e">
        <f>#REF!-Income!BK57</f>
        <v>#REF!</v>
      </c>
      <c r="BL124" s="463" t="e">
        <f>#REF!-Income!BL57</f>
        <v>#REF!</v>
      </c>
      <c r="BM124" s="562"/>
      <c r="BN124" s="463"/>
      <c r="BO124" s="463"/>
      <c r="BP124" s="463"/>
      <c r="BQ124" s="463"/>
      <c r="BR124" s="562"/>
      <c r="BS124" s="463"/>
      <c r="BT124" s="463"/>
      <c r="BU124" s="463"/>
      <c r="BV124" s="463"/>
      <c r="BW124" s="562"/>
      <c r="BX124" s="463"/>
      <c r="BY124" s="463"/>
      <c r="BZ124" s="463"/>
      <c r="CA124" s="463"/>
      <c r="CB124" s="562"/>
      <c r="CC124" s="463" t="e">
        <f>#REF!-Income!CC57</f>
        <v>#REF!</v>
      </c>
      <c r="CD124" s="463" t="e">
        <f>#REF!-Income!CD57</f>
        <v>#REF!</v>
      </c>
      <c r="CE124" s="463" t="e">
        <f>#REF!-Income!CE57</f>
        <v>#REF!</v>
      </c>
      <c r="CF124" s="463" t="e">
        <f>#REF!-Income!CF57</f>
        <v>#REF!</v>
      </c>
      <c r="CG124" s="562"/>
      <c r="CH124" s="463" t="e">
        <f>#REF!-Income!CH57</f>
        <v>#REF!</v>
      </c>
      <c r="CI124" s="463" t="e">
        <f>#REF!-Income!CI57</f>
        <v>#REF!</v>
      </c>
      <c r="CJ124" s="463" t="e">
        <f>#REF!-Income!CJ57</f>
        <v>#REF!</v>
      </c>
      <c r="CK124" s="463" t="e">
        <f>#REF!-Income!CK57</f>
        <v>#REF!</v>
      </c>
      <c r="CL124" s="562"/>
      <c r="CM124" s="463" t="e">
        <f>#REF!-Income!CM57</f>
        <v>#REF!</v>
      </c>
      <c r="CN124" s="463" t="e">
        <f>#REF!-Income!CN57</f>
        <v>#REF!</v>
      </c>
      <c r="CO124" s="463" t="e">
        <f>#REF!-Income!CO57</f>
        <v>#REF!</v>
      </c>
      <c r="CP124" s="463" t="e">
        <f>#REF!-Income!CP57</f>
        <v>#REF!</v>
      </c>
      <c r="CQ124" s="644"/>
    </row>
    <row r="125" spans="5:95" hidden="1" x14ac:dyDescent="0.25">
      <c r="E125" s="54"/>
      <c r="F125" s="566"/>
      <c r="G125" s="566"/>
      <c r="H125" s="566"/>
      <c r="I125" s="566"/>
      <c r="J125" s="566"/>
      <c r="K125" s="122"/>
      <c r="L125" s="122"/>
      <c r="M125" s="122"/>
      <c r="N125" s="122"/>
      <c r="O125" s="566"/>
      <c r="P125" s="122"/>
      <c r="Q125" s="122"/>
      <c r="R125" s="122"/>
      <c r="S125" s="122"/>
      <c r="T125" s="566"/>
      <c r="U125" s="122"/>
      <c r="V125" s="122"/>
      <c r="W125" s="122"/>
      <c r="X125" s="122"/>
      <c r="Y125" s="566"/>
      <c r="Z125" s="128"/>
      <c r="AA125" s="128"/>
      <c r="AB125" s="128"/>
      <c r="AC125" s="128"/>
      <c r="AD125" s="566"/>
      <c r="AE125" s="128"/>
      <c r="AF125" s="128"/>
      <c r="AG125" s="128"/>
      <c r="AH125" s="128"/>
      <c r="AI125" s="513"/>
      <c r="AJ125" s="85"/>
      <c r="AK125" s="85"/>
      <c r="AL125" s="85"/>
      <c r="AM125" s="85"/>
      <c r="AN125" s="513"/>
      <c r="AO125" s="85"/>
      <c r="AP125" s="85"/>
      <c r="AQ125" s="85"/>
      <c r="AR125" s="364"/>
      <c r="AS125" s="566"/>
      <c r="AT125" s="439"/>
      <c r="AU125" s="439"/>
      <c r="AV125" s="439"/>
      <c r="AW125" s="439"/>
      <c r="AX125" s="568"/>
      <c r="AY125" s="439"/>
      <c r="AZ125" s="439"/>
      <c r="BA125" s="439"/>
      <c r="BB125" s="408"/>
      <c r="BC125" s="568"/>
      <c r="BD125" s="408"/>
      <c r="BE125" s="408"/>
      <c r="BF125" s="408"/>
      <c r="BG125" s="408"/>
      <c r="BH125" s="568"/>
      <c r="BI125" s="408"/>
      <c r="BJ125" s="408"/>
      <c r="BK125" s="408"/>
      <c r="BL125" s="408"/>
      <c r="BM125" s="568"/>
      <c r="BN125" s="408"/>
      <c r="BO125" s="408"/>
      <c r="BP125" s="408"/>
      <c r="BQ125" s="408"/>
      <c r="BR125" s="568"/>
      <c r="BS125" s="408"/>
      <c r="BT125" s="408"/>
      <c r="BU125" s="408"/>
      <c r="BV125" s="408"/>
      <c r="BW125" s="568"/>
      <c r="BX125" s="408"/>
      <c r="BY125" s="408"/>
      <c r="BZ125" s="408"/>
      <c r="CA125" s="408"/>
      <c r="CB125" s="568"/>
      <c r="CC125" s="408"/>
      <c r="CD125" s="408"/>
      <c r="CE125" s="408"/>
      <c r="CF125" s="408"/>
      <c r="CG125" s="568"/>
      <c r="CH125" s="408"/>
      <c r="CI125" s="408"/>
      <c r="CJ125" s="408"/>
      <c r="CK125" s="408"/>
      <c r="CL125" s="568"/>
      <c r="CM125" s="408"/>
      <c r="CN125" s="408"/>
      <c r="CO125" s="408"/>
      <c r="CP125" s="408"/>
      <c r="CQ125" s="568"/>
    </row>
    <row r="126" spans="5:95" ht="13.5" hidden="1" x14ac:dyDescent="0.25">
      <c r="E126" s="190" t="s">
        <v>641</v>
      </c>
      <c r="F126" s="542"/>
      <c r="G126" s="542"/>
      <c r="H126" s="542"/>
      <c r="I126" s="542"/>
      <c r="J126" s="542"/>
      <c r="O126" s="542"/>
      <c r="S126" s="191"/>
      <c r="T126" s="542"/>
      <c r="Y126" s="542"/>
      <c r="Z126" s="59"/>
      <c r="AA126" s="59"/>
      <c r="AB126" s="59"/>
      <c r="AC126" s="59"/>
      <c r="AD126" s="542"/>
      <c r="AE126" s="59"/>
      <c r="AF126" s="59"/>
      <c r="AG126" s="59"/>
      <c r="AH126" s="59"/>
      <c r="AI126" s="542"/>
      <c r="AJ126" s="59"/>
      <c r="AK126" s="59"/>
      <c r="AL126" s="59"/>
      <c r="AM126" s="59"/>
      <c r="AN126" s="542"/>
      <c r="AO126" s="59"/>
      <c r="AP126" s="59"/>
      <c r="AQ126" s="59"/>
      <c r="AR126" s="59"/>
      <c r="AS126" s="542"/>
      <c r="AT126" s="59"/>
      <c r="AU126" s="59"/>
      <c r="AV126" s="59"/>
      <c r="AW126" s="59"/>
      <c r="AX126" s="542"/>
      <c r="AY126" s="59"/>
      <c r="AZ126" s="59"/>
      <c r="BA126" s="59"/>
      <c r="BB126" s="59"/>
      <c r="BC126" s="542"/>
      <c r="BD126" s="59"/>
      <c r="BE126" s="59"/>
      <c r="BF126" s="59"/>
      <c r="BG126" s="59"/>
      <c r="BH126" s="542"/>
      <c r="BI126" s="439"/>
      <c r="BJ126" s="439"/>
      <c r="BK126" s="183"/>
      <c r="BL126" s="183"/>
      <c r="BM126" s="542"/>
      <c r="BN126" s="439"/>
      <c r="BO126" s="183"/>
      <c r="BP126" s="183"/>
      <c r="BQ126" s="183"/>
      <c r="BR126" s="525"/>
      <c r="BS126" s="183"/>
      <c r="BT126" s="183"/>
      <c r="BU126" s="183"/>
      <c r="BV126" s="183"/>
      <c r="BW126" s="525"/>
      <c r="BX126" s="183"/>
      <c r="BY126" s="183"/>
      <c r="BZ126" s="183"/>
      <c r="CA126" s="183"/>
      <c r="CB126" s="525"/>
      <c r="CC126" s="183"/>
      <c r="CD126" s="183"/>
      <c r="CE126" s="183"/>
      <c r="CF126" s="183"/>
      <c r="CG126" s="525"/>
      <c r="CH126" s="183"/>
      <c r="CI126" s="183"/>
      <c r="CJ126" s="183"/>
      <c r="CK126" s="183"/>
      <c r="CL126" s="525"/>
      <c r="CM126" s="183"/>
      <c r="CN126" s="183"/>
      <c r="CO126" s="183"/>
      <c r="CP126" s="183"/>
      <c r="CQ126" s="641"/>
    </row>
    <row r="127" spans="5:95" ht="13.5" hidden="1" x14ac:dyDescent="0.25">
      <c r="E127" s="85" t="s">
        <v>571</v>
      </c>
      <c r="F127" s="542"/>
      <c r="G127" s="542"/>
      <c r="H127" s="542"/>
      <c r="I127" s="542"/>
      <c r="J127" s="542"/>
      <c r="O127" s="542"/>
      <c r="S127" s="191"/>
      <c r="T127" s="542"/>
      <c r="Y127" s="542"/>
      <c r="Z127" s="59"/>
      <c r="AA127" s="59"/>
      <c r="AB127" s="59"/>
      <c r="AC127" s="59"/>
      <c r="AD127" s="542"/>
      <c r="AE127" s="59"/>
      <c r="AF127" s="59"/>
      <c r="AG127" s="59"/>
      <c r="AH127" s="59"/>
      <c r="AI127" s="542"/>
      <c r="AJ127" s="59"/>
      <c r="AK127" s="59"/>
      <c r="AL127" s="59"/>
      <c r="AM127" s="59"/>
      <c r="AN127" s="542"/>
      <c r="AO127" s="59"/>
      <c r="AP127" s="59"/>
      <c r="AQ127" s="59"/>
      <c r="AR127" s="59"/>
      <c r="AS127" s="542"/>
      <c r="AT127" s="59"/>
      <c r="AU127" s="59"/>
      <c r="AV127" s="59"/>
      <c r="AW127" s="59"/>
      <c r="AX127" s="542"/>
      <c r="AY127" s="59"/>
      <c r="AZ127" s="59"/>
      <c r="BA127" s="59"/>
      <c r="BB127" s="59"/>
      <c r="BC127" s="542">
        <f>BC129-BC128</f>
        <v>317.08717948717953</v>
      </c>
      <c r="BD127" s="439">
        <f>BD129-BD128</f>
        <v>85.083555263216269</v>
      </c>
      <c r="BE127" s="439">
        <f>BE129-BE128</f>
        <v>82.285675506014471</v>
      </c>
      <c r="BF127" s="439">
        <f>BF129-BF128</f>
        <v>83.559234752868704</v>
      </c>
      <c r="BG127" s="439">
        <f>BH127-BF127-BE127-BD127</f>
        <v>78.558713965080088</v>
      </c>
      <c r="BH127" s="566">
        <f>BH129-BH128</f>
        <v>329.4871794871795</v>
      </c>
      <c r="BI127" s="439">
        <f>BI129-BI128</f>
        <v>83.381843381843368</v>
      </c>
      <c r="BJ127" s="439">
        <f>BJ129-BJ128</f>
        <v>86.467387387387376</v>
      </c>
      <c r="BK127" s="439">
        <f>BK129-BK128</f>
        <v>90.512994505494504</v>
      </c>
      <c r="BL127" s="439">
        <f>BM127-BK127-BJ127-BI127</f>
        <v>80.065954212454272</v>
      </c>
      <c r="BM127" s="566">
        <f>BM129-BM128</f>
        <v>340.42817948717953</v>
      </c>
      <c r="BN127" s="439">
        <f>BN129-BN128</f>
        <v>80.447843381843356</v>
      </c>
      <c r="BO127" s="439">
        <f>BO129-BO128</f>
        <v>83.615387387387386</v>
      </c>
      <c r="BP127" s="439">
        <f>BP129-BP128</f>
        <v>85.195494505494509</v>
      </c>
      <c r="BQ127" s="439">
        <f>BQ129-BQ128</f>
        <v>76.051201465201586</v>
      </c>
      <c r="BR127" s="566">
        <f>SUM(BN127:BQ127)</f>
        <v>325.30992673992682</v>
      </c>
      <c r="BS127" s="439"/>
      <c r="BT127" s="439"/>
      <c r="BU127" s="439"/>
      <c r="BV127" s="439"/>
      <c r="BW127" s="566"/>
      <c r="BX127" s="439"/>
      <c r="BY127" s="439"/>
      <c r="BZ127" s="439"/>
      <c r="CA127" s="439"/>
      <c r="CB127" s="566"/>
      <c r="CC127" s="183"/>
      <c r="CD127" s="183"/>
      <c r="CE127" s="183"/>
      <c r="CF127" s="183"/>
      <c r="CG127" s="525"/>
      <c r="CH127" s="183"/>
      <c r="CI127" s="183"/>
      <c r="CJ127" s="183"/>
      <c r="CK127" s="183"/>
      <c r="CL127" s="525"/>
      <c r="CM127" s="183"/>
      <c r="CN127" s="183"/>
      <c r="CO127" s="183"/>
      <c r="CP127" s="183"/>
      <c r="CQ127" s="641"/>
    </row>
    <row r="128" spans="5:95" ht="13.5" hidden="1" x14ac:dyDescent="0.25">
      <c r="E128" s="85" t="s">
        <v>584</v>
      </c>
      <c r="F128" s="542"/>
      <c r="G128" s="542"/>
      <c r="H128" s="542"/>
      <c r="I128" s="542"/>
      <c r="J128" s="542"/>
      <c r="O128" s="542"/>
      <c r="S128" s="191"/>
      <c r="T128" s="542"/>
      <c r="Y128" s="542"/>
      <c r="Z128" s="59"/>
      <c r="AA128" s="59"/>
      <c r="AB128" s="59"/>
      <c r="AC128" s="59"/>
      <c r="AD128" s="542"/>
      <c r="AE128" s="59"/>
      <c r="AF128" s="59"/>
      <c r="AG128" s="59"/>
      <c r="AH128" s="59"/>
      <c r="AI128" s="542"/>
      <c r="AJ128" s="59"/>
      <c r="AK128" s="59"/>
      <c r="AL128" s="59"/>
      <c r="AM128" s="59"/>
      <c r="AN128" s="542"/>
      <c r="AO128" s="59"/>
      <c r="AP128" s="59"/>
      <c r="AQ128" s="59"/>
      <c r="AR128" s="59"/>
      <c r="AS128" s="542"/>
      <c r="AT128" s="59"/>
      <c r="AU128" s="59"/>
      <c r="AV128" s="59"/>
      <c r="AW128" s="59"/>
      <c r="AX128" s="542"/>
      <c r="AY128" s="59"/>
      <c r="AZ128" s="59"/>
      <c r="BA128" s="59"/>
      <c r="BB128" s="59"/>
      <c r="BC128" s="582"/>
      <c r="BD128" s="527"/>
      <c r="BE128" s="527"/>
      <c r="BF128" s="527"/>
      <c r="BG128" s="523"/>
      <c r="BH128" s="582"/>
      <c r="BI128" s="527">
        <f>Connectivity!BI45</f>
        <v>0</v>
      </c>
      <c r="BJ128" s="527">
        <f>Connectivity!BJ45</f>
        <v>0.91999999999999993</v>
      </c>
      <c r="BK128" s="527">
        <f>Connectivity!BK45</f>
        <v>3.9925000000000002</v>
      </c>
      <c r="BL128" s="527">
        <f>Connectivity!BL45</f>
        <v>9.8465000000000007</v>
      </c>
      <c r="BM128" s="577">
        <f>Connectivity!BM45</f>
        <v>14.759</v>
      </c>
      <c r="BN128" s="527">
        <f>Connectivity!BN45</f>
        <v>4.3339999999999996</v>
      </c>
      <c r="BO128" s="527">
        <f>Connectivity!BO45</f>
        <v>13.472</v>
      </c>
      <c r="BP128" s="527">
        <f>Connectivity!BP45</f>
        <v>17.91</v>
      </c>
      <c r="BQ128" s="527">
        <f>Connectivity!BQ45</f>
        <v>19.256</v>
      </c>
      <c r="BR128" s="577">
        <f>Connectivity!BR45</f>
        <v>54.971999999999994</v>
      </c>
      <c r="BS128" s="527"/>
      <c r="BT128" s="527"/>
      <c r="BU128" s="527"/>
      <c r="BV128" s="527"/>
      <c r="BW128" s="577"/>
      <c r="BX128" s="527"/>
      <c r="BY128" s="527"/>
      <c r="BZ128" s="527"/>
      <c r="CA128" s="527"/>
      <c r="CB128" s="577"/>
      <c r="CC128" s="183"/>
      <c r="CD128" s="183"/>
      <c r="CE128" s="183"/>
      <c r="CF128" s="183"/>
      <c r="CG128" s="525"/>
      <c r="CH128" s="183"/>
      <c r="CI128" s="183"/>
      <c r="CJ128" s="183"/>
      <c r="CK128" s="183"/>
      <c r="CL128" s="525"/>
      <c r="CM128" s="183"/>
      <c r="CN128" s="183"/>
      <c r="CO128" s="183"/>
      <c r="CP128" s="183"/>
      <c r="CQ128" s="641"/>
    </row>
    <row r="129" spans="5:95" ht="13.5" hidden="1" x14ac:dyDescent="0.25">
      <c r="E129" s="85" t="s">
        <v>575</v>
      </c>
      <c r="F129" s="542"/>
      <c r="G129" s="542"/>
      <c r="H129" s="542"/>
      <c r="I129" s="542"/>
      <c r="J129" s="542"/>
      <c r="O129" s="542"/>
      <c r="S129" s="191"/>
      <c r="T129" s="542"/>
      <c r="Y129" s="542"/>
      <c r="Z129" s="59"/>
      <c r="AA129" s="59"/>
      <c r="AB129" s="59"/>
      <c r="AC129" s="59"/>
      <c r="AD129" s="542"/>
      <c r="AE129" s="59"/>
      <c r="AF129" s="59"/>
      <c r="AG129" s="59"/>
      <c r="AH129" s="59"/>
      <c r="AI129" s="542"/>
      <c r="AJ129" s="59"/>
      <c r="AK129" s="59"/>
      <c r="AL129" s="59"/>
      <c r="AM129" s="59"/>
      <c r="AN129" s="542"/>
      <c r="AO129" s="59"/>
      <c r="AP129" s="59"/>
      <c r="AQ129" s="59"/>
      <c r="AR129" s="59"/>
      <c r="AS129" s="542"/>
      <c r="AT129" s="59"/>
      <c r="AU129" s="59"/>
      <c r="AV129" s="59"/>
      <c r="AW129" s="59"/>
      <c r="AX129" s="542"/>
      <c r="AY129" s="59"/>
      <c r="AZ129" s="59"/>
      <c r="BA129" s="59"/>
      <c r="BB129" s="59"/>
      <c r="BC129" s="542">
        <f>BH129-12.4</f>
        <v>317.08717948717953</v>
      </c>
      <c r="BD129" s="528">
        <f>(BI129+BJ129)-BE129-3.4</f>
        <v>85.083555263216269</v>
      </c>
      <c r="BE129" s="439">
        <f>BJ129/(1+BJ130)</f>
        <v>82.285675506014471</v>
      </c>
      <c r="BF129" s="439">
        <f>BK129/(1+BK130)</f>
        <v>83.559234752868704</v>
      </c>
      <c r="BG129" s="439">
        <f>BH129-BF129-BE129-BD129</f>
        <v>78.558713965080088</v>
      </c>
      <c r="BH129" s="566">
        <f>25.7/BM130</f>
        <v>329.4871794871795</v>
      </c>
      <c r="BI129" s="439">
        <f>(11.1/0.065)-BJ129</f>
        <v>83.381843381843368</v>
      </c>
      <c r="BJ129" s="439">
        <f>9.7/BO130</f>
        <v>87.387387387387378</v>
      </c>
      <c r="BK129" s="439">
        <f>8.6/BP130</f>
        <v>94.505494505494511</v>
      </c>
      <c r="BL129" s="439">
        <f>BM129-BK129-BJ129-BI129</f>
        <v>89.912454212454321</v>
      </c>
      <c r="BM129" s="566">
        <f>BH129*(1+BM130)</f>
        <v>355.18717948717955</v>
      </c>
      <c r="BN129" s="439">
        <f>((BI129+BJ129)*1.065)-BO129</f>
        <v>84.781843381843359</v>
      </c>
      <c r="BO129" s="439">
        <f>BJ129*(1+BO130)</f>
        <v>97.08738738738738</v>
      </c>
      <c r="BP129" s="439">
        <f>BK129*(1+BP130)</f>
        <v>103.10549450549451</v>
      </c>
      <c r="BQ129" s="439">
        <f>BL129*(1+BQ130)</f>
        <v>95.307201465201587</v>
      </c>
      <c r="BR129" s="566">
        <f>SUM(BN129:BQ129)</f>
        <v>380.2819267399268</v>
      </c>
      <c r="BS129" s="439"/>
      <c r="BT129" s="439"/>
      <c r="BU129" s="439"/>
      <c r="BV129" s="439"/>
      <c r="BW129" s="566"/>
      <c r="BX129" s="439"/>
      <c r="BY129" s="439"/>
      <c r="BZ129" s="439"/>
      <c r="CA129" s="439"/>
      <c r="CB129" s="566"/>
      <c r="CC129" s="183"/>
      <c r="CD129" s="183"/>
      <c r="CE129" s="183"/>
      <c r="CF129" s="183"/>
      <c r="CG129" s="525"/>
      <c r="CH129" s="183"/>
      <c r="CI129" s="183"/>
      <c r="CJ129" s="183"/>
      <c r="CK129" s="183"/>
      <c r="CL129" s="525"/>
      <c r="CM129" s="183"/>
      <c r="CN129" s="183"/>
      <c r="CO129" s="183"/>
      <c r="CP129" s="183"/>
      <c r="CQ129" s="641"/>
    </row>
    <row r="130" spans="5:95" ht="13.5" hidden="1" x14ac:dyDescent="0.25">
      <c r="E130" s="91" t="s">
        <v>2</v>
      </c>
      <c r="F130" s="542"/>
      <c r="G130" s="542"/>
      <c r="H130" s="542"/>
      <c r="I130" s="542"/>
      <c r="J130" s="542"/>
      <c r="O130" s="542"/>
      <c r="S130" s="191"/>
      <c r="T130" s="542"/>
      <c r="Y130" s="542"/>
      <c r="Z130" s="59"/>
      <c r="AA130" s="59"/>
      <c r="AB130" s="59"/>
      <c r="AC130" s="59"/>
      <c r="AD130" s="542"/>
      <c r="AE130" s="59"/>
      <c r="AF130" s="59"/>
      <c r="AG130" s="59"/>
      <c r="AH130" s="59"/>
      <c r="AI130" s="542"/>
      <c r="AJ130" s="59"/>
      <c r="AK130" s="59"/>
      <c r="AL130" s="59"/>
      <c r="AM130" s="59"/>
      <c r="AN130" s="542"/>
      <c r="AO130" s="59"/>
      <c r="AP130" s="59"/>
      <c r="AQ130" s="59"/>
      <c r="AR130" s="59"/>
      <c r="AS130" s="542"/>
      <c r="AT130" s="59"/>
      <c r="AU130" s="59"/>
      <c r="AV130" s="59"/>
      <c r="AW130" s="59"/>
      <c r="AX130" s="542"/>
      <c r="AY130" s="59"/>
      <c r="AZ130" s="59"/>
      <c r="BA130" s="59"/>
      <c r="BB130" s="59"/>
      <c r="BC130" s="542"/>
      <c r="BD130" s="183"/>
      <c r="BE130" s="183"/>
      <c r="BF130" s="183"/>
      <c r="BG130" s="363"/>
      <c r="BH130" s="522">
        <v>3.7999999999999999E-2</v>
      </c>
      <c r="BI130" s="363">
        <f>(BI129-BD129)/ABS(BD129)</f>
        <v>-2.000047924782233E-2</v>
      </c>
      <c r="BJ130" s="456">
        <v>6.2E-2</v>
      </c>
      <c r="BK130" s="456">
        <v>0.13100000000000001</v>
      </c>
      <c r="BL130" s="363">
        <f>(BL129-BG129)/ABS(BG129)</f>
        <v>0.1445255360521947</v>
      </c>
      <c r="BM130" s="522">
        <v>7.8E-2</v>
      </c>
      <c r="BN130" s="183">
        <f>BN129/BI129-1</f>
        <v>1.6790226063829738E-2</v>
      </c>
      <c r="BO130" s="456">
        <v>0.111</v>
      </c>
      <c r="BP130" s="456">
        <v>9.0999999999999998E-2</v>
      </c>
      <c r="BQ130" s="453">
        <v>0.06</v>
      </c>
      <c r="BR130" s="525">
        <f>(BR129-BM129)/ABS(BM129)</f>
        <v>7.0652176379167556E-2</v>
      </c>
      <c r="BS130" s="453"/>
      <c r="BT130" s="453"/>
      <c r="BU130" s="453"/>
      <c r="BV130" s="453"/>
      <c r="BW130" s="525"/>
      <c r="BX130" s="183"/>
      <c r="BY130" s="183"/>
      <c r="BZ130" s="183"/>
      <c r="CA130" s="183"/>
      <c r="CB130" s="525"/>
      <c r="CC130" s="183"/>
      <c r="CD130" s="183"/>
      <c r="CE130" s="183"/>
      <c r="CF130" s="183"/>
      <c r="CG130" s="525"/>
      <c r="CH130" s="183"/>
      <c r="CI130" s="183"/>
      <c r="CJ130" s="183"/>
      <c r="CK130" s="183"/>
      <c r="CL130" s="525"/>
      <c r="CM130" s="183"/>
      <c r="CN130" s="183"/>
      <c r="CO130" s="183"/>
      <c r="CP130" s="183"/>
      <c r="CQ130" s="641"/>
    </row>
    <row r="131" spans="5:95" ht="13.5" hidden="1" x14ac:dyDescent="0.25">
      <c r="E131" s="85" t="s">
        <v>574</v>
      </c>
      <c r="F131" s="542"/>
      <c r="G131" s="542"/>
      <c r="H131" s="542"/>
      <c r="I131" s="542"/>
      <c r="J131" s="542"/>
      <c r="O131" s="542"/>
      <c r="S131" s="191"/>
      <c r="T131" s="542"/>
      <c r="Y131" s="542"/>
      <c r="Z131" s="59"/>
      <c r="AA131" s="59"/>
      <c r="AB131" s="59"/>
      <c r="AC131" s="59"/>
      <c r="AD131" s="542"/>
      <c r="AE131" s="59"/>
      <c r="AF131" s="59"/>
      <c r="AG131" s="59"/>
      <c r="AH131" s="59"/>
      <c r="AI131" s="542"/>
      <c r="AJ131" s="59"/>
      <c r="AK131" s="59"/>
      <c r="AL131" s="59"/>
      <c r="AM131" s="59"/>
      <c r="AN131" s="542"/>
      <c r="AO131" s="59"/>
      <c r="AP131" s="59"/>
      <c r="AQ131" s="59"/>
      <c r="AR131" s="59"/>
      <c r="AS131" s="542"/>
      <c r="AT131" s="59"/>
      <c r="AU131" s="59"/>
      <c r="AV131" s="59"/>
      <c r="AW131" s="59"/>
      <c r="AX131" s="542"/>
      <c r="AY131" s="59"/>
      <c r="AZ131" s="59"/>
      <c r="BA131" s="59"/>
      <c r="BB131" s="59"/>
      <c r="BC131" s="524">
        <v>222</v>
      </c>
      <c r="BD131" s="439">
        <f>BI131/(1+BI132)</f>
        <v>48.763497039359109</v>
      </c>
      <c r="BE131" s="439">
        <f>BJ131/(1+BJ132)</f>
        <v>57.678019786493572</v>
      </c>
      <c r="BF131" s="439">
        <f>BK131/(1+BK132)</f>
        <v>52.102178160503662</v>
      </c>
      <c r="BG131" s="439">
        <f>BH131-BF131-BE131-BD131</f>
        <v>53.956305013643671</v>
      </c>
      <c r="BH131" s="566">
        <f>3.4/BM132</f>
        <v>212.5</v>
      </c>
      <c r="BI131" s="439">
        <f>-0.7/BN132</f>
        <v>46.666666666666664</v>
      </c>
      <c r="BJ131" s="439">
        <f>-5.9/BO132</f>
        <v>55.140186915887853</v>
      </c>
      <c r="BK131" s="439">
        <f>-7.2/BP132</f>
        <v>55.384615384615387</v>
      </c>
      <c r="BL131" s="439">
        <f>BM131-BK131-BJ131-BI131</f>
        <v>58.708531032830102</v>
      </c>
      <c r="BM131" s="566">
        <f>BH131*(1+BM132)</f>
        <v>215.9</v>
      </c>
      <c r="BN131" s="439">
        <f>BI131*(1+BN132)</f>
        <v>45.966666666666661</v>
      </c>
      <c r="BO131" s="439">
        <f>BJ131*(1+BO132)</f>
        <v>49.240186915887854</v>
      </c>
      <c r="BP131" s="439">
        <f>BK131*(1+BP132)</f>
        <v>48.184615384615384</v>
      </c>
      <c r="BQ131" s="439">
        <f>BL131*(1+BQ132)</f>
        <v>52.837677929547091</v>
      </c>
      <c r="BR131" s="566">
        <f>SUM(BN131:BQ131)</f>
        <v>196.22914689671697</v>
      </c>
      <c r="BS131" s="439"/>
      <c r="BT131" s="439"/>
      <c r="BU131" s="439"/>
      <c r="BV131" s="439"/>
      <c r="BW131" s="566"/>
      <c r="BX131" s="439"/>
      <c r="BY131" s="439"/>
      <c r="BZ131" s="439"/>
      <c r="CA131" s="439"/>
      <c r="CB131" s="566"/>
      <c r="CC131" s="183"/>
      <c r="CD131" s="183"/>
      <c r="CE131" s="183"/>
      <c r="CF131" s="183"/>
      <c r="CG131" s="525"/>
      <c r="CH131" s="183"/>
      <c r="CI131" s="183"/>
      <c r="CJ131" s="183"/>
      <c r="CK131" s="183"/>
      <c r="CL131" s="525"/>
      <c r="CM131" s="183"/>
      <c r="CN131" s="183"/>
      <c r="CO131" s="183"/>
      <c r="CP131" s="183"/>
      <c r="CQ131" s="641"/>
    </row>
    <row r="132" spans="5:95" ht="13.5" hidden="1" x14ac:dyDescent="0.25">
      <c r="E132" s="91" t="s">
        <v>2</v>
      </c>
      <c r="F132" s="542"/>
      <c r="G132" s="542"/>
      <c r="H132" s="542"/>
      <c r="I132" s="542"/>
      <c r="J132" s="542"/>
      <c r="O132" s="542"/>
      <c r="S132" s="191"/>
      <c r="T132" s="542"/>
      <c r="Y132" s="542"/>
      <c r="Z132" s="59"/>
      <c r="AA132" s="59"/>
      <c r="AB132" s="59"/>
      <c r="AC132" s="59"/>
      <c r="AD132" s="542"/>
      <c r="AE132" s="59"/>
      <c r="AF132" s="59"/>
      <c r="AG132" s="59"/>
      <c r="AH132" s="59"/>
      <c r="AI132" s="542"/>
      <c r="AJ132" s="59"/>
      <c r="AK132" s="59"/>
      <c r="AL132" s="59"/>
      <c r="AM132" s="59"/>
      <c r="AN132" s="542"/>
      <c r="AO132" s="59"/>
      <c r="AP132" s="59"/>
      <c r="AQ132" s="59"/>
      <c r="AR132" s="59"/>
      <c r="AS132" s="542"/>
      <c r="AT132" s="59"/>
      <c r="AU132" s="59"/>
      <c r="AV132" s="59"/>
      <c r="AW132" s="59"/>
      <c r="AX132" s="542"/>
      <c r="AY132" s="59"/>
      <c r="AZ132" s="59"/>
      <c r="BA132" s="59"/>
      <c r="BB132" s="59"/>
      <c r="BC132" s="542"/>
      <c r="BD132" s="526"/>
      <c r="BE132" s="526"/>
      <c r="BF132" s="526"/>
      <c r="BG132" s="59"/>
      <c r="BH132" s="525">
        <f>BH131/BC131-1</f>
        <v>-4.27927927927928E-2</v>
      </c>
      <c r="BI132" s="456">
        <v>-4.2999999999999997E-2</v>
      </c>
      <c r="BJ132" s="456">
        <v>-4.3999999999999997E-2</v>
      </c>
      <c r="BK132" s="456">
        <v>6.3E-2</v>
      </c>
      <c r="BL132" s="363">
        <f>(BL131-BG131)/ABS(BG131)</f>
        <v>8.8075453239148935E-2</v>
      </c>
      <c r="BM132" s="522">
        <v>1.6E-2</v>
      </c>
      <c r="BN132" s="456">
        <v>-1.4999999999999999E-2</v>
      </c>
      <c r="BO132" s="456">
        <v>-0.107</v>
      </c>
      <c r="BP132" s="456">
        <v>-0.13</v>
      </c>
      <c r="BQ132" s="453">
        <v>-0.1</v>
      </c>
      <c r="BR132" s="525">
        <f>(BR131-BM131)/ABS(BM131)</f>
        <v>-9.1110945360273435E-2</v>
      </c>
      <c r="BS132" s="453"/>
      <c r="BT132" s="453"/>
      <c r="BU132" s="453"/>
      <c r="BV132" s="453"/>
      <c r="BW132" s="525"/>
      <c r="BX132" s="183"/>
      <c r="BY132" s="183"/>
      <c r="BZ132" s="183"/>
      <c r="CA132" s="183"/>
      <c r="CB132" s="525"/>
      <c r="CC132" s="183"/>
      <c r="CD132" s="183"/>
      <c r="CE132" s="183"/>
      <c r="CF132" s="183"/>
      <c r="CG132" s="525"/>
      <c r="CH132" s="183"/>
      <c r="CI132" s="183"/>
      <c r="CJ132" s="183"/>
      <c r="CK132" s="183"/>
      <c r="CL132" s="525"/>
      <c r="CM132" s="183"/>
      <c r="CN132" s="183"/>
      <c r="CO132" s="183"/>
      <c r="CP132" s="183"/>
      <c r="CQ132" s="641"/>
    </row>
    <row r="133" spans="5:95" ht="13.5" hidden="1" x14ac:dyDescent="0.25">
      <c r="E133" s="85" t="s">
        <v>573</v>
      </c>
      <c r="F133" s="542"/>
      <c r="G133" s="542"/>
      <c r="H133" s="542"/>
      <c r="I133" s="542"/>
      <c r="J133" s="542"/>
      <c r="O133" s="542"/>
      <c r="S133" s="191"/>
      <c r="T133" s="542"/>
      <c r="Y133" s="542"/>
      <c r="Z133" s="59"/>
      <c r="AA133" s="59"/>
      <c r="AB133" s="59"/>
      <c r="AC133" s="59"/>
      <c r="AD133" s="542"/>
      <c r="AE133" s="59"/>
      <c r="AF133" s="59"/>
      <c r="AG133" s="59"/>
      <c r="AH133" s="59"/>
      <c r="AI133" s="542"/>
      <c r="AJ133" s="59"/>
      <c r="AK133" s="59"/>
      <c r="AL133" s="59"/>
      <c r="AM133" s="59"/>
      <c r="AN133" s="542"/>
      <c r="AO133" s="59"/>
      <c r="AP133" s="59"/>
      <c r="AQ133" s="59"/>
      <c r="AR133" s="59"/>
      <c r="AS133" s="542"/>
      <c r="AT133" s="59"/>
      <c r="AU133" s="59"/>
      <c r="AV133" s="59"/>
      <c r="AW133" s="59"/>
      <c r="AX133" s="542"/>
      <c r="AY133" s="59"/>
      <c r="AZ133" s="59"/>
      <c r="BA133" s="59"/>
      <c r="BB133" s="59"/>
      <c r="BC133" s="542">
        <f>(16.4/0.047)-BC131</f>
        <v>126.93617021276594</v>
      </c>
      <c r="BD133" s="528">
        <f>(BI133+BJ133)-4.4-BE133</f>
        <v>24.218633139909734</v>
      </c>
      <c r="BE133" s="439">
        <f>BJ133/(1+BJ134)</f>
        <v>28.207607994842036</v>
      </c>
      <c r="BF133" s="439">
        <f>BK133/(1+BK134)</f>
        <v>29.995895298538091</v>
      </c>
      <c r="BG133" s="439">
        <f>BH133-BF133-BE133-BD133</f>
        <v>39.636687096121911</v>
      </c>
      <c r="BH133" s="566">
        <f>-8.3/BM134</f>
        <v>122.05882352941177</v>
      </c>
      <c r="BI133" s="439">
        <f>-1.3/BN134</f>
        <v>27.659574468085108</v>
      </c>
      <c r="BJ133" s="439">
        <f>-0.7/BO134</f>
        <v>29.166666666666664</v>
      </c>
      <c r="BK133" s="439">
        <f>-1.9/BP134</f>
        <v>27.536231884057969</v>
      </c>
      <c r="BL133" s="439">
        <f>BM133-BK133-BJ133-BI133</f>
        <v>29.396350510602016</v>
      </c>
      <c r="BM133" s="566">
        <f>BH133*(1+BM134)</f>
        <v>113.75882352941176</v>
      </c>
      <c r="BN133" s="439">
        <f>BI133*(1+BN134)</f>
        <v>26.359574468085107</v>
      </c>
      <c r="BO133" s="439">
        <f>BJ133*(1+BO134)</f>
        <v>28.466666666666665</v>
      </c>
      <c r="BP133" s="439">
        <f>BK133*(1+BP134)</f>
        <v>25.63623188405797</v>
      </c>
      <c r="BQ133" s="439">
        <f>BL133*(1+BQ134)</f>
        <v>24.986897934011711</v>
      </c>
      <c r="BR133" s="566">
        <f>SUM(BN133:BQ133)</f>
        <v>105.44937095282144</v>
      </c>
      <c r="BS133" s="439"/>
      <c r="BT133" s="439"/>
      <c r="BU133" s="439"/>
      <c r="BV133" s="439"/>
      <c r="BW133" s="566"/>
      <c r="BX133" s="439"/>
      <c r="BY133" s="439"/>
      <c r="BZ133" s="439"/>
      <c r="CA133" s="439"/>
      <c r="CB133" s="566"/>
      <c r="CC133" s="183"/>
      <c r="CD133" s="183"/>
      <c r="CE133" s="183"/>
      <c r="CF133" s="183"/>
      <c r="CG133" s="525"/>
      <c r="CH133" s="183"/>
      <c r="CI133" s="183"/>
      <c r="CJ133" s="183"/>
      <c r="CK133" s="183"/>
      <c r="CL133" s="525"/>
      <c r="CM133" s="183"/>
      <c r="CN133" s="183"/>
      <c r="CO133" s="183"/>
      <c r="CP133" s="183"/>
      <c r="CQ133" s="641"/>
    </row>
    <row r="134" spans="5:95" ht="13.5" hidden="1" x14ac:dyDescent="0.25">
      <c r="E134" s="91" t="s">
        <v>2</v>
      </c>
      <c r="F134" s="542"/>
      <c r="G134" s="542"/>
      <c r="H134" s="542"/>
      <c r="I134" s="542"/>
      <c r="J134" s="542"/>
      <c r="O134" s="542"/>
      <c r="S134" s="191"/>
      <c r="T134" s="542"/>
      <c r="Y134" s="542"/>
      <c r="Z134" s="59"/>
      <c r="AA134" s="59"/>
      <c r="AB134" s="59"/>
      <c r="AC134" s="59"/>
      <c r="AD134" s="542"/>
      <c r="AE134" s="59"/>
      <c r="AF134" s="59"/>
      <c r="AG134" s="59"/>
      <c r="AH134" s="59"/>
      <c r="AI134" s="542"/>
      <c r="AJ134" s="59"/>
      <c r="AK134" s="59"/>
      <c r="AL134" s="59"/>
      <c r="AM134" s="59"/>
      <c r="AN134" s="542"/>
      <c r="AO134" s="59"/>
      <c r="AP134" s="59"/>
      <c r="AQ134" s="59"/>
      <c r="AR134" s="59"/>
      <c r="AS134" s="542"/>
      <c r="AT134" s="59"/>
      <c r="AU134" s="59"/>
      <c r="AV134" s="59"/>
      <c r="AW134" s="59"/>
      <c r="AX134" s="542"/>
      <c r="AY134" s="59"/>
      <c r="AZ134" s="59"/>
      <c r="BA134" s="59"/>
      <c r="BB134" s="59"/>
      <c r="BC134" s="542"/>
      <c r="BD134" s="183"/>
      <c r="BE134" s="183"/>
      <c r="BF134" s="183"/>
      <c r="BG134" s="59"/>
      <c r="BH134" s="525">
        <f>BH133/BC133-1</f>
        <v>-3.8423616177949427E-2</v>
      </c>
      <c r="BI134" s="363">
        <f>(BI133-BD133)/ABS(BD133)</f>
        <v>0.14207826297616558</v>
      </c>
      <c r="BJ134" s="456">
        <v>3.4000000000000002E-2</v>
      </c>
      <c r="BK134" s="456">
        <v>-8.2000000000000003E-2</v>
      </c>
      <c r="BL134" s="363">
        <f>(BL133-BG133)/ABS(BG133)</f>
        <v>-0.25835500733667066</v>
      </c>
      <c r="BM134" s="522">
        <v>-6.8000000000000005E-2</v>
      </c>
      <c r="BN134" s="456">
        <v>-4.7E-2</v>
      </c>
      <c r="BO134" s="456">
        <v>-2.4E-2</v>
      </c>
      <c r="BP134" s="456">
        <v>-6.9000000000000006E-2</v>
      </c>
      <c r="BQ134" s="453">
        <v>-0.15</v>
      </c>
      <c r="BR134" s="525">
        <f>(BR133-BM133)/ABS(BM133)</f>
        <v>-7.3044466519486734E-2</v>
      </c>
      <c r="BS134" s="453"/>
      <c r="BT134" s="453"/>
      <c r="BU134" s="453"/>
      <c r="BV134" s="453"/>
      <c r="BW134" s="525"/>
      <c r="BX134" s="183"/>
      <c r="BY134" s="183"/>
      <c r="BZ134" s="183"/>
      <c r="CA134" s="183"/>
      <c r="CB134" s="525"/>
      <c r="CC134" s="183"/>
      <c r="CD134" s="183"/>
      <c r="CE134" s="183"/>
      <c r="CF134" s="183"/>
      <c r="CG134" s="525"/>
      <c r="CH134" s="183"/>
      <c r="CI134" s="183"/>
      <c r="CJ134" s="183"/>
      <c r="CK134" s="183"/>
      <c r="CL134" s="525"/>
      <c r="CM134" s="183"/>
      <c r="CN134" s="183"/>
      <c r="CO134" s="183"/>
      <c r="CP134" s="183"/>
      <c r="CQ134" s="641"/>
    </row>
    <row r="135" spans="5:95" ht="13.5" hidden="1" x14ac:dyDescent="0.25">
      <c r="E135" s="85" t="s">
        <v>576</v>
      </c>
      <c r="F135" s="542"/>
      <c r="G135" s="542"/>
      <c r="H135" s="542"/>
      <c r="I135" s="542"/>
      <c r="J135" s="542"/>
      <c r="O135" s="542"/>
      <c r="S135" s="191"/>
      <c r="T135" s="542"/>
      <c r="Y135" s="542"/>
      <c r="Z135" s="59"/>
      <c r="AA135" s="59"/>
      <c r="AB135" s="59"/>
      <c r="AC135" s="59"/>
      <c r="AD135" s="542"/>
      <c r="AE135" s="59"/>
      <c r="AF135" s="59"/>
      <c r="AG135" s="59"/>
      <c r="AH135" s="59"/>
      <c r="AI135" s="542"/>
      <c r="AJ135" s="59"/>
      <c r="AK135" s="59"/>
      <c r="AL135" s="59"/>
      <c r="AM135" s="59"/>
      <c r="AN135" s="542"/>
      <c r="AO135" s="59"/>
      <c r="AP135" s="59"/>
      <c r="AQ135" s="59"/>
      <c r="AR135" s="59"/>
      <c r="AS135" s="542"/>
      <c r="AT135" s="59"/>
      <c r="AU135" s="59"/>
      <c r="AV135" s="59"/>
      <c r="AW135" s="59"/>
      <c r="AX135" s="542"/>
      <c r="AY135" s="59"/>
      <c r="AZ135" s="59"/>
      <c r="BA135" s="59"/>
      <c r="BB135" s="59"/>
      <c r="BC135" s="542">
        <f>-6.7/BH136</f>
        <v>82.716049382716051</v>
      </c>
      <c r="BD135" s="439">
        <f>BI135/(1+BI136)</f>
        <v>18.171926006528835</v>
      </c>
      <c r="BE135" s="439">
        <f>BJ135/(1+BJ136)</f>
        <v>19.159757541977285</v>
      </c>
      <c r="BF135" s="439">
        <f>BK135/(1+BK136)</f>
        <v>18.58867684027901</v>
      </c>
      <c r="BG135" s="439">
        <f>BH135-BF135-BE135-BD135</f>
        <v>19.837215368790623</v>
      </c>
      <c r="BH135" s="566">
        <f>-5/BM136</f>
        <v>75.757575757575751</v>
      </c>
      <c r="BI135" s="528">
        <v>16.7</v>
      </c>
      <c r="BJ135" s="439">
        <f>1.1/BO136</f>
        <v>17.741935483870968</v>
      </c>
      <c r="BK135" s="439">
        <f>2.1/BP136</f>
        <v>17.213114754098363</v>
      </c>
      <c r="BL135" s="439">
        <f>BM135-BK135-BJ135-BI135</f>
        <v>19.10252551960642</v>
      </c>
      <c r="BM135" s="566">
        <f>BH135*(1+BM136)</f>
        <v>70.757575757575751</v>
      </c>
      <c r="BN135" s="439">
        <f>BI135*(1+BN136)</f>
        <v>16.750099999999996</v>
      </c>
      <c r="BO135" s="439">
        <f>BJ135*(1+BO136)</f>
        <v>18.841935483870969</v>
      </c>
      <c r="BP135" s="439">
        <f>BK135*(1+BP136)</f>
        <v>19.313114754098361</v>
      </c>
      <c r="BQ135" s="439">
        <f>BL135*(1+BQ136)</f>
        <v>19.866626540390676</v>
      </c>
      <c r="BR135" s="566">
        <f>SUM(BN135:BQ135)</f>
        <v>74.771776778359992</v>
      </c>
      <c r="BS135" s="439"/>
      <c r="BT135" s="439"/>
      <c r="BU135" s="439"/>
      <c r="BV135" s="439"/>
      <c r="BW135" s="566"/>
      <c r="BX135" s="439"/>
      <c r="BY135" s="439"/>
      <c r="BZ135" s="439"/>
      <c r="CA135" s="439"/>
      <c r="CB135" s="566"/>
      <c r="CC135" s="183"/>
      <c r="CD135" s="183"/>
      <c r="CE135" s="183"/>
      <c r="CF135" s="183"/>
      <c r="CG135" s="525"/>
      <c r="CH135" s="183"/>
      <c r="CI135" s="183"/>
      <c r="CJ135" s="183"/>
      <c r="CK135" s="183"/>
      <c r="CL135" s="525"/>
      <c r="CM135" s="183"/>
      <c r="CN135" s="183"/>
      <c r="CO135" s="183"/>
      <c r="CP135" s="183"/>
      <c r="CQ135" s="641"/>
    </row>
    <row r="136" spans="5:95" ht="13.5" hidden="1" x14ac:dyDescent="0.3">
      <c r="E136" s="91" t="s">
        <v>2</v>
      </c>
      <c r="F136" s="542"/>
      <c r="G136" s="542"/>
      <c r="H136" s="542"/>
      <c r="I136" s="542"/>
      <c r="J136" s="542"/>
      <c r="O136" s="542"/>
      <c r="S136" s="191"/>
      <c r="T136" s="542"/>
      <c r="Y136" s="542"/>
      <c r="Z136" s="59"/>
      <c r="AA136" s="59"/>
      <c r="AB136" s="59"/>
      <c r="AC136" s="59"/>
      <c r="AD136" s="542"/>
      <c r="AE136" s="59"/>
      <c r="AF136" s="59"/>
      <c r="AG136" s="59"/>
      <c r="AH136" s="59"/>
      <c r="AI136" s="542"/>
      <c r="AJ136" s="59"/>
      <c r="AK136" s="59"/>
      <c r="AL136" s="59"/>
      <c r="AM136" s="59"/>
      <c r="AN136" s="542"/>
      <c r="AO136" s="59"/>
      <c r="AP136" s="59"/>
      <c r="AQ136" s="59"/>
      <c r="AR136" s="59"/>
      <c r="AS136" s="542"/>
      <c r="AT136" s="59"/>
      <c r="AU136" s="59"/>
      <c r="AV136" s="59"/>
      <c r="AW136" s="59"/>
      <c r="AX136" s="542"/>
      <c r="AY136" s="59"/>
      <c r="AZ136" s="59"/>
      <c r="BA136" s="59"/>
      <c r="BB136" s="59"/>
      <c r="BC136" s="542"/>
      <c r="BD136" s="526"/>
      <c r="BE136" s="526"/>
      <c r="BF136" s="526"/>
      <c r="BG136" s="59"/>
      <c r="BH136" s="522">
        <v>-8.1000000000000003E-2</v>
      </c>
      <c r="BI136" s="456">
        <v>-8.1000000000000003E-2</v>
      </c>
      <c r="BJ136" s="456">
        <v>-7.3999999999999996E-2</v>
      </c>
      <c r="BK136" s="456">
        <v>-7.3999999999999996E-2</v>
      </c>
      <c r="BL136" s="363">
        <f>(BL135-BG135)/ABS(BG135)</f>
        <v>-3.7035936522626649E-2</v>
      </c>
      <c r="BM136" s="522">
        <v>-6.6000000000000003E-2</v>
      </c>
      <c r="BN136" s="515">
        <v>3.0000000000000001E-3</v>
      </c>
      <c r="BO136" s="456">
        <v>6.2E-2</v>
      </c>
      <c r="BP136" s="456">
        <v>0.122</v>
      </c>
      <c r="BQ136" s="453">
        <v>0.04</v>
      </c>
      <c r="BR136" s="525">
        <f>(BR135-BM135)/ABS(BM135)</f>
        <v>5.6731748901875802E-2</v>
      </c>
      <c r="BS136" s="453"/>
      <c r="BT136" s="453"/>
      <c r="BU136" s="453"/>
      <c r="BV136" s="453"/>
      <c r="BW136" s="525"/>
      <c r="BX136" s="183"/>
      <c r="BY136" s="183"/>
      <c r="BZ136" s="183"/>
      <c r="CA136" s="183"/>
      <c r="CB136" s="525"/>
      <c r="CC136" s="183"/>
      <c r="CD136" s="183"/>
      <c r="CE136" s="183"/>
      <c r="CF136" s="183"/>
      <c r="CG136" s="525"/>
      <c r="CH136" s="183"/>
      <c r="CI136" s="183"/>
      <c r="CJ136" s="183"/>
      <c r="CK136" s="183"/>
      <c r="CL136" s="525"/>
      <c r="CM136" s="183"/>
      <c r="CN136" s="183"/>
      <c r="CO136" s="183"/>
      <c r="CP136" s="183"/>
      <c r="CQ136" s="641"/>
    </row>
    <row r="137" spans="5:95" ht="13.5" hidden="1" x14ac:dyDescent="0.25">
      <c r="E137" s="85" t="s">
        <v>114</v>
      </c>
      <c r="F137" s="542"/>
      <c r="G137" s="542"/>
      <c r="H137" s="542"/>
      <c r="I137" s="542"/>
      <c r="J137" s="542"/>
      <c r="O137" s="542"/>
      <c r="S137" s="191"/>
      <c r="T137" s="542"/>
      <c r="Y137" s="542"/>
      <c r="Z137" s="59"/>
      <c r="AA137" s="59"/>
      <c r="AB137" s="59"/>
      <c r="AC137" s="59"/>
      <c r="AD137" s="542"/>
      <c r="AE137" s="59"/>
      <c r="AF137" s="59"/>
      <c r="AG137" s="59"/>
      <c r="AH137" s="59"/>
      <c r="AI137" s="542"/>
      <c r="AJ137" s="59"/>
      <c r="AK137" s="59"/>
      <c r="AL137" s="59"/>
      <c r="AM137" s="59"/>
      <c r="AN137" s="542"/>
      <c r="AO137" s="59"/>
      <c r="AP137" s="59"/>
      <c r="AQ137" s="59"/>
      <c r="AR137" s="59"/>
      <c r="AS137" s="542"/>
      <c r="AT137" s="59"/>
      <c r="AU137" s="59"/>
      <c r="AV137" s="59"/>
      <c r="AW137" s="59"/>
      <c r="AX137" s="542"/>
      <c r="AY137" s="59"/>
      <c r="AZ137" s="59"/>
      <c r="BA137" s="59"/>
      <c r="BB137" s="59"/>
      <c r="BC137" s="542">
        <f>BC146-BC135-BC133-BC131-BC129</f>
        <v>22.974600917338478</v>
      </c>
      <c r="BD137" s="439">
        <f>BD146-BD135-BD133-BD131-BD129</f>
        <v>16.244388550986059</v>
      </c>
      <c r="BE137" s="439">
        <f>BE146-BE135-BE133-BE131-BE129</f>
        <v>11.270939170672634</v>
      </c>
      <c r="BF137" s="439">
        <f>BF146-BF135-BF133-BF131-BF129</f>
        <v>10.900014947810504</v>
      </c>
      <c r="BG137" s="439">
        <f>BH137-BF137-BE137-BD137</f>
        <v>10.521078556363847</v>
      </c>
      <c r="BH137" s="566">
        <f>BH146-BH135-BH133-BH131-BH129</f>
        <v>48.936421225833044</v>
      </c>
      <c r="BI137" s="439">
        <f>BI146-BI135-BI133-BI131-BI129</f>
        <v>13.384915483404882</v>
      </c>
      <c r="BJ137" s="439">
        <f>BJ146-BJ135-BJ133-BJ131-BJ129</f>
        <v>11.515823546187136</v>
      </c>
      <c r="BK137" s="439">
        <f>BK146-BK135-BK133-BK131-BK129</f>
        <v>12.022543471733769</v>
      </c>
      <c r="BL137" s="439">
        <f>BM137-BK137-BJ137-BI137</f>
        <v>12.6261387245072</v>
      </c>
      <c r="BM137" s="566">
        <f>BM146-BM135-BM133-BM131-BM129</f>
        <v>49.549421225832987</v>
      </c>
      <c r="BN137" s="439">
        <f>BN146-BN135-BN133-BN131-BN129</f>
        <v>12.824815483404862</v>
      </c>
      <c r="BO137" s="439">
        <f>BO146-BO135-BO133-BO131-BO129</f>
        <v>10.611823546187125</v>
      </c>
      <c r="BP137" s="439">
        <f>BP146-BP135-BP133-BP131-BP129</f>
        <v>12.006543471733792</v>
      </c>
      <c r="BQ137" s="439">
        <f>BQ146-BQ135-BQ133-BQ131-BQ129</f>
        <v>12.735596130848933</v>
      </c>
      <c r="BR137" s="566">
        <f>SUM(BN137:BQ137)</f>
        <v>48.178778632174712</v>
      </c>
      <c r="BS137" s="439"/>
      <c r="BT137" s="439"/>
      <c r="BU137" s="439"/>
      <c r="BV137" s="439"/>
      <c r="BW137" s="566"/>
      <c r="BX137" s="439"/>
      <c r="BY137" s="439"/>
      <c r="BZ137" s="439"/>
      <c r="CA137" s="439"/>
      <c r="CB137" s="566"/>
      <c r="CC137" s="183"/>
      <c r="CD137" s="183"/>
      <c r="CE137" s="183"/>
      <c r="CF137" s="183"/>
      <c r="CG137" s="525"/>
      <c r="CH137" s="183"/>
      <c r="CI137" s="183"/>
      <c r="CJ137" s="183"/>
      <c r="CK137" s="183"/>
      <c r="CL137" s="525"/>
      <c r="CM137" s="183"/>
      <c r="CN137" s="183"/>
      <c r="CO137" s="183"/>
      <c r="CP137" s="183"/>
      <c r="CQ137" s="641"/>
    </row>
    <row r="138" spans="5:95" ht="13.5" hidden="1" x14ac:dyDescent="0.25">
      <c r="E138" s="91" t="s">
        <v>2</v>
      </c>
      <c r="F138" s="542"/>
      <c r="G138" s="542"/>
      <c r="H138" s="542"/>
      <c r="I138" s="542"/>
      <c r="J138" s="542"/>
      <c r="O138" s="542"/>
      <c r="S138" s="191"/>
      <c r="T138" s="542"/>
      <c r="Y138" s="542"/>
      <c r="Z138" s="59"/>
      <c r="AA138" s="59"/>
      <c r="AB138" s="59"/>
      <c r="AC138" s="59"/>
      <c r="AD138" s="542"/>
      <c r="AE138" s="59"/>
      <c r="AF138" s="59"/>
      <c r="AG138" s="59"/>
      <c r="AH138" s="59"/>
      <c r="AI138" s="542"/>
      <c r="AJ138" s="59"/>
      <c r="AK138" s="59"/>
      <c r="AL138" s="59"/>
      <c r="AM138" s="59"/>
      <c r="AN138" s="542"/>
      <c r="AO138" s="59"/>
      <c r="AP138" s="59"/>
      <c r="AQ138" s="59"/>
      <c r="AR138" s="59"/>
      <c r="AS138" s="542"/>
      <c r="AT138" s="59"/>
      <c r="AU138" s="59"/>
      <c r="AV138" s="59"/>
      <c r="AW138" s="59"/>
      <c r="AX138" s="542"/>
      <c r="AY138" s="59"/>
      <c r="AZ138" s="59"/>
      <c r="BA138" s="59"/>
      <c r="BB138" s="59"/>
      <c r="BC138" s="525"/>
      <c r="BD138" s="59"/>
      <c r="BE138" s="59"/>
      <c r="BF138" s="59"/>
      <c r="BG138" s="59"/>
      <c r="BH138" s="525">
        <f t="shared" ref="BH138:BR138" si="26">(BH137-BC137)/ABS(BC137)</f>
        <v>1.1300226890514427</v>
      </c>
      <c r="BI138" s="363">
        <f t="shared" si="26"/>
        <v>-0.17602835949202922</v>
      </c>
      <c r="BJ138" s="363">
        <f t="shared" si="26"/>
        <v>2.1727060345751798E-2</v>
      </c>
      <c r="BK138" s="363">
        <f t="shared" si="26"/>
        <v>0.10298412702165588</v>
      </c>
      <c r="BL138" s="363">
        <f t="shared" si="26"/>
        <v>0.2000802633366969</v>
      </c>
      <c r="BM138" s="525">
        <f t="shared" si="26"/>
        <v>1.252645748595008E-2</v>
      </c>
      <c r="BN138" s="363">
        <f t="shared" si="26"/>
        <v>-4.1845613496361088E-2</v>
      </c>
      <c r="BO138" s="363">
        <f t="shared" si="26"/>
        <v>-7.8500681811794787E-2</v>
      </c>
      <c r="BP138" s="363">
        <f t="shared" si="26"/>
        <v>-1.3308331999459647E-3</v>
      </c>
      <c r="BQ138" s="363">
        <f t="shared" si="26"/>
        <v>8.6691116524228399E-3</v>
      </c>
      <c r="BR138" s="525">
        <f t="shared" si="26"/>
        <v>-2.7662131257018181E-2</v>
      </c>
      <c r="BS138" s="363"/>
      <c r="BT138" s="363"/>
      <c r="BU138" s="363"/>
      <c r="BV138" s="363"/>
      <c r="BW138" s="525"/>
      <c r="BX138" s="363"/>
      <c r="BY138" s="363"/>
      <c r="BZ138" s="363"/>
      <c r="CA138" s="363"/>
      <c r="CB138" s="525"/>
      <c r="CC138" s="183"/>
      <c r="CD138" s="183"/>
      <c r="CE138" s="183"/>
      <c r="CF138" s="183"/>
      <c r="CG138" s="525"/>
      <c r="CH138" s="183"/>
      <c r="CI138" s="183"/>
      <c r="CJ138" s="183"/>
      <c r="CK138" s="183"/>
      <c r="CL138" s="525"/>
      <c r="CM138" s="183"/>
      <c r="CN138" s="183"/>
      <c r="CO138" s="183"/>
      <c r="CP138" s="183"/>
      <c r="CQ138" s="641"/>
    </row>
    <row r="139" spans="5:95" ht="13.5" hidden="1" x14ac:dyDescent="0.25">
      <c r="E139" s="298" t="s">
        <v>572</v>
      </c>
      <c r="F139" s="566"/>
      <c r="G139" s="566"/>
      <c r="H139" s="566"/>
      <c r="I139" s="566"/>
      <c r="J139" s="566"/>
      <c r="K139" s="185"/>
      <c r="L139" s="185"/>
      <c r="M139" s="185"/>
      <c r="N139" s="185"/>
      <c r="O139" s="566"/>
      <c r="P139" s="185"/>
      <c r="Q139" s="185"/>
      <c r="R139" s="185"/>
      <c r="S139" s="185"/>
      <c r="T139" s="566"/>
      <c r="U139" s="185"/>
      <c r="V139" s="185"/>
      <c r="W139" s="185"/>
      <c r="X139" s="185"/>
      <c r="Y139" s="566"/>
      <c r="Z139" s="443"/>
      <c r="AA139" s="443"/>
      <c r="AB139" s="443"/>
      <c r="AC139" s="443"/>
      <c r="AD139" s="566"/>
      <c r="AE139" s="443"/>
      <c r="AF139" s="443"/>
      <c r="AG139" s="443"/>
      <c r="AH139" s="443"/>
      <c r="AI139" s="513"/>
      <c r="AJ139" s="139"/>
      <c r="AK139" s="139"/>
      <c r="AL139" s="139"/>
      <c r="AM139" s="139"/>
      <c r="AN139" s="513"/>
      <c r="AO139" s="139"/>
      <c r="AP139" s="139"/>
      <c r="AQ139" s="139"/>
      <c r="AR139" s="185"/>
      <c r="AS139" s="566"/>
      <c r="AT139" s="298"/>
      <c r="AU139" s="298"/>
      <c r="AV139" s="298"/>
      <c r="AW139" s="298"/>
      <c r="AX139" s="576"/>
      <c r="AY139" s="298"/>
      <c r="AZ139" s="298"/>
      <c r="BA139" s="298"/>
      <c r="BB139" s="298"/>
      <c r="BC139" s="576">
        <f t="shared" ref="BC139:BQ139" si="27">SUM(BC135,BC133,BC131,BC129,BC137)</f>
        <v>771.71399999999994</v>
      </c>
      <c r="BD139" s="203">
        <f t="shared" si="27"/>
        <v>192.48200000000003</v>
      </c>
      <c r="BE139" s="203">
        <f t="shared" si="27"/>
        <v>198.60200000000003</v>
      </c>
      <c r="BF139" s="203">
        <f t="shared" si="27"/>
        <v>195.14599999999996</v>
      </c>
      <c r="BG139" s="203">
        <f t="shared" si="27"/>
        <v>202.51000000000013</v>
      </c>
      <c r="BH139" s="576">
        <f t="shared" si="27"/>
        <v>788.74</v>
      </c>
      <c r="BI139" s="203">
        <f t="shared" si="27"/>
        <v>187.79300000000001</v>
      </c>
      <c r="BJ139" s="203">
        <f t="shared" si="27"/>
        <v>200.952</v>
      </c>
      <c r="BK139" s="203">
        <f t="shared" si="27"/>
        <v>206.66200000000001</v>
      </c>
      <c r="BL139" s="203">
        <f t="shared" si="27"/>
        <v>209.74600000000007</v>
      </c>
      <c r="BM139" s="576">
        <f t="shared" si="27"/>
        <v>805.15300000000002</v>
      </c>
      <c r="BN139" s="203">
        <f t="shared" si="27"/>
        <v>186.68299999999999</v>
      </c>
      <c r="BO139" s="203">
        <f t="shared" si="27"/>
        <v>204.24799999999999</v>
      </c>
      <c r="BP139" s="203">
        <f t="shared" si="27"/>
        <v>208.24599999999998</v>
      </c>
      <c r="BQ139" s="203">
        <f t="shared" si="27"/>
        <v>205.73400000000001</v>
      </c>
      <c r="BR139" s="576">
        <f>SUM(BN139:BQ139)</f>
        <v>804.91099999999994</v>
      </c>
      <c r="BS139" s="203"/>
      <c r="BT139" s="203"/>
      <c r="BU139" s="203"/>
      <c r="BV139" s="203"/>
      <c r="BW139" s="576"/>
      <c r="BX139" s="203"/>
      <c r="BY139" s="203"/>
      <c r="BZ139" s="203"/>
      <c r="CA139" s="203"/>
      <c r="CB139" s="576"/>
      <c r="CC139" s="183"/>
      <c r="CD139" s="183"/>
      <c r="CE139" s="183"/>
      <c r="CF139" s="183"/>
      <c r="CG139" s="525"/>
      <c r="CH139" s="183"/>
      <c r="CI139" s="183"/>
      <c r="CJ139" s="183"/>
      <c r="CK139" s="183"/>
      <c r="CL139" s="525"/>
      <c r="CM139" s="183"/>
      <c r="CN139" s="183"/>
      <c r="CO139" s="183"/>
      <c r="CP139" s="183"/>
      <c r="CQ139" s="641"/>
    </row>
    <row r="140" spans="5:95" ht="13.5" hidden="1" x14ac:dyDescent="0.25">
      <c r="E140" s="356" t="s">
        <v>2</v>
      </c>
      <c r="F140" s="569"/>
      <c r="G140" s="569"/>
      <c r="H140" s="569"/>
      <c r="I140" s="569"/>
      <c r="J140" s="569"/>
      <c r="K140" s="448"/>
      <c r="L140" s="448"/>
      <c r="M140" s="448"/>
      <c r="N140" s="448"/>
      <c r="O140" s="569"/>
      <c r="P140" s="448"/>
      <c r="Q140" s="448"/>
      <c r="R140" s="448"/>
      <c r="S140" s="448"/>
      <c r="T140" s="569"/>
      <c r="U140" s="448"/>
      <c r="V140" s="448"/>
      <c r="W140" s="448"/>
      <c r="X140" s="448"/>
      <c r="Y140" s="569"/>
      <c r="Z140" s="455"/>
      <c r="AA140" s="455"/>
      <c r="AB140" s="455"/>
      <c r="AC140" s="455"/>
      <c r="AD140" s="569"/>
      <c r="AE140" s="455"/>
      <c r="AF140" s="455"/>
      <c r="AG140" s="455"/>
      <c r="AH140" s="455"/>
      <c r="AI140" s="570"/>
      <c r="AJ140" s="127"/>
      <c r="AK140" s="127"/>
      <c r="AL140" s="127"/>
      <c r="AM140" s="127"/>
      <c r="AN140" s="570"/>
      <c r="AO140" s="127"/>
      <c r="AP140" s="127"/>
      <c r="AQ140" s="127"/>
      <c r="AR140" s="448"/>
      <c r="AS140" s="569"/>
      <c r="AT140" s="449"/>
      <c r="AU140" s="449"/>
      <c r="AV140" s="449"/>
      <c r="AW140" s="449"/>
      <c r="AX140" s="569"/>
      <c r="AY140" s="32"/>
      <c r="AZ140" s="32"/>
      <c r="BA140" s="32"/>
      <c r="BB140" s="32"/>
      <c r="BC140" s="525"/>
      <c r="BD140" s="32"/>
      <c r="BE140" s="32"/>
      <c r="BF140" s="32"/>
      <c r="BG140" s="32"/>
      <c r="BH140" s="525">
        <f>(BH139-BC139)/ABS(BC139)</f>
        <v>2.2062577587033626E-2</v>
      </c>
      <c r="BI140" s="32"/>
      <c r="BJ140" s="32"/>
      <c r="BK140" s="32"/>
      <c r="BL140" s="32"/>
      <c r="BM140" s="525">
        <f t="shared" ref="BM140:BR140" si="28">(BM139-BH139)/ABS(BH139)</f>
        <v>2.0809138626163261E-2</v>
      </c>
      <c r="BN140" s="32">
        <f t="shared" si="28"/>
        <v>-5.9107634469869139E-3</v>
      </c>
      <c r="BO140" s="32">
        <f t="shared" si="28"/>
        <v>1.6401926828297265E-2</v>
      </c>
      <c r="BP140" s="32">
        <f t="shared" si="28"/>
        <v>7.6646892026592927E-3</v>
      </c>
      <c r="BQ140" s="32">
        <f t="shared" si="28"/>
        <v>-1.9127897552277784E-2</v>
      </c>
      <c r="BR140" s="525">
        <f t="shared" si="28"/>
        <v>-3.0056399218542995E-4</v>
      </c>
      <c r="BS140" s="32"/>
      <c r="BT140" s="32"/>
      <c r="BU140" s="32"/>
      <c r="BV140" s="32"/>
      <c r="BW140" s="525"/>
      <c r="BX140" s="32"/>
      <c r="BY140" s="32"/>
      <c r="BZ140" s="32"/>
      <c r="CA140" s="32"/>
      <c r="CB140" s="525"/>
      <c r="CC140" s="32"/>
      <c r="CD140" s="32"/>
      <c r="CE140" s="32"/>
      <c r="CF140" s="32"/>
      <c r="CG140" s="525"/>
      <c r="CH140" s="32"/>
      <c r="CI140" s="32"/>
      <c r="CJ140" s="32"/>
      <c r="CK140" s="32"/>
      <c r="CL140" s="525"/>
      <c r="CM140" s="32"/>
      <c r="CN140" s="32"/>
      <c r="CO140" s="32"/>
      <c r="CP140" s="32"/>
      <c r="CQ140" s="641"/>
    </row>
    <row r="141" spans="5:95" ht="13.5" hidden="1" x14ac:dyDescent="0.25">
      <c r="E141" s="91"/>
      <c r="F141" s="542"/>
      <c r="G141" s="542"/>
      <c r="H141" s="542"/>
      <c r="I141" s="542"/>
      <c r="J141" s="542"/>
      <c r="O141" s="542"/>
      <c r="S141" s="191"/>
      <c r="T141" s="542"/>
      <c r="Y141" s="542"/>
      <c r="Z141" s="59"/>
      <c r="AA141" s="59"/>
      <c r="AB141" s="59"/>
      <c r="AC141" s="59"/>
      <c r="AD141" s="542"/>
      <c r="AE141" s="59"/>
      <c r="AF141" s="59"/>
      <c r="AG141" s="59"/>
      <c r="AH141" s="59"/>
      <c r="AI141" s="542"/>
      <c r="AJ141" s="59"/>
      <c r="AK141" s="59"/>
      <c r="AL141" s="59"/>
      <c r="AM141" s="59"/>
      <c r="AN141" s="542"/>
      <c r="AO141" s="59"/>
      <c r="AP141" s="59"/>
      <c r="AQ141" s="59"/>
      <c r="AR141" s="59"/>
      <c r="AS141" s="542"/>
      <c r="AT141" s="59"/>
      <c r="AU141" s="59"/>
      <c r="AV141" s="59"/>
      <c r="AW141" s="59"/>
      <c r="AX141" s="542"/>
      <c r="AY141" s="59"/>
      <c r="AZ141" s="59"/>
      <c r="BA141" s="59"/>
      <c r="BB141" s="59"/>
      <c r="BC141" s="542"/>
      <c r="BD141" s="59"/>
      <c r="BE141" s="59"/>
      <c r="BF141" s="59"/>
      <c r="BG141" s="59"/>
      <c r="BH141" s="542"/>
      <c r="BI141" s="183"/>
      <c r="BJ141" s="183"/>
      <c r="BK141" s="183"/>
      <c r="BL141" s="183"/>
      <c r="BM141" s="542"/>
      <c r="BN141" s="183"/>
      <c r="BO141" s="183"/>
      <c r="BP141" s="183"/>
      <c r="BQ141" s="183"/>
      <c r="BR141" s="525"/>
      <c r="BS141" s="183"/>
      <c r="BT141" s="183"/>
      <c r="BU141" s="183"/>
      <c r="BV141" s="183"/>
      <c r="BW141" s="525"/>
      <c r="BX141" s="183"/>
      <c r="BY141" s="183"/>
      <c r="BZ141" s="183"/>
      <c r="CA141" s="183"/>
      <c r="CB141" s="525"/>
      <c r="CC141" s="183"/>
      <c r="CD141" s="183"/>
      <c r="CE141" s="183"/>
      <c r="CF141" s="183"/>
      <c r="CG141" s="525"/>
      <c r="CH141" s="183"/>
      <c r="CI141" s="183"/>
      <c r="CJ141" s="183"/>
      <c r="CK141" s="183"/>
      <c r="CL141" s="525"/>
      <c r="CM141" s="183"/>
      <c r="CN141" s="183"/>
      <c r="CO141" s="183"/>
      <c r="CP141" s="183"/>
      <c r="CQ141" s="641"/>
    </row>
    <row r="142" spans="5:95" hidden="1" x14ac:dyDescent="0.25">
      <c r="E142" s="54" t="s">
        <v>634</v>
      </c>
      <c r="F142" s="566"/>
      <c r="G142" s="566"/>
      <c r="H142" s="566"/>
      <c r="I142" s="566"/>
      <c r="J142" s="566"/>
      <c r="K142" s="122"/>
      <c r="L142" s="122"/>
      <c r="M142" s="122"/>
      <c r="N142" s="122"/>
      <c r="O142" s="566"/>
      <c r="P142" s="122"/>
      <c r="Q142" s="122"/>
      <c r="R142" s="122"/>
      <c r="S142" s="122"/>
      <c r="T142" s="566"/>
      <c r="U142" s="122"/>
      <c r="V142" s="122"/>
      <c r="W142" s="122"/>
      <c r="X142" s="122"/>
      <c r="Y142" s="566"/>
      <c r="Z142" s="128"/>
      <c r="AA142" s="128"/>
      <c r="AB142" s="128"/>
      <c r="AC142" s="128"/>
      <c r="AD142" s="566"/>
      <c r="AE142" s="128"/>
      <c r="AF142" s="128"/>
      <c r="AG142" s="128"/>
      <c r="AH142" s="128"/>
      <c r="AI142" s="513"/>
      <c r="AJ142" s="85"/>
      <c r="AK142" s="85"/>
      <c r="AL142" s="85"/>
      <c r="AM142" s="85"/>
      <c r="AN142" s="513"/>
      <c r="AO142" s="85"/>
      <c r="AP142" s="85"/>
      <c r="AQ142" s="85"/>
      <c r="AR142" s="364"/>
      <c r="AS142" s="566"/>
      <c r="AT142" s="439"/>
      <c r="AU142" s="439"/>
      <c r="AV142" s="417">
        <v>152.1</v>
      </c>
      <c r="AW142" s="417">
        <v>157</v>
      </c>
      <c r="AX142" s="566"/>
      <c r="AY142" s="417">
        <v>155.80000000000001</v>
      </c>
      <c r="AZ142" s="417">
        <v>162.30000000000001</v>
      </c>
      <c r="BA142" s="417">
        <v>154.5</v>
      </c>
      <c r="BB142" s="417">
        <v>168.8</v>
      </c>
      <c r="BC142" s="566">
        <f>SUM(AY142:BB142)</f>
        <v>641.40000000000009</v>
      </c>
      <c r="BD142" s="417">
        <v>166.5</v>
      </c>
      <c r="BE142" s="85">
        <v>169.8</v>
      </c>
      <c r="BF142" s="417">
        <v>165.35</v>
      </c>
      <c r="BG142" s="364">
        <v>168.3</v>
      </c>
      <c r="BH142" s="566">
        <f>SUM(BD142:BG142)</f>
        <v>669.95</v>
      </c>
      <c r="BI142" s="417">
        <v>163.4</v>
      </c>
      <c r="BJ142" s="417">
        <v>172.74</v>
      </c>
      <c r="BK142" s="417">
        <v>175.05</v>
      </c>
      <c r="BL142" s="417">
        <v>181.3</v>
      </c>
      <c r="BM142" s="566">
        <f>SUM(BI142:BL142)</f>
        <v>692.49</v>
      </c>
      <c r="BN142" s="417">
        <v>163</v>
      </c>
      <c r="BO142" s="417">
        <v>177.4</v>
      </c>
      <c r="BP142" s="417">
        <v>183.6</v>
      </c>
      <c r="BQ142" s="417">
        <v>185.3</v>
      </c>
      <c r="BR142" s="566">
        <f>SUM(BN142:BQ142)</f>
        <v>709.3</v>
      </c>
      <c r="BS142" s="417"/>
      <c r="BT142" s="417"/>
      <c r="BU142" s="439"/>
      <c r="BV142" s="439"/>
      <c r="BW142" s="566"/>
      <c r="BX142" s="439"/>
      <c r="BY142" s="439"/>
      <c r="BZ142" s="439"/>
      <c r="CA142" s="439"/>
      <c r="CB142" s="566"/>
      <c r="CC142" s="439"/>
      <c r="CD142" s="439"/>
      <c r="CE142" s="439"/>
      <c r="CF142" s="439"/>
      <c r="CG142" s="566"/>
      <c r="CH142" s="439"/>
      <c r="CI142" s="439"/>
      <c r="CJ142" s="439"/>
      <c r="CK142" s="439"/>
      <c r="CL142" s="566"/>
      <c r="CM142" s="439"/>
      <c r="CN142" s="439"/>
      <c r="CO142" s="439"/>
      <c r="CP142" s="439"/>
      <c r="CQ142" s="566"/>
    </row>
    <row r="143" spans="5:95" ht="13.5" hidden="1" x14ac:dyDescent="0.25">
      <c r="E143" s="91" t="s">
        <v>2</v>
      </c>
      <c r="F143" s="569"/>
      <c r="G143" s="569"/>
      <c r="H143" s="569"/>
      <c r="I143" s="569"/>
      <c r="J143" s="569"/>
      <c r="K143" s="126"/>
      <c r="L143" s="126"/>
      <c r="M143" s="126"/>
      <c r="N143" s="126"/>
      <c r="O143" s="569"/>
      <c r="P143" s="126"/>
      <c r="Q143" s="126"/>
      <c r="R143" s="126"/>
      <c r="S143" s="126"/>
      <c r="T143" s="569"/>
      <c r="U143" s="126"/>
      <c r="V143" s="126"/>
      <c r="W143" s="126"/>
      <c r="X143" s="126"/>
      <c r="Y143" s="569"/>
      <c r="Z143" s="450"/>
      <c r="AA143" s="450"/>
      <c r="AB143" s="450"/>
      <c r="AC143" s="450"/>
      <c r="AD143" s="569"/>
      <c r="AE143" s="450"/>
      <c r="AF143" s="450"/>
      <c r="AG143" s="450"/>
      <c r="AH143" s="450"/>
      <c r="AI143" s="570"/>
      <c r="AJ143" s="91"/>
      <c r="AK143" s="91"/>
      <c r="AL143" s="91"/>
      <c r="AM143" s="91"/>
      <c r="AN143" s="570"/>
      <c r="AO143" s="91"/>
      <c r="AP143" s="91"/>
      <c r="AQ143" s="91"/>
      <c r="AR143" s="451"/>
      <c r="AS143" s="569"/>
      <c r="AT143" s="452"/>
      <c r="AU143" s="452"/>
      <c r="AV143" s="452"/>
      <c r="AW143" s="452"/>
      <c r="AX143" s="569"/>
      <c r="AY143" s="183"/>
      <c r="AZ143" s="183"/>
      <c r="BA143" s="183">
        <f>BA142/AV142-1</f>
        <v>1.5779092702169706E-2</v>
      </c>
      <c r="BB143" s="183">
        <f>BB142/AW142-1</f>
        <v>7.5159235668789792E-2</v>
      </c>
      <c r="BC143" s="525"/>
      <c r="BD143" s="183">
        <f t="shared" ref="BD143:BR143" si="29">BD142/AY142-1</f>
        <v>6.8677792041078156E-2</v>
      </c>
      <c r="BE143" s="183">
        <f t="shared" si="29"/>
        <v>4.621072088724576E-2</v>
      </c>
      <c r="BF143" s="183">
        <f t="shared" si="29"/>
        <v>7.0226537216828477E-2</v>
      </c>
      <c r="BG143" s="183">
        <f t="shared" si="29"/>
        <v>-2.962085308056861E-3</v>
      </c>
      <c r="BH143" s="525">
        <f t="shared" si="29"/>
        <v>4.4512004989086362E-2</v>
      </c>
      <c r="BI143" s="183">
        <f t="shared" si="29"/>
        <v>-1.8618618618618576E-2</v>
      </c>
      <c r="BJ143" s="183">
        <f t="shared" si="29"/>
        <v>1.7314487632508868E-2</v>
      </c>
      <c r="BK143" s="183">
        <f t="shared" si="29"/>
        <v>5.8663441185364373E-2</v>
      </c>
      <c r="BL143" s="183">
        <f t="shared" si="29"/>
        <v>7.7243018419488996E-2</v>
      </c>
      <c r="BM143" s="525">
        <f t="shared" si="29"/>
        <v>3.3644301813568145E-2</v>
      </c>
      <c r="BN143" s="183">
        <f t="shared" si="29"/>
        <v>-2.4479804161566809E-3</v>
      </c>
      <c r="BO143" s="183">
        <f t="shared" si="29"/>
        <v>2.6976959592451166E-2</v>
      </c>
      <c r="BP143" s="183">
        <f t="shared" si="29"/>
        <v>4.8843187660668308E-2</v>
      </c>
      <c r="BQ143" s="183">
        <f t="shared" si="29"/>
        <v>2.2062879205736241E-2</v>
      </c>
      <c r="BR143" s="525">
        <f t="shared" si="29"/>
        <v>2.4274718768501957E-2</v>
      </c>
      <c r="BS143" s="183"/>
      <c r="BT143" s="183"/>
      <c r="BU143" s="183"/>
      <c r="BV143" s="183"/>
      <c r="BW143" s="525"/>
      <c r="BX143" s="183"/>
      <c r="BY143" s="183"/>
      <c r="BZ143" s="183"/>
      <c r="CA143" s="183"/>
      <c r="CB143" s="525"/>
      <c r="CC143" s="183"/>
      <c r="CD143" s="183"/>
      <c r="CE143" s="183"/>
      <c r="CF143" s="183"/>
      <c r="CG143" s="525"/>
      <c r="CH143" s="183"/>
      <c r="CI143" s="183"/>
      <c r="CJ143" s="183"/>
      <c r="CK143" s="183"/>
      <c r="CL143" s="525"/>
      <c r="CM143" s="183"/>
      <c r="CN143" s="183"/>
      <c r="CO143" s="183"/>
      <c r="CP143" s="183"/>
      <c r="CQ143" s="641"/>
    </row>
    <row r="144" spans="5:95" hidden="1" x14ac:dyDescent="0.25">
      <c r="E144" s="54" t="s">
        <v>605</v>
      </c>
      <c r="F144" s="566"/>
      <c r="G144" s="566"/>
      <c r="H144" s="566"/>
      <c r="I144" s="566"/>
      <c r="J144" s="566"/>
      <c r="K144" s="122"/>
      <c r="L144" s="122"/>
      <c r="M144" s="122"/>
      <c r="N144" s="122"/>
      <c r="O144" s="566"/>
      <c r="P144" s="122"/>
      <c r="Q144" s="122"/>
      <c r="R144" s="122"/>
      <c r="S144" s="122"/>
      <c r="T144" s="566"/>
      <c r="U144" s="122"/>
      <c r="V144" s="122"/>
      <c r="W144" s="122"/>
      <c r="X144" s="122"/>
      <c r="Y144" s="566"/>
      <c r="Z144" s="128"/>
      <c r="AA144" s="128"/>
      <c r="AB144" s="128"/>
      <c r="AC144" s="128"/>
      <c r="AD144" s="566"/>
      <c r="AE144" s="128"/>
      <c r="AF144" s="128"/>
      <c r="AG144" s="128"/>
      <c r="AH144" s="128"/>
      <c r="AI144" s="513"/>
      <c r="AJ144" s="85"/>
      <c r="AK144" s="85"/>
      <c r="AL144" s="85"/>
      <c r="AM144" s="85"/>
      <c r="AN144" s="513"/>
      <c r="AO144" s="85"/>
      <c r="AP144" s="85"/>
      <c r="AQ144" s="85"/>
      <c r="AR144" s="364"/>
      <c r="AS144" s="566"/>
      <c r="AT144" s="439"/>
      <c r="AU144" s="439"/>
      <c r="AV144" s="85">
        <f>AV146-AV142</f>
        <v>36.563000000000017</v>
      </c>
      <c r="AW144" s="85">
        <f>AW146-AW142</f>
        <v>35.905000000000001</v>
      </c>
      <c r="AX144" s="566"/>
      <c r="AY144" s="85">
        <f>AY146-AY142</f>
        <v>29.195999999999998</v>
      </c>
      <c r="AZ144" s="85">
        <f>AZ146-AZ142</f>
        <v>33.556999999999988</v>
      </c>
      <c r="BA144" s="85">
        <f>BA146-BA142</f>
        <v>32.961000000000013</v>
      </c>
      <c r="BB144" s="85">
        <f>BB146-BB142</f>
        <v>34.599999999999994</v>
      </c>
      <c r="BC144" s="566">
        <f>SUM(AY144:BB144)</f>
        <v>130.31399999999999</v>
      </c>
      <c r="BD144" s="85">
        <f>BD146-BD142</f>
        <v>25.981999999999999</v>
      </c>
      <c r="BE144" s="85">
        <f>BE146-BE142</f>
        <v>28.801999999999992</v>
      </c>
      <c r="BF144" s="85">
        <f>BF146-BF142</f>
        <v>29.795999999999992</v>
      </c>
      <c r="BG144" s="85">
        <f>BG146-BG142</f>
        <v>34.20999999999998</v>
      </c>
      <c r="BH144" s="566">
        <f>SUM(BD144:BG144)</f>
        <v>118.78999999999996</v>
      </c>
      <c r="BI144" s="85">
        <f>BI146-BI142</f>
        <v>24.393000000000001</v>
      </c>
      <c r="BJ144" s="85">
        <f>BJ146-BJ142</f>
        <v>28.211999999999989</v>
      </c>
      <c r="BK144" s="85">
        <f>BK146-BK142</f>
        <v>31.611999999999995</v>
      </c>
      <c r="BL144" s="85">
        <f>BL146-BL142</f>
        <v>28.445999999999998</v>
      </c>
      <c r="BM144" s="566">
        <f>SUM(BI144:BL144)</f>
        <v>112.66299999999998</v>
      </c>
      <c r="BN144" s="85">
        <f>BN146-BN142</f>
        <v>23.682999999999993</v>
      </c>
      <c r="BO144" s="85">
        <f>BO146-BO142</f>
        <v>26.847999999999985</v>
      </c>
      <c r="BP144" s="85">
        <f>BP146-BP142</f>
        <v>24.646000000000015</v>
      </c>
      <c r="BQ144" s="85">
        <f>BQ146-BQ142</f>
        <v>20.433999999999997</v>
      </c>
      <c r="BR144" s="566">
        <f>SUM(BN144:BQ144)</f>
        <v>95.61099999999999</v>
      </c>
      <c r="BS144" s="85"/>
      <c r="BT144" s="85"/>
      <c r="BU144" s="85"/>
      <c r="BV144" s="85"/>
      <c r="BW144" s="566"/>
      <c r="BX144" s="85"/>
      <c r="BY144" s="85"/>
      <c r="BZ144" s="85"/>
      <c r="CA144" s="85"/>
      <c r="CB144" s="566"/>
      <c r="CC144" s="85"/>
      <c r="CD144" s="85"/>
      <c r="CE144" s="85"/>
      <c r="CF144" s="85"/>
      <c r="CG144" s="566"/>
      <c r="CH144" s="85"/>
      <c r="CI144" s="85"/>
      <c r="CJ144" s="85"/>
      <c r="CK144" s="85"/>
      <c r="CL144" s="566"/>
      <c r="CM144" s="85"/>
      <c r="CN144" s="85"/>
      <c r="CO144" s="85"/>
      <c r="CP144" s="85"/>
      <c r="CQ144" s="566"/>
    </row>
    <row r="145" spans="5:95" ht="13.5" hidden="1" x14ac:dyDescent="0.25">
      <c r="E145" s="91" t="s">
        <v>2</v>
      </c>
      <c r="F145" s="569"/>
      <c r="G145" s="569"/>
      <c r="H145" s="569"/>
      <c r="I145" s="569"/>
      <c r="J145" s="569"/>
      <c r="K145" s="126"/>
      <c r="L145" s="126"/>
      <c r="M145" s="126"/>
      <c r="N145" s="126"/>
      <c r="O145" s="569"/>
      <c r="P145" s="126"/>
      <c r="Q145" s="126"/>
      <c r="R145" s="126"/>
      <c r="S145" s="126"/>
      <c r="T145" s="569"/>
      <c r="U145" s="126"/>
      <c r="V145" s="126"/>
      <c r="W145" s="126"/>
      <c r="X145" s="126"/>
      <c r="Y145" s="569"/>
      <c r="Z145" s="450"/>
      <c r="AA145" s="450"/>
      <c r="AB145" s="450"/>
      <c r="AC145" s="450"/>
      <c r="AD145" s="569"/>
      <c r="AE145" s="450"/>
      <c r="AF145" s="450"/>
      <c r="AG145" s="450"/>
      <c r="AH145" s="450"/>
      <c r="AI145" s="570"/>
      <c r="AJ145" s="91"/>
      <c r="AK145" s="91"/>
      <c r="AL145" s="91"/>
      <c r="AM145" s="91"/>
      <c r="AN145" s="570"/>
      <c r="AO145" s="91"/>
      <c r="AP145" s="91"/>
      <c r="AQ145" s="91"/>
      <c r="AR145" s="451"/>
      <c r="AS145" s="569"/>
      <c r="AT145" s="452"/>
      <c r="AU145" s="452"/>
      <c r="AV145" s="452"/>
      <c r="AW145" s="452"/>
      <c r="AX145" s="569"/>
      <c r="AY145" s="183"/>
      <c r="AZ145" s="183"/>
      <c r="BA145" s="183">
        <f>BA144/AV144-1</f>
        <v>-9.8514892104039631E-2</v>
      </c>
      <c r="BB145" s="183">
        <f>BB144/AW144-1</f>
        <v>-3.6345912825511917E-2</v>
      </c>
      <c r="BC145" s="525"/>
      <c r="BD145" s="183">
        <f t="shared" ref="BD145:BR145" si="30">BD144/AY144-1</f>
        <v>-0.1100835730922044</v>
      </c>
      <c r="BE145" s="183">
        <f t="shared" si="30"/>
        <v>-0.14169919837887768</v>
      </c>
      <c r="BF145" s="183">
        <f t="shared" si="30"/>
        <v>-9.6022572130700534E-2</v>
      </c>
      <c r="BG145" s="183">
        <f t="shared" si="30"/>
        <v>-1.1271676300578459E-2</v>
      </c>
      <c r="BH145" s="525">
        <f t="shared" si="30"/>
        <v>-8.8432555212793917E-2</v>
      </c>
      <c r="BI145" s="183">
        <f t="shared" si="30"/>
        <v>-6.1157724578554284E-2</v>
      </c>
      <c r="BJ145" s="183">
        <f t="shared" si="30"/>
        <v>-2.0484688563294329E-2</v>
      </c>
      <c r="BK145" s="183">
        <f t="shared" si="30"/>
        <v>6.0947778225265203E-2</v>
      </c>
      <c r="BL145" s="183">
        <f t="shared" si="30"/>
        <v>-0.16848874598070696</v>
      </c>
      <c r="BM145" s="525">
        <f t="shared" si="30"/>
        <v>-5.1578415691556412E-2</v>
      </c>
      <c r="BN145" s="183">
        <f t="shared" si="30"/>
        <v>-2.9106710941663949E-2</v>
      </c>
      <c r="BO145" s="183">
        <f t="shared" si="30"/>
        <v>-4.8348220615341164E-2</v>
      </c>
      <c r="BP145" s="183">
        <f t="shared" si="30"/>
        <v>-0.22035935720612365</v>
      </c>
      <c r="BQ145" s="183">
        <f t="shared" si="30"/>
        <v>-0.28165647191169241</v>
      </c>
      <c r="BR145" s="525">
        <f t="shared" si="30"/>
        <v>-0.15135403814917048</v>
      </c>
      <c r="BS145" s="183"/>
      <c r="BT145" s="183"/>
      <c r="BU145" s="183"/>
      <c r="BV145" s="183"/>
      <c r="BW145" s="525"/>
      <c r="BX145" s="183"/>
      <c r="BY145" s="183"/>
      <c r="BZ145" s="183"/>
      <c r="CA145" s="183"/>
      <c r="CB145" s="525"/>
      <c r="CC145" s="183"/>
      <c r="CD145" s="183"/>
      <c r="CE145" s="183"/>
      <c r="CF145" s="183"/>
      <c r="CG145" s="525"/>
      <c r="CH145" s="183"/>
      <c r="CI145" s="183"/>
      <c r="CJ145" s="183"/>
      <c r="CK145" s="183"/>
      <c r="CL145" s="525"/>
      <c r="CM145" s="183"/>
      <c r="CN145" s="183"/>
      <c r="CO145" s="183"/>
      <c r="CP145" s="183"/>
      <c r="CQ145" s="641"/>
    </row>
    <row r="146" spans="5:95" ht="13.5" hidden="1" x14ac:dyDescent="0.25">
      <c r="E146" s="87" t="s">
        <v>607</v>
      </c>
      <c r="F146" s="566"/>
      <c r="G146" s="566"/>
      <c r="H146" s="566"/>
      <c r="I146" s="566"/>
      <c r="J146" s="566"/>
      <c r="K146" s="122"/>
      <c r="L146" s="122"/>
      <c r="M146" s="122"/>
      <c r="N146" s="122"/>
      <c r="O146" s="566"/>
      <c r="P146" s="122"/>
      <c r="Q146" s="122"/>
      <c r="R146" s="122"/>
      <c r="S146" s="122"/>
      <c r="T146" s="566"/>
      <c r="U146" s="122"/>
      <c r="V146" s="122"/>
      <c r="W146" s="122"/>
      <c r="X146" s="122"/>
      <c r="Y146" s="566"/>
      <c r="Z146" s="128"/>
      <c r="AA146" s="128"/>
      <c r="AB146" s="128"/>
      <c r="AC146" s="128"/>
      <c r="AD146" s="566"/>
      <c r="AE146" s="128"/>
      <c r="AF146" s="128"/>
      <c r="AG146" s="128"/>
      <c r="AH146" s="128"/>
      <c r="AI146" s="513"/>
      <c r="AJ146" s="85"/>
      <c r="AK146" s="85"/>
      <c r="AL146" s="85"/>
      <c r="AM146" s="85"/>
      <c r="AN146" s="513"/>
      <c r="AO146" s="85"/>
      <c r="AP146" s="85"/>
      <c r="AQ146" s="85"/>
      <c r="AR146" s="364"/>
      <c r="AS146" s="566"/>
      <c r="AT146" s="371">
        <v>168.62200000000001</v>
      </c>
      <c r="AU146" s="371">
        <v>185.91499999999999</v>
      </c>
      <c r="AV146" s="371">
        <v>188.66300000000001</v>
      </c>
      <c r="AW146" s="371">
        <v>192.905</v>
      </c>
      <c r="AX146" s="576">
        <f>SUM(AT146:AW146)</f>
        <v>736.10500000000002</v>
      </c>
      <c r="AY146" s="371">
        <v>184.99600000000001</v>
      </c>
      <c r="AZ146" s="371">
        <v>195.857</v>
      </c>
      <c r="BA146" s="371">
        <v>187.46100000000001</v>
      </c>
      <c r="BB146" s="371">
        <v>203.4</v>
      </c>
      <c r="BC146" s="576">
        <f>SUM(AY146:BB146)</f>
        <v>771.71400000000006</v>
      </c>
      <c r="BD146" s="371">
        <v>192.482</v>
      </c>
      <c r="BE146" s="371">
        <v>198.602</v>
      </c>
      <c r="BF146" s="371">
        <v>195.14599999999999</v>
      </c>
      <c r="BG146" s="371">
        <v>202.51</v>
      </c>
      <c r="BH146" s="576">
        <f>SUM(BD146:BG146)</f>
        <v>788.74</v>
      </c>
      <c r="BI146" s="371">
        <v>187.79300000000001</v>
      </c>
      <c r="BJ146" s="371">
        <v>200.952</v>
      </c>
      <c r="BK146" s="371">
        <v>206.66200000000001</v>
      </c>
      <c r="BL146" s="371">
        <v>209.74600000000001</v>
      </c>
      <c r="BM146" s="576">
        <f>SUM(BI146:BL146)</f>
        <v>805.15300000000002</v>
      </c>
      <c r="BN146" s="371">
        <v>186.68299999999999</v>
      </c>
      <c r="BO146" s="371">
        <v>204.24799999999999</v>
      </c>
      <c r="BP146" s="371">
        <v>208.24600000000001</v>
      </c>
      <c r="BQ146" s="371">
        <v>205.73400000000001</v>
      </c>
      <c r="BR146" s="576">
        <f>SUM(BN146:BQ146)</f>
        <v>804.91100000000006</v>
      </c>
      <c r="BS146" s="371"/>
      <c r="BT146" s="371"/>
      <c r="BU146" s="197"/>
      <c r="BV146" s="197"/>
      <c r="BW146" s="576"/>
      <c r="BX146" s="197"/>
      <c r="BY146" s="197"/>
      <c r="BZ146" s="197"/>
      <c r="CA146" s="197"/>
      <c r="CB146" s="576"/>
      <c r="CC146" s="197"/>
      <c r="CD146" s="197"/>
      <c r="CE146" s="197"/>
      <c r="CF146" s="197"/>
      <c r="CG146" s="576"/>
      <c r="CH146" s="197"/>
      <c r="CI146" s="197"/>
      <c r="CJ146" s="197"/>
      <c r="CK146" s="197"/>
      <c r="CL146" s="576"/>
      <c r="CM146" s="197"/>
      <c r="CN146" s="197"/>
      <c r="CO146" s="197"/>
      <c r="CP146" s="197"/>
      <c r="CQ146" s="576"/>
    </row>
    <row r="147" spans="5:95" ht="13.5" hidden="1" x14ac:dyDescent="0.25">
      <c r="E147" s="91" t="s">
        <v>2</v>
      </c>
      <c r="F147" s="569"/>
      <c r="G147" s="569"/>
      <c r="H147" s="569"/>
      <c r="I147" s="569"/>
      <c r="J147" s="569"/>
      <c r="K147" s="126"/>
      <c r="L147" s="126"/>
      <c r="M147" s="126"/>
      <c r="N147" s="126"/>
      <c r="O147" s="569"/>
      <c r="P147" s="126"/>
      <c r="Q147" s="126"/>
      <c r="R147" s="126"/>
      <c r="S147" s="126"/>
      <c r="T147" s="569"/>
      <c r="U147" s="126"/>
      <c r="V147" s="126"/>
      <c r="W147" s="126"/>
      <c r="X147" s="126"/>
      <c r="Y147" s="569"/>
      <c r="Z147" s="450"/>
      <c r="AA147" s="450"/>
      <c r="AB147" s="450"/>
      <c r="AC147" s="450"/>
      <c r="AD147" s="569"/>
      <c r="AE147" s="450"/>
      <c r="AF147" s="450"/>
      <c r="AG147" s="450"/>
      <c r="AH147" s="450"/>
      <c r="AI147" s="570"/>
      <c r="AJ147" s="91"/>
      <c r="AK147" s="91"/>
      <c r="AL147" s="91"/>
      <c r="AM147" s="91"/>
      <c r="AN147" s="570"/>
      <c r="AO147" s="91"/>
      <c r="AP147" s="91"/>
      <c r="AQ147" s="91"/>
      <c r="AR147" s="451"/>
      <c r="AS147" s="569"/>
      <c r="AT147" s="452"/>
      <c r="AU147" s="452"/>
      <c r="AV147" s="452"/>
      <c r="AW147" s="452"/>
      <c r="AX147" s="569"/>
      <c r="AY147" s="183">
        <f t="shared" ref="AY147:BR147" si="31">AY146/AT146-1</f>
        <v>9.710476687502223E-2</v>
      </c>
      <c r="AZ147" s="183">
        <f t="shared" si="31"/>
        <v>5.3476050883468185E-2</v>
      </c>
      <c r="BA147" s="183">
        <f t="shared" si="31"/>
        <v>-6.3711485558906045E-3</v>
      </c>
      <c r="BB147" s="183">
        <f t="shared" si="31"/>
        <v>5.440501801404829E-2</v>
      </c>
      <c r="BC147" s="525">
        <f t="shared" si="31"/>
        <v>4.8374892168916217E-2</v>
      </c>
      <c r="BD147" s="183">
        <f t="shared" si="31"/>
        <v>4.046573979977941E-2</v>
      </c>
      <c r="BE147" s="183">
        <f t="shared" si="31"/>
        <v>1.4015327509356412E-2</v>
      </c>
      <c r="BF147" s="183">
        <f t="shared" si="31"/>
        <v>4.0995193666949259E-2</v>
      </c>
      <c r="BG147" s="183">
        <f t="shared" si="31"/>
        <v>-4.3756145526058221E-3</v>
      </c>
      <c r="BH147" s="525">
        <f t="shared" si="31"/>
        <v>2.2062577587033561E-2</v>
      </c>
      <c r="BI147" s="183">
        <f t="shared" si="31"/>
        <v>-2.4360719443896062E-2</v>
      </c>
      <c r="BJ147" s="183">
        <f t="shared" si="31"/>
        <v>1.1832710647425415E-2</v>
      </c>
      <c r="BK147" s="183">
        <f t="shared" si="31"/>
        <v>5.9012226743053953E-2</v>
      </c>
      <c r="BL147" s="183">
        <f t="shared" si="31"/>
        <v>3.5731568811416814E-2</v>
      </c>
      <c r="BM147" s="525">
        <f t="shared" si="31"/>
        <v>2.0809138626163293E-2</v>
      </c>
      <c r="BN147" s="183">
        <f t="shared" si="31"/>
        <v>-5.910763446986933E-3</v>
      </c>
      <c r="BO147" s="183">
        <f t="shared" si="31"/>
        <v>1.6401926828297331E-2</v>
      </c>
      <c r="BP147" s="183">
        <f t="shared" si="31"/>
        <v>7.6646892026595026E-3</v>
      </c>
      <c r="BQ147" s="183">
        <f t="shared" si="31"/>
        <v>-1.9127897552277506E-2</v>
      </c>
      <c r="BR147" s="525">
        <f t="shared" si="31"/>
        <v>-3.0056399218525431E-4</v>
      </c>
      <c r="BS147" s="183"/>
      <c r="BT147" s="183"/>
      <c r="BU147" s="183"/>
      <c r="BV147" s="183"/>
      <c r="BW147" s="525"/>
      <c r="BX147" s="183"/>
      <c r="BY147" s="183"/>
      <c r="BZ147" s="183"/>
      <c r="CA147" s="183"/>
      <c r="CB147" s="525"/>
      <c r="CC147" s="183"/>
      <c r="CD147" s="183"/>
      <c r="CE147" s="183"/>
      <c r="CF147" s="183"/>
      <c r="CG147" s="525"/>
      <c r="CH147" s="183"/>
      <c r="CI147" s="183"/>
      <c r="CJ147" s="183"/>
      <c r="CK147" s="183"/>
      <c r="CL147" s="525"/>
      <c r="CM147" s="183"/>
      <c r="CN147" s="183"/>
      <c r="CO147" s="183"/>
      <c r="CP147" s="183"/>
      <c r="CQ147" s="641"/>
    </row>
    <row r="148" spans="5:95" ht="13.5" hidden="1" x14ac:dyDescent="0.25">
      <c r="E148" s="85"/>
      <c r="F148" s="566"/>
      <c r="G148" s="566"/>
      <c r="H148" s="566"/>
      <c r="I148" s="566"/>
      <c r="J148" s="566"/>
      <c r="K148" s="122"/>
      <c r="L148" s="122"/>
      <c r="M148" s="122"/>
      <c r="N148" s="122"/>
      <c r="O148" s="566"/>
      <c r="P148" s="122"/>
      <c r="Q148" s="122"/>
      <c r="R148" s="122"/>
      <c r="S148" s="122"/>
      <c r="T148" s="566"/>
      <c r="U148" s="122"/>
      <c r="V148" s="122"/>
      <c r="W148" s="122"/>
      <c r="X148" s="122"/>
      <c r="Y148" s="566"/>
      <c r="Z148" s="128"/>
      <c r="AA148" s="128"/>
      <c r="AB148" s="128"/>
      <c r="AC148" s="128"/>
      <c r="AD148" s="566"/>
      <c r="AE148" s="128"/>
      <c r="AF148" s="128"/>
      <c r="AG148" s="128"/>
      <c r="AH148" s="128"/>
      <c r="AI148" s="513"/>
      <c r="AJ148" s="85"/>
      <c r="AK148" s="85"/>
      <c r="AL148" s="85"/>
      <c r="AM148" s="85"/>
      <c r="AN148" s="513"/>
      <c r="AO148" s="85"/>
      <c r="AP148" s="85"/>
      <c r="AQ148" s="85"/>
      <c r="AR148" s="364"/>
      <c r="AS148" s="566"/>
      <c r="AT148" s="371"/>
      <c r="AU148" s="371"/>
      <c r="AV148" s="371"/>
      <c r="AW148" s="371"/>
      <c r="AX148" s="566"/>
      <c r="AY148" s="166"/>
      <c r="AZ148" s="371"/>
      <c r="BA148" s="371"/>
      <c r="BB148" s="166"/>
      <c r="BC148" s="566"/>
      <c r="BD148" s="166"/>
      <c r="BE148" s="166"/>
      <c r="BF148" s="166"/>
      <c r="BG148" s="166"/>
      <c r="BH148" s="566"/>
      <c r="BI148" s="157"/>
      <c r="BJ148" s="157"/>
      <c r="BK148" s="157"/>
      <c r="BL148" s="157"/>
      <c r="BM148" s="566"/>
      <c r="BN148" s="157"/>
      <c r="BO148" s="157"/>
      <c r="BP148" s="157"/>
      <c r="BQ148" s="157"/>
      <c r="BR148" s="566"/>
      <c r="BS148" s="157"/>
      <c r="BT148" s="157"/>
      <c r="BU148" s="157"/>
      <c r="BV148" s="157"/>
      <c r="BW148" s="566"/>
      <c r="BX148" s="157"/>
      <c r="BY148" s="157"/>
      <c r="BZ148" s="157"/>
      <c r="CA148" s="157"/>
      <c r="CB148" s="566"/>
      <c r="CC148" s="157"/>
      <c r="CD148" s="157"/>
      <c r="CE148" s="157"/>
      <c r="CF148" s="157"/>
      <c r="CG148" s="566"/>
      <c r="CH148" s="157"/>
      <c r="CI148" s="157"/>
      <c r="CJ148" s="157"/>
      <c r="CK148" s="157"/>
      <c r="CL148" s="566"/>
      <c r="CM148" s="157"/>
      <c r="CN148" s="157"/>
      <c r="CO148" s="157"/>
      <c r="CP148" s="157"/>
      <c r="CQ148" s="566"/>
    </row>
    <row r="149" spans="5:95" ht="13.5" hidden="1" x14ac:dyDescent="0.25">
      <c r="E149" s="87" t="s">
        <v>456</v>
      </c>
      <c r="F149" s="566"/>
      <c r="G149" s="566"/>
      <c r="H149" s="566"/>
      <c r="I149" s="566"/>
      <c r="J149" s="566"/>
      <c r="K149" s="122"/>
      <c r="L149" s="122"/>
      <c r="M149" s="122"/>
      <c r="N149" s="122"/>
      <c r="O149" s="566"/>
      <c r="P149" s="122"/>
      <c r="Q149" s="122"/>
      <c r="R149" s="122"/>
      <c r="S149" s="122"/>
      <c r="T149" s="566"/>
      <c r="U149" s="122"/>
      <c r="V149" s="122"/>
      <c r="W149" s="122"/>
      <c r="X149" s="122"/>
      <c r="Y149" s="566"/>
      <c r="Z149" s="128"/>
      <c r="AA149" s="128"/>
      <c r="AB149" s="128"/>
      <c r="AC149" s="128"/>
      <c r="AD149" s="566"/>
      <c r="AE149" s="128"/>
      <c r="AF149" s="128"/>
      <c r="AG149" s="128"/>
      <c r="AH149" s="128"/>
      <c r="AI149" s="513"/>
      <c r="AJ149" s="85"/>
      <c r="AK149" s="85"/>
      <c r="AL149" s="85"/>
      <c r="AM149" s="85"/>
      <c r="AN149" s="513"/>
      <c r="AO149" s="85"/>
      <c r="AP149" s="85"/>
      <c r="AQ149" s="85"/>
      <c r="AR149" s="364"/>
      <c r="AS149" s="566"/>
      <c r="AT149" s="371">
        <v>73.138000000000005</v>
      </c>
      <c r="AU149" s="371">
        <v>75.748999999999995</v>
      </c>
      <c r="AV149" s="371">
        <v>78.994</v>
      </c>
      <c r="AW149" s="371">
        <v>74.75</v>
      </c>
      <c r="AX149" s="576">
        <f>SUM(AT149:AW149)</f>
        <v>302.63099999999997</v>
      </c>
      <c r="AY149" s="371">
        <v>73.05</v>
      </c>
      <c r="AZ149" s="371">
        <v>73.712000000000003</v>
      </c>
      <c r="BA149" s="371">
        <v>77.173000000000002</v>
      </c>
      <c r="BB149" s="371">
        <v>67.59</v>
      </c>
      <c r="BC149" s="576">
        <f>SUM(AY149:BB149)</f>
        <v>291.52499999999998</v>
      </c>
      <c r="BD149" s="371">
        <v>70.290000000000006</v>
      </c>
      <c r="BE149" s="371">
        <v>70.061000000000007</v>
      </c>
      <c r="BF149" s="371">
        <v>69.915999999999997</v>
      </c>
      <c r="BG149" s="371">
        <v>65.201999999999998</v>
      </c>
      <c r="BH149" s="576">
        <f>SUM(BD149:BG149)</f>
        <v>275.46899999999999</v>
      </c>
      <c r="BI149" s="371">
        <v>69.385000000000005</v>
      </c>
      <c r="BJ149" s="371">
        <v>66.825000000000003</v>
      </c>
      <c r="BK149" s="371">
        <v>62.098999999999997</v>
      </c>
      <c r="BL149" s="371">
        <v>58.816000000000003</v>
      </c>
      <c r="BM149" s="576">
        <f>SUM(BI149:BL149)</f>
        <v>257.125</v>
      </c>
      <c r="BN149" s="371">
        <v>55.531999999999996</v>
      </c>
      <c r="BO149" s="371">
        <v>55.789000000000001</v>
      </c>
      <c r="BP149" s="371">
        <v>52.194000000000003</v>
      </c>
      <c r="BQ149" s="371">
        <v>51.633000000000003</v>
      </c>
      <c r="BR149" s="576">
        <f>SUM(BN149:BQ149)</f>
        <v>215.148</v>
      </c>
      <c r="BS149" s="442"/>
      <c r="BT149" s="442"/>
      <c r="BU149" s="442"/>
      <c r="BV149" s="442"/>
      <c r="BW149" s="576"/>
      <c r="BX149" s="197"/>
      <c r="BY149" s="197"/>
      <c r="BZ149" s="197"/>
      <c r="CA149" s="197"/>
      <c r="CB149" s="576"/>
      <c r="CC149" s="197"/>
      <c r="CD149" s="197"/>
      <c r="CE149" s="197"/>
      <c r="CF149" s="197"/>
      <c r="CG149" s="576"/>
      <c r="CH149" s="197"/>
      <c r="CI149" s="197"/>
      <c r="CJ149" s="197"/>
      <c r="CK149" s="197"/>
      <c r="CL149" s="576"/>
      <c r="CM149" s="197"/>
      <c r="CN149" s="197"/>
      <c r="CO149" s="197"/>
      <c r="CP149" s="197"/>
      <c r="CQ149" s="576"/>
    </row>
    <row r="150" spans="5:95" ht="13.5" hidden="1" x14ac:dyDescent="0.25">
      <c r="E150" s="91" t="s">
        <v>2</v>
      </c>
      <c r="F150" s="569"/>
      <c r="G150" s="569"/>
      <c r="H150" s="569"/>
      <c r="I150" s="569"/>
      <c r="J150" s="569"/>
      <c r="K150" s="126"/>
      <c r="L150" s="126"/>
      <c r="M150" s="126"/>
      <c r="N150" s="126"/>
      <c r="O150" s="569"/>
      <c r="P150" s="126"/>
      <c r="Q150" s="126"/>
      <c r="R150" s="126"/>
      <c r="S150" s="126"/>
      <c r="T150" s="569"/>
      <c r="U150" s="126"/>
      <c r="V150" s="126"/>
      <c r="W150" s="126"/>
      <c r="X150" s="126"/>
      <c r="Y150" s="569"/>
      <c r="Z150" s="450"/>
      <c r="AA150" s="450"/>
      <c r="AB150" s="450"/>
      <c r="AC150" s="450"/>
      <c r="AD150" s="569"/>
      <c r="AE150" s="450"/>
      <c r="AF150" s="450"/>
      <c r="AG150" s="450"/>
      <c r="AH150" s="450"/>
      <c r="AI150" s="570"/>
      <c r="AJ150" s="91"/>
      <c r="AK150" s="91"/>
      <c r="AL150" s="91"/>
      <c r="AM150" s="91"/>
      <c r="AN150" s="570"/>
      <c r="AO150" s="91"/>
      <c r="AP150" s="91"/>
      <c r="AQ150" s="91"/>
      <c r="AR150" s="451"/>
      <c r="AS150" s="569"/>
      <c r="AT150" s="452"/>
      <c r="AU150" s="452"/>
      <c r="AV150" s="452"/>
      <c r="AW150" s="452"/>
      <c r="AX150" s="569"/>
      <c r="AY150" s="183">
        <f t="shared" ref="AY150:BR150" si="32">AY149/AT149-1</f>
        <v>-1.2032049003255496E-3</v>
      </c>
      <c r="AZ150" s="183">
        <f t="shared" si="32"/>
        <v>-2.6891444111473262E-2</v>
      </c>
      <c r="BA150" s="183">
        <f t="shared" si="32"/>
        <v>-2.3052383725346237E-2</v>
      </c>
      <c r="BB150" s="183">
        <f t="shared" si="32"/>
        <v>-9.5785953177257466E-2</v>
      </c>
      <c r="BC150" s="525">
        <f t="shared" si="32"/>
        <v>-3.6698157161692002E-2</v>
      </c>
      <c r="BD150" s="183">
        <f t="shared" si="32"/>
        <v>-3.7782340862422825E-2</v>
      </c>
      <c r="BE150" s="183">
        <f t="shared" si="32"/>
        <v>-4.9530605600173638E-2</v>
      </c>
      <c r="BF150" s="183">
        <f t="shared" si="32"/>
        <v>-9.4035478729607602E-2</v>
      </c>
      <c r="BG150" s="183">
        <f t="shared" si="32"/>
        <v>-3.5330670217487925E-2</v>
      </c>
      <c r="BH150" s="525">
        <f t="shared" si="32"/>
        <v>-5.507589400565982E-2</v>
      </c>
      <c r="BI150" s="183">
        <f t="shared" si="32"/>
        <v>-1.2875231185090374E-2</v>
      </c>
      <c r="BJ150" s="183">
        <f t="shared" si="32"/>
        <v>-4.618832160545816E-2</v>
      </c>
      <c r="BK150" s="183">
        <f t="shared" si="32"/>
        <v>-0.1118055952857715</v>
      </c>
      <c r="BL150" s="183">
        <f t="shared" si="32"/>
        <v>-9.7941780926965372E-2</v>
      </c>
      <c r="BM150" s="525">
        <f t="shared" si="32"/>
        <v>-6.6591885112299409E-2</v>
      </c>
      <c r="BN150" s="183">
        <f t="shared" si="32"/>
        <v>-0.19965410391294958</v>
      </c>
      <c r="BO150" s="183">
        <f t="shared" si="32"/>
        <v>-0.16514777403666292</v>
      </c>
      <c r="BP150" s="183">
        <f t="shared" si="32"/>
        <v>-0.1595033736453082</v>
      </c>
      <c r="BQ150" s="183">
        <f t="shared" si="32"/>
        <v>-0.12212663220892273</v>
      </c>
      <c r="BR150" s="525">
        <f t="shared" si="32"/>
        <v>-0.16325522605736509</v>
      </c>
      <c r="BS150" s="529"/>
      <c r="BT150" s="529"/>
      <c r="BU150" s="529"/>
      <c r="BV150" s="529"/>
      <c r="BW150" s="525"/>
      <c r="BX150" s="352"/>
      <c r="BY150" s="352"/>
      <c r="BZ150" s="352"/>
      <c r="CA150" s="352"/>
      <c r="CB150" s="525"/>
      <c r="CC150" s="352"/>
      <c r="CD150" s="352"/>
      <c r="CE150" s="352"/>
      <c r="CF150" s="352"/>
      <c r="CG150" s="525"/>
      <c r="CH150" s="352"/>
      <c r="CI150" s="352"/>
      <c r="CJ150" s="352"/>
      <c r="CK150" s="352"/>
      <c r="CL150" s="525"/>
      <c r="CM150" s="352"/>
      <c r="CN150" s="352"/>
      <c r="CO150" s="352"/>
      <c r="CP150" s="352"/>
      <c r="CQ150" s="641"/>
    </row>
    <row r="151" spans="5:95" ht="13.5" hidden="1" x14ac:dyDescent="0.25">
      <c r="E151" s="85"/>
      <c r="F151" s="566"/>
      <c r="G151" s="566"/>
      <c r="H151" s="566"/>
      <c r="I151" s="566"/>
      <c r="J151" s="566"/>
      <c r="K151" s="122"/>
      <c r="L151" s="122"/>
      <c r="M151" s="122"/>
      <c r="N151" s="122"/>
      <c r="O151" s="566"/>
      <c r="P151" s="122"/>
      <c r="Q151" s="122"/>
      <c r="R151" s="122"/>
      <c r="S151" s="122"/>
      <c r="T151" s="566"/>
      <c r="U151" s="122"/>
      <c r="V151" s="122"/>
      <c r="W151" s="122"/>
      <c r="X151" s="122"/>
      <c r="Y151" s="566"/>
      <c r="Z151" s="128"/>
      <c r="AA151" s="128"/>
      <c r="AB151" s="128"/>
      <c r="AC151" s="128"/>
      <c r="AD151" s="566"/>
      <c r="AE151" s="128"/>
      <c r="AF151" s="128"/>
      <c r="AG151" s="128"/>
      <c r="AH151" s="128"/>
      <c r="AI151" s="513"/>
      <c r="AJ151" s="85"/>
      <c r="AK151" s="85"/>
      <c r="AL151" s="85"/>
      <c r="AM151" s="85"/>
      <c r="AN151" s="513"/>
      <c r="AO151" s="85"/>
      <c r="AP151" s="85"/>
      <c r="AQ151" s="85"/>
      <c r="AR151" s="364"/>
      <c r="AS151" s="566"/>
      <c r="AT151" s="371"/>
      <c r="AU151" s="371"/>
      <c r="AV151" s="371"/>
      <c r="AW151" s="371"/>
      <c r="AX151" s="566"/>
      <c r="AY151" s="166"/>
      <c r="AZ151" s="371"/>
      <c r="BA151" s="371"/>
      <c r="BB151" s="166"/>
      <c r="BC151" s="566"/>
      <c r="BD151" s="166"/>
      <c r="BE151" s="166"/>
      <c r="BF151" s="166"/>
      <c r="BG151" s="166"/>
      <c r="BH151" s="566"/>
      <c r="BI151" s="157"/>
      <c r="BJ151" s="157"/>
      <c r="BK151" s="157"/>
      <c r="BL151" s="157"/>
      <c r="BM151" s="566"/>
      <c r="BN151" s="157"/>
      <c r="BO151" s="157"/>
      <c r="BP151" s="157"/>
      <c r="BQ151" s="157"/>
      <c r="BR151" s="566"/>
      <c r="BS151" s="439"/>
      <c r="BT151" s="439"/>
      <c r="BU151" s="439"/>
      <c r="BV151" s="439"/>
      <c r="BW151" s="566"/>
      <c r="BX151" s="157"/>
      <c r="BY151" s="157"/>
      <c r="BZ151" s="157"/>
      <c r="CA151" s="157"/>
      <c r="CB151" s="566"/>
      <c r="CC151" s="157"/>
      <c r="CD151" s="157"/>
      <c r="CE151" s="157"/>
      <c r="CF151" s="157"/>
      <c r="CG151" s="566"/>
      <c r="CH151" s="157"/>
      <c r="CI151" s="157"/>
      <c r="CJ151" s="157"/>
      <c r="CK151" s="157"/>
      <c r="CL151" s="566"/>
      <c r="CM151" s="157"/>
      <c r="CN151" s="157"/>
      <c r="CO151" s="157"/>
      <c r="CP151" s="157"/>
      <c r="CQ151" s="566"/>
    </row>
    <row r="152" spans="5:95" hidden="1" x14ac:dyDescent="0.25">
      <c r="E152" s="54" t="s">
        <v>515</v>
      </c>
      <c r="F152" s="566"/>
      <c r="G152" s="566"/>
      <c r="H152" s="566"/>
      <c r="I152" s="566"/>
      <c r="J152" s="566"/>
      <c r="K152" s="122"/>
      <c r="L152" s="122"/>
      <c r="M152" s="122"/>
      <c r="N152" s="122"/>
      <c r="O152" s="566"/>
      <c r="P152" s="122"/>
      <c r="Q152" s="122"/>
      <c r="R152" s="122"/>
      <c r="S152" s="122"/>
      <c r="T152" s="566"/>
      <c r="U152" s="122"/>
      <c r="V152" s="122"/>
      <c r="W152" s="122"/>
      <c r="X152" s="122"/>
      <c r="Y152" s="566"/>
      <c r="Z152" s="128"/>
      <c r="AA152" s="128"/>
      <c r="AB152" s="128"/>
      <c r="AC152" s="128"/>
      <c r="AD152" s="566"/>
      <c r="AE152" s="128"/>
      <c r="AF152" s="128"/>
      <c r="AG152" s="128"/>
      <c r="AH152" s="128"/>
      <c r="AI152" s="513"/>
      <c r="AJ152" s="85"/>
      <c r="AK152" s="85"/>
      <c r="AL152" s="85"/>
      <c r="AM152" s="85"/>
      <c r="AN152" s="513"/>
      <c r="AO152" s="85"/>
      <c r="AP152" s="85"/>
      <c r="AQ152" s="85"/>
      <c r="AR152" s="364"/>
      <c r="AS152" s="566"/>
      <c r="AT152" s="439"/>
      <c r="AU152" s="439"/>
      <c r="AV152" s="417">
        <v>10.3</v>
      </c>
      <c r="AW152" s="417">
        <v>9.8000000000000007</v>
      </c>
      <c r="AX152" s="566"/>
      <c r="AY152" s="417">
        <v>9.3000000000000007</v>
      </c>
      <c r="AZ152" s="417">
        <v>8.4</v>
      </c>
      <c r="BA152" s="417">
        <v>9.6</v>
      </c>
      <c r="BB152" s="417">
        <v>9.6999999999999993</v>
      </c>
      <c r="BC152" s="566">
        <f>SUM(AY152:BB152)</f>
        <v>37</v>
      </c>
      <c r="BD152" s="417">
        <f>BD156-BD154</f>
        <v>1.9870000000000001</v>
      </c>
      <c r="BE152" s="85">
        <f>BE156-BE154</f>
        <v>0.95900000000000052</v>
      </c>
      <c r="BF152" s="417">
        <v>0.6</v>
      </c>
      <c r="BG152" s="364">
        <v>0</v>
      </c>
      <c r="BH152" s="566">
        <f>SUM(BD152:BG152)</f>
        <v>3.5460000000000007</v>
      </c>
      <c r="BI152" s="417">
        <v>0</v>
      </c>
      <c r="BJ152" s="417">
        <v>0</v>
      </c>
      <c r="BK152" s="417">
        <v>0</v>
      </c>
      <c r="BL152" s="417">
        <v>0</v>
      </c>
      <c r="BM152" s="566">
        <f>SUM(BI152:BL152)</f>
        <v>0</v>
      </c>
      <c r="BN152" s="408"/>
      <c r="BO152" s="408"/>
      <c r="BP152" s="408"/>
      <c r="BQ152" s="408"/>
      <c r="BR152" s="566"/>
      <c r="BS152" s="439"/>
      <c r="BT152" s="439"/>
      <c r="BU152" s="439"/>
      <c r="BV152" s="439"/>
      <c r="BW152" s="566"/>
      <c r="BX152" s="439"/>
      <c r="BY152" s="439"/>
      <c r="BZ152" s="439"/>
      <c r="CA152" s="439"/>
      <c r="CB152" s="566"/>
      <c r="CC152" s="439"/>
      <c r="CD152" s="439"/>
      <c r="CE152" s="439"/>
      <c r="CF152" s="439"/>
      <c r="CG152" s="566"/>
      <c r="CH152" s="439"/>
      <c r="CI152" s="439"/>
      <c r="CJ152" s="439"/>
      <c r="CK152" s="439"/>
      <c r="CL152" s="566"/>
      <c r="CM152" s="439"/>
      <c r="CN152" s="439"/>
      <c r="CO152" s="439"/>
      <c r="CP152" s="439"/>
      <c r="CQ152" s="566"/>
    </row>
    <row r="153" spans="5:95" ht="13.5" hidden="1" x14ac:dyDescent="0.25">
      <c r="E153" s="91" t="s">
        <v>2</v>
      </c>
      <c r="F153" s="569"/>
      <c r="G153" s="569"/>
      <c r="H153" s="569"/>
      <c r="I153" s="569"/>
      <c r="J153" s="569"/>
      <c r="K153" s="126"/>
      <c r="L153" s="126"/>
      <c r="M153" s="126"/>
      <c r="N153" s="126"/>
      <c r="O153" s="569"/>
      <c r="P153" s="126"/>
      <c r="Q153" s="126"/>
      <c r="R153" s="126"/>
      <c r="S153" s="126"/>
      <c r="T153" s="569"/>
      <c r="U153" s="126"/>
      <c r="V153" s="126"/>
      <c r="W153" s="126"/>
      <c r="X153" s="126"/>
      <c r="Y153" s="569"/>
      <c r="Z153" s="450"/>
      <c r="AA153" s="450"/>
      <c r="AB153" s="450"/>
      <c r="AC153" s="450"/>
      <c r="AD153" s="569"/>
      <c r="AE153" s="450"/>
      <c r="AF153" s="450"/>
      <c r="AG153" s="450"/>
      <c r="AH153" s="450"/>
      <c r="AI153" s="570"/>
      <c r="AJ153" s="91"/>
      <c r="AK153" s="91"/>
      <c r="AL153" s="91"/>
      <c r="AM153" s="91"/>
      <c r="AN153" s="570"/>
      <c r="AO153" s="91"/>
      <c r="AP153" s="91"/>
      <c r="AQ153" s="91"/>
      <c r="AR153" s="451"/>
      <c r="AS153" s="569"/>
      <c r="AT153" s="454"/>
      <c r="AU153" s="454"/>
      <c r="AV153" s="454"/>
      <c r="AW153" s="454"/>
      <c r="AX153" s="569"/>
      <c r="AY153" s="183"/>
      <c r="AZ153" s="183"/>
      <c r="BA153" s="183">
        <f>BA152/AV152-1</f>
        <v>-6.796116504854377E-2</v>
      </c>
      <c r="BB153" s="183">
        <f>BB152/AW152-1</f>
        <v>-1.0204081632653184E-2</v>
      </c>
      <c r="BC153" s="525"/>
      <c r="BD153" s="183">
        <f>BD152/AY152-1</f>
        <v>-0.78634408602150541</v>
      </c>
      <c r="BE153" s="183">
        <f>BE152/AZ152-1</f>
        <v>-0.88583333333333325</v>
      </c>
      <c r="BF153" s="183">
        <f>BF152/BA152-1</f>
        <v>-0.9375</v>
      </c>
      <c r="BG153" s="183">
        <f>BG152/BB152-1</f>
        <v>-1</v>
      </c>
      <c r="BH153" s="525">
        <f>BH152/BC152-1</f>
        <v>-0.90416216216216216</v>
      </c>
      <c r="BI153" s="475" t="s">
        <v>490</v>
      </c>
      <c r="BJ153" s="475" t="s">
        <v>490</v>
      </c>
      <c r="BK153" s="475" t="s">
        <v>490</v>
      </c>
      <c r="BL153" s="475" t="s">
        <v>490</v>
      </c>
      <c r="BM153" s="525">
        <f>BM152/BH152-1</f>
        <v>-1</v>
      </c>
      <c r="BN153" s="475"/>
      <c r="BO153" s="475"/>
      <c r="BP153" s="475"/>
      <c r="BQ153" s="475"/>
      <c r="BR153" s="580"/>
      <c r="BS153" s="476"/>
      <c r="BT153" s="476"/>
      <c r="BU153" s="476"/>
      <c r="BV153" s="476"/>
      <c r="BW153" s="580"/>
      <c r="BX153" s="352"/>
      <c r="BY153" s="352"/>
      <c r="BZ153" s="352"/>
      <c r="CA153" s="352"/>
      <c r="CB153" s="525"/>
      <c r="CC153" s="352"/>
      <c r="CD153" s="352"/>
      <c r="CE153" s="352"/>
      <c r="CF153" s="352"/>
      <c r="CG153" s="525"/>
      <c r="CH153" s="352"/>
      <c r="CI153" s="352"/>
      <c r="CJ153" s="352"/>
      <c r="CK153" s="352"/>
      <c r="CL153" s="525"/>
      <c r="CM153" s="352"/>
      <c r="CN153" s="352"/>
      <c r="CO153" s="352"/>
      <c r="CP153" s="352"/>
      <c r="CQ153" s="641"/>
    </row>
    <row r="154" spans="5:95" hidden="1" x14ac:dyDescent="0.25">
      <c r="E154" s="54" t="s">
        <v>499</v>
      </c>
      <c r="F154" s="566"/>
      <c r="G154" s="566"/>
      <c r="H154" s="566"/>
      <c r="I154" s="566"/>
      <c r="J154" s="566"/>
      <c r="K154" s="122"/>
      <c r="L154" s="122"/>
      <c r="M154" s="122"/>
      <c r="N154" s="122"/>
      <c r="O154" s="566"/>
      <c r="P154" s="122"/>
      <c r="Q154" s="122"/>
      <c r="R154" s="122"/>
      <c r="S154" s="122"/>
      <c r="T154" s="566"/>
      <c r="U154" s="122"/>
      <c r="V154" s="122"/>
      <c r="W154" s="122"/>
      <c r="X154" s="122"/>
      <c r="Y154" s="566"/>
      <c r="Z154" s="128"/>
      <c r="AA154" s="128"/>
      <c r="AB154" s="128"/>
      <c r="AC154" s="128"/>
      <c r="AD154" s="566"/>
      <c r="AE154" s="128"/>
      <c r="AF154" s="128"/>
      <c r="AG154" s="128"/>
      <c r="AH154" s="128"/>
      <c r="AI154" s="513"/>
      <c r="AJ154" s="85"/>
      <c r="AK154" s="85"/>
      <c r="AL154" s="85"/>
      <c r="AM154" s="85"/>
      <c r="AN154" s="513"/>
      <c r="AO154" s="85"/>
      <c r="AP154" s="85"/>
      <c r="AQ154" s="85"/>
      <c r="AR154" s="364"/>
      <c r="AS154" s="566"/>
      <c r="AT154" s="439"/>
      <c r="AU154" s="439"/>
      <c r="AV154" s="85">
        <f>AV156-AV152</f>
        <v>9.9480000000000004</v>
      </c>
      <c r="AW154" s="85">
        <f>AW156-AW152</f>
        <v>9.77</v>
      </c>
      <c r="AX154" s="566"/>
      <c r="AY154" s="85">
        <f>AY156-AY152</f>
        <v>8.6980000000000004</v>
      </c>
      <c r="AZ154" s="85">
        <f>AZ156-AZ152</f>
        <v>8.4629999999999992</v>
      </c>
      <c r="BA154" s="85">
        <f>BA156-BA152</f>
        <v>6.6590000000000007</v>
      </c>
      <c r="BB154" s="85">
        <f>BB156-BB152</f>
        <v>6.5650000000000013</v>
      </c>
      <c r="BC154" s="566">
        <f>SUM(AY154:BB154)</f>
        <v>30.385000000000002</v>
      </c>
      <c r="BD154" s="85">
        <v>6.9</v>
      </c>
      <c r="BE154" s="85">
        <v>7.8449999999999998</v>
      </c>
      <c r="BF154" s="85">
        <f>BF156-BF152</f>
        <v>7.4399999999999995</v>
      </c>
      <c r="BG154" s="85">
        <f>BG156-BG152</f>
        <v>9.4190000000000005</v>
      </c>
      <c r="BH154" s="566">
        <f>SUM(BD154:BG154)</f>
        <v>31.604000000000003</v>
      </c>
      <c r="BI154" s="85">
        <f>BI156-BI152</f>
        <v>9.0150000000000006</v>
      </c>
      <c r="BJ154" s="85">
        <f>BJ156-BJ152</f>
        <v>8.4939999999999998</v>
      </c>
      <c r="BK154" s="85">
        <f>BK156-BK152</f>
        <v>9.1120000000000001</v>
      </c>
      <c r="BL154" s="85">
        <f>BL156-BL152</f>
        <v>8.6460000000000008</v>
      </c>
      <c r="BM154" s="566">
        <f>SUM(BI154:BL154)</f>
        <v>35.267000000000003</v>
      </c>
      <c r="BN154" s="439"/>
      <c r="BO154" s="408"/>
      <c r="BP154" s="408"/>
      <c r="BQ154" s="408"/>
      <c r="BR154" s="566"/>
      <c r="BS154" s="408"/>
      <c r="BT154" s="439"/>
      <c r="BU154" s="439"/>
      <c r="BV154" s="439"/>
      <c r="BW154" s="566"/>
      <c r="BX154" s="439"/>
      <c r="BY154" s="439"/>
      <c r="BZ154" s="439"/>
      <c r="CA154" s="439"/>
      <c r="CB154" s="566"/>
      <c r="CC154" s="439"/>
      <c r="CD154" s="439"/>
      <c r="CE154" s="439"/>
      <c r="CF154" s="439"/>
      <c r="CG154" s="566"/>
      <c r="CH154" s="439"/>
      <c r="CI154" s="439"/>
      <c r="CJ154" s="439"/>
      <c r="CK154" s="439"/>
      <c r="CL154" s="566"/>
      <c r="CM154" s="439"/>
      <c r="CN154" s="439"/>
      <c r="CO154" s="439"/>
      <c r="CP154" s="439"/>
      <c r="CQ154" s="566"/>
    </row>
    <row r="155" spans="5:95" ht="13.5" hidden="1" x14ac:dyDescent="0.25">
      <c r="E155" s="91" t="s">
        <v>2</v>
      </c>
      <c r="F155" s="569"/>
      <c r="G155" s="569"/>
      <c r="H155" s="569"/>
      <c r="I155" s="569"/>
      <c r="J155" s="569"/>
      <c r="K155" s="126"/>
      <c r="L155" s="126"/>
      <c r="M155" s="126"/>
      <c r="N155" s="126"/>
      <c r="O155" s="569"/>
      <c r="P155" s="126"/>
      <c r="Q155" s="126"/>
      <c r="R155" s="126"/>
      <c r="S155" s="126"/>
      <c r="T155" s="569"/>
      <c r="U155" s="126"/>
      <c r="V155" s="126"/>
      <c r="W155" s="126"/>
      <c r="X155" s="126"/>
      <c r="Y155" s="569"/>
      <c r="Z155" s="450"/>
      <c r="AA155" s="450"/>
      <c r="AB155" s="450"/>
      <c r="AC155" s="450"/>
      <c r="AD155" s="569"/>
      <c r="AE155" s="450"/>
      <c r="AF155" s="450"/>
      <c r="AG155" s="450"/>
      <c r="AH155" s="450"/>
      <c r="AI155" s="570"/>
      <c r="AJ155" s="91"/>
      <c r="AK155" s="91"/>
      <c r="AL155" s="91"/>
      <c r="AM155" s="91"/>
      <c r="AN155" s="570"/>
      <c r="AO155" s="91"/>
      <c r="AP155" s="91"/>
      <c r="AQ155" s="91"/>
      <c r="AR155" s="451"/>
      <c r="AS155" s="569"/>
      <c r="AT155" s="452"/>
      <c r="AU155" s="452"/>
      <c r="AV155" s="452"/>
      <c r="AW155" s="452"/>
      <c r="AX155" s="569"/>
      <c r="AY155" s="183"/>
      <c r="AZ155" s="183"/>
      <c r="BA155" s="183">
        <f>BA154/AV154-1</f>
        <v>-0.33061921994370724</v>
      </c>
      <c r="BB155" s="183">
        <f>BB154/AW154-1</f>
        <v>-0.32804503582395073</v>
      </c>
      <c r="BC155" s="525"/>
      <c r="BD155" s="183">
        <f t="shared" ref="BD155:BM155" si="33">BD154/AY154-1</f>
        <v>-0.20671418716946421</v>
      </c>
      <c r="BE155" s="183">
        <f t="shared" si="33"/>
        <v>-7.3023750443105273E-2</v>
      </c>
      <c r="BF155" s="183">
        <f t="shared" si="33"/>
        <v>0.11728487760925055</v>
      </c>
      <c r="BG155" s="183">
        <f t="shared" si="33"/>
        <v>0.43472962680883454</v>
      </c>
      <c r="BH155" s="525">
        <f t="shared" si="33"/>
        <v>4.0118479512917693E-2</v>
      </c>
      <c r="BI155" s="183">
        <f t="shared" si="33"/>
        <v>0.3065217391304349</v>
      </c>
      <c r="BJ155" s="183">
        <f t="shared" si="33"/>
        <v>8.2727852135118018E-2</v>
      </c>
      <c r="BK155" s="183">
        <f t="shared" si="33"/>
        <v>0.22473118279569904</v>
      </c>
      <c r="BL155" s="183">
        <f t="shared" si="33"/>
        <v>-8.2068160101921639E-2</v>
      </c>
      <c r="BM155" s="525">
        <f t="shared" si="33"/>
        <v>0.11590305024680414</v>
      </c>
      <c r="BN155" s="453"/>
      <c r="BO155" s="475"/>
      <c r="BP155" s="475"/>
      <c r="BQ155" s="475"/>
      <c r="BR155" s="580"/>
      <c r="BS155" s="476"/>
      <c r="BT155" s="476"/>
      <c r="BU155" s="476"/>
      <c r="BV155" s="476"/>
      <c r="BW155" s="580"/>
      <c r="BX155" s="352"/>
      <c r="BY155" s="352"/>
      <c r="BZ155" s="352"/>
      <c r="CA155" s="352"/>
      <c r="CB155" s="525"/>
      <c r="CC155" s="352"/>
      <c r="CD155" s="352"/>
      <c r="CE155" s="352"/>
      <c r="CF155" s="352"/>
      <c r="CG155" s="525"/>
      <c r="CH155" s="352"/>
      <c r="CI155" s="352"/>
      <c r="CJ155" s="352"/>
      <c r="CK155" s="352"/>
      <c r="CL155" s="525"/>
      <c r="CM155" s="352"/>
      <c r="CN155" s="352"/>
      <c r="CO155" s="352"/>
      <c r="CP155" s="352"/>
      <c r="CQ155" s="641"/>
    </row>
    <row r="156" spans="5:95" ht="13.5" hidden="1" x14ac:dyDescent="0.25">
      <c r="E156" s="87" t="s">
        <v>278</v>
      </c>
      <c r="F156" s="566"/>
      <c r="G156" s="566"/>
      <c r="H156" s="566"/>
      <c r="I156" s="566"/>
      <c r="J156" s="566"/>
      <c r="K156" s="122"/>
      <c r="L156" s="122"/>
      <c r="M156" s="122"/>
      <c r="N156" s="122"/>
      <c r="O156" s="566"/>
      <c r="P156" s="122"/>
      <c r="Q156" s="122"/>
      <c r="R156" s="122"/>
      <c r="S156" s="122"/>
      <c r="T156" s="566"/>
      <c r="U156" s="122"/>
      <c r="V156" s="122"/>
      <c r="W156" s="122"/>
      <c r="X156" s="122"/>
      <c r="Y156" s="566"/>
      <c r="Z156" s="128"/>
      <c r="AA156" s="128"/>
      <c r="AB156" s="128"/>
      <c r="AC156" s="128"/>
      <c r="AD156" s="566"/>
      <c r="AE156" s="128"/>
      <c r="AF156" s="128"/>
      <c r="AG156" s="128"/>
      <c r="AH156" s="128"/>
      <c r="AI156" s="513"/>
      <c r="AJ156" s="85"/>
      <c r="AK156" s="85"/>
      <c r="AL156" s="85"/>
      <c r="AM156" s="85"/>
      <c r="AN156" s="513"/>
      <c r="AO156" s="85"/>
      <c r="AP156" s="85"/>
      <c r="AQ156" s="85"/>
      <c r="AR156" s="364"/>
      <c r="AS156" s="566"/>
      <c r="AT156" s="371">
        <v>17.419</v>
      </c>
      <c r="AU156" s="371">
        <v>17.780999999999999</v>
      </c>
      <c r="AV156" s="371">
        <v>20.248000000000001</v>
      </c>
      <c r="AW156" s="371">
        <v>19.57</v>
      </c>
      <c r="AX156" s="576">
        <f>SUM(AT156:AW156)</f>
        <v>75.018000000000001</v>
      </c>
      <c r="AY156" s="371">
        <v>17.998000000000001</v>
      </c>
      <c r="AZ156" s="371">
        <v>16.863</v>
      </c>
      <c r="BA156" s="371">
        <v>16.259</v>
      </c>
      <c r="BB156" s="371">
        <v>16.265000000000001</v>
      </c>
      <c r="BC156" s="576">
        <f>SUM(AY156:BB156)</f>
        <v>67.385000000000005</v>
      </c>
      <c r="BD156" s="371">
        <v>8.8870000000000005</v>
      </c>
      <c r="BE156" s="371">
        <v>8.8040000000000003</v>
      </c>
      <c r="BF156" s="371">
        <v>8.0399999999999991</v>
      </c>
      <c r="BG156" s="371">
        <v>9.4190000000000005</v>
      </c>
      <c r="BH156" s="576">
        <f>BH152+BH154</f>
        <v>35.150000000000006</v>
      </c>
      <c r="BI156" s="371">
        <v>9.0150000000000006</v>
      </c>
      <c r="BJ156" s="371">
        <v>8.4939999999999998</v>
      </c>
      <c r="BK156" s="371">
        <v>9.1120000000000001</v>
      </c>
      <c r="BL156" s="371">
        <v>8.6460000000000008</v>
      </c>
      <c r="BM156" s="576">
        <f>BM152+BM154</f>
        <v>35.267000000000003</v>
      </c>
      <c r="BN156" s="197"/>
      <c r="BO156" s="197"/>
      <c r="BP156" s="197"/>
      <c r="BQ156" s="197"/>
      <c r="BR156" s="576"/>
      <c r="BS156" s="197"/>
      <c r="BT156" s="197"/>
      <c r="BU156" s="197"/>
      <c r="BV156" s="197"/>
      <c r="BW156" s="576"/>
      <c r="BX156" s="197"/>
      <c r="BY156" s="197"/>
      <c r="BZ156" s="197"/>
      <c r="CA156" s="197"/>
      <c r="CB156" s="576"/>
      <c r="CC156" s="197"/>
      <c r="CD156" s="197"/>
      <c r="CE156" s="197"/>
      <c r="CF156" s="197"/>
      <c r="CG156" s="576"/>
      <c r="CH156" s="197"/>
      <c r="CI156" s="197"/>
      <c r="CJ156" s="197"/>
      <c r="CK156" s="197"/>
      <c r="CL156" s="576"/>
      <c r="CM156" s="197"/>
      <c r="CN156" s="197"/>
      <c r="CO156" s="197"/>
      <c r="CP156" s="197"/>
      <c r="CQ156" s="576"/>
    </row>
    <row r="157" spans="5:95" ht="13.5" hidden="1" x14ac:dyDescent="0.25">
      <c r="E157" s="91" t="s">
        <v>2</v>
      </c>
      <c r="F157" s="569"/>
      <c r="G157" s="569"/>
      <c r="H157" s="569"/>
      <c r="I157" s="569"/>
      <c r="J157" s="569"/>
      <c r="K157" s="126"/>
      <c r="L157" s="126"/>
      <c r="M157" s="126"/>
      <c r="N157" s="126"/>
      <c r="O157" s="569"/>
      <c r="P157" s="126"/>
      <c r="Q157" s="126"/>
      <c r="R157" s="126"/>
      <c r="S157" s="126"/>
      <c r="T157" s="569"/>
      <c r="U157" s="126"/>
      <c r="V157" s="126"/>
      <c r="W157" s="126"/>
      <c r="X157" s="126"/>
      <c r="Y157" s="569"/>
      <c r="Z157" s="450"/>
      <c r="AA157" s="450"/>
      <c r="AB157" s="450"/>
      <c r="AC157" s="450"/>
      <c r="AD157" s="569"/>
      <c r="AE157" s="450"/>
      <c r="AF157" s="450"/>
      <c r="AG157" s="450"/>
      <c r="AH157" s="450"/>
      <c r="AI157" s="570"/>
      <c r="AJ157" s="91"/>
      <c r="AK157" s="91"/>
      <c r="AL157" s="91"/>
      <c r="AM157" s="91"/>
      <c r="AN157" s="570"/>
      <c r="AO157" s="91"/>
      <c r="AP157" s="91"/>
      <c r="AQ157" s="91"/>
      <c r="AR157" s="451"/>
      <c r="AS157" s="569"/>
      <c r="AT157" s="454"/>
      <c r="AU157" s="454"/>
      <c r="AV157" s="454"/>
      <c r="AW157" s="454"/>
      <c r="AX157" s="569"/>
      <c r="AY157" s="183">
        <f t="shared" ref="AY157:BF157" si="34">AY156/AT156-1</f>
        <v>3.323956599115907E-2</v>
      </c>
      <c r="AZ157" s="183">
        <f t="shared" si="34"/>
        <v>-5.1628142399190113E-2</v>
      </c>
      <c r="BA157" s="183">
        <f t="shared" si="34"/>
        <v>-0.19700711181351249</v>
      </c>
      <c r="BB157" s="183">
        <f t="shared" si="34"/>
        <v>-0.16888094021461419</v>
      </c>
      <c r="BC157" s="525">
        <f t="shared" si="34"/>
        <v>-0.10174891359407068</v>
      </c>
      <c r="BD157" s="183">
        <f t="shared" si="34"/>
        <v>-0.50622291365707306</v>
      </c>
      <c r="BE157" s="183">
        <f t="shared" si="34"/>
        <v>-0.47791021763624497</v>
      </c>
      <c r="BF157" s="183">
        <f t="shared" si="34"/>
        <v>-0.50550464358201619</v>
      </c>
      <c r="BG157" s="475" t="s">
        <v>490</v>
      </c>
      <c r="BH157" s="580" t="s">
        <v>490</v>
      </c>
      <c r="BI157" s="476" t="s">
        <v>490</v>
      </c>
      <c r="BJ157" s="476" t="s">
        <v>490</v>
      </c>
      <c r="BK157" s="476" t="s">
        <v>490</v>
      </c>
      <c r="BL157" s="352">
        <f>BL156/BG156-1</f>
        <v>-8.2068160101921639E-2</v>
      </c>
      <c r="BM157" s="525">
        <f>BM156/BH156-1</f>
        <v>3.328591749644394E-3</v>
      </c>
      <c r="BN157" s="352"/>
      <c r="BO157" s="475"/>
      <c r="BP157" s="475"/>
      <c r="BQ157" s="475"/>
      <c r="BR157" s="525"/>
      <c r="BS157" s="475"/>
      <c r="BT157" s="475"/>
      <c r="BU157" s="475"/>
      <c r="BV157" s="475"/>
      <c r="BW157" s="580"/>
      <c r="BX157" s="352"/>
      <c r="BY157" s="352"/>
      <c r="BZ157" s="352"/>
      <c r="CA157" s="352"/>
      <c r="CB157" s="525"/>
      <c r="CC157" s="352"/>
      <c r="CD157" s="352"/>
      <c r="CE157" s="352"/>
      <c r="CF157" s="352"/>
      <c r="CG157" s="525"/>
      <c r="CH157" s="352"/>
      <c r="CI157" s="352"/>
      <c r="CJ157" s="352"/>
      <c r="CK157" s="352"/>
      <c r="CL157" s="525"/>
      <c r="CM157" s="352"/>
      <c r="CN157" s="352"/>
      <c r="CO157" s="352"/>
      <c r="CP157" s="352"/>
      <c r="CQ157" s="641"/>
    </row>
    <row r="158" spans="5:95" ht="13.5" hidden="1" x14ac:dyDescent="0.25">
      <c r="E158" s="91"/>
      <c r="F158" s="566"/>
      <c r="G158" s="566"/>
      <c r="H158" s="566"/>
      <c r="I158" s="566"/>
      <c r="J158" s="566"/>
      <c r="K158" s="122"/>
      <c r="L158" s="122"/>
      <c r="M158" s="122"/>
      <c r="N158" s="122"/>
      <c r="O158" s="566"/>
      <c r="P158" s="122"/>
      <c r="Q158" s="122"/>
      <c r="R158" s="122"/>
      <c r="S158" s="122"/>
      <c r="T158" s="566"/>
      <c r="U158" s="122"/>
      <c r="V158" s="122"/>
      <c r="W158" s="122"/>
      <c r="X158" s="122"/>
      <c r="Y158" s="566"/>
      <c r="Z158" s="128"/>
      <c r="AA158" s="128"/>
      <c r="AB158" s="128"/>
      <c r="AC158" s="128"/>
      <c r="AD158" s="566"/>
      <c r="AE158" s="128"/>
      <c r="AF158" s="128"/>
      <c r="AG158" s="128"/>
      <c r="AH158" s="128"/>
      <c r="AI158" s="513"/>
      <c r="AJ158" s="85"/>
      <c r="AK158" s="85"/>
      <c r="AL158" s="85"/>
      <c r="AM158" s="85"/>
      <c r="AN158" s="513"/>
      <c r="AO158" s="85"/>
      <c r="AP158" s="85"/>
      <c r="AQ158" s="85"/>
      <c r="AR158" s="364"/>
      <c r="AS158" s="566"/>
      <c r="AT158" s="197"/>
      <c r="AU158" s="197"/>
      <c r="AV158" s="197"/>
      <c r="AW158" s="197"/>
      <c r="AX158" s="566"/>
      <c r="AY158" s="157"/>
      <c r="AZ158" s="197"/>
      <c r="BA158" s="197"/>
      <c r="BB158" s="157"/>
      <c r="BC158" s="566"/>
      <c r="BD158" s="157"/>
      <c r="BE158" s="157"/>
      <c r="BF158" s="157"/>
      <c r="BG158" s="157"/>
      <c r="BH158" s="566"/>
      <c r="BI158" s="157"/>
      <c r="BJ158" s="157"/>
      <c r="BK158" s="157"/>
      <c r="BL158" s="157"/>
      <c r="BM158" s="566"/>
      <c r="BN158" s="157"/>
      <c r="BO158" s="157"/>
      <c r="BP158" s="157"/>
      <c r="BQ158" s="157"/>
      <c r="BR158" s="566"/>
      <c r="BS158" s="157"/>
      <c r="BT158" s="157"/>
      <c r="BU158" s="157"/>
      <c r="BV158" s="157"/>
      <c r="BW158" s="566"/>
      <c r="BX158" s="157"/>
      <c r="BY158" s="157"/>
      <c r="BZ158" s="157"/>
      <c r="CA158" s="157"/>
      <c r="CB158" s="566"/>
      <c r="CC158" s="157"/>
      <c r="CD158" s="157"/>
      <c r="CE158" s="157"/>
      <c r="CF158" s="157"/>
      <c r="CG158" s="566"/>
      <c r="CH158" s="157"/>
      <c r="CI158" s="157"/>
      <c r="CJ158" s="157"/>
      <c r="CK158" s="157"/>
      <c r="CL158" s="566"/>
      <c r="CM158" s="157"/>
      <c r="CN158" s="157"/>
      <c r="CO158" s="157"/>
      <c r="CP158" s="157"/>
      <c r="CQ158" s="566"/>
    </row>
    <row r="159" spans="5:95" ht="13.5" hidden="1" x14ac:dyDescent="0.25">
      <c r="E159" s="444" t="s">
        <v>448</v>
      </c>
      <c r="F159" s="540"/>
      <c r="G159" s="540"/>
      <c r="H159" s="540"/>
      <c r="I159" s="540"/>
      <c r="J159" s="540"/>
      <c r="K159" s="173"/>
      <c r="L159" s="173"/>
      <c r="M159" s="173"/>
      <c r="N159" s="173"/>
      <c r="O159" s="540"/>
      <c r="P159" s="173"/>
      <c r="Q159" s="173"/>
      <c r="R159" s="173"/>
      <c r="S159" s="173"/>
      <c r="T159" s="540"/>
      <c r="U159" s="173"/>
      <c r="V159" s="173"/>
      <c r="W159" s="173"/>
      <c r="X159" s="173"/>
      <c r="Y159" s="540"/>
      <c r="Z159" s="457"/>
      <c r="AA159" s="457"/>
      <c r="AB159" s="457"/>
      <c r="AC159" s="457"/>
      <c r="AD159" s="540"/>
      <c r="AE159" s="457"/>
      <c r="AF159" s="457"/>
      <c r="AG159" s="457"/>
      <c r="AH159" s="457"/>
      <c r="AI159" s="545"/>
      <c r="AJ159" s="87"/>
      <c r="AK159" s="87"/>
      <c r="AL159" s="87"/>
      <c r="AM159" s="87"/>
      <c r="AN159" s="545"/>
      <c r="AO159" s="87"/>
      <c r="AP159" s="87"/>
      <c r="AQ159" s="87"/>
      <c r="AR159" s="458"/>
      <c r="AS159" s="540"/>
      <c r="AT159" s="460">
        <v>5.835</v>
      </c>
      <c r="AU159" s="460">
        <v>4.55</v>
      </c>
      <c r="AV159" s="460">
        <v>8.5879999999999992</v>
      </c>
      <c r="AW159" s="460">
        <v>5.4939999999999998</v>
      </c>
      <c r="AX159" s="536">
        <f>SUM(AT159:AW159)</f>
        <v>24.466999999999999</v>
      </c>
      <c r="AY159" s="460">
        <v>4.2469999999999999</v>
      </c>
      <c r="AZ159" s="460">
        <v>5.0910000000000002</v>
      </c>
      <c r="BA159" s="460">
        <v>9.7949999999999999</v>
      </c>
      <c r="BB159" s="460">
        <v>5.8550000000000004</v>
      </c>
      <c r="BC159" s="536">
        <f>SUM(AY159:BB159)</f>
        <v>24.988000000000003</v>
      </c>
      <c r="BD159" s="460">
        <v>8.8309999999999995</v>
      </c>
      <c r="BE159" s="460">
        <v>8.52</v>
      </c>
      <c r="BF159" s="460">
        <v>9.6219999999999999</v>
      </c>
      <c r="BG159" s="460">
        <v>2.3570000000000002</v>
      </c>
      <c r="BH159" s="536">
        <f>SUM(BD159:BG159)</f>
        <v>29.33</v>
      </c>
      <c r="BI159" s="460">
        <v>10.760999999999999</v>
      </c>
      <c r="BJ159" s="460">
        <v>11.967000000000001</v>
      </c>
      <c r="BK159" s="460">
        <v>6.3159999999999998</v>
      </c>
      <c r="BL159" s="460">
        <v>3.8029999999999999</v>
      </c>
      <c r="BM159" s="536">
        <f>SUM(BI159:BL159)</f>
        <v>32.847000000000001</v>
      </c>
      <c r="BN159" s="460">
        <v>4.7389999999999999</v>
      </c>
      <c r="BO159" s="460">
        <v>4.13</v>
      </c>
      <c r="BP159" s="460">
        <v>3.78</v>
      </c>
      <c r="BQ159" s="460">
        <v>5.4560000000000004</v>
      </c>
      <c r="BR159" s="536">
        <f>SUM(BN159:BQ159)</f>
        <v>18.105</v>
      </c>
      <c r="BS159" s="442"/>
      <c r="BT159" s="442"/>
      <c r="BU159" s="442"/>
      <c r="BV159" s="442"/>
      <c r="BW159" s="536"/>
      <c r="BX159" s="442"/>
      <c r="BY159" s="442"/>
      <c r="BZ159" s="442"/>
      <c r="CA159" s="442"/>
      <c r="CB159" s="536"/>
      <c r="CC159" s="442"/>
      <c r="CD159" s="442"/>
      <c r="CE159" s="442"/>
      <c r="CF159" s="442"/>
      <c r="CG159" s="536"/>
      <c r="CH159" s="442"/>
      <c r="CI159" s="442"/>
      <c r="CJ159" s="442"/>
      <c r="CK159" s="442"/>
      <c r="CL159" s="536"/>
      <c r="CM159" s="442"/>
      <c r="CN159" s="442"/>
      <c r="CO159" s="442"/>
      <c r="CP159" s="442"/>
      <c r="CQ159" s="642"/>
    </row>
    <row r="160" spans="5:95" ht="13.5" hidden="1" x14ac:dyDescent="0.25">
      <c r="E160" s="365" t="s">
        <v>91</v>
      </c>
      <c r="F160" s="569"/>
      <c r="G160" s="569"/>
      <c r="H160" s="569"/>
      <c r="I160" s="569"/>
      <c r="J160" s="569"/>
      <c r="K160" s="126"/>
      <c r="L160" s="126"/>
      <c r="M160" s="126"/>
      <c r="N160" s="126"/>
      <c r="O160" s="569"/>
      <c r="P160" s="126"/>
      <c r="Q160" s="126"/>
      <c r="R160" s="126"/>
      <c r="S160" s="126"/>
      <c r="T160" s="569"/>
      <c r="U160" s="126"/>
      <c r="V160" s="126"/>
      <c r="W160" s="126"/>
      <c r="X160" s="126"/>
      <c r="Y160" s="569"/>
      <c r="Z160" s="450"/>
      <c r="AA160" s="450"/>
      <c r="AB160" s="450"/>
      <c r="AC160" s="450"/>
      <c r="AD160" s="569"/>
      <c r="AE160" s="450"/>
      <c r="AF160" s="450"/>
      <c r="AG160" s="450"/>
      <c r="AH160" s="450"/>
      <c r="AI160" s="570"/>
      <c r="AJ160" s="91"/>
      <c r="AK160" s="91"/>
      <c r="AL160" s="91"/>
      <c r="AM160" s="91"/>
      <c r="AN160" s="570"/>
      <c r="AO160" s="91"/>
      <c r="AP160" s="91"/>
      <c r="AQ160" s="91"/>
      <c r="AR160" s="451"/>
      <c r="AS160" s="569"/>
      <c r="AT160" s="365">
        <f t="shared" ref="AT160:BR160" si="35">AT159/AT149</f>
        <v>7.9780688561349775E-2</v>
      </c>
      <c r="AU160" s="365">
        <f t="shared" si="35"/>
        <v>6.0066799561710384E-2</v>
      </c>
      <c r="AV160" s="365">
        <f t="shared" si="35"/>
        <v>0.10871711775577891</v>
      </c>
      <c r="AW160" s="365">
        <f t="shared" si="35"/>
        <v>7.3498327759197318E-2</v>
      </c>
      <c r="AX160" s="560">
        <f t="shared" si="35"/>
        <v>8.0847632925906465E-2</v>
      </c>
      <c r="AY160" s="365">
        <f t="shared" si="35"/>
        <v>5.8138261464750172E-2</v>
      </c>
      <c r="AZ160" s="365">
        <f t="shared" si="35"/>
        <v>6.9066095072715439E-2</v>
      </c>
      <c r="BA160" s="365">
        <f t="shared" si="35"/>
        <v>0.12692262838039209</v>
      </c>
      <c r="BB160" s="365">
        <f t="shared" si="35"/>
        <v>8.6625240420180508E-2</v>
      </c>
      <c r="BC160" s="560">
        <f t="shared" si="35"/>
        <v>8.5714775748220576E-2</v>
      </c>
      <c r="BD160" s="365">
        <f t="shared" si="35"/>
        <v>0.12563664817185943</v>
      </c>
      <c r="BE160" s="365">
        <f t="shared" si="35"/>
        <v>0.12160831275602688</v>
      </c>
      <c r="BF160" s="365">
        <f t="shared" si="35"/>
        <v>0.13762228960466846</v>
      </c>
      <c r="BG160" s="365">
        <f t="shared" si="35"/>
        <v>3.614919787736573E-2</v>
      </c>
      <c r="BH160" s="560">
        <f t="shared" si="35"/>
        <v>0.10647296065982016</v>
      </c>
      <c r="BI160" s="365">
        <f t="shared" si="35"/>
        <v>0.15509115803127474</v>
      </c>
      <c r="BJ160" s="365">
        <f t="shared" si="35"/>
        <v>0.17907968574635241</v>
      </c>
      <c r="BK160" s="365">
        <f t="shared" si="35"/>
        <v>0.10170856213465596</v>
      </c>
      <c r="BL160" s="365">
        <f t="shared" si="35"/>
        <v>6.4659276387377576E-2</v>
      </c>
      <c r="BM160" s="560">
        <f t="shared" si="35"/>
        <v>0.12774720466699077</v>
      </c>
      <c r="BN160" s="365">
        <f t="shared" si="35"/>
        <v>8.5338183389757266E-2</v>
      </c>
      <c r="BO160" s="365">
        <f t="shared" si="35"/>
        <v>7.4028930434315007E-2</v>
      </c>
      <c r="BP160" s="365">
        <f t="shared" si="35"/>
        <v>7.2422117484768359E-2</v>
      </c>
      <c r="BQ160" s="365">
        <f t="shared" si="35"/>
        <v>0.10566885518951058</v>
      </c>
      <c r="BR160" s="560">
        <f t="shared" si="35"/>
        <v>8.4151374867533046E-2</v>
      </c>
      <c r="BS160" s="529"/>
      <c r="BT160" s="529"/>
      <c r="BU160" s="529"/>
      <c r="BV160" s="529"/>
      <c r="BW160" s="560"/>
      <c r="BX160" s="183"/>
      <c r="BY160" s="183"/>
      <c r="BZ160" s="183"/>
      <c r="CA160" s="183"/>
      <c r="CB160" s="560"/>
      <c r="CC160" s="183"/>
      <c r="CD160" s="183"/>
      <c r="CE160" s="183"/>
      <c r="CF160" s="183"/>
      <c r="CG160" s="560"/>
      <c r="CH160" s="183"/>
      <c r="CI160" s="183"/>
      <c r="CJ160" s="183"/>
      <c r="CK160" s="183"/>
      <c r="CL160" s="560"/>
      <c r="CM160" s="183"/>
      <c r="CN160" s="183"/>
      <c r="CO160" s="183"/>
      <c r="CP160" s="183"/>
      <c r="CQ160" s="643"/>
    </row>
    <row r="161" spans="5:95" hidden="1" x14ac:dyDescent="0.25">
      <c r="E161" s="54"/>
      <c r="F161" s="566"/>
      <c r="G161" s="566"/>
      <c r="H161" s="566"/>
      <c r="I161" s="566"/>
      <c r="J161" s="566"/>
      <c r="K161" s="122"/>
      <c r="L161" s="122"/>
      <c r="M161" s="122"/>
      <c r="N161" s="122"/>
      <c r="O161" s="566"/>
      <c r="P161" s="122"/>
      <c r="Q161" s="122"/>
      <c r="R161" s="122"/>
      <c r="S161" s="122"/>
      <c r="T161" s="566"/>
      <c r="U161" s="122"/>
      <c r="V161" s="122"/>
      <c r="W161" s="122"/>
      <c r="X161" s="122"/>
      <c r="Y161" s="566"/>
      <c r="Z161" s="128"/>
      <c r="AA161" s="128"/>
      <c r="AB161" s="128"/>
      <c r="AC161" s="128"/>
      <c r="AD161" s="566"/>
      <c r="AE161" s="128"/>
      <c r="AF161" s="128"/>
      <c r="AG161" s="128"/>
      <c r="AH161" s="128"/>
      <c r="AI161" s="513"/>
      <c r="AJ161" s="85"/>
      <c r="AK161" s="85"/>
      <c r="AL161" s="85"/>
      <c r="AM161" s="85"/>
      <c r="AN161" s="513"/>
      <c r="AO161" s="85"/>
      <c r="AP161" s="85"/>
      <c r="AQ161" s="85"/>
      <c r="AR161" s="364"/>
      <c r="AS161" s="566"/>
      <c r="AT161" s="439"/>
      <c r="AU161" s="439"/>
      <c r="AV161" s="439"/>
      <c r="AW161" s="439"/>
      <c r="AX161" s="568"/>
      <c r="AY161" s="439"/>
      <c r="AZ161" s="439"/>
      <c r="BA161" s="439"/>
      <c r="BB161" s="408"/>
      <c r="BC161" s="568"/>
      <c r="BD161" s="408"/>
      <c r="BE161" s="408"/>
      <c r="BF161" s="408"/>
      <c r="BG161" s="408"/>
      <c r="BH161" s="568"/>
      <c r="BI161" s="408"/>
      <c r="BJ161" s="408"/>
      <c r="BK161" s="408"/>
      <c r="BL161" s="408"/>
      <c r="BM161" s="568"/>
      <c r="BN161" s="408"/>
      <c r="BO161" s="408"/>
      <c r="BP161" s="408"/>
      <c r="BQ161" s="408"/>
      <c r="BR161" s="568"/>
      <c r="BS161" s="408"/>
      <c r="BT161" s="408"/>
      <c r="BU161" s="408"/>
      <c r="BV161" s="408"/>
      <c r="BW161" s="568"/>
      <c r="BX161" s="408"/>
      <c r="BY161" s="408"/>
      <c r="BZ161" s="408"/>
      <c r="CA161" s="408"/>
      <c r="CB161" s="568"/>
      <c r="CC161" s="408"/>
      <c r="CD161" s="408"/>
      <c r="CE161" s="408"/>
      <c r="CF161" s="408"/>
      <c r="CG161" s="568"/>
      <c r="CH161" s="408"/>
      <c r="CI161" s="408"/>
      <c r="CJ161" s="408"/>
      <c r="CK161" s="408"/>
      <c r="CL161" s="568"/>
      <c r="CM161" s="408"/>
      <c r="CN161" s="408"/>
      <c r="CO161" s="408"/>
      <c r="CP161" s="408"/>
      <c r="CQ161" s="568"/>
    </row>
    <row r="162" spans="5:95" hidden="1" x14ac:dyDescent="0.25">
      <c r="E162" s="54" t="s">
        <v>498</v>
      </c>
      <c r="F162" s="566"/>
      <c r="G162" s="566"/>
      <c r="H162" s="566"/>
      <c r="I162" s="566"/>
      <c r="J162" s="566"/>
      <c r="K162" s="122"/>
      <c r="L162" s="122"/>
      <c r="M162" s="122"/>
      <c r="N162" s="122"/>
      <c r="O162" s="566"/>
      <c r="P162" s="122"/>
      <c r="Q162" s="122"/>
      <c r="R162" s="122"/>
      <c r="S162" s="122"/>
      <c r="T162" s="566"/>
      <c r="U162" s="122"/>
      <c r="V162" s="122"/>
      <c r="W162" s="122"/>
      <c r="X162" s="122"/>
      <c r="Y162" s="566"/>
      <c r="Z162" s="128"/>
      <c r="AA162" s="128"/>
      <c r="AB162" s="128"/>
      <c r="AC162" s="128"/>
      <c r="AD162" s="566"/>
      <c r="AE162" s="128"/>
      <c r="AF162" s="128"/>
      <c r="AG162" s="128"/>
      <c r="AH162" s="128"/>
      <c r="AI162" s="513"/>
      <c r="AJ162" s="85"/>
      <c r="AK162" s="85"/>
      <c r="AL162" s="85"/>
      <c r="AM162" s="85"/>
      <c r="AN162" s="513"/>
      <c r="AO162" s="85"/>
      <c r="AP162" s="85"/>
      <c r="AQ162" s="85"/>
      <c r="AR162" s="364"/>
      <c r="AS162" s="566"/>
      <c r="AT162" s="439"/>
      <c r="AU162" s="439"/>
      <c r="AV162" s="439">
        <f>AV163*AV152</f>
        <v>0.65920000000000001</v>
      </c>
      <c r="AW162" s="439">
        <f>AW163*AW152</f>
        <v>-0.61740000000000006</v>
      </c>
      <c r="AX162" s="568"/>
      <c r="AY162" s="439">
        <f>AY163*AY152</f>
        <v>0.23250000000000004</v>
      </c>
      <c r="AZ162" s="439">
        <f>AZ163*AZ152</f>
        <v>-3.4356</v>
      </c>
      <c r="BA162" s="439">
        <f>BA163*BA152</f>
        <v>-0.23039999999999999</v>
      </c>
      <c r="BB162" s="439">
        <f>BB163*BB152</f>
        <v>-0.61109999999999998</v>
      </c>
      <c r="BC162" s="566">
        <f>SUM(AY162:BB162)</f>
        <v>-4.0446</v>
      </c>
      <c r="BD162" s="439">
        <f>BD163*BD152</f>
        <v>-2.3009460000000002</v>
      </c>
      <c r="BE162" s="439">
        <f>BE163*BE152</f>
        <v>-1.1575130000000007</v>
      </c>
      <c r="BF162" s="439">
        <f>BF163*BF152</f>
        <v>-0.72</v>
      </c>
      <c r="BG162" s="439">
        <f>BG163*BG152</f>
        <v>0</v>
      </c>
      <c r="BH162" s="566">
        <f>SUM(BD162:BG162)</f>
        <v>-4.178459000000001</v>
      </c>
      <c r="BI162" s="439">
        <f>BI163*BI152</f>
        <v>0</v>
      </c>
      <c r="BJ162" s="439">
        <f>BJ163*BJ152</f>
        <v>0</v>
      </c>
      <c r="BK162" s="439">
        <f>BK163*BK152</f>
        <v>0</v>
      </c>
      <c r="BL162" s="439">
        <f>BL163*BL152</f>
        <v>0</v>
      </c>
      <c r="BM162" s="566">
        <f>SUM(BI162:BL162)</f>
        <v>0</v>
      </c>
      <c r="BN162" s="439"/>
      <c r="BO162" s="439"/>
      <c r="BP162" s="439"/>
      <c r="BQ162" s="439"/>
      <c r="BR162" s="566"/>
      <c r="BS162" s="439"/>
      <c r="BT162" s="439"/>
      <c r="BU162" s="439"/>
      <c r="BV162" s="439"/>
      <c r="BW162" s="566"/>
      <c r="BX162" s="439"/>
      <c r="BY162" s="439"/>
      <c r="BZ162" s="439"/>
      <c r="CA162" s="439"/>
      <c r="CB162" s="566"/>
      <c r="CC162" s="439"/>
      <c r="CD162" s="439"/>
      <c r="CE162" s="439"/>
      <c r="CF162" s="439"/>
      <c r="CG162" s="566"/>
      <c r="CH162" s="439"/>
      <c r="CI162" s="439"/>
      <c r="CJ162" s="439"/>
      <c r="CK162" s="439"/>
      <c r="CL162" s="566"/>
      <c r="CM162" s="439"/>
      <c r="CN162" s="439"/>
      <c r="CO162" s="439"/>
      <c r="CP162" s="439"/>
      <c r="CQ162" s="566"/>
    </row>
    <row r="163" spans="5:95" ht="13.5" hidden="1" x14ac:dyDescent="0.25">
      <c r="E163" s="365" t="s">
        <v>457</v>
      </c>
      <c r="F163" s="569"/>
      <c r="G163" s="569"/>
      <c r="H163" s="569"/>
      <c r="I163" s="569"/>
      <c r="J163" s="569"/>
      <c r="K163" s="126"/>
      <c r="L163" s="126"/>
      <c r="M163" s="126"/>
      <c r="N163" s="126"/>
      <c r="O163" s="569"/>
      <c r="P163" s="126"/>
      <c r="Q163" s="126"/>
      <c r="R163" s="126"/>
      <c r="S163" s="126"/>
      <c r="T163" s="569"/>
      <c r="U163" s="126"/>
      <c r="V163" s="126"/>
      <c r="W163" s="126"/>
      <c r="X163" s="126"/>
      <c r="Y163" s="569"/>
      <c r="Z163" s="450"/>
      <c r="AA163" s="450"/>
      <c r="AB163" s="450"/>
      <c r="AC163" s="450"/>
      <c r="AD163" s="569"/>
      <c r="AE163" s="450"/>
      <c r="AF163" s="450"/>
      <c r="AG163" s="450"/>
      <c r="AH163" s="450"/>
      <c r="AI163" s="570"/>
      <c r="AJ163" s="91"/>
      <c r="AK163" s="91"/>
      <c r="AL163" s="91"/>
      <c r="AM163" s="91"/>
      <c r="AN163" s="570"/>
      <c r="AO163" s="91"/>
      <c r="AP163" s="91"/>
      <c r="AQ163" s="91"/>
      <c r="AR163" s="451"/>
      <c r="AS163" s="569"/>
      <c r="AT163" s="456"/>
      <c r="AU163" s="456"/>
      <c r="AV163" s="456">
        <v>6.4000000000000001E-2</v>
      </c>
      <c r="AW163" s="456">
        <v>-6.3E-2</v>
      </c>
      <c r="AX163" s="569"/>
      <c r="AY163" s="456">
        <v>2.5000000000000001E-2</v>
      </c>
      <c r="AZ163" s="456">
        <v>-0.40899999999999997</v>
      </c>
      <c r="BA163" s="456">
        <v>-2.4E-2</v>
      </c>
      <c r="BB163" s="456">
        <v>-6.3E-2</v>
      </c>
      <c r="BC163" s="560">
        <f>BC162/BC152</f>
        <v>-0.10931351351351351</v>
      </c>
      <c r="BD163" s="456">
        <v>-1.1579999999999999</v>
      </c>
      <c r="BE163" s="456">
        <v>-1.2070000000000001</v>
      </c>
      <c r="BF163" s="362">
        <v>-1.2</v>
      </c>
      <c r="BG163" s="456">
        <v>0</v>
      </c>
      <c r="BH163" s="560">
        <f>BH162/BH152</f>
        <v>-1.1783584320360971</v>
      </c>
      <c r="BI163" s="456">
        <v>0</v>
      </c>
      <c r="BJ163" s="456">
        <v>0</v>
      </c>
      <c r="BK163" s="456">
        <v>0</v>
      </c>
      <c r="BL163" s="456">
        <v>0</v>
      </c>
      <c r="BM163" s="581" t="s">
        <v>490</v>
      </c>
      <c r="BN163" s="453"/>
      <c r="BO163" s="453"/>
      <c r="BP163" s="453"/>
      <c r="BQ163" s="453"/>
      <c r="BR163" s="581"/>
      <c r="BS163" s="183"/>
      <c r="BT163" s="183"/>
      <c r="BU163" s="183"/>
      <c r="BV163" s="183"/>
      <c r="BW163" s="581"/>
      <c r="BX163" s="183"/>
      <c r="BY163" s="183"/>
      <c r="BZ163" s="183"/>
      <c r="CA163" s="183"/>
      <c r="CB163" s="560"/>
      <c r="CC163" s="183"/>
      <c r="CD163" s="183"/>
      <c r="CE163" s="183"/>
      <c r="CF163" s="183"/>
      <c r="CG163" s="560"/>
      <c r="CH163" s="183"/>
      <c r="CI163" s="183"/>
      <c r="CJ163" s="183"/>
      <c r="CK163" s="183"/>
      <c r="CL163" s="560"/>
      <c r="CM163" s="183"/>
      <c r="CN163" s="183"/>
      <c r="CO163" s="183"/>
      <c r="CP163" s="183"/>
      <c r="CQ163" s="643"/>
    </row>
    <row r="164" spans="5:95" hidden="1" x14ac:dyDescent="0.25">
      <c r="E164" s="54" t="s">
        <v>499</v>
      </c>
      <c r="F164" s="566"/>
      <c r="G164" s="566"/>
      <c r="H164" s="566"/>
      <c r="I164" s="566"/>
      <c r="J164" s="566"/>
      <c r="K164" s="122"/>
      <c r="L164" s="122"/>
      <c r="M164" s="122"/>
      <c r="N164" s="122"/>
      <c r="O164" s="566"/>
      <c r="P164" s="122"/>
      <c r="Q164" s="122"/>
      <c r="R164" s="122"/>
      <c r="S164" s="122"/>
      <c r="T164" s="566"/>
      <c r="U164" s="122"/>
      <c r="V164" s="122"/>
      <c r="W164" s="122"/>
      <c r="X164" s="122"/>
      <c r="Y164" s="566"/>
      <c r="Z164" s="128"/>
      <c r="AA164" s="128"/>
      <c r="AB164" s="128"/>
      <c r="AC164" s="128"/>
      <c r="AD164" s="566"/>
      <c r="AE164" s="128"/>
      <c r="AF164" s="128"/>
      <c r="AG164" s="128"/>
      <c r="AH164" s="128"/>
      <c r="AI164" s="513"/>
      <c r="AJ164" s="85"/>
      <c r="AK164" s="85"/>
      <c r="AL164" s="85"/>
      <c r="AM164" s="85"/>
      <c r="AN164" s="513"/>
      <c r="AO164" s="85"/>
      <c r="AP164" s="85"/>
      <c r="AQ164" s="85"/>
      <c r="AR164" s="364"/>
      <c r="AS164" s="566"/>
      <c r="AT164" s="445"/>
      <c r="AU164" s="445"/>
      <c r="AV164" s="439">
        <f>AV165*AV154</f>
        <v>-0.41781600000000002</v>
      </c>
      <c r="AW164" s="439">
        <f>AW165*AW154</f>
        <v>-0.42987999999999993</v>
      </c>
      <c r="AX164" s="566"/>
      <c r="AY164" s="439">
        <f>AY165*AY154</f>
        <v>-0.79151800000000005</v>
      </c>
      <c r="AZ164" s="439">
        <f>AZ165*AZ154</f>
        <v>0.77859599999999995</v>
      </c>
      <c r="BA164" s="439">
        <f>BA165*BA154</f>
        <v>-0.30631400000000003</v>
      </c>
      <c r="BB164" s="439">
        <f>BB165*BB154</f>
        <v>6.5650000000000014E-3</v>
      </c>
      <c r="BC164" s="566">
        <f>SUM(AY164:BB164)</f>
        <v>-0.31267100000000014</v>
      </c>
      <c r="BD164" s="439">
        <f>BD165*BD154</f>
        <v>0.3795</v>
      </c>
      <c r="BE164" s="439">
        <f>BE165*BE154</f>
        <v>0.63544500000000004</v>
      </c>
      <c r="BF164" s="439">
        <f>BF165*BF154</f>
        <v>0.21576000000000001</v>
      </c>
      <c r="BG164" s="439">
        <f>BG166-BG162</f>
        <v>-1.0900000000000001</v>
      </c>
      <c r="BH164" s="566">
        <f>SUM(BD164:BG164)</f>
        <v>0.14070499999999986</v>
      </c>
      <c r="BI164" s="439">
        <f>BI165*BI154</f>
        <v>0.61302000000000012</v>
      </c>
      <c r="BJ164" s="439">
        <f>BJ165*BJ154</f>
        <v>0.20385600000000001</v>
      </c>
      <c r="BK164" s="439">
        <f>BK165*BK154</f>
        <v>0.49204799999999999</v>
      </c>
      <c r="BL164" s="439">
        <f>BL165*BL154</f>
        <v>0.5619900000000001</v>
      </c>
      <c r="BM164" s="566">
        <f>SUM(BI164:BL164)</f>
        <v>1.8709140000000004</v>
      </c>
      <c r="BN164" s="439"/>
      <c r="BO164" s="439"/>
      <c r="BP164" s="439"/>
      <c r="BQ164" s="439"/>
      <c r="BR164" s="566"/>
      <c r="BS164" s="439"/>
      <c r="BT164" s="439"/>
      <c r="BU164" s="439"/>
      <c r="BV164" s="439"/>
      <c r="BW164" s="566"/>
      <c r="BX164" s="439"/>
      <c r="BY164" s="439"/>
      <c r="BZ164" s="439"/>
      <c r="CA164" s="439"/>
      <c r="CB164" s="566"/>
      <c r="CC164" s="439"/>
      <c r="CD164" s="439"/>
      <c r="CE164" s="439"/>
      <c r="CF164" s="439"/>
      <c r="CG164" s="566"/>
      <c r="CH164" s="439"/>
      <c r="CI164" s="439"/>
      <c r="CJ164" s="439"/>
      <c r="CK164" s="439"/>
      <c r="CL164" s="566"/>
      <c r="CM164" s="439"/>
      <c r="CN164" s="439"/>
      <c r="CO164" s="439"/>
      <c r="CP164" s="439"/>
      <c r="CQ164" s="566"/>
    </row>
    <row r="165" spans="5:95" ht="13.5" hidden="1" x14ac:dyDescent="0.25">
      <c r="E165" s="365" t="s">
        <v>460</v>
      </c>
      <c r="F165" s="569"/>
      <c r="G165" s="569"/>
      <c r="H165" s="569"/>
      <c r="I165" s="569"/>
      <c r="J165" s="569"/>
      <c r="K165" s="126"/>
      <c r="L165" s="126"/>
      <c r="M165" s="126"/>
      <c r="N165" s="126"/>
      <c r="O165" s="569"/>
      <c r="P165" s="126"/>
      <c r="Q165" s="126"/>
      <c r="R165" s="126"/>
      <c r="S165" s="126"/>
      <c r="T165" s="569"/>
      <c r="U165" s="126"/>
      <c r="V165" s="126"/>
      <c r="W165" s="126"/>
      <c r="X165" s="126"/>
      <c r="Y165" s="569"/>
      <c r="Z165" s="450"/>
      <c r="AA165" s="450"/>
      <c r="AB165" s="450"/>
      <c r="AC165" s="450"/>
      <c r="AD165" s="569"/>
      <c r="AE165" s="450"/>
      <c r="AF165" s="450"/>
      <c r="AG165" s="450"/>
      <c r="AH165" s="450"/>
      <c r="AI165" s="570"/>
      <c r="AJ165" s="91"/>
      <c r="AK165" s="91"/>
      <c r="AL165" s="91"/>
      <c r="AM165" s="91"/>
      <c r="AN165" s="570"/>
      <c r="AO165" s="91"/>
      <c r="AP165" s="91"/>
      <c r="AQ165" s="91"/>
      <c r="AR165" s="451"/>
      <c r="AS165" s="569"/>
      <c r="AT165" s="456"/>
      <c r="AU165" s="456"/>
      <c r="AV165" s="456">
        <v>-4.2000000000000003E-2</v>
      </c>
      <c r="AW165" s="456">
        <v>-4.3999999999999997E-2</v>
      </c>
      <c r="AX165" s="569"/>
      <c r="AY165" s="456">
        <v>-9.0999999999999998E-2</v>
      </c>
      <c r="AZ165" s="456">
        <v>9.1999999999999998E-2</v>
      </c>
      <c r="BA165" s="456">
        <v>-4.5999999999999999E-2</v>
      </c>
      <c r="BB165" s="456">
        <v>1E-3</v>
      </c>
      <c r="BC165" s="560">
        <f>BC164/BC154</f>
        <v>-1.0290307717623832E-2</v>
      </c>
      <c r="BD165" s="456">
        <v>5.5E-2</v>
      </c>
      <c r="BE165" s="456">
        <v>8.1000000000000003E-2</v>
      </c>
      <c r="BF165" s="362">
        <v>2.9000000000000001E-2</v>
      </c>
      <c r="BG165" s="365">
        <f>BG164/BG154</f>
        <v>-0.11572353753052342</v>
      </c>
      <c r="BH165" s="560">
        <f>BH164/BH154</f>
        <v>4.4521263131249156E-3</v>
      </c>
      <c r="BI165" s="456">
        <v>6.8000000000000005E-2</v>
      </c>
      <c r="BJ165" s="456">
        <v>2.4E-2</v>
      </c>
      <c r="BK165" s="456">
        <v>5.3999999999999999E-2</v>
      </c>
      <c r="BL165" s="456">
        <v>6.5000000000000002E-2</v>
      </c>
      <c r="BM165" s="560">
        <f>BM164/BM154</f>
        <v>5.3049990075708174E-2</v>
      </c>
      <c r="BN165" s="453"/>
      <c r="BO165" s="453"/>
      <c r="BP165" s="453"/>
      <c r="BQ165" s="453"/>
      <c r="BR165" s="560"/>
      <c r="BS165" s="183"/>
      <c r="BT165" s="183"/>
      <c r="BU165" s="183"/>
      <c r="BV165" s="183"/>
      <c r="BW165" s="581"/>
      <c r="BX165" s="183"/>
      <c r="BY165" s="183"/>
      <c r="BZ165" s="183"/>
      <c r="CA165" s="183"/>
      <c r="CB165" s="560"/>
      <c r="CC165" s="183"/>
      <c r="CD165" s="183"/>
      <c r="CE165" s="183"/>
      <c r="CF165" s="183"/>
      <c r="CG165" s="560"/>
      <c r="CH165" s="183"/>
      <c r="CI165" s="183"/>
      <c r="CJ165" s="183"/>
      <c r="CK165" s="183"/>
      <c r="CL165" s="560"/>
      <c r="CM165" s="183"/>
      <c r="CN165" s="183"/>
      <c r="CO165" s="183"/>
      <c r="CP165" s="183"/>
      <c r="CQ165" s="643"/>
    </row>
    <row r="166" spans="5:95" ht="13.5" hidden="1" x14ac:dyDescent="0.25">
      <c r="E166" s="444" t="s">
        <v>458</v>
      </c>
      <c r="F166" s="540"/>
      <c r="G166" s="540"/>
      <c r="H166" s="540"/>
      <c r="I166" s="540"/>
      <c r="J166" s="540"/>
      <c r="K166" s="173"/>
      <c r="L166" s="173"/>
      <c r="M166" s="173"/>
      <c r="N166" s="173"/>
      <c r="O166" s="540"/>
      <c r="P166" s="173"/>
      <c r="Q166" s="173"/>
      <c r="R166" s="173"/>
      <c r="S166" s="173"/>
      <c r="T166" s="540"/>
      <c r="U166" s="173"/>
      <c r="V166" s="173"/>
      <c r="W166" s="173"/>
      <c r="X166" s="173"/>
      <c r="Y166" s="540"/>
      <c r="Z166" s="457"/>
      <c r="AA166" s="457"/>
      <c r="AB166" s="457"/>
      <c r="AC166" s="457"/>
      <c r="AD166" s="540"/>
      <c r="AE166" s="457"/>
      <c r="AF166" s="457"/>
      <c r="AG166" s="457"/>
      <c r="AH166" s="457"/>
      <c r="AI166" s="545"/>
      <c r="AJ166" s="87"/>
      <c r="AK166" s="87"/>
      <c r="AL166" s="87"/>
      <c r="AM166" s="87"/>
      <c r="AN166" s="545"/>
      <c r="AO166" s="87"/>
      <c r="AP166" s="87"/>
      <c r="AQ166" s="87"/>
      <c r="AR166" s="458"/>
      <c r="AS166" s="540"/>
      <c r="AT166" s="460">
        <v>-0.61399999999999999</v>
      </c>
      <c r="AU166" s="460">
        <v>-0.83799999999999997</v>
      </c>
      <c r="AV166" s="460">
        <v>0.253</v>
      </c>
      <c r="AW166" s="460">
        <v>-1.073</v>
      </c>
      <c r="AX166" s="536">
        <f>SUM(AT166:AW166)</f>
        <v>-2.2719999999999998</v>
      </c>
      <c r="AY166" s="460">
        <v>-0.55900000000000005</v>
      </c>
      <c r="AZ166" s="460">
        <v>-2.653</v>
      </c>
      <c r="BA166" s="460">
        <v>-0.53300000000000003</v>
      </c>
      <c r="BB166" s="460">
        <v>-1.0589999999999999</v>
      </c>
      <c r="BC166" s="536">
        <f>SUM(AY166:BB166)</f>
        <v>-4.8040000000000003</v>
      </c>
      <c r="BD166" s="460">
        <v>-1.95</v>
      </c>
      <c r="BE166" s="460">
        <v>-0.54200000000000004</v>
      </c>
      <c r="BF166" s="460">
        <v>-1.036</v>
      </c>
      <c r="BG166" s="460">
        <v>-1.0900000000000001</v>
      </c>
      <c r="BH166" s="536">
        <f>SUM(BD166:BG166)</f>
        <v>-4.6180000000000003</v>
      </c>
      <c r="BI166" s="460">
        <v>0.65400000000000003</v>
      </c>
      <c r="BJ166" s="460">
        <v>0.223</v>
      </c>
      <c r="BK166" s="460">
        <v>0.5</v>
      </c>
      <c r="BL166" s="460">
        <v>0.56399999999999995</v>
      </c>
      <c r="BM166" s="536">
        <f>SUM(BI166:BL166)</f>
        <v>1.9409999999999998</v>
      </c>
      <c r="BN166" s="87"/>
      <c r="BO166" s="87"/>
      <c r="BP166" s="87"/>
      <c r="BQ166" s="87"/>
      <c r="BR166" s="536"/>
      <c r="BS166" s="87"/>
      <c r="BT166" s="87"/>
      <c r="BU166" s="87"/>
      <c r="BV166" s="87"/>
      <c r="BW166" s="536"/>
      <c r="BX166" s="87"/>
      <c r="BY166" s="87"/>
      <c r="BZ166" s="87"/>
      <c r="CA166" s="87"/>
      <c r="CB166" s="536"/>
      <c r="CC166" s="87"/>
      <c r="CD166" s="87"/>
      <c r="CE166" s="87"/>
      <c r="CF166" s="87"/>
      <c r="CG166" s="536"/>
      <c r="CH166" s="87"/>
      <c r="CI166" s="87"/>
      <c r="CJ166" s="87"/>
      <c r="CK166" s="87"/>
      <c r="CL166" s="536"/>
      <c r="CM166" s="87"/>
      <c r="CN166" s="87"/>
      <c r="CO166" s="87"/>
      <c r="CP166" s="87"/>
      <c r="CQ166" s="642"/>
    </row>
    <row r="167" spans="5:95" ht="13.5" hidden="1" x14ac:dyDescent="0.25">
      <c r="E167" s="365" t="s">
        <v>91</v>
      </c>
      <c r="F167" s="569"/>
      <c r="G167" s="569"/>
      <c r="H167" s="569"/>
      <c r="I167" s="569"/>
      <c r="J167" s="569"/>
      <c r="K167" s="126"/>
      <c r="L167" s="126"/>
      <c r="M167" s="126"/>
      <c r="N167" s="126"/>
      <c r="O167" s="569"/>
      <c r="P167" s="126"/>
      <c r="Q167" s="126"/>
      <c r="R167" s="126"/>
      <c r="S167" s="126"/>
      <c r="T167" s="569"/>
      <c r="U167" s="126"/>
      <c r="V167" s="126"/>
      <c r="W167" s="126"/>
      <c r="X167" s="126"/>
      <c r="Y167" s="569"/>
      <c r="Z167" s="450"/>
      <c r="AA167" s="450"/>
      <c r="AB167" s="450"/>
      <c r="AC167" s="450"/>
      <c r="AD167" s="569"/>
      <c r="AE167" s="450"/>
      <c r="AF167" s="450"/>
      <c r="AG167" s="450"/>
      <c r="AH167" s="450"/>
      <c r="AI167" s="570"/>
      <c r="AJ167" s="91"/>
      <c r="AK167" s="91"/>
      <c r="AL167" s="91"/>
      <c r="AM167" s="91"/>
      <c r="AN167" s="570"/>
      <c r="AO167" s="91"/>
      <c r="AP167" s="91"/>
      <c r="AQ167" s="91"/>
      <c r="AR167" s="451"/>
      <c r="AS167" s="569"/>
      <c r="AT167" s="365">
        <f t="shared" ref="AT167:BM167" si="36">AT166/AT156</f>
        <v>-3.524886618060738E-2</v>
      </c>
      <c r="AU167" s="365">
        <f t="shared" si="36"/>
        <v>-4.7128957876384908E-2</v>
      </c>
      <c r="AV167" s="365">
        <f t="shared" si="36"/>
        <v>1.2495061240616357E-2</v>
      </c>
      <c r="AW167" s="365">
        <f t="shared" si="36"/>
        <v>-5.4828819621870209E-2</v>
      </c>
      <c r="AX167" s="560">
        <f t="shared" si="36"/>
        <v>-3.0286064677810656E-2</v>
      </c>
      <c r="AY167" s="365">
        <f t="shared" si="36"/>
        <v>-3.1059006556284033E-2</v>
      </c>
      <c r="AZ167" s="365">
        <f t="shared" si="36"/>
        <v>-0.15732669157326692</v>
      </c>
      <c r="BA167" s="365">
        <f t="shared" si="36"/>
        <v>-3.2781843901838983E-2</v>
      </c>
      <c r="BB167" s="365">
        <f t="shared" si="36"/>
        <v>-6.5109130033814938E-2</v>
      </c>
      <c r="BC167" s="583">
        <f t="shared" si="36"/>
        <v>-7.1291830526081471E-2</v>
      </c>
      <c r="BD167" s="365">
        <f t="shared" si="36"/>
        <v>-0.21942162709575783</v>
      </c>
      <c r="BE167" s="365">
        <f t="shared" si="36"/>
        <v>-6.1562925942753297E-2</v>
      </c>
      <c r="BF167" s="365">
        <f t="shared" si="36"/>
        <v>-0.12885572139303483</v>
      </c>
      <c r="BG167" s="365">
        <f t="shared" si="36"/>
        <v>-0.11572353753052342</v>
      </c>
      <c r="BH167" s="560">
        <f t="shared" si="36"/>
        <v>-0.13137980085348505</v>
      </c>
      <c r="BI167" s="365">
        <f t="shared" si="36"/>
        <v>7.2545757071547423E-2</v>
      </c>
      <c r="BJ167" s="365">
        <f t="shared" si="36"/>
        <v>2.6253826230280199E-2</v>
      </c>
      <c r="BK167" s="365">
        <f t="shared" si="36"/>
        <v>5.4872695346795432E-2</v>
      </c>
      <c r="BL167" s="365">
        <f t="shared" si="36"/>
        <v>6.5232477446217893E-2</v>
      </c>
      <c r="BM167" s="560">
        <f t="shared" si="36"/>
        <v>5.5037286982164618E-2</v>
      </c>
      <c r="BN167" s="365"/>
      <c r="BO167" s="475"/>
      <c r="BP167" s="475"/>
      <c r="BQ167" s="475"/>
      <c r="BR167" s="560"/>
      <c r="BS167" s="475"/>
      <c r="BT167" s="475"/>
      <c r="BU167" s="475"/>
      <c r="BV167" s="475"/>
      <c r="BW167" s="581"/>
      <c r="BX167" s="365"/>
      <c r="BY167" s="365"/>
      <c r="BZ167" s="365"/>
      <c r="CA167" s="365"/>
      <c r="CB167" s="560"/>
      <c r="CC167" s="365"/>
      <c r="CD167" s="365"/>
      <c r="CE167" s="365"/>
      <c r="CF167" s="365"/>
      <c r="CG167" s="560"/>
      <c r="CH167" s="365"/>
      <c r="CI167" s="365"/>
      <c r="CJ167" s="365"/>
      <c r="CK167" s="365"/>
      <c r="CL167" s="560"/>
      <c r="CM167" s="365"/>
      <c r="CN167" s="365"/>
      <c r="CO167" s="365"/>
      <c r="CP167" s="365"/>
      <c r="CQ167" s="643"/>
    </row>
    <row r="168" spans="5:95" hidden="1" x14ac:dyDescent="0.25">
      <c r="E168" s="54"/>
      <c r="F168" s="566"/>
      <c r="G168" s="566"/>
      <c r="H168" s="566"/>
      <c r="I168" s="566"/>
      <c r="J168" s="566"/>
      <c r="K168" s="122"/>
      <c r="L168" s="122"/>
      <c r="M168" s="122"/>
      <c r="N168" s="122"/>
      <c r="O168" s="566"/>
      <c r="P168" s="122"/>
      <c r="Q168" s="122"/>
      <c r="R168" s="122"/>
      <c r="S168" s="122"/>
      <c r="T168" s="566"/>
      <c r="U168" s="122"/>
      <c r="V168" s="122"/>
      <c r="W168" s="122"/>
      <c r="X168" s="122"/>
      <c r="Y168" s="566"/>
      <c r="Z168" s="128"/>
      <c r="AA168" s="128"/>
      <c r="AB168" s="128"/>
      <c r="AC168" s="128"/>
      <c r="AD168" s="566"/>
      <c r="AE168" s="128"/>
      <c r="AF168" s="128"/>
      <c r="AG168" s="128"/>
      <c r="AH168" s="128"/>
      <c r="AI168" s="513"/>
      <c r="AJ168" s="85"/>
      <c r="AK168" s="85"/>
      <c r="AL168" s="85"/>
      <c r="AM168" s="85"/>
      <c r="AN168" s="513"/>
      <c r="AO168" s="85"/>
      <c r="AP168" s="85"/>
      <c r="AQ168" s="85"/>
      <c r="AR168" s="364"/>
      <c r="AS168" s="566"/>
      <c r="AT168" s="439"/>
      <c r="AU168" s="439"/>
      <c r="AV168" s="439"/>
      <c r="AW168" s="439"/>
      <c r="AX168" s="568"/>
      <c r="AY168" s="439"/>
      <c r="AZ168" s="439"/>
      <c r="BA168" s="439"/>
      <c r="BB168" s="408"/>
      <c r="BC168" s="568"/>
      <c r="BD168" s="408"/>
      <c r="BE168" s="408"/>
      <c r="BF168" s="408"/>
      <c r="BG168" s="408"/>
      <c r="BH168" s="568"/>
      <c r="BI168" s="408"/>
      <c r="BJ168" s="408"/>
      <c r="BK168" s="408"/>
      <c r="BL168" s="408"/>
      <c r="BM168" s="568"/>
      <c r="BN168" s="408"/>
      <c r="BO168" s="408"/>
      <c r="BP168" s="408"/>
      <c r="BQ168" s="408"/>
      <c r="BR168" s="568"/>
      <c r="BS168" s="408"/>
      <c r="BT168" s="408"/>
      <c r="BU168" s="408"/>
      <c r="BV168" s="408"/>
      <c r="BW168" s="568"/>
      <c r="BX168" s="408"/>
      <c r="BY168" s="408"/>
      <c r="BZ168" s="408"/>
      <c r="CA168" s="408"/>
      <c r="CB168" s="568"/>
      <c r="CC168" s="408"/>
      <c r="CD168" s="408"/>
      <c r="CE168" s="408"/>
      <c r="CF168" s="408"/>
      <c r="CG168" s="568"/>
      <c r="CH168" s="408"/>
      <c r="CI168" s="408"/>
      <c r="CJ168" s="408"/>
      <c r="CK168" s="408"/>
      <c r="CL168" s="568"/>
      <c r="CM168" s="408"/>
      <c r="CN168" s="408"/>
      <c r="CO168" s="408"/>
      <c r="CP168" s="408"/>
      <c r="CQ168" s="568"/>
    </row>
    <row r="169" spans="5:95" hidden="1" x14ac:dyDescent="0.25">
      <c r="E169" s="54" t="s">
        <v>496</v>
      </c>
      <c r="F169" s="566"/>
      <c r="G169" s="566"/>
      <c r="H169" s="566"/>
      <c r="I169" s="566"/>
      <c r="J169" s="566"/>
      <c r="K169" s="122"/>
      <c r="L169" s="122"/>
      <c r="M169" s="122"/>
      <c r="N169" s="122"/>
      <c r="O169" s="566"/>
      <c r="P169" s="122"/>
      <c r="Q169" s="122"/>
      <c r="R169" s="122"/>
      <c r="S169" s="122"/>
      <c r="T169" s="566"/>
      <c r="U169" s="122"/>
      <c r="V169" s="122"/>
      <c r="W169" s="122"/>
      <c r="X169" s="122"/>
      <c r="Y169" s="566"/>
      <c r="Z169" s="128"/>
      <c r="AA169" s="128"/>
      <c r="AB169" s="128"/>
      <c r="AC169" s="128"/>
      <c r="AD169" s="566"/>
      <c r="AE169" s="128"/>
      <c r="AF169" s="128"/>
      <c r="AG169" s="128"/>
      <c r="AH169" s="128"/>
      <c r="AI169" s="513"/>
      <c r="AJ169" s="85"/>
      <c r="AK169" s="85"/>
      <c r="AL169" s="85"/>
      <c r="AM169" s="85"/>
      <c r="AN169" s="513"/>
      <c r="AO169" s="85"/>
      <c r="AP169" s="85"/>
      <c r="AQ169" s="85"/>
      <c r="AR169" s="364"/>
      <c r="AS169" s="566"/>
      <c r="AT169" s="439"/>
      <c r="AU169" s="439"/>
      <c r="AV169" s="439">
        <f>AV170*AV$142</f>
        <v>20.077200000000001</v>
      </c>
      <c r="AW169" s="439">
        <f>AW170*AW$142</f>
        <v>29.201999999999998</v>
      </c>
      <c r="AX169" s="566"/>
      <c r="AY169" s="85">
        <f>AY170*AY$142</f>
        <v>23.058399999999999</v>
      </c>
      <c r="AZ169" s="85">
        <f>AZ170*AZ$142</f>
        <v>29.376300000000001</v>
      </c>
      <c r="BA169" s="85">
        <f>BA170*BA$142</f>
        <v>21.784499999999998</v>
      </c>
      <c r="BB169" s="85">
        <f>BB170*BB$142</f>
        <v>28.696000000000005</v>
      </c>
      <c r="BC169" s="566"/>
      <c r="BD169" s="85">
        <f>BD170*BD$142</f>
        <v>21.645</v>
      </c>
      <c r="BE169" s="439">
        <f>BE170*BE$142</f>
        <v>22.923000000000002</v>
      </c>
      <c r="BF169" s="439">
        <f>BF170*BF$142</f>
        <v>20.172699999999999</v>
      </c>
      <c r="BG169" s="439">
        <f>BG170*BG$142</f>
        <v>19.522800000000004</v>
      </c>
      <c r="BH169" s="566">
        <f>SUM(BD169:BG169)</f>
        <v>84.263500000000008</v>
      </c>
      <c r="BI169" s="439">
        <f>BI170*BI$142</f>
        <v>16.830200000000001</v>
      </c>
      <c r="BJ169" s="439">
        <f>BJ170*BJ$142</f>
        <v>17.101260000000003</v>
      </c>
      <c r="BK169" s="439">
        <f>BK170*BK$142</f>
        <v>20.043225000000003</v>
      </c>
      <c r="BL169" s="439">
        <f>BL170*BL$142</f>
        <v>24.257940000000001</v>
      </c>
      <c r="BM169" s="566">
        <f>SUM(BI169:BL169)</f>
        <v>78.232625000000013</v>
      </c>
      <c r="BN169" s="439">
        <f>BN170*BN$142</f>
        <v>13.4475</v>
      </c>
      <c r="BO169" s="439">
        <f>BO170*BO$142</f>
        <v>9.7569999999999997</v>
      </c>
      <c r="BP169" s="439">
        <f>BP170*BP$142</f>
        <v>13.531319999999999</v>
      </c>
      <c r="BQ169" s="439">
        <f>BQ170*BQ$142</f>
        <v>16.677</v>
      </c>
      <c r="BR169" s="566">
        <f>SUM(BN169:BQ169)</f>
        <v>53.412819999999996</v>
      </c>
      <c r="BS169" s="439"/>
      <c r="BT169" s="439"/>
      <c r="BU169" s="439"/>
      <c r="BV169" s="439"/>
      <c r="BW169" s="566"/>
      <c r="BX169" s="439"/>
      <c r="BY169" s="439"/>
      <c r="BZ169" s="439"/>
      <c r="CA169" s="439"/>
      <c r="CB169" s="566"/>
      <c r="CC169" s="439"/>
      <c r="CD169" s="439"/>
      <c r="CE169" s="439"/>
      <c r="CF169" s="439"/>
      <c r="CG169" s="566"/>
      <c r="CH169" s="439"/>
      <c r="CI169" s="439"/>
      <c r="CJ169" s="439"/>
      <c r="CK169" s="439"/>
      <c r="CL169" s="566"/>
      <c r="CM169" s="439"/>
      <c r="CN169" s="439"/>
      <c r="CO169" s="439"/>
      <c r="CP169" s="439"/>
      <c r="CQ169" s="566"/>
    </row>
    <row r="170" spans="5:95" ht="13.5" hidden="1" x14ac:dyDescent="0.3">
      <c r="E170" s="365" t="s">
        <v>457</v>
      </c>
      <c r="F170" s="566"/>
      <c r="G170" s="566"/>
      <c r="H170" s="566"/>
      <c r="I170" s="566"/>
      <c r="J170" s="566"/>
      <c r="K170" s="122"/>
      <c r="L170" s="122"/>
      <c r="M170" s="122"/>
      <c r="N170" s="122"/>
      <c r="O170" s="566"/>
      <c r="P170" s="122"/>
      <c r="Q170" s="122"/>
      <c r="R170" s="122"/>
      <c r="S170" s="122"/>
      <c r="T170" s="566"/>
      <c r="U170" s="122"/>
      <c r="V170" s="122"/>
      <c r="W170" s="122"/>
      <c r="X170" s="122"/>
      <c r="Y170" s="566"/>
      <c r="Z170" s="128"/>
      <c r="AA170" s="128"/>
      <c r="AB170" s="128"/>
      <c r="AC170" s="128"/>
      <c r="AD170" s="566"/>
      <c r="AE170" s="128"/>
      <c r="AF170" s="128"/>
      <c r="AG170" s="128"/>
      <c r="AH170" s="128"/>
      <c r="AI170" s="513"/>
      <c r="AJ170" s="85"/>
      <c r="AK170" s="85"/>
      <c r="AL170" s="85"/>
      <c r="AM170" s="85"/>
      <c r="AN170" s="570"/>
      <c r="AO170" s="85"/>
      <c r="AP170" s="85"/>
      <c r="AQ170" s="85"/>
      <c r="AR170" s="364"/>
      <c r="AS170" s="569"/>
      <c r="AT170" s="456"/>
      <c r="AU170" s="456"/>
      <c r="AV170" s="456">
        <v>0.13200000000000001</v>
      </c>
      <c r="AW170" s="456">
        <v>0.186</v>
      </c>
      <c r="AX170" s="569"/>
      <c r="AY170" s="456">
        <v>0.14799999999999999</v>
      </c>
      <c r="AZ170" s="456">
        <v>0.18099999999999999</v>
      </c>
      <c r="BA170" s="456">
        <v>0.14099999999999999</v>
      </c>
      <c r="BB170" s="456">
        <v>0.17</v>
      </c>
      <c r="BC170" s="569"/>
      <c r="BD170" s="456">
        <v>0.13</v>
      </c>
      <c r="BE170" s="456">
        <v>0.13500000000000001</v>
      </c>
      <c r="BF170" s="362">
        <v>0.122</v>
      </c>
      <c r="BG170" s="362">
        <v>0.11600000000000001</v>
      </c>
      <c r="BH170" s="560">
        <f>BH169/BH142</f>
        <v>0.12577580416448988</v>
      </c>
      <c r="BI170" s="456">
        <v>0.10299999999999999</v>
      </c>
      <c r="BJ170" s="456">
        <v>9.9000000000000005E-2</v>
      </c>
      <c r="BK170" s="456">
        <v>0.1145</v>
      </c>
      <c r="BL170" s="456">
        <v>0.1338</v>
      </c>
      <c r="BM170" s="560">
        <f>BM169/BM142</f>
        <v>0.11297293101705441</v>
      </c>
      <c r="BN170" s="456">
        <v>8.2500000000000004E-2</v>
      </c>
      <c r="BO170" s="456">
        <v>5.5E-2</v>
      </c>
      <c r="BP170" s="456">
        <v>7.3700000000000002E-2</v>
      </c>
      <c r="BQ170" s="481">
        <v>0.09</v>
      </c>
      <c r="BR170" s="560">
        <f>BR169/BR142</f>
        <v>7.5303566896940649E-2</v>
      </c>
      <c r="BS170" s="453"/>
      <c r="BT170" s="453"/>
      <c r="BU170" s="453"/>
      <c r="BV170" s="453"/>
      <c r="BW170" s="560"/>
      <c r="BX170" s="453"/>
      <c r="BY170" s="453"/>
      <c r="BZ170" s="453"/>
      <c r="CA170" s="453"/>
      <c r="CB170" s="560"/>
      <c r="CC170" s="183"/>
      <c r="CD170" s="183"/>
      <c r="CE170" s="183"/>
      <c r="CF170" s="183"/>
      <c r="CG170" s="560"/>
      <c r="CH170" s="183"/>
      <c r="CI170" s="183"/>
      <c r="CJ170" s="183"/>
      <c r="CK170" s="183"/>
      <c r="CL170" s="560"/>
      <c r="CM170" s="183"/>
      <c r="CN170" s="183"/>
      <c r="CO170" s="183"/>
      <c r="CP170" s="183"/>
      <c r="CQ170" s="643"/>
    </row>
    <row r="171" spans="5:95" hidden="1" x14ac:dyDescent="0.25">
      <c r="E171" s="54" t="s">
        <v>497</v>
      </c>
      <c r="F171" s="566"/>
      <c r="G171" s="566"/>
      <c r="H171" s="566"/>
      <c r="I171" s="566"/>
      <c r="J171" s="566"/>
      <c r="K171" s="122"/>
      <c r="L171" s="122"/>
      <c r="M171" s="122"/>
      <c r="N171" s="122"/>
      <c r="O171" s="566"/>
      <c r="P171" s="122"/>
      <c r="Q171" s="122"/>
      <c r="R171" s="122"/>
      <c r="S171" s="122"/>
      <c r="T171" s="566"/>
      <c r="U171" s="122"/>
      <c r="V171" s="122"/>
      <c r="W171" s="122"/>
      <c r="X171" s="122"/>
      <c r="Y171" s="566"/>
      <c r="Z171" s="128"/>
      <c r="AA171" s="128"/>
      <c r="AB171" s="128"/>
      <c r="AC171" s="128"/>
      <c r="AD171" s="566"/>
      <c r="AE171" s="128"/>
      <c r="AF171" s="128"/>
      <c r="AG171" s="128"/>
      <c r="AH171" s="128"/>
      <c r="AI171" s="513"/>
      <c r="AJ171" s="85"/>
      <c r="AK171" s="85"/>
      <c r="AL171" s="85"/>
      <c r="AM171" s="85"/>
      <c r="AN171" s="513"/>
      <c r="AO171" s="85"/>
      <c r="AP171" s="85"/>
      <c r="AQ171" s="85"/>
      <c r="AR171" s="364"/>
      <c r="AS171" s="566"/>
      <c r="AT171" s="445"/>
      <c r="AU171" s="445"/>
      <c r="AV171" s="439">
        <f>AV172*AV144</f>
        <v>1.3162680000000004</v>
      </c>
      <c r="AW171" s="439">
        <f>AW172*AW144</f>
        <v>7.1809999999999999E-2</v>
      </c>
      <c r="AX171" s="566"/>
      <c r="AY171" s="439">
        <f>AY172*AY144</f>
        <v>-5.8683959999999997</v>
      </c>
      <c r="AZ171" s="439">
        <f>AZ172*AZ144</f>
        <v>-2.3489899999999992</v>
      </c>
      <c r="BA171" s="439">
        <f>BA172*BA144</f>
        <v>-0.32961000000000013</v>
      </c>
      <c r="BB171" s="439">
        <f>BB172*BB144</f>
        <v>1.3147999999999997</v>
      </c>
      <c r="BC171" s="566"/>
      <c r="BD171" s="439">
        <f>BD172*BD144</f>
        <v>-2.8840020000000002</v>
      </c>
      <c r="BE171" s="439">
        <f>BE172*BE144</f>
        <v>-0.72004999999999986</v>
      </c>
      <c r="BF171" s="439">
        <f>BF172*BF144</f>
        <v>-1.6089839999999995</v>
      </c>
      <c r="BG171" s="439" t="e">
        <f>#REF!-BG169</f>
        <v>#REF!</v>
      </c>
      <c r="BH171" s="566" t="e">
        <f>SUM(BD171:BG171)</f>
        <v>#REF!</v>
      </c>
      <c r="BI171" s="439">
        <f>BI172*BI144</f>
        <v>-4.0980240000000006</v>
      </c>
      <c r="BJ171" s="439">
        <f>BJ172*BJ144</f>
        <v>-1.1002679999999996</v>
      </c>
      <c r="BK171" s="439">
        <f>BK172*BK144</f>
        <v>2.4594135999999995</v>
      </c>
      <c r="BL171" s="439">
        <f>BL172*BL144</f>
        <v>2.9860599999999984</v>
      </c>
      <c r="BM171" s="566">
        <f>SUM(BI171:BL171)</f>
        <v>0.24718159999999756</v>
      </c>
      <c r="BN171" s="439">
        <f>BN172*BN144</f>
        <v>-3.1735219999999993</v>
      </c>
      <c r="BO171" s="439" t="e">
        <f>#REF!-BO169</f>
        <v>#REF!</v>
      </c>
      <c r="BP171" s="439">
        <f>BP172*BP144</f>
        <v>0.17252200000000012</v>
      </c>
      <c r="BQ171" s="439" t="e">
        <f>#REF!-BQ169</f>
        <v>#REF!</v>
      </c>
      <c r="BR171" s="566" t="e">
        <f>SUM(BN171:BQ171)</f>
        <v>#REF!</v>
      </c>
      <c r="BS171" s="439"/>
      <c r="BT171" s="439"/>
      <c r="BU171" s="439"/>
      <c r="BV171" s="439"/>
      <c r="BW171" s="566"/>
      <c r="BX171" s="439"/>
      <c r="BY171" s="439"/>
      <c r="BZ171" s="439"/>
      <c r="CA171" s="439"/>
      <c r="CB171" s="566"/>
      <c r="CC171" s="439"/>
      <c r="CD171" s="439"/>
      <c r="CE171" s="439"/>
      <c r="CF171" s="439"/>
      <c r="CG171" s="566"/>
      <c r="CH171" s="439"/>
      <c r="CI171" s="439"/>
      <c r="CJ171" s="439"/>
      <c r="CK171" s="439"/>
      <c r="CL171" s="566"/>
      <c r="CM171" s="439"/>
      <c r="CN171" s="439"/>
      <c r="CO171" s="439"/>
      <c r="CP171" s="439"/>
      <c r="CQ171" s="566"/>
    </row>
    <row r="172" spans="5:95" ht="13.5" hidden="1" x14ac:dyDescent="0.25">
      <c r="E172" s="365" t="s">
        <v>460</v>
      </c>
      <c r="F172" s="566"/>
      <c r="G172" s="566"/>
      <c r="H172" s="566"/>
      <c r="I172" s="566"/>
      <c r="J172" s="566"/>
      <c r="K172" s="122"/>
      <c r="L172" s="122"/>
      <c r="M172" s="122"/>
      <c r="N172" s="122"/>
      <c r="O172" s="566"/>
      <c r="P172" s="122"/>
      <c r="Q172" s="122"/>
      <c r="R172" s="122"/>
      <c r="S172" s="122"/>
      <c r="T172" s="566"/>
      <c r="U172" s="122"/>
      <c r="V172" s="122"/>
      <c r="W172" s="122"/>
      <c r="X172" s="122"/>
      <c r="Y172" s="566"/>
      <c r="Z172" s="128"/>
      <c r="AA172" s="128"/>
      <c r="AB172" s="128"/>
      <c r="AC172" s="128"/>
      <c r="AD172" s="566"/>
      <c r="AE172" s="128"/>
      <c r="AF172" s="128"/>
      <c r="AG172" s="128"/>
      <c r="AH172" s="128"/>
      <c r="AI172" s="513"/>
      <c r="AJ172" s="85"/>
      <c r="AK172" s="85"/>
      <c r="AL172" s="85"/>
      <c r="AM172" s="85"/>
      <c r="AN172" s="570"/>
      <c r="AO172" s="85"/>
      <c r="AP172" s="85"/>
      <c r="AQ172" s="85"/>
      <c r="AR172" s="364"/>
      <c r="AS172" s="569"/>
      <c r="AT172" s="456"/>
      <c r="AU172" s="456"/>
      <c r="AV172" s="456">
        <v>3.5999999999999997E-2</v>
      </c>
      <c r="AW172" s="456">
        <v>2E-3</v>
      </c>
      <c r="AX172" s="569"/>
      <c r="AY172" s="456">
        <v>-0.20100000000000001</v>
      </c>
      <c r="AZ172" s="456">
        <v>-7.0000000000000007E-2</v>
      </c>
      <c r="BA172" s="456">
        <v>-0.01</v>
      </c>
      <c r="BB172" s="456">
        <v>3.7999999999999999E-2</v>
      </c>
      <c r="BC172" s="569"/>
      <c r="BD172" s="456">
        <v>-0.111</v>
      </c>
      <c r="BE172" s="456">
        <v>-2.5000000000000001E-2</v>
      </c>
      <c r="BF172" s="362">
        <v>-5.3999999999999999E-2</v>
      </c>
      <c r="BG172" s="362">
        <v>0.06</v>
      </c>
      <c r="BH172" s="560" t="e">
        <f>BH171/BH144</f>
        <v>#REF!</v>
      </c>
      <c r="BI172" s="456">
        <v>-0.16800000000000001</v>
      </c>
      <c r="BJ172" s="456">
        <v>-3.9E-2</v>
      </c>
      <c r="BK172" s="456">
        <v>7.7799999999999994E-2</v>
      </c>
      <c r="BL172" s="456">
        <v>0.10497293116782672</v>
      </c>
      <c r="BM172" s="560">
        <f>BM171/BM144</f>
        <v>2.1939909286988416E-3</v>
      </c>
      <c r="BN172" s="456">
        <v>-0.13400000000000001</v>
      </c>
      <c r="BO172" s="363" t="e">
        <f>BO171/BO144</f>
        <v>#REF!</v>
      </c>
      <c r="BP172" s="456">
        <v>7.0000000000000001E-3</v>
      </c>
      <c r="BQ172" s="363" t="e">
        <f>BQ171/BQ144</f>
        <v>#REF!</v>
      </c>
      <c r="BR172" s="560" t="e">
        <f>BR171/BR144</f>
        <v>#REF!</v>
      </c>
      <c r="BS172" s="453"/>
      <c r="BT172" s="453"/>
      <c r="BU172" s="453"/>
      <c r="BV172" s="453"/>
      <c r="BW172" s="560"/>
      <c r="BX172" s="453"/>
      <c r="BY172" s="453"/>
      <c r="BZ172" s="453"/>
      <c r="CA172" s="453"/>
      <c r="CB172" s="560"/>
      <c r="CC172" s="183"/>
      <c r="CD172" s="183"/>
      <c r="CE172" s="183"/>
      <c r="CF172" s="183"/>
      <c r="CG172" s="560"/>
      <c r="CH172" s="183"/>
      <c r="CI172" s="183"/>
      <c r="CJ172" s="183"/>
      <c r="CK172" s="183"/>
      <c r="CL172" s="560"/>
      <c r="CM172" s="183"/>
      <c r="CN172" s="183"/>
      <c r="CO172" s="183"/>
      <c r="CP172" s="183"/>
      <c r="CQ172" s="643"/>
    </row>
    <row r="173" spans="5:95" hidden="1" x14ac:dyDescent="0.25">
      <c r="E173" s="54"/>
      <c r="F173" s="566"/>
      <c r="G173" s="566"/>
      <c r="H173" s="566"/>
      <c r="I173" s="566"/>
      <c r="J173" s="566"/>
      <c r="K173" s="122"/>
      <c r="L173" s="122"/>
      <c r="M173" s="122"/>
      <c r="N173" s="122"/>
      <c r="O173" s="566"/>
      <c r="P173" s="122"/>
      <c r="Q173" s="122"/>
      <c r="R173" s="122"/>
      <c r="S173" s="122"/>
      <c r="T173" s="566"/>
      <c r="U173" s="122"/>
      <c r="V173" s="122"/>
      <c r="W173" s="122"/>
      <c r="X173" s="122"/>
      <c r="Y173" s="566"/>
      <c r="Z173" s="128"/>
      <c r="AA173" s="128"/>
      <c r="AB173" s="128"/>
      <c r="AC173" s="128"/>
      <c r="AD173" s="566"/>
      <c r="AE173" s="128"/>
      <c r="AF173" s="128"/>
      <c r="AG173" s="128"/>
      <c r="AH173" s="128"/>
      <c r="AI173" s="513"/>
      <c r="AJ173" s="85"/>
      <c r="AK173" s="85"/>
      <c r="AL173" s="85"/>
      <c r="AM173" s="85"/>
      <c r="AN173" s="513"/>
      <c r="AO173" s="85"/>
      <c r="AP173" s="85"/>
      <c r="AQ173" s="85"/>
      <c r="AR173" s="364"/>
      <c r="AS173" s="566"/>
      <c r="AT173" s="439"/>
      <c r="AU173" s="439"/>
      <c r="AV173" s="439"/>
      <c r="AW173" s="439"/>
      <c r="AX173" s="568"/>
      <c r="AY173" s="439"/>
      <c r="AZ173" s="439"/>
      <c r="BA173" s="439"/>
      <c r="BB173" s="408"/>
      <c r="BC173" s="568"/>
      <c r="BD173" s="408"/>
      <c r="BE173" s="408"/>
      <c r="BF173" s="408"/>
      <c r="BG173" s="408"/>
      <c r="BH173" s="568"/>
      <c r="BI173" s="408"/>
      <c r="BJ173" s="408"/>
      <c r="BK173" s="408"/>
      <c r="BL173" s="408"/>
      <c r="BM173" s="568"/>
      <c r="BN173" s="408"/>
      <c r="BO173" s="408"/>
      <c r="BP173" s="408"/>
      <c r="BQ173" s="408"/>
      <c r="BR173" s="568"/>
      <c r="BS173" s="408"/>
      <c r="BT173" s="408"/>
      <c r="BU173" s="408"/>
      <c r="BV173" s="408"/>
      <c r="BW173" s="568"/>
      <c r="BX173" s="408"/>
      <c r="BY173" s="408"/>
      <c r="BZ173" s="408"/>
      <c r="CA173" s="408"/>
      <c r="CB173" s="568"/>
      <c r="CC173" s="408"/>
      <c r="CD173" s="408"/>
      <c r="CE173" s="408"/>
      <c r="CF173" s="408"/>
      <c r="CG173" s="568"/>
      <c r="CH173" s="408"/>
      <c r="CI173" s="408"/>
      <c r="CJ173" s="408"/>
      <c r="CK173" s="408"/>
      <c r="CL173" s="568"/>
      <c r="CM173" s="408"/>
      <c r="CN173" s="408"/>
      <c r="CO173" s="408"/>
      <c r="CP173" s="408"/>
      <c r="CQ173" s="568"/>
    </row>
    <row r="174" spans="5:95" ht="13.5" hidden="1" x14ac:dyDescent="0.25">
      <c r="E174" s="365" t="s">
        <v>563</v>
      </c>
      <c r="F174" s="562"/>
      <c r="G174" s="562"/>
      <c r="H174" s="562"/>
      <c r="I174" s="562"/>
      <c r="J174" s="562"/>
      <c r="K174" s="461"/>
      <c r="L174" s="461"/>
      <c r="M174" s="461"/>
      <c r="N174" s="461"/>
      <c r="O174" s="562"/>
      <c r="P174" s="461"/>
      <c r="Q174" s="461"/>
      <c r="R174" s="461"/>
      <c r="S174" s="461"/>
      <c r="T174" s="562"/>
      <c r="U174" s="461"/>
      <c r="V174" s="461"/>
      <c r="W174" s="461"/>
      <c r="X174" s="461"/>
      <c r="Y174" s="562"/>
      <c r="Z174" s="461"/>
      <c r="AA174" s="461"/>
      <c r="AB174" s="461"/>
      <c r="AC174" s="461"/>
      <c r="AD174" s="562"/>
      <c r="AE174" s="461"/>
      <c r="AF174" s="461"/>
      <c r="AG174" s="461"/>
      <c r="AH174" s="461"/>
      <c r="AI174" s="562"/>
      <c r="AJ174" s="463"/>
      <c r="AK174" s="463"/>
      <c r="AL174" s="463"/>
      <c r="AM174" s="463"/>
      <c r="AN174" s="562"/>
      <c r="AO174" s="463"/>
      <c r="AP174" s="463"/>
      <c r="AQ174" s="463"/>
      <c r="AR174" s="463"/>
      <c r="AS174" s="562"/>
      <c r="AT174" s="463"/>
      <c r="AU174" s="463"/>
      <c r="AV174" s="463"/>
      <c r="AW174" s="463"/>
      <c r="AX174" s="562"/>
      <c r="AY174" s="463"/>
      <c r="AZ174" s="463"/>
      <c r="BA174" s="463"/>
      <c r="BB174" s="463"/>
      <c r="BC174" s="562"/>
      <c r="BD174" s="463"/>
      <c r="BE174" s="463"/>
      <c r="BF174" s="463"/>
      <c r="BG174" s="463"/>
      <c r="BH174" s="562"/>
      <c r="BI174" s="463"/>
      <c r="BJ174" s="463"/>
      <c r="BK174" s="463"/>
      <c r="BL174" s="463"/>
      <c r="BM174" s="562"/>
      <c r="BN174" s="463"/>
      <c r="BO174" s="463"/>
      <c r="BP174" s="463"/>
      <c r="BQ174" s="463"/>
      <c r="BR174" s="562"/>
      <c r="BS174" s="463"/>
      <c r="BT174" s="463"/>
      <c r="BU174" s="463"/>
      <c r="BV174" s="463"/>
      <c r="BW174" s="562"/>
      <c r="BX174" s="461"/>
      <c r="BY174" s="461"/>
      <c r="BZ174" s="461"/>
      <c r="CA174" s="461"/>
      <c r="CB174" s="562"/>
      <c r="CC174" s="461"/>
      <c r="CD174" s="461"/>
      <c r="CE174" s="461"/>
      <c r="CF174" s="461"/>
      <c r="CG174" s="562"/>
      <c r="CH174" s="461"/>
      <c r="CI174" s="461"/>
      <c r="CJ174" s="461"/>
      <c r="CK174" s="461"/>
      <c r="CL174" s="562"/>
      <c r="CM174" s="461"/>
      <c r="CN174" s="461"/>
      <c r="CO174" s="461"/>
      <c r="CP174" s="461"/>
      <c r="CQ174" s="644"/>
    </row>
    <row r="175" spans="5:95" ht="13.5" hidden="1" x14ac:dyDescent="0.25">
      <c r="E175" s="54" t="s">
        <v>447</v>
      </c>
      <c r="F175" s="562"/>
      <c r="G175" s="562"/>
      <c r="H175" s="562"/>
      <c r="I175" s="562"/>
      <c r="J175" s="562"/>
      <c r="K175" s="461"/>
      <c r="L175" s="461"/>
      <c r="M175" s="461"/>
      <c r="N175" s="461"/>
      <c r="O175" s="562"/>
      <c r="P175" s="461"/>
      <c r="Q175" s="461"/>
      <c r="R175" s="461"/>
      <c r="S175" s="461"/>
      <c r="T175" s="562"/>
      <c r="U175" s="461"/>
      <c r="V175" s="461"/>
      <c r="W175" s="461"/>
      <c r="X175" s="461"/>
      <c r="Y175" s="562"/>
      <c r="Z175" s="461"/>
      <c r="AA175" s="461"/>
      <c r="AB175" s="461"/>
      <c r="AC175" s="461"/>
      <c r="AD175" s="562"/>
      <c r="AE175" s="461"/>
      <c r="AF175" s="461"/>
      <c r="AG175" s="461"/>
      <c r="AH175" s="461"/>
      <c r="AI175" s="562"/>
      <c r="AJ175" s="463"/>
      <c r="AK175" s="463"/>
      <c r="AL175" s="463"/>
      <c r="AM175" s="463"/>
      <c r="AN175" s="562"/>
      <c r="AO175" s="463"/>
      <c r="AP175" s="463"/>
      <c r="AQ175" s="463"/>
      <c r="AR175" s="463"/>
      <c r="AS175" s="562"/>
      <c r="AT175" s="463"/>
      <c r="AU175" s="463"/>
      <c r="AV175" s="463"/>
      <c r="AW175" s="463"/>
      <c r="AX175" s="562"/>
      <c r="AY175" s="463"/>
      <c r="AZ175" s="463"/>
      <c r="BA175" s="463"/>
      <c r="BB175" s="463"/>
      <c r="BC175" s="513">
        <v>61.442999999999998</v>
      </c>
      <c r="BD175" s="463"/>
      <c r="BE175" s="463"/>
      <c r="BF175" s="463"/>
      <c r="BG175" s="463"/>
      <c r="BH175" s="513">
        <v>52.781999999999996</v>
      </c>
      <c r="BI175" s="463"/>
      <c r="BJ175" s="463"/>
      <c r="BK175" s="439"/>
      <c r="BL175" s="463"/>
      <c r="BM175" s="513">
        <v>49.383000000000003</v>
      </c>
      <c r="BN175" s="463"/>
      <c r="BO175" s="463"/>
      <c r="BP175" s="439"/>
      <c r="BQ175" s="463"/>
      <c r="BR175" s="566"/>
      <c r="BS175" s="463"/>
      <c r="BT175" s="463"/>
      <c r="BU175" s="463"/>
      <c r="BV175" s="463"/>
      <c r="BW175" s="566"/>
      <c r="BX175" s="461"/>
      <c r="BY175" s="461"/>
      <c r="BZ175" s="461"/>
      <c r="CA175" s="461"/>
      <c r="CB175" s="566"/>
      <c r="CC175" s="461"/>
      <c r="CD175" s="461"/>
      <c r="CE175" s="461"/>
      <c r="CF175" s="461"/>
      <c r="CG175" s="566"/>
      <c r="CH175" s="461"/>
      <c r="CI175" s="461"/>
      <c r="CJ175" s="461"/>
      <c r="CK175" s="461"/>
      <c r="CL175" s="566"/>
      <c r="CM175" s="461"/>
      <c r="CN175" s="461"/>
      <c r="CO175" s="461"/>
      <c r="CP175" s="461"/>
      <c r="CQ175" s="566"/>
    </row>
    <row r="176" spans="5:95" ht="13.5" hidden="1" x14ac:dyDescent="0.25">
      <c r="E176" s="54" t="s">
        <v>448</v>
      </c>
      <c r="F176" s="562"/>
      <c r="G176" s="562"/>
      <c r="H176" s="562"/>
      <c r="I176" s="562"/>
      <c r="J176" s="562"/>
      <c r="K176" s="461"/>
      <c r="L176" s="461"/>
      <c r="M176" s="461"/>
      <c r="N176" s="461"/>
      <c r="O176" s="562"/>
      <c r="P176" s="461"/>
      <c r="Q176" s="461"/>
      <c r="R176" s="461"/>
      <c r="S176" s="461"/>
      <c r="T176" s="562"/>
      <c r="U176" s="461"/>
      <c r="V176" s="461"/>
      <c r="W176" s="461"/>
      <c r="X176" s="461"/>
      <c r="Y176" s="562"/>
      <c r="Z176" s="461"/>
      <c r="AA176" s="461"/>
      <c r="AB176" s="461"/>
      <c r="AC176" s="461"/>
      <c r="AD176" s="562"/>
      <c r="AE176" s="461"/>
      <c r="AF176" s="461"/>
      <c r="AG176" s="461"/>
      <c r="AH176" s="461"/>
      <c r="AI176" s="562"/>
      <c r="AJ176" s="463"/>
      <c r="AK176" s="463"/>
      <c r="AL176" s="463"/>
      <c r="AM176" s="463"/>
      <c r="AN176" s="562"/>
      <c r="AO176" s="463"/>
      <c r="AP176" s="463"/>
      <c r="AQ176" s="463"/>
      <c r="AR176" s="463"/>
      <c r="AS176" s="562"/>
      <c r="AT176" s="463"/>
      <c r="AU176" s="463"/>
      <c r="AV176" s="463"/>
      <c r="AW176" s="463"/>
      <c r="AX176" s="562"/>
      <c r="AY176" s="463"/>
      <c r="AZ176" s="463"/>
      <c r="BA176" s="463"/>
      <c r="BB176" s="463"/>
      <c r="BC176" s="513">
        <v>66.497</v>
      </c>
      <c r="BD176" s="463"/>
      <c r="BE176" s="463"/>
      <c r="BF176" s="463"/>
      <c r="BG176" s="463"/>
      <c r="BH176" s="513">
        <v>60.042000000000002</v>
      </c>
      <c r="BI176" s="463"/>
      <c r="BJ176" s="463"/>
      <c r="BK176" s="439"/>
      <c r="BL176" s="463"/>
      <c r="BM176" s="513">
        <v>52.872</v>
      </c>
      <c r="BN176" s="463"/>
      <c r="BO176" s="463"/>
      <c r="BP176" s="439"/>
      <c r="BQ176" s="463"/>
      <c r="BR176" s="566"/>
      <c r="BS176" s="463"/>
      <c r="BT176" s="463"/>
      <c r="BU176" s="463"/>
      <c r="BV176" s="463"/>
      <c r="BW176" s="566"/>
      <c r="BX176" s="461"/>
      <c r="BY176" s="461"/>
      <c r="BZ176" s="461"/>
      <c r="CA176" s="461"/>
      <c r="CB176" s="566"/>
      <c r="CC176" s="461"/>
      <c r="CD176" s="461"/>
      <c r="CE176" s="461"/>
      <c r="CF176" s="461"/>
      <c r="CG176" s="566"/>
      <c r="CH176" s="461"/>
      <c r="CI176" s="461"/>
      <c r="CJ176" s="461"/>
      <c r="CK176" s="461"/>
      <c r="CL176" s="566"/>
      <c r="CM176" s="461"/>
      <c r="CN176" s="461"/>
      <c r="CO176" s="461"/>
      <c r="CP176" s="461"/>
      <c r="CQ176" s="566"/>
    </row>
    <row r="177" spans="5:95" ht="13.5" hidden="1" x14ac:dyDescent="0.25">
      <c r="E177" s="54" t="s">
        <v>278</v>
      </c>
      <c r="F177" s="562"/>
      <c r="G177" s="562"/>
      <c r="H177" s="562"/>
      <c r="I177" s="562"/>
      <c r="J177" s="562"/>
      <c r="K177" s="461"/>
      <c r="L177" s="461"/>
      <c r="M177" s="461"/>
      <c r="N177" s="461"/>
      <c r="O177" s="562"/>
      <c r="P177" s="461"/>
      <c r="Q177" s="461"/>
      <c r="R177" s="461"/>
      <c r="S177" s="461"/>
      <c r="T177" s="562"/>
      <c r="U177" s="461"/>
      <c r="V177" s="461"/>
      <c r="W177" s="461"/>
      <c r="X177" s="461"/>
      <c r="Y177" s="562"/>
      <c r="Z177" s="461"/>
      <c r="AA177" s="461"/>
      <c r="AB177" s="461"/>
      <c r="AC177" s="461"/>
      <c r="AD177" s="562"/>
      <c r="AE177" s="461"/>
      <c r="AF177" s="461"/>
      <c r="AG177" s="461"/>
      <c r="AH177" s="461"/>
      <c r="AI177" s="562"/>
      <c r="AJ177" s="463"/>
      <c r="AK177" s="463"/>
      <c r="AL177" s="463"/>
      <c r="AM177" s="463"/>
      <c r="AN177" s="562"/>
      <c r="AO177" s="463"/>
      <c r="AP177" s="463"/>
      <c r="AQ177" s="463"/>
      <c r="AR177" s="463"/>
      <c r="AS177" s="562"/>
      <c r="AT177" s="463"/>
      <c r="AU177" s="463"/>
      <c r="AV177" s="463"/>
      <c r="AW177" s="463"/>
      <c r="AX177" s="562"/>
      <c r="AY177" s="463"/>
      <c r="AZ177" s="463"/>
      <c r="BA177" s="463"/>
      <c r="BB177" s="463"/>
      <c r="BC177" s="566">
        <f>BC178-BC175-BC176</f>
        <v>6.7220000000000084</v>
      </c>
      <c r="BD177" s="463"/>
      <c r="BE177" s="463"/>
      <c r="BF177" s="463"/>
      <c r="BG177" s="463"/>
      <c r="BH177" s="566">
        <f>BH178-BH175-BH176</f>
        <v>3.3840000000000003</v>
      </c>
      <c r="BI177" s="463"/>
      <c r="BJ177" s="463"/>
      <c r="BK177" s="439"/>
      <c r="BL177" s="463"/>
      <c r="BM177" s="566">
        <f>BM178-BM175-BM176</f>
        <v>0.75099999999999767</v>
      </c>
      <c r="BN177" s="463"/>
      <c r="BO177" s="463"/>
      <c r="BP177" s="439"/>
      <c r="BQ177" s="463"/>
      <c r="BR177" s="566"/>
      <c r="BS177" s="463"/>
      <c r="BT177" s="463"/>
      <c r="BU177" s="463"/>
      <c r="BV177" s="463"/>
      <c r="BW177" s="566"/>
      <c r="BX177" s="461"/>
      <c r="BY177" s="461"/>
      <c r="BZ177" s="461"/>
      <c r="CA177" s="461"/>
      <c r="CB177" s="566"/>
      <c r="CC177" s="461"/>
      <c r="CD177" s="461"/>
      <c r="CE177" s="461"/>
      <c r="CF177" s="461"/>
      <c r="CG177" s="566"/>
      <c r="CH177" s="461"/>
      <c r="CI177" s="461"/>
      <c r="CJ177" s="461"/>
      <c r="CK177" s="461"/>
      <c r="CL177" s="566"/>
      <c r="CM177" s="461"/>
      <c r="CN177" s="461"/>
      <c r="CO177" s="461"/>
      <c r="CP177" s="461"/>
      <c r="CQ177" s="566"/>
    </row>
    <row r="178" spans="5:95" ht="13.5" hidden="1" x14ac:dyDescent="0.25">
      <c r="E178" s="54" t="s">
        <v>564</v>
      </c>
      <c r="F178" s="562"/>
      <c r="G178" s="562"/>
      <c r="H178" s="562"/>
      <c r="I178" s="562"/>
      <c r="J178" s="562"/>
      <c r="K178" s="461"/>
      <c r="L178" s="461"/>
      <c r="M178" s="461"/>
      <c r="N178" s="461"/>
      <c r="O178" s="562"/>
      <c r="P178" s="461"/>
      <c r="Q178" s="461"/>
      <c r="R178" s="461"/>
      <c r="S178" s="461"/>
      <c r="T178" s="562"/>
      <c r="U178" s="461"/>
      <c r="V178" s="461"/>
      <c r="W178" s="461"/>
      <c r="X178" s="461"/>
      <c r="Y178" s="562"/>
      <c r="Z178" s="461"/>
      <c r="AA178" s="461"/>
      <c r="AB178" s="461"/>
      <c r="AC178" s="461"/>
      <c r="AD178" s="562"/>
      <c r="AE178" s="461"/>
      <c r="AF178" s="461"/>
      <c r="AG178" s="461"/>
      <c r="AH178" s="461"/>
      <c r="AI178" s="562"/>
      <c r="AJ178" s="463"/>
      <c r="AK178" s="463"/>
      <c r="AL178" s="463"/>
      <c r="AM178" s="463"/>
      <c r="AN178" s="562"/>
      <c r="AO178" s="463"/>
      <c r="AP178" s="463"/>
      <c r="AQ178" s="463"/>
      <c r="AR178" s="463"/>
      <c r="AS178" s="562"/>
      <c r="AT178" s="463"/>
      <c r="AU178" s="463"/>
      <c r="AV178" s="463"/>
      <c r="AW178" s="463"/>
      <c r="AX178" s="562"/>
      <c r="AY178" s="463"/>
      <c r="AZ178" s="463"/>
      <c r="BA178" s="463"/>
      <c r="BB178" s="463"/>
      <c r="BC178" s="566">
        <f>'Cash Flow'!BC10</f>
        <v>134.66200000000001</v>
      </c>
      <c r="BD178" s="463"/>
      <c r="BE178" s="463"/>
      <c r="BF178" s="463"/>
      <c r="BG178" s="463"/>
      <c r="BH178" s="566">
        <f>'Cash Flow'!BH10</f>
        <v>116.208</v>
      </c>
      <c r="BI178" s="463"/>
      <c r="BJ178" s="463"/>
      <c r="BK178" s="439"/>
      <c r="BL178" s="463"/>
      <c r="BM178" s="566">
        <f>'Cash Flow'!BM10</f>
        <v>103.006</v>
      </c>
      <c r="BN178" s="439"/>
      <c r="BO178" s="439"/>
      <c r="BP178" s="439"/>
      <c r="BQ178" s="439"/>
      <c r="BR178" s="566"/>
      <c r="BS178" s="439"/>
      <c r="BT178" s="439"/>
      <c r="BU178" s="439"/>
      <c r="BV178" s="439"/>
      <c r="BW178" s="568"/>
      <c r="BX178" s="439"/>
      <c r="BY178" s="439"/>
      <c r="BZ178" s="439"/>
      <c r="CA178" s="439"/>
      <c r="CB178" s="566"/>
      <c r="CC178" s="439"/>
      <c r="CD178" s="439"/>
      <c r="CE178" s="439"/>
      <c r="CF178" s="439"/>
      <c r="CG178" s="566"/>
      <c r="CH178" s="439"/>
      <c r="CI178" s="439"/>
      <c r="CJ178" s="439"/>
      <c r="CK178" s="439"/>
      <c r="CL178" s="566"/>
      <c r="CM178" s="439"/>
      <c r="CN178" s="439"/>
      <c r="CO178" s="439"/>
      <c r="CP178" s="439"/>
      <c r="CQ178" s="566"/>
    </row>
    <row r="179" spans="5:95" hidden="1" x14ac:dyDescent="0.25">
      <c r="E179" s="54"/>
      <c r="F179" s="566"/>
      <c r="G179" s="566"/>
      <c r="H179" s="566"/>
      <c r="I179" s="566"/>
      <c r="J179" s="566"/>
      <c r="K179" s="122"/>
      <c r="L179" s="122"/>
      <c r="M179" s="122"/>
      <c r="N179" s="122"/>
      <c r="O179" s="566"/>
      <c r="P179" s="122"/>
      <c r="Q179" s="122"/>
      <c r="R179" s="122"/>
      <c r="S179" s="122"/>
      <c r="T179" s="566"/>
      <c r="U179" s="122"/>
      <c r="V179" s="122"/>
      <c r="W179" s="122"/>
      <c r="X179" s="122"/>
      <c r="Y179" s="566"/>
      <c r="Z179" s="128"/>
      <c r="AA179" s="128"/>
      <c r="AB179" s="128"/>
      <c r="AC179" s="128"/>
      <c r="AD179" s="566"/>
      <c r="AE179" s="128"/>
      <c r="AF179" s="128"/>
      <c r="AG179" s="128"/>
      <c r="AH179" s="128"/>
      <c r="AI179" s="513"/>
      <c r="AJ179" s="85"/>
      <c r="AK179" s="85"/>
      <c r="AL179" s="85"/>
      <c r="AM179" s="85"/>
      <c r="AN179" s="513"/>
      <c r="AO179" s="85"/>
      <c r="AP179" s="85"/>
      <c r="AQ179" s="85"/>
      <c r="AR179" s="364"/>
      <c r="AS179" s="566"/>
      <c r="AT179" s="439"/>
      <c r="AU179" s="439"/>
      <c r="AV179" s="439"/>
      <c r="AW179" s="439"/>
      <c r="AX179" s="568"/>
      <c r="AY179" s="439"/>
      <c r="AZ179" s="439"/>
      <c r="BA179" s="439"/>
      <c r="BB179" s="408"/>
      <c r="BC179" s="568"/>
      <c r="BD179" s="408"/>
      <c r="BE179" s="408"/>
      <c r="BF179" s="408"/>
      <c r="BG179" s="408"/>
      <c r="BH179" s="568"/>
      <c r="BI179" s="408"/>
      <c r="BJ179" s="408"/>
      <c r="BK179" s="408"/>
      <c r="BL179" s="408"/>
      <c r="BM179" s="568"/>
      <c r="BN179" s="408"/>
      <c r="BO179" s="408"/>
      <c r="BP179" s="408"/>
      <c r="BQ179" s="408"/>
      <c r="BR179" s="568"/>
      <c r="BS179" s="408"/>
      <c r="BT179" s="408"/>
      <c r="BU179" s="408"/>
      <c r="BV179" s="408"/>
      <c r="BW179" s="568"/>
      <c r="BX179" s="408"/>
      <c r="BY179" s="408"/>
      <c r="BZ179" s="408"/>
      <c r="CA179" s="408"/>
      <c r="CB179" s="568"/>
      <c r="CC179" s="408"/>
      <c r="CD179" s="408"/>
      <c r="CE179" s="408"/>
      <c r="CF179" s="408"/>
      <c r="CG179" s="568"/>
      <c r="CH179" s="408"/>
      <c r="CI179" s="408"/>
      <c r="CJ179" s="408"/>
      <c r="CK179" s="408"/>
      <c r="CL179" s="568"/>
      <c r="CM179" s="408"/>
      <c r="CN179" s="408"/>
      <c r="CO179" s="408"/>
      <c r="CP179" s="408"/>
      <c r="CQ179" s="568"/>
    </row>
    <row r="180" spans="5:95" ht="13.5" hidden="1" x14ac:dyDescent="0.25">
      <c r="E180" s="365" t="s">
        <v>565</v>
      </c>
      <c r="F180" s="562"/>
      <c r="G180" s="562"/>
      <c r="H180" s="562"/>
      <c r="I180" s="562"/>
      <c r="J180" s="562"/>
      <c r="K180" s="461"/>
      <c r="L180" s="461"/>
      <c r="M180" s="461"/>
      <c r="N180" s="461"/>
      <c r="O180" s="562"/>
      <c r="P180" s="461"/>
      <c r="Q180" s="461"/>
      <c r="R180" s="461"/>
      <c r="S180" s="461"/>
      <c r="T180" s="562"/>
      <c r="U180" s="461"/>
      <c r="V180" s="461"/>
      <c r="W180" s="461"/>
      <c r="X180" s="461"/>
      <c r="Y180" s="562"/>
      <c r="Z180" s="461"/>
      <c r="AA180" s="461"/>
      <c r="AB180" s="461"/>
      <c r="AC180" s="461"/>
      <c r="AD180" s="562"/>
      <c r="AE180" s="461"/>
      <c r="AF180" s="461"/>
      <c r="AG180" s="461"/>
      <c r="AH180" s="461"/>
      <c r="AI180" s="562"/>
      <c r="AJ180" s="463"/>
      <c r="AK180" s="463"/>
      <c r="AL180" s="463"/>
      <c r="AM180" s="463"/>
      <c r="AN180" s="562"/>
      <c r="AO180" s="463"/>
      <c r="AP180" s="463"/>
      <c r="AQ180" s="463"/>
      <c r="AR180" s="463"/>
      <c r="AS180" s="562"/>
      <c r="AT180" s="463"/>
      <c r="AU180" s="463"/>
      <c r="AV180" s="463"/>
      <c r="AW180" s="463"/>
      <c r="AX180" s="562"/>
      <c r="AY180" s="463"/>
      <c r="AZ180" s="463"/>
      <c r="BA180" s="463"/>
      <c r="BB180" s="463"/>
      <c r="BC180" s="562"/>
      <c r="BD180" s="463"/>
      <c r="BE180" s="463"/>
      <c r="BF180" s="463"/>
      <c r="BG180" s="463"/>
      <c r="BH180" s="562"/>
      <c r="BI180" s="463"/>
      <c r="BJ180" s="463"/>
      <c r="BK180" s="463"/>
      <c r="BL180" s="463"/>
      <c r="BM180" s="562"/>
      <c r="BN180" s="463"/>
      <c r="BO180" s="463"/>
      <c r="BP180" s="463"/>
      <c r="BQ180" s="463"/>
      <c r="BR180" s="562"/>
      <c r="BS180" s="463"/>
      <c r="BT180" s="463"/>
      <c r="BU180" s="463"/>
      <c r="BV180" s="463"/>
      <c r="BW180" s="562"/>
      <c r="BX180" s="461"/>
      <c r="BY180" s="461"/>
      <c r="BZ180" s="461"/>
      <c r="CA180" s="461"/>
      <c r="CB180" s="562"/>
      <c r="CC180" s="461"/>
      <c r="CD180" s="461"/>
      <c r="CE180" s="461"/>
      <c r="CF180" s="461"/>
      <c r="CG180" s="562"/>
      <c r="CH180" s="461"/>
      <c r="CI180" s="461"/>
      <c r="CJ180" s="461"/>
      <c r="CK180" s="461"/>
      <c r="CL180" s="562"/>
      <c r="CM180" s="461"/>
      <c r="CN180" s="461"/>
      <c r="CO180" s="461"/>
      <c r="CP180" s="461"/>
      <c r="CQ180" s="644"/>
    </row>
    <row r="181" spans="5:95" ht="13.5" hidden="1" x14ac:dyDescent="0.25">
      <c r="E181" s="54" t="s">
        <v>447</v>
      </c>
      <c r="F181" s="562"/>
      <c r="G181" s="562"/>
      <c r="H181" s="562"/>
      <c r="I181" s="562"/>
      <c r="J181" s="562"/>
      <c r="K181" s="461"/>
      <c r="L181" s="461"/>
      <c r="M181" s="461"/>
      <c r="N181" s="461"/>
      <c r="O181" s="562"/>
      <c r="P181" s="461"/>
      <c r="Q181" s="461"/>
      <c r="R181" s="461"/>
      <c r="S181" s="461"/>
      <c r="T181" s="562"/>
      <c r="U181" s="461"/>
      <c r="V181" s="461"/>
      <c r="W181" s="461"/>
      <c r="X181" s="461"/>
      <c r="Y181" s="562"/>
      <c r="Z181" s="461"/>
      <c r="AA181" s="461"/>
      <c r="AB181" s="461"/>
      <c r="AC181" s="461"/>
      <c r="AD181" s="562"/>
      <c r="AE181" s="461"/>
      <c r="AF181" s="461"/>
      <c r="AG181" s="461"/>
      <c r="AH181" s="461"/>
      <c r="AI181" s="562"/>
      <c r="AJ181" s="463"/>
      <c r="AK181" s="463"/>
      <c r="AL181" s="463"/>
      <c r="AM181" s="463"/>
      <c r="AN181" s="562"/>
      <c r="AO181" s="463"/>
      <c r="AP181" s="463"/>
      <c r="AQ181" s="463"/>
      <c r="AR181" s="463"/>
      <c r="AS181" s="562"/>
      <c r="AT181" s="463"/>
      <c r="AU181" s="463"/>
      <c r="AV181" s="463"/>
      <c r="AW181" s="463"/>
      <c r="AX181" s="562"/>
      <c r="AY181" s="463"/>
      <c r="AZ181" s="463"/>
      <c r="BA181" s="463"/>
      <c r="BB181" s="463"/>
      <c r="BC181" s="562"/>
      <c r="BD181" s="463"/>
      <c r="BE181" s="463"/>
      <c r="BF181" s="463"/>
      <c r="BG181" s="463"/>
      <c r="BH181" s="566" t="e">
        <f>BH175+#REF!</f>
        <v>#REF!</v>
      </c>
      <c r="BI181" s="463"/>
      <c r="BJ181" s="463"/>
      <c r="BK181" s="439"/>
      <c r="BL181" s="463"/>
      <c r="BM181" s="566" t="e">
        <f>BM175+#REF!</f>
        <v>#REF!</v>
      </c>
      <c r="BN181" s="463"/>
      <c r="BO181" s="463"/>
      <c r="BP181" s="439"/>
      <c r="BQ181" s="463"/>
      <c r="BR181" s="566"/>
      <c r="BS181" s="463"/>
      <c r="BT181" s="463"/>
      <c r="BU181" s="463"/>
      <c r="BV181" s="463"/>
      <c r="BW181" s="566"/>
      <c r="BX181" s="461"/>
      <c r="BY181" s="461"/>
      <c r="BZ181" s="461"/>
      <c r="CA181" s="461"/>
      <c r="CB181" s="566"/>
      <c r="CC181" s="461"/>
      <c r="CD181" s="461"/>
      <c r="CE181" s="461"/>
      <c r="CF181" s="461"/>
      <c r="CG181" s="566"/>
      <c r="CH181" s="461"/>
      <c r="CI181" s="461"/>
      <c r="CJ181" s="461"/>
      <c r="CK181" s="461"/>
      <c r="CL181" s="566"/>
      <c r="CM181" s="461"/>
      <c r="CN181" s="461"/>
      <c r="CO181" s="461"/>
      <c r="CP181" s="461"/>
      <c r="CQ181" s="566"/>
    </row>
    <row r="182" spans="5:95" ht="13.5" hidden="1" x14ac:dyDescent="0.25">
      <c r="E182" s="91" t="s">
        <v>2</v>
      </c>
      <c r="F182" s="562"/>
      <c r="G182" s="562"/>
      <c r="H182" s="562"/>
      <c r="I182" s="562"/>
      <c r="J182" s="562"/>
      <c r="K182" s="461"/>
      <c r="L182" s="461"/>
      <c r="M182" s="461"/>
      <c r="N182" s="461"/>
      <c r="O182" s="562"/>
      <c r="P182" s="461"/>
      <c r="Q182" s="461"/>
      <c r="R182" s="461"/>
      <c r="S182" s="461"/>
      <c r="T182" s="562"/>
      <c r="U182" s="461"/>
      <c r="V182" s="461"/>
      <c r="W182" s="461"/>
      <c r="X182" s="461"/>
      <c r="Y182" s="562"/>
      <c r="Z182" s="461"/>
      <c r="AA182" s="461"/>
      <c r="AB182" s="461"/>
      <c r="AC182" s="461"/>
      <c r="AD182" s="562"/>
      <c r="AE182" s="461"/>
      <c r="AF182" s="461"/>
      <c r="AG182" s="461"/>
      <c r="AH182" s="461"/>
      <c r="AI182" s="562"/>
      <c r="AJ182" s="463"/>
      <c r="AK182" s="463"/>
      <c r="AL182" s="463"/>
      <c r="AM182" s="463"/>
      <c r="AN182" s="562"/>
      <c r="AO182" s="463"/>
      <c r="AP182" s="463"/>
      <c r="AQ182" s="463"/>
      <c r="AR182" s="463"/>
      <c r="AS182" s="562"/>
      <c r="AT182" s="463"/>
      <c r="AU182" s="463"/>
      <c r="AV182" s="463"/>
      <c r="AW182" s="463"/>
      <c r="AX182" s="562"/>
      <c r="AY182" s="463"/>
      <c r="AZ182" s="463"/>
      <c r="BA182" s="463"/>
      <c r="BB182" s="463"/>
      <c r="BC182" s="562"/>
      <c r="BD182" s="463"/>
      <c r="BE182" s="463"/>
      <c r="BF182" s="463"/>
      <c r="BG182" s="463"/>
      <c r="BH182" s="525"/>
      <c r="BI182" s="463"/>
      <c r="BJ182" s="463"/>
      <c r="BK182" s="183"/>
      <c r="BL182" s="463"/>
      <c r="BM182" s="525" t="e">
        <f>BM181/BH181-1</f>
        <v>#REF!</v>
      </c>
      <c r="BN182" s="463"/>
      <c r="BO182" s="463"/>
      <c r="BP182" s="183"/>
      <c r="BQ182" s="463"/>
      <c r="BR182" s="525"/>
      <c r="BS182" s="463"/>
      <c r="BT182" s="463"/>
      <c r="BU182" s="463"/>
      <c r="BV182" s="463"/>
      <c r="BW182" s="525"/>
      <c r="BX182" s="461"/>
      <c r="BY182" s="461"/>
      <c r="BZ182" s="461"/>
      <c r="CA182" s="461"/>
      <c r="CB182" s="525"/>
      <c r="CC182" s="461"/>
      <c r="CD182" s="461"/>
      <c r="CE182" s="461"/>
      <c r="CF182" s="461"/>
      <c r="CG182" s="525"/>
      <c r="CH182" s="461"/>
      <c r="CI182" s="461"/>
      <c r="CJ182" s="461"/>
      <c r="CK182" s="461"/>
      <c r="CL182" s="525"/>
      <c r="CM182" s="461"/>
      <c r="CN182" s="461"/>
      <c r="CO182" s="461"/>
      <c r="CP182" s="461"/>
      <c r="CQ182" s="641"/>
    </row>
    <row r="183" spans="5:95" ht="13.5" hidden="1" x14ac:dyDescent="0.25">
      <c r="E183" s="54" t="s">
        <v>448</v>
      </c>
      <c r="F183" s="562"/>
      <c r="G183" s="562"/>
      <c r="H183" s="562"/>
      <c r="I183" s="562"/>
      <c r="J183" s="562"/>
      <c r="K183" s="461"/>
      <c r="L183" s="461"/>
      <c r="M183" s="461"/>
      <c r="N183" s="461"/>
      <c r="O183" s="562"/>
      <c r="P183" s="461"/>
      <c r="Q183" s="461"/>
      <c r="R183" s="461"/>
      <c r="S183" s="461"/>
      <c r="T183" s="562"/>
      <c r="U183" s="461"/>
      <c r="V183" s="461"/>
      <c r="W183" s="461"/>
      <c r="X183" s="461"/>
      <c r="Y183" s="562"/>
      <c r="Z183" s="461"/>
      <c r="AA183" s="461"/>
      <c r="AB183" s="461"/>
      <c r="AC183" s="461"/>
      <c r="AD183" s="562"/>
      <c r="AE183" s="461"/>
      <c r="AF183" s="461"/>
      <c r="AG183" s="461"/>
      <c r="AH183" s="461"/>
      <c r="AI183" s="562"/>
      <c r="AJ183" s="463"/>
      <c r="AK183" s="463"/>
      <c r="AL183" s="463"/>
      <c r="AM183" s="463"/>
      <c r="AN183" s="562"/>
      <c r="AO183" s="463"/>
      <c r="AP183" s="463"/>
      <c r="AQ183" s="463"/>
      <c r="AR183" s="463"/>
      <c r="AS183" s="562"/>
      <c r="AT183" s="463"/>
      <c r="AU183" s="463"/>
      <c r="AV183" s="463"/>
      <c r="AW183" s="463"/>
      <c r="AX183" s="562"/>
      <c r="AY183" s="463"/>
      <c r="AZ183" s="463"/>
      <c r="BA183" s="463"/>
      <c r="BB183" s="463"/>
      <c r="BC183" s="562"/>
      <c r="BD183" s="463"/>
      <c r="BE183" s="463"/>
      <c r="BF183" s="463"/>
      <c r="BG183" s="463"/>
      <c r="BH183" s="566">
        <f>BH176+BH159</f>
        <v>89.372</v>
      </c>
      <c r="BI183" s="463"/>
      <c r="BJ183" s="463"/>
      <c r="BK183" s="439"/>
      <c r="BL183" s="463"/>
      <c r="BM183" s="566">
        <f>BM176+BM159</f>
        <v>85.718999999999994</v>
      </c>
      <c r="BN183" s="463"/>
      <c r="BO183" s="463"/>
      <c r="BP183" s="439"/>
      <c r="BQ183" s="463"/>
      <c r="BR183" s="566"/>
      <c r="BS183" s="463"/>
      <c r="BT183" s="463"/>
      <c r="BU183" s="463"/>
      <c r="BV183" s="463"/>
      <c r="BW183" s="566"/>
      <c r="BX183" s="461"/>
      <c r="BY183" s="461"/>
      <c r="BZ183" s="461"/>
      <c r="CA183" s="461"/>
      <c r="CB183" s="566"/>
      <c r="CC183" s="461"/>
      <c r="CD183" s="461"/>
      <c r="CE183" s="461"/>
      <c r="CF183" s="461"/>
      <c r="CG183" s="566"/>
      <c r="CH183" s="461"/>
      <c r="CI183" s="461"/>
      <c r="CJ183" s="461"/>
      <c r="CK183" s="461"/>
      <c r="CL183" s="566"/>
      <c r="CM183" s="461"/>
      <c r="CN183" s="461"/>
      <c r="CO183" s="461"/>
      <c r="CP183" s="461"/>
      <c r="CQ183" s="566"/>
    </row>
    <row r="184" spans="5:95" ht="13.5" hidden="1" x14ac:dyDescent="0.25">
      <c r="E184" s="91" t="s">
        <v>2</v>
      </c>
      <c r="F184" s="562"/>
      <c r="G184" s="562"/>
      <c r="H184" s="562"/>
      <c r="I184" s="562"/>
      <c r="J184" s="562"/>
      <c r="K184" s="461"/>
      <c r="L184" s="461"/>
      <c r="M184" s="461"/>
      <c r="N184" s="461"/>
      <c r="O184" s="562"/>
      <c r="P184" s="461"/>
      <c r="Q184" s="461"/>
      <c r="R184" s="461"/>
      <c r="S184" s="461"/>
      <c r="T184" s="562"/>
      <c r="U184" s="461"/>
      <c r="V184" s="461"/>
      <c r="W184" s="461"/>
      <c r="X184" s="461"/>
      <c r="Y184" s="562"/>
      <c r="Z184" s="461"/>
      <c r="AA184" s="461"/>
      <c r="AB184" s="461"/>
      <c r="AC184" s="461"/>
      <c r="AD184" s="562"/>
      <c r="AE184" s="461"/>
      <c r="AF184" s="461"/>
      <c r="AG184" s="461"/>
      <c r="AH184" s="461"/>
      <c r="AI184" s="562"/>
      <c r="AJ184" s="463"/>
      <c r="AK184" s="463"/>
      <c r="AL184" s="463"/>
      <c r="AM184" s="463"/>
      <c r="AN184" s="562"/>
      <c r="AO184" s="463"/>
      <c r="AP184" s="463"/>
      <c r="AQ184" s="463"/>
      <c r="AR184" s="463"/>
      <c r="AS184" s="562"/>
      <c r="AT184" s="463"/>
      <c r="AU184" s="463"/>
      <c r="AV184" s="463"/>
      <c r="AW184" s="463"/>
      <c r="AX184" s="562"/>
      <c r="AY184" s="463"/>
      <c r="AZ184" s="463"/>
      <c r="BA184" s="463"/>
      <c r="BB184" s="463"/>
      <c r="BC184" s="562"/>
      <c r="BD184" s="463"/>
      <c r="BE184" s="463"/>
      <c r="BF184" s="463"/>
      <c r="BG184" s="463"/>
      <c r="BH184" s="562"/>
      <c r="BI184" s="463"/>
      <c r="BJ184" s="463"/>
      <c r="BK184" s="183"/>
      <c r="BL184" s="463"/>
      <c r="BM184" s="525">
        <f>BM183/BH183-1</f>
        <v>-4.0874099270465036E-2</v>
      </c>
      <c r="BN184" s="463"/>
      <c r="BO184" s="463"/>
      <c r="BP184" s="183"/>
      <c r="BQ184" s="463"/>
      <c r="BR184" s="525"/>
      <c r="BS184" s="463"/>
      <c r="BT184" s="463"/>
      <c r="BU184" s="463"/>
      <c r="BV184" s="463"/>
      <c r="BW184" s="525"/>
      <c r="BX184" s="461"/>
      <c r="BY184" s="461"/>
      <c r="BZ184" s="461"/>
      <c r="CA184" s="461"/>
      <c r="CB184" s="525"/>
      <c r="CC184" s="461"/>
      <c r="CD184" s="461"/>
      <c r="CE184" s="461"/>
      <c r="CF184" s="461"/>
      <c r="CG184" s="525"/>
      <c r="CH184" s="461"/>
      <c r="CI184" s="461"/>
      <c r="CJ184" s="461"/>
      <c r="CK184" s="461"/>
      <c r="CL184" s="525"/>
      <c r="CM184" s="461"/>
      <c r="CN184" s="461"/>
      <c r="CO184" s="461"/>
      <c r="CP184" s="461"/>
      <c r="CQ184" s="641"/>
    </row>
    <row r="185" spans="5:95" ht="13.5" hidden="1" x14ac:dyDescent="0.25">
      <c r="E185" s="54" t="s">
        <v>278</v>
      </c>
      <c r="F185" s="562"/>
      <c r="G185" s="562"/>
      <c r="H185" s="562"/>
      <c r="I185" s="562"/>
      <c r="J185" s="562"/>
      <c r="K185" s="461"/>
      <c r="L185" s="461"/>
      <c r="M185" s="461"/>
      <c r="N185" s="461"/>
      <c r="O185" s="562"/>
      <c r="P185" s="461"/>
      <c r="Q185" s="461"/>
      <c r="R185" s="461"/>
      <c r="S185" s="461"/>
      <c r="T185" s="562"/>
      <c r="U185" s="461"/>
      <c r="V185" s="461"/>
      <c r="W185" s="461"/>
      <c r="X185" s="461"/>
      <c r="Y185" s="562"/>
      <c r="Z185" s="461"/>
      <c r="AA185" s="461"/>
      <c r="AB185" s="461"/>
      <c r="AC185" s="461"/>
      <c r="AD185" s="562"/>
      <c r="AE185" s="461"/>
      <c r="AF185" s="461"/>
      <c r="AG185" s="461"/>
      <c r="AH185" s="461"/>
      <c r="AI185" s="562"/>
      <c r="AJ185" s="463"/>
      <c r="AK185" s="463"/>
      <c r="AL185" s="463"/>
      <c r="AM185" s="463"/>
      <c r="AN185" s="562"/>
      <c r="AO185" s="463"/>
      <c r="AP185" s="463"/>
      <c r="AQ185" s="463"/>
      <c r="AR185" s="463"/>
      <c r="AS185" s="562"/>
      <c r="AT185" s="463"/>
      <c r="AU185" s="463"/>
      <c r="AV185" s="463"/>
      <c r="AW185" s="463"/>
      <c r="AX185" s="562"/>
      <c r="AY185" s="463"/>
      <c r="AZ185" s="463"/>
      <c r="BA185" s="463"/>
      <c r="BB185" s="463"/>
      <c r="BC185" s="562"/>
      <c r="BD185" s="463"/>
      <c r="BE185" s="463"/>
      <c r="BF185" s="463"/>
      <c r="BG185" s="463"/>
      <c r="BH185" s="566">
        <f>BH177+BH166</f>
        <v>-1.234</v>
      </c>
      <c r="BI185" s="463"/>
      <c r="BJ185" s="463"/>
      <c r="BK185" s="463"/>
      <c r="BL185" s="463"/>
      <c r="BM185" s="566">
        <f>BM177+BM166</f>
        <v>2.6919999999999975</v>
      </c>
      <c r="BN185" s="463"/>
      <c r="BO185" s="463"/>
      <c r="BP185" s="463"/>
      <c r="BQ185" s="463"/>
      <c r="BR185" s="566"/>
      <c r="BS185" s="463"/>
      <c r="BT185" s="463"/>
      <c r="BU185" s="463"/>
      <c r="BV185" s="463"/>
      <c r="BW185" s="566"/>
      <c r="BX185" s="461"/>
      <c r="BY185" s="461"/>
      <c r="BZ185" s="461"/>
      <c r="CA185" s="461"/>
      <c r="CB185" s="566"/>
      <c r="CC185" s="461"/>
      <c r="CD185" s="461"/>
      <c r="CE185" s="461"/>
      <c r="CF185" s="461"/>
      <c r="CG185" s="566"/>
      <c r="CH185" s="461"/>
      <c r="CI185" s="461"/>
      <c r="CJ185" s="461"/>
      <c r="CK185" s="461"/>
      <c r="CL185" s="566"/>
      <c r="CM185" s="461"/>
      <c r="CN185" s="461"/>
      <c r="CO185" s="461"/>
      <c r="CP185" s="461"/>
      <c r="CQ185" s="566"/>
    </row>
    <row r="186" spans="5:95" ht="13.5" hidden="1" x14ac:dyDescent="0.25">
      <c r="E186" s="91" t="s">
        <v>2</v>
      </c>
      <c r="F186" s="562"/>
      <c r="G186" s="562"/>
      <c r="H186" s="562"/>
      <c r="I186" s="562"/>
      <c r="J186" s="562"/>
      <c r="K186" s="461"/>
      <c r="L186" s="461"/>
      <c r="M186" s="461"/>
      <c r="N186" s="461"/>
      <c r="O186" s="562"/>
      <c r="P186" s="461"/>
      <c r="Q186" s="461"/>
      <c r="R186" s="461"/>
      <c r="S186" s="461"/>
      <c r="T186" s="562"/>
      <c r="U186" s="461"/>
      <c r="V186" s="461"/>
      <c r="W186" s="461"/>
      <c r="X186" s="461"/>
      <c r="Y186" s="562"/>
      <c r="Z186" s="461"/>
      <c r="AA186" s="461"/>
      <c r="AB186" s="461"/>
      <c r="AC186" s="461"/>
      <c r="AD186" s="562"/>
      <c r="AE186" s="461"/>
      <c r="AF186" s="461"/>
      <c r="AG186" s="461"/>
      <c r="AH186" s="461"/>
      <c r="AI186" s="562"/>
      <c r="AJ186" s="463"/>
      <c r="AK186" s="463"/>
      <c r="AL186" s="463"/>
      <c r="AM186" s="463"/>
      <c r="AN186" s="562"/>
      <c r="AO186" s="463"/>
      <c r="AP186" s="463"/>
      <c r="AQ186" s="463"/>
      <c r="AR186" s="463"/>
      <c r="AS186" s="562"/>
      <c r="AT186" s="463"/>
      <c r="AU186" s="463"/>
      <c r="AV186" s="463"/>
      <c r="AW186" s="463"/>
      <c r="AX186" s="562"/>
      <c r="AY186" s="463"/>
      <c r="AZ186" s="463"/>
      <c r="BA186" s="463"/>
      <c r="BB186" s="463"/>
      <c r="BC186" s="562"/>
      <c r="BD186" s="463"/>
      <c r="BE186" s="463"/>
      <c r="BF186" s="463"/>
      <c r="BG186" s="463"/>
      <c r="BH186" s="562"/>
      <c r="BI186" s="463"/>
      <c r="BJ186" s="463"/>
      <c r="BK186" s="463"/>
      <c r="BL186" s="463"/>
      <c r="BM186" s="525">
        <f>BM185/BH185-1</f>
        <v>-3.1815235008103708</v>
      </c>
      <c r="BN186" s="463"/>
      <c r="BO186" s="463"/>
      <c r="BP186" s="463"/>
      <c r="BQ186" s="463"/>
      <c r="BR186" s="525"/>
      <c r="BS186" s="463"/>
      <c r="BT186" s="463"/>
      <c r="BU186" s="463"/>
      <c r="BV186" s="463"/>
      <c r="BW186" s="525"/>
      <c r="BX186" s="461"/>
      <c r="BY186" s="461"/>
      <c r="BZ186" s="461"/>
      <c r="CA186" s="461"/>
      <c r="CB186" s="525"/>
      <c r="CC186" s="461"/>
      <c r="CD186" s="461"/>
      <c r="CE186" s="461"/>
      <c r="CF186" s="461"/>
      <c r="CG186" s="525"/>
      <c r="CH186" s="461"/>
      <c r="CI186" s="461"/>
      <c r="CJ186" s="461"/>
      <c r="CK186" s="461"/>
      <c r="CL186" s="525"/>
      <c r="CM186" s="461"/>
      <c r="CN186" s="461"/>
      <c r="CO186" s="461"/>
      <c r="CP186" s="461"/>
      <c r="CQ186" s="641"/>
    </row>
    <row r="187" spans="5:95" ht="13.5" hidden="1" x14ac:dyDescent="0.25">
      <c r="E187" s="298" t="s">
        <v>566</v>
      </c>
      <c r="F187" s="566"/>
      <c r="G187" s="566"/>
      <c r="H187" s="566"/>
      <c r="I187" s="566"/>
      <c r="J187" s="566"/>
      <c r="K187" s="185"/>
      <c r="L187" s="185"/>
      <c r="M187" s="185"/>
      <c r="N187" s="185"/>
      <c r="O187" s="566"/>
      <c r="P187" s="185"/>
      <c r="Q187" s="185"/>
      <c r="R187" s="185"/>
      <c r="S187" s="185"/>
      <c r="T187" s="566"/>
      <c r="U187" s="185"/>
      <c r="V187" s="185"/>
      <c r="W187" s="185"/>
      <c r="X187" s="185"/>
      <c r="Y187" s="566"/>
      <c r="Z187" s="443"/>
      <c r="AA187" s="443"/>
      <c r="AB187" s="443"/>
      <c r="AC187" s="443"/>
      <c r="AD187" s="566"/>
      <c r="AE187" s="443"/>
      <c r="AF187" s="443"/>
      <c r="AG187" s="443"/>
      <c r="AH187" s="443"/>
      <c r="AI187" s="513"/>
      <c r="AJ187" s="139"/>
      <c r="AK187" s="139"/>
      <c r="AL187" s="139"/>
      <c r="AM187" s="139"/>
      <c r="AN187" s="513"/>
      <c r="AO187" s="139"/>
      <c r="AP187" s="139"/>
      <c r="AQ187" s="139"/>
      <c r="AR187" s="185"/>
      <c r="AS187" s="566"/>
      <c r="AT187" s="298"/>
      <c r="AU187" s="298"/>
      <c r="AV187" s="298"/>
      <c r="AW187" s="298"/>
      <c r="AX187" s="576"/>
      <c r="AY187" s="298"/>
      <c r="AZ187" s="298"/>
      <c r="BA187" s="298"/>
      <c r="BB187" s="298"/>
      <c r="BC187" s="576"/>
      <c r="BD187" s="298"/>
      <c r="BE187" s="298"/>
      <c r="BF187" s="298"/>
      <c r="BG187" s="298"/>
      <c r="BH187" s="576" t="e">
        <f>SUM(BH181,BH183,BH185)</f>
        <v>#REF!</v>
      </c>
      <c r="BI187" s="298">
        <f>BI205-BI196</f>
        <v>52.437999999999974</v>
      </c>
      <c r="BJ187" s="298">
        <f>BJ205-BJ196</f>
        <v>57.246999999999957</v>
      </c>
      <c r="BK187" s="298">
        <f>BK205-BK196</f>
        <v>58.397000000000048</v>
      </c>
      <c r="BL187" s="298">
        <f>BL205-BL196</f>
        <v>62.071000000000026</v>
      </c>
      <c r="BM187" s="540" t="e">
        <f>#REF!+BM178+BM107-Income!BM46</f>
        <v>#REF!</v>
      </c>
      <c r="BN187" s="298"/>
      <c r="BO187" s="298"/>
      <c r="BP187" s="298"/>
      <c r="BQ187" s="298"/>
      <c r="BR187" s="576"/>
      <c r="BS187" s="298"/>
      <c r="BT187" s="298"/>
      <c r="BU187" s="298"/>
      <c r="BV187" s="298"/>
      <c r="BW187" s="576"/>
      <c r="BX187" s="298"/>
      <c r="BY187" s="298"/>
      <c r="BZ187" s="298"/>
      <c r="CA187" s="298"/>
      <c r="CB187" s="540"/>
      <c r="CC187" s="298"/>
      <c r="CD187" s="298"/>
      <c r="CE187" s="298"/>
      <c r="CF187" s="298"/>
      <c r="CG187" s="540"/>
      <c r="CH187" s="298"/>
      <c r="CI187" s="298"/>
      <c r="CJ187" s="298"/>
      <c r="CK187" s="298"/>
      <c r="CL187" s="540"/>
      <c r="CM187" s="298"/>
      <c r="CN187" s="298"/>
      <c r="CO187" s="298"/>
      <c r="CP187" s="298"/>
      <c r="CQ187" s="540"/>
    </row>
    <row r="188" spans="5:95" ht="13.5" hidden="1" x14ac:dyDescent="0.25">
      <c r="E188" s="356" t="s">
        <v>2</v>
      </c>
      <c r="F188" s="566"/>
      <c r="G188" s="566"/>
      <c r="H188" s="566"/>
      <c r="I188" s="566"/>
      <c r="J188" s="566"/>
      <c r="K188" s="185"/>
      <c r="L188" s="185"/>
      <c r="M188" s="185"/>
      <c r="N188" s="185"/>
      <c r="O188" s="566"/>
      <c r="P188" s="185"/>
      <c r="Q188" s="185"/>
      <c r="R188" s="185"/>
      <c r="S188" s="185"/>
      <c r="T188" s="566"/>
      <c r="U188" s="185"/>
      <c r="V188" s="185"/>
      <c r="W188" s="185"/>
      <c r="X188" s="185"/>
      <c r="Y188" s="566"/>
      <c r="Z188" s="443"/>
      <c r="AA188" s="443"/>
      <c r="AB188" s="443"/>
      <c r="AC188" s="443"/>
      <c r="AD188" s="566"/>
      <c r="AE188" s="443"/>
      <c r="AF188" s="443"/>
      <c r="AG188" s="443"/>
      <c r="AH188" s="443"/>
      <c r="AI188" s="513"/>
      <c r="AJ188" s="139"/>
      <c r="AK188" s="139"/>
      <c r="AL188" s="139"/>
      <c r="AM188" s="139"/>
      <c r="AN188" s="513"/>
      <c r="AO188" s="139"/>
      <c r="AP188" s="139"/>
      <c r="AQ188" s="139"/>
      <c r="AR188" s="185"/>
      <c r="AS188" s="566"/>
      <c r="AT188" s="298"/>
      <c r="AU188" s="298"/>
      <c r="AV188" s="298"/>
      <c r="AW188" s="298"/>
      <c r="AX188" s="576"/>
      <c r="AY188" s="298"/>
      <c r="AZ188" s="298"/>
      <c r="BA188" s="298"/>
      <c r="BB188" s="298"/>
      <c r="BC188" s="576"/>
      <c r="BD188" s="298"/>
      <c r="BE188" s="298"/>
      <c r="BF188" s="298"/>
      <c r="BG188" s="298"/>
      <c r="BH188" s="525"/>
      <c r="BI188" s="32"/>
      <c r="BJ188" s="32"/>
      <c r="BK188" s="32"/>
      <c r="BL188" s="32"/>
      <c r="BM188" s="525" t="e">
        <f>(BM187-BH187)/ABS(BH187)</f>
        <v>#REF!</v>
      </c>
      <c r="BN188" s="32"/>
      <c r="BO188" s="32"/>
      <c r="BP188" s="32"/>
      <c r="BQ188" s="32"/>
      <c r="BR188" s="525"/>
      <c r="BS188" s="32"/>
      <c r="BT188" s="32"/>
      <c r="BU188" s="32"/>
      <c r="BV188" s="32"/>
      <c r="BW188" s="525"/>
      <c r="BX188" s="32"/>
      <c r="BY188" s="32"/>
      <c r="BZ188" s="32"/>
      <c r="CA188" s="32"/>
      <c r="CB188" s="525"/>
      <c r="CC188" s="32"/>
      <c r="CD188" s="32"/>
      <c r="CE188" s="32"/>
      <c r="CF188" s="32"/>
      <c r="CG188" s="525"/>
      <c r="CH188" s="32"/>
      <c r="CI188" s="32"/>
      <c r="CJ188" s="32"/>
      <c r="CK188" s="32"/>
      <c r="CL188" s="525"/>
      <c r="CM188" s="32"/>
      <c r="CN188" s="32"/>
      <c r="CO188" s="32"/>
      <c r="CP188" s="32"/>
      <c r="CQ188" s="641"/>
    </row>
    <row r="189" spans="5:95" ht="13.5" hidden="1" x14ac:dyDescent="0.25">
      <c r="E189" s="356" t="s">
        <v>91</v>
      </c>
      <c r="F189" s="566"/>
      <c r="G189" s="566"/>
      <c r="H189" s="566"/>
      <c r="I189" s="566"/>
      <c r="J189" s="566"/>
      <c r="K189" s="185"/>
      <c r="L189" s="185"/>
      <c r="M189" s="185"/>
      <c r="N189" s="185"/>
      <c r="O189" s="566"/>
      <c r="P189" s="185"/>
      <c r="Q189" s="185"/>
      <c r="R189" s="185"/>
      <c r="S189" s="185"/>
      <c r="T189" s="566"/>
      <c r="U189" s="185"/>
      <c r="V189" s="185"/>
      <c r="W189" s="185"/>
      <c r="X189" s="185"/>
      <c r="Y189" s="566"/>
      <c r="Z189" s="443"/>
      <c r="AA189" s="443"/>
      <c r="AB189" s="443"/>
      <c r="AC189" s="443"/>
      <c r="AD189" s="566"/>
      <c r="AE189" s="443"/>
      <c r="AF189" s="443"/>
      <c r="AG189" s="443"/>
      <c r="AH189" s="443"/>
      <c r="AI189" s="513"/>
      <c r="AJ189" s="139"/>
      <c r="AK189" s="139"/>
      <c r="AL189" s="139"/>
      <c r="AM189" s="139"/>
      <c r="AN189" s="513"/>
      <c r="AO189" s="139"/>
      <c r="AP189" s="139"/>
      <c r="AQ189" s="139"/>
      <c r="AR189" s="185"/>
      <c r="AS189" s="566"/>
      <c r="AT189" s="298"/>
      <c r="AU189" s="298"/>
      <c r="AV189" s="298"/>
      <c r="AW189" s="298"/>
      <c r="AX189" s="576"/>
      <c r="AY189" s="298"/>
      <c r="AZ189" s="298"/>
      <c r="BA189" s="298"/>
      <c r="BB189" s="298"/>
      <c r="BC189" s="576"/>
      <c r="BD189" s="298"/>
      <c r="BE189" s="298"/>
      <c r="BF189" s="298"/>
      <c r="BG189" s="298"/>
      <c r="BH189" s="525" t="e">
        <f>BH187/'Audience Solutions'!BH65</f>
        <v>#REF!</v>
      </c>
      <c r="BI189" s="32">
        <f>BI187/'Audience Solutions'!BI65</f>
        <v>0.19699240776429125</v>
      </c>
      <c r="BJ189" s="32">
        <f>BJ187/'Audience Solutions'!BJ65</f>
        <v>0.20721320732179618</v>
      </c>
      <c r="BK189" s="32">
        <f>BK187/'Audience Solutions'!BK65</f>
        <v>0.21015715812619451</v>
      </c>
      <c r="BL189" s="32">
        <f>BL187/'Audience Solutions'!BL65</f>
        <v>0.2239148942310468</v>
      </c>
      <c r="BM189" s="525" t="e">
        <f>BM187/'Audience Solutions'!BM65</f>
        <v>#REF!</v>
      </c>
      <c r="BN189" s="32"/>
      <c r="BO189" s="32"/>
      <c r="BP189" s="32"/>
      <c r="BQ189" s="32"/>
      <c r="BR189" s="525"/>
      <c r="BS189" s="32"/>
      <c r="BT189" s="32"/>
      <c r="BU189" s="32"/>
      <c r="BV189" s="32"/>
      <c r="BW189" s="525"/>
      <c r="BX189" s="32"/>
      <c r="BY189" s="32"/>
      <c r="BZ189" s="32"/>
      <c r="CA189" s="32"/>
      <c r="CB189" s="525"/>
      <c r="CC189" s="32"/>
      <c r="CD189" s="32"/>
      <c r="CE189" s="32"/>
      <c r="CF189" s="32"/>
      <c r="CG189" s="525"/>
      <c r="CH189" s="32"/>
      <c r="CI189" s="32"/>
      <c r="CJ189" s="32"/>
      <c r="CK189" s="32"/>
      <c r="CL189" s="525"/>
      <c r="CM189" s="32"/>
      <c r="CN189" s="32"/>
      <c r="CO189" s="32"/>
      <c r="CP189" s="32"/>
      <c r="CQ189" s="641"/>
    </row>
    <row r="190" spans="5:95" hidden="1" x14ac:dyDescent="0.25">
      <c r="E190" s="54"/>
      <c r="F190" s="566"/>
      <c r="G190" s="566"/>
      <c r="H190" s="566"/>
      <c r="I190" s="566"/>
      <c r="J190" s="566"/>
      <c r="K190" s="122"/>
      <c r="L190" s="122"/>
      <c r="M190" s="122"/>
      <c r="N190" s="122"/>
      <c r="O190" s="566"/>
      <c r="P190" s="122"/>
      <c r="Q190" s="122"/>
      <c r="R190" s="122"/>
      <c r="S190" s="122"/>
      <c r="T190" s="566"/>
      <c r="U190" s="122"/>
      <c r="V190" s="122"/>
      <c r="W190" s="122"/>
      <c r="X190" s="122"/>
      <c r="Y190" s="566"/>
      <c r="Z190" s="128"/>
      <c r="AA190" s="128"/>
      <c r="AB190" s="128"/>
      <c r="AC190" s="128"/>
      <c r="AD190" s="566"/>
      <c r="AE190" s="128"/>
      <c r="AF190" s="128"/>
      <c r="AG190" s="128"/>
      <c r="AH190" s="128"/>
      <c r="AI190" s="513"/>
      <c r="AJ190" s="85"/>
      <c r="AK190" s="85"/>
      <c r="AL190" s="85"/>
      <c r="AM190" s="85"/>
      <c r="AN190" s="513"/>
      <c r="AO190" s="85"/>
      <c r="AP190" s="85"/>
      <c r="AQ190" s="85"/>
      <c r="AR190" s="364"/>
      <c r="AS190" s="566"/>
      <c r="AT190" s="439"/>
      <c r="AU190" s="439"/>
      <c r="AV190" s="439"/>
      <c r="AW190" s="439"/>
      <c r="AX190" s="568"/>
      <c r="AY190" s="439"/>
      <c r="AZ190" s="439"/>
      <c r="BA190" s="439"/>
      <c r="BB190" s="408"/>
      <c r="BC190" s="568"/>
      <c r="BD190" s="408"/>
      <c r="BE190" s="408"/>
      <c r="BF190" s="408"/>
      <c r="BG190" s="408"/>
      <c r="BH190" s="568"/>
      <c r="BI190" s="408"/>
      <c r="BJ190" s="408"/>
      <c r="BK190" s="408"/>
      <c r="BL190" s="408"/>
      <c r="BM190" s="568"/>
      <c r="BN190" s="408"/>
      <c r="BO190" s="408"/>
      <c r="BP190" s="408"/>
      <c r="BQ190" s="408"/>
      <c r="BR190" s="568"/>
      <c r="BS190" s="408"/>
      <c r="BT190" s="408"/>
      <c r="BU190" s="408"/>
      <c r="BV190" s="408"/>
      <c r="BW190" s="568"/>
      <c r="BX190" s="408"/>
      <c r="BY190" s="408"/>
      <c r="BZ190" s="408"/>
      <c r="CA190" s="408"/>
      <c r="CB190" s="568"/>
      <c r="CC190" s="408"/>
      <c r="CD190" s="408"/>
      <c r="CE190" s="408"/>
      <c r="CF190" s="408"/>
      <c r="CG190" s="568"/>
      <c r="CH190" s="408"/>
      <c r="CI190" s="408"/>
      <c r="CJ190" s="408"/>
      <c r="CK190" s="408"/>
      <c r="CL190" s="568"/>
      <c r="CM190" s="408"/>
      <c r="CN190" s="408"/>
      <c r="CO190" s="408"/>
      <c r="CP190" s="408"/>
      <c r="CQ190" s="568"/>
    </row>
    <row r="191" spans="5:95" ht="13.5" hidden="1" x14ac:dyDescent="0.25">
      <c r="E191" s="462" t="s">
        <v>314</v>
      </c>
      <c r="F191" s="562"/>
      <c r="G191" s="562"/>
      <c r="H191" s="562"/>
      <c r="I191" s="562"/>
      <c r="J191" s="562"/>
      <c r="K191" s="461"/>
      <c r="L191" s="461"/>
      <c r="M191" s="461"/>
      <c r="N191" s="461"/>
      <c r="O191" s="562"/>
      <c r="P191" s="461"/>
      <c r="Q191" s="461"/>
      <c r="R191" s="461"/>
      <c r="S191" s="461"/>
      <c r="T191" s="562"/>
      <c r="U191" s="461"/>
      <c r="V191" s="461"/>
      <c r="W191" s="461"/>
      <c r="X191" s="461"/>
      <c r="Y191" s="562"/>
      <c r="Z191" s="461"/>
      <c r="AA191" s="461"/>
      <c r="AB191" s="461"/>
      <c r="AC191" s="461"/>
      <c r="AD191" s="562"/>
      <c r="AE191" s="461"/>
      <c r="AF191" s="461"/>
      <c r="AG191" s="461"/>
      <c r="AH191" s="461"/>
      <c r="AI191" s="562"/>
      <c r="AJ191" s="463"/>
      <c r="AK191" s="463"/>
      <c r="AL191" s="463"/>
      <c r="AM191" s="463"/>
      <c r="AN191" s="562"/>
      <c r="AO191" s="463"/>
      <c r="AP191" s="463"/>
      <c r="AQ191" s="463"/>
      <c r="AR191" s="463"/>
      <c r="AS191" s="562"/>
      <c r="AT191" s="463"/>
      <c r="AU191" s="463"/>
      <c r="AV191" s="463"/>
      <c r="AW191" s="463"/>
      <c r="AX191" s="562"/>
      <c r="AY191" s="463"/>
      <c r="AZ191" s="463"/>
      <c r="BA191" s="463"/>
      <c r="BB191" s="463"/>
      <c r="BC191" s="562"/>
      <c r="BD191" s="463"/>
      <c r="BE191" s="463"/>
      <c r="BF191" s="463"/>
      <c r="BG191" s="463"/>
      <c r="BH191" s="562" t="e">
        <f>Income!BH132-BH187</f>
        <v>#REF!</v>
      </c>
      <c r="BI191" s="463"/>
      <c r="BJ191" s="463"/>
      <c r="BK191" s="463"/>
      <c r="BL191" s="463"/>
      <c r="BM191" s="562" t="e">
        <f>Income!BM132-BM187</f>
        <v>#REF!</v>
      </c>
      <c r="BN191" s="463"/>
      <c r="BO191" s="463"/>
      <c r="BP191" s="463"/>
      <c r="BQ191" s="463"/>
      <c r="BR191" s="562"/>
      <c r="BS191" s="463"/>
      <c r="BT191" s="463"/>
      <c r="BU191" s="463"/>
      <c r="BV191" s="463"/>
      <c r="BW191" s="562"/>
      <c r="BX191" s="463"/>
      <c r="BY191" s="463"/>
      <c r="BZ191" s="463"/>
      <c r="CA191" s="463"/>
      <c r="CB191" s="562"/>
      <c r="CC191" s="463"/>
      <c r="CD191" s="463"/>
      <c r="CE191" s="463"/>
      <c r="CF191" s="463"/>
      <c r="CG191" s="562"/>
      <c r="CH191" s="463"/>
      <c r="CI191" s="463"/>
      <c r="CJ191" s="463"/>
      <c r="CK191" s="463"/>
      <c r="CL191" s="562"/>
      <c r="CM191" s="463"/>
      <c r="CN191" s="463"/>
      <c r="CO191" s="463"/>
      <c r="CP191" s="463"/>
      <c r="CQ191" s="644"/>
    </row>
    <row r="192" spans="5:95" ht="13.5" hidden="1" x14ac:dyDescent="0.25">
      <c r="E192" s="365" t="s">
        <v>578</v>
      </c>
      <c r="F192" s="562"/>
      <c r="G192" s="562"/>
      <c r="H192" s="562"/>
      <c r="I192" s="562"/>
      <c r="J192" s="562"/>
      <c r="K192" s="461"/>
      <c r="L192" s="461"/>
      <c r="M192" s="461"/>
      <c r="N192" s="461"/>
      <c r="O192" s="562"/>
      <c r="P192" s="461"/>
      <c r="Q192" s="461"/>
      <c r="R192" s="461"/>
      <c r="S192" s="461"/>
      <c r="T192" s="562"/>
      <c r="U192" s="461"/>
      <c r="V192" s="461"/>
      <c r="W192" s="461"/>
      <c r="X192" s="461"/>
      <c r="Y192" s="562"/>
      <c r="Z192" s="461"/>
      <c r="AA192" s="461"/>
      <c r="AB192" s="461"/>
      <c r="AC192" s="461"/>
      <c r="AD192" s="562"/>
      <c r="AE192" s="461"/>
      <c r="AF192" s="461"/>
      <c r="AG192" s="461"/>
      <c r="AH192" s="461"/>
      <c r="AI192" s="562"/>
      <c r="AJ192" s="463"/>
      <c r="AK192" s="463"/>
      <c r="AL192" s="463"/>
      <c r="AM192" s="463"/>
      <c r="AN192" s="562"/>
      <c r="AO192" s="463"/>
      <c r="AP192" s="463"/>
      <c r="AQ192" s="463"/>
      <c r="AR192" s="463"/>
      <c r="AS192" s="562"/>
      <c r="AT192" s="463"/>
      <c r="AU192" s="463"/>
      <c r="AV192" s="463"/>
      <c r="AW192" s="463"/>
      <c r="AX192" s="562"/>
      <c r="AY192" s="463"/>
      <c r="AZ192" s="463"/>
      <c r="BA192" s="463"/>
      <c r="BB192" s="463"/>
      <c r="BC192" s="562"/>
      <c r="BD192" s="463"/>
      <c r="BE192" s="463"/>
      <c r="BF192" s="463"/>
      <c r="BG192" s="463"/>
      <c r="BH192" s="562"/>
      <c r="BI192" s="463"/>
      <c r="BJ192" s="463"/>
      <c r="BK192" s="463"/>
      <c r="BL192" s="463"/>
      <c r="BM192" s="562"/>
      <c r="BN192" s="463"/>
      <c r="BO192" s="463"/>
      <c r="BP192" s="463"/>
      <c r="BQ192" s="463"/>
      <c r="BR192" s="562"/>
      <c r="BS192" s="463"/>
      <c r="BT192" s="463"/>
      <c r="BU192" s="463"/>
      <c r="BV192" s="463"/>
      <c r="BW192" s="562"/>
      <c r="BX192" s="461"/>
      <c r="BY192" s="461"/>
      <c r="BZ192" s="461"/>
      <c r="CA192" s="461"/>
      <c r="CB192" s="562"/>
      <c r="CC192" s="461"/>
      <c r="CD192" s="461"/>
      <c r="CE192" s="461"/>
      <c r="CF192" s="461"/>
      <c r="CG192" s="562"/>
      <c r="CH192" s="461"/>
      <c r="CI192" s="461"/>
      <c r="CJ192" s="461"/>
      <c r="CK192" s="461"/>
      <c r="CL192" s="562"/>
      <c r="CM192" s="461"/>
      <c r="CN192" s="461"/>
      <c r="CO192" s="461"/>
      <c r="CP192" s="461"/>
      <c r="CQ192" s="644"/>
    </row>
    <row r="193" spans="5:95" ht="13.5" hidden="1" x14ac:dyDescent="0.25">
      <c r="E193" s="54" t="s">
        <v>447</v>
      </c>
      <c r="F193" s="562"/>
      <c r="G193" s="562"/>
      <c r="H193" s="562"/>
      <c r="I193" s="562"/>
      <c r="J193" s="562"/>
      <c r="K193" s="461"/>
      <c r="L193" s="461"/>
      <c r="M193" s="461"/>
      <c r="N193" s="461"/>
      <c r="O193" s="562"/>
      <c r="P193" s="461"/>
      <c r="Q193" s="461"/>
      <c r="R193" s="461"/>
      <c r="S193" s="461"/>
      <c r="T193" s="562"/>
      <c r="U193" s="461"/>
      <c r="V193" s="461"/>
      <c r="W193" s="461"/>
      <c r="X193" s="461"/>
      <c r="Y193" s="562"/>
      <c r="Z193" s="461"/>
      <c r="AA193" s="461"/>
      <c r="AB193" s="461"/>
      <c r="AC193" s="461"/>
      <c r="AD193" s="562"/>
      <c r="AE193" s="461"/>
      <c r="AF193" s="461"/>
      <c r="AG193" s="461"/>
      <c r="AH193" s="461"/>
      <c r="AI193" s="562"/>
      <c r="AJ193" s="463"/>
      <c r="AK193" s="463"/>
      <c r="AL193" s="463"/>
      <c r="AM193" s="463"/>
      <c r="AN193" s="562"/>
      <c r="AO193" s="463"/>
      <c r="AP193" s="463"/>
      <c r="AQ193" s="463"/>
      <c r="AR193" s="463"/>
      <c r="AS193" s="562"/>
      <c r="AT193" s="463"/>
      <c r="AU193" s="463"/>
      <c r="AV193" s="463"/>
      <c r="AW193" s="463"/>
      <c r="AX193" s="562"/>
      <c r="AY193" s="463"/>
      <c r="AZ193" s="463"/>
      <c r="BA193" s="463"/>
      <c r="BB193" s="463"/>
      <c r="BC193" s="566"/>
      <c r="BD193" s="463"/>
      <c r="BE193" s="463"/>
      <c r="BF193" s="463"/>
      <c r="BG193" s="463"/>
      <c r="BH193" s="566"/>
      <c r="BI193" s="463"/>
      <c r="BJ193" s="463"/>
      <c r="BK193" s="417"/>
      <c r="BL193" s="463"/>
      <c r="BM193" s="566"/>
      <c r="BN193" s="463"/>
      <c r="BO193" s="463"/>
      <c r="BP193" s="417"/>
      <c r="BQ193" s="463"/>
      <c r="BR193" s="566"/>
      <c r="BS193" s="463"/>
      <c r="BT193" s="463"/>
      <c r="BU193" s="463"/>
      <c r="BV193" s="463"/>
      <c r="BW193" s="566"/>
      <c r="BX193" s="461"/>
      <c r="BY193" s="461"/>
      <c r="BZ193" s="461"/>
      <c r="CA193" s="461"/>
      <c r="CB193" s="566"/>
      <c r="CC193" s="461"/>
      <c r="CD193" s="461"/>
      <c r="CE193" s="461"/>
      <c r="CF193" s="461"/>
      <c r="CG193" s="566"/>
      <c r="CH193" s="461"/>
      <c r="CI193" s="461"/>
      <c r="CJ193" s="461"/>
      <c r="CK193" s="461"/>
      <c r="CL193" s="566"/>
      <c r="CM193" s="461"/>
      <c r="CN193" s="461"/>
      <c r="CO193" s="461"/>
      <c r="CP193" s="461"/>
      <c r="CQ193" s="566"/>
    </row>
    <row r="194" spans="5:95" ht="13.5" hidden="1" x14ac:dyDescent="0.25">
      <c r="E194" s="54" t="s">
        <v>448</v>
      </c>
      <c r="F194" s="562"/>
      <c r="G194" s="562"/>
      <c r="H194" s="562"/>
      <c r="I194" s="562"/>
      <c r="J194" s="562"/>
      <c r="K194" s="461"/>
      <c r="L194" s="461"/>
      <c r="M194" s="461"/>
      <c r="N194" s="461"/>
      <c r="O194" s="562"/>
      <c r="P194" s="461"/>
      <c r="Q194" s="461"/>
      <c r="R194" s="461"/>
      <c r="S194" s="461"/>
      <c r="T194" s="562"/>
      <c r="U194" s="461"/>
      <c r="V194" s="461"/>
      <c r="W194" s="461"/>
      <c r="X194" s="461"/>
      <c r="Y194" s="562"/>
      <c r="Z194" s="461"/>
      <c r="AA194" s="461"/>
      <c r="AB194" s="461"/>
      <c r="AC194" s="461"/>
      <c r="AD194" s="562"/>
      <c r="AE194" s="461"/>
      <c r="AF194" s="461"/>
      <c r="AG194" s="461"/>
      <c r="AH194" s="461"/>
      <c r="AI194" s="562"/>
      <c r="AJ194" s="463"/>
      <c r="AK194" s="463"/>
      <c r="AL194" s="463"/>
      <c r="AM194" s="463"/>
      <c r="AN194" s="562"/>
      <c r="AO194" s="463"/>
      <c r="AP194" s="463"/>
      <c r="AQ194" s="463"/>
      <c r="AR194" s="463"/>
      <c r="AS194" s="562"/>
      <c r="AT194" s="463"/>
      <c r="AU194" s="463"/>
      <c r="AV194" s="463"/>
      <c r="AW194" s="463"/>
      <c r="AX194" s="562"/>
      <c r="AY194" s="463"/>
      <c r="AZ194" s="463"/>
      <c r="BA194" s="463"/>
      <c r="BB194" s="463"/>
      <c r="BC194" s="566"/>
      <c r="BD194" s="463"/>
      <c r="BE194" s="463"/>
      <c r="BF194" s="463"/>
      <c r="BG194" s="463"/>
      <c r="BH194" s="566"/>
      <c r="BI194" s="463"/>
      <c r="BJ194" s="463"/>
      <c r="BK194" s="417"/>
      <c r="BL194" s="463"/>
      <c r="BM194" s="566"/>
      <c r="BN194" s="463"/>
      <c r="BO194" s="463"/>
      <c r="BP194" s="417"/>
      <c r="BQ194" s="463"/>
      <c r="BR194" s="566"/>
      <c r="BS194" s="463"/>
      <c r="BT194" s="463"/>
      <c r="BU194" s="463"/>
      <c r="BV194" s="463"/>
      <c r="BW194" s="566"/>
      <c r="BX194" s="461"/>
      <c r="BY194" s="461"/>
      <c r="BZ194" s="461"/>
      <c r="CA194" s="461"/>
      <c r="CB194" s="566"/>
      <c r="CC194" s="461"/>
      <c r="CD194" s="461"/>
      <c r="CE194" s="461"/>
      <c r="CF194" s="461"/>
      <c r="CG194" s="566"/>
      <c r="CH194" s="461"/>
      <c r="CI194" s="461"/>
      <c r="CJ194" s="461"/>
      <c r="CK194" s="461"/>
      <c r="CL194" s="566"/>
      <c r="CM194" s="461"/>
      <c r="CN194" s="461"/>
      <c r="CO194" s="461"/>
      <c r="CP194" s="461"/>
      <c r="CQ194" s="566"/>
    </row>
    <row r="195" spans="5:95" hidden="1" x14ac:dyDescent="0.25">
      <c r="E195" s="54" t="s">
        <v>278</v>
      </c>
      <c r="F195" s="566"/>
      <c r="G195" s="566"/>
      <c r="H195" s="566"/>
      <c r="I195" s="566"/>
      <c r="J195" s="566"/>
      <c r="K195" s="122"/>
      <c r="L195" s="122"/>
      <c r="M195" s="122"/>
      <c r="N195" s="122"/>
      <c r="O195" s="566"/>
      <c r="P195" s="122"/>
      <c r="Q195" s="122"/>
      <c r="R195" s="122"/>
      <c r="S195" s="122"/>
      <c r="T195" s="566"/>
      <c r="U195" s="122"/>
      <c r="V195" s="122"/>
      <c r="W195" s="122"/>
      <c r="X195" s="122"/>
      <c r="Y195" s="566"/>
      <c r="Z195" s="128"/>
      <c r="AA195" s="128"/>
      <c r="AB195" s="128"/>
      <c r="AC195" s="128"/>
      <c r="AD195" s="566"/>
      <c r="AE195" s="128"/>
      <c r="AF195" s="128"/>
      <c r="AG195" s="128"/>
      <c r="AH195" s="128"/>
      <c r="AI195" s="513"/>
      <c r="AJ195" s="85"/>
      <c r="AK195" s="85"/>
      <c r="AL195" s="85"/>
      <c r="AM195" s="85"/>
      <c r="AN195" s="513"/>
      <c r="AO195" s="85"/>
      <c r="AP195" s="85"/>
      <c r="AQ195" s="85"/>
      <c r="AR195" s="364"/>
      <c r="AS195" s="566"/>
      <c r="AT195" s="439"/>
      <c r="AU195" s="439"/>
      <c r="AV195" s="439"/>
      <c r="AW195" s="439"/>
      <c r="AX195" s="566"/>
      <c r="AY195" s="85"/>
      <c r="AZ195" s="85"/>
      <c r="BA195" s="85"/>
      <c r="BB195" s="85"/>
      <c r="BC195" s="566"/>
      <c r="BD195" s="85"/>
      <c r="BE195" s="439"/>
      <c r="BF195" s="439"/>
      <c r="BG195" s="439"/>
      <c r="BH195" s="566"/>
      <c r="BI195" s="439"/>
      <c r="BJ195" s="439"/>
      <c r="BK195" s="439"/>
      <c r="BL195" s="439"/>
      <c r="BM195" s="566"/>
      <c r="BN195" s="439"/>
      <c r="BO195" s="439"/>
      <c r="BP195" s="439"/>
      <c r="BQ195" s="439"/>
      <c r="BR195" s="566"/>
      <c r="BS195" s="439"/>
      <c r="BT195" s="439"/>
      <c r="BU195" s="439"/>
      <c r="BV195" s="439"/>
      <c r="BW195" s="566"/>
      <c r="BX195" s="439"/>
      <c r="BY195" s="439"/>
      <c r="BZ195" s="439"/>
      <c r="CA195" s="439"/>
      <c r="CB195" s="566"/>
      <c r="CC195" s="439"/>
      <c r="CD195" s="439"/>
      <c r="CE195" s="439"/>
      <c r="CF195" s="439"/>
      <c r="CG195" s="566"/>
      <c r="CH195" s="439"/>
      <c r="CI195" s="439"/>
      <c r="CJ195" s="439"/>
      <c r="CK195" s="439"/>
      <c r="CL195" s="566"/>
      <c r="CM195" s="439"/>
      <c r="CN195" s="439"/>
      <c r="CO195" s="439"/>
      <c r="CP195" s="439"/>
      <c r="CQ195" s="566"/>
    </row>
    <row r="196" spans="5:95" hidden="1" x14ac:dyDescent="0.25">
      <c r="E196" s="54" t="s">
        <v>579</v>
      </c>
      <c r="F196" s="566"/>
      <c r="G196" s="566"/>
      <c r="H196" s="566"/>
      <c r="I196" s="566"/>
      <c r="J196" s="566"/>
      <c r="K196" s="122"/>
      <c r="L196" s="122"/>
      <c r="M196" s="122"/>
      <c r="N196" s="122"/>
      <c r="O196" s="566"/>
      <c r="P196" s="122"/>
      <c r="Q196" s="122"/>
      <c r="R196" s="122"/>
      <c r="S196" s="122"/>
      <c r="T196" s="566"/>
      <c r="U196" s="122"/>
      <c r="V196" s="122"/>
      <c r="W196" s="122"/>
      <c r="X196" s="122"/>
      <c r="Y196" s="566"/>
      <c r="Z196" s="128"/>
      <c r="AA196" s="128"/>
      <c r="AB196" s="128"/>
      <c r="AC196" s="128"/>
      <c r="AD196" s="566"/>
      <c r="AE196" s="128"/>
      <c r="AF196" s="128"/>
      <c r="AG196" s="128"/>
      <c r="AH196" s="128"/>
      <c r="AI196" s="513"/>
      <c r="AJ196" s="85"/>
      <c r="AK196" s="85"/>
      <c r="AL196" s="85"/>
      <c r="AM196" s="85"/>
      <c r="AN196" s="513"/>
      <c r="AO196" s="85"/>
      <c r="AP196" s="85"/>
      <c r="AQ196" s="85"/>
      <c r="AR196" s="364"/>
      <c r="AS196" s="566"/>
      <c r="AT196" s="439"/>
      <c r="AU196" s="439"/>
      <c r="AV196" s="439"/>
      <c r="AW196" s="439"/>
      <c r="AX196" s="566"/>
      <c r="AY196" s="85"/>
      <c r="AZ196" s="85"/>
      <c r="BA196" s="85"/>
      <c r="BB196" s="85"/>
      <c r="BC196" s="566"/>
      <c r="BD196" s="85"/>
      <c r="BE196" s="439"/>
      <c r="BF196" s="439"/>
      <c r="BG196" s="439"/>
      <c r="BH196" s="566">
        <f>Income!BH133</f>
        <v>12.002000000000001</v>
      </c>
      <c r="BI196" s="439"/>
      <c r="BJ196" s="439"/>
      <c r="BK196" s="439"/>
      <c r="BL196" s="439"/>
      <c r="BM196" s="566">
        <f>Income!BM133</f>
        <v>13.206</v>
      </c>
      <c r="BN196" s="439">
        <f>Income!BN133</f>
        <v>3.9249999999999998</v>
      </c>
      <c r="BO196" s="439">
        <f>Income!BO133</f>
        <v>7.7249999999999996</v>
      </c>
      <c r="BP196" s="439">
        <f>Income!BP133</f>
        <v>8.4499999999999993</v>
      </c>
      <c r="BQ196" s="439"/>
      <c r="BR196" s="566"/>
      <c r="BS196" s="439"/>
      <c r="BT196" s="439"/>
      <c r="BU196" s="439"/>
      <c r="BV196" s="439"/>
      <c r="BW196" s="566"/>
      <c r="BX196" s="439"/>
      <c r="BY196" s="439"/>
      <c r="BZ196" s="439"/>
      <c r="CA196" s="439"/>
      <c r="CB196" s="566"/>
      <c r="CC196" s="439"/>
      <c r="CD196" s="439"/>
      <c r="CE196" s="439"/>
      <c r="CF196" s="439"/>
      <c r="CG196" s="566"/>
      <c r="CH196" s="439"/>
      <c r="CI196" s="439"/>
      <c r="CJ196" s="439"/>
      <c r="CK196" s="439"/>
      <c r="CL196" s="566"/>
      <c r="CM196" s="439"/>
      <c r="CN196" s="439"/>
      <c r="CO196" s="439"/>
      <c r="CP196" s="439"/>
      <c r="CQ196" s="566"/>
    </row>
    <row r="197" spans="5:95" ht="13.5" hidden="1" x14ac:dyDescent="0.25">
      <c r="E197" s="54"/>
      <c r="F197" s="562"/>
      <c r="G197" s="562"/>
      <c r="H197" s="562"/>
      <c r="I197" s="562"/>
      <c r="J197" s="562"/>
      <c r="K197" s="461"/>
      <c r="L197" s="461"/>
      <c r="M197" s="461"/>
      <c r="N197" s="461"/>
      <c r="O197" s="562"/>
      <c r="P197" s="461"/>
      <c r="Q197" s="461"/>
      <c r="R197" s="461"/>
      <c r="S197" s="461"/>
      <c r="T197" s="562"/>
      <c r="U197" s="461"/>
      <c r="V197" s="461"/>
      <c r="W197" s="461"/>
      <c r="X197" s="461"/>
      <c r="Y197" s="562"/>
      <c r="Z197" s="461"/>
      <c r="AA197" s="461"/>
      <c r="AB197" s="461"/>
      <c r="AC197" s="461"/>
      <c r="AD197" s="562"/>
      <c r="AE197" s="461"/>
      <c r="AF197" s="461"/>
      <c r="AG197" s="461"/>
      <c r="AH197" s="461"/>
      <c r="AI197" s="562"/>
      <c r="AJ197" s="463"/>
      <c r="AK197" s="463"/>
      <c r="AL197" s="463"/>
      <c r="AM197" s="463"/>
      <c r="AN197" s="562"/>
      <c r="AO197" s="463"/>
      <c r="AP197" s="463"/>
      <c r="AQ197" s="463"/>
      <c r="AR197" s="463"/>
      <c r="AS197" s="562"/>
      <c r="AT197" s="463"/>
      <c r="AU197" s="463"/>
      <c r="AV197" s="463"/>
      <c r="AW197" s="463"/>
      <c r="AX197" s="562"/>
      <c r="AY197" s="463"/>
      <c r="AZ197" s="463"/>
      <c r="BA197" s="463"/>
      <c r="BB197" s="463"/>
      <c r="BC197" s="566"/>
      <c r="BD197" s="463"/>
      <c r="BE197" s="463"/>
      <c r="BF197" s="463"/>
      <c r="BG197" s="463"/>
      <c r="BH197" s="566"/>
      <c r="BI197" s="463"/>
      <c r="BJ197" s="463"/>
      <c r="BK197" s="463"/>
      <c r="BL197" s="463"/>
      <c r="BM197" s="566"/>
      <c r="BN197" s="463"/>
      <c r="BO197" s="463"/>
      <c r="BP197" s="463"/>
      <c r="BQ197" s="463"/>
      <c r="BR197" s="566"/>
      <c r="BS197" s="463"/>
      <c r="BT197" s="463"/>
      <c r="BU197" s="463"/>
      <c r="BV197" s="463"/>
      <c r="BW197" s="566"/>
      <c r="BX197" s="461"/>
      <c r="BY197" s="461"/>
      <c r="BZ197" s="461"/>
      <c r="CA197" s="461"/>
      <c r="CB197" s="566"/>
      <c r="CC197" s="461"/>
      <c r="CD197" s="461"/>
      <c r="CE197" s="461"/>
      <c r="CF197" s="461"/>
      <c r="CG197" s="566"/>
      <c r="CH197" s="461"/>
      <c r="CI197" s="461"/>
      <c r="CJ197" s="461"/>
      <c r="CK197" s="461"/>
      <c r="CL197" s="566"/>
      <c r="CM197" s="461"/>
      <c r="CN197" s="461"/>
      <c r="CO197" s="461"/>
      <c r="CP197" s="461"/>
      <c r="CQ197" s="566"/>
    </row>
    <row r="198" spans="5:95" ht="13.5" hidden="1" x14ac:dyDescent="0.25">
      <c r="E198" s="365" t="s">
        <v>580</v>
      </c>
      <c r="F198" s="562"/>
      <c r="G198" s="562"/>
      <c r="H198" s="562"/>
      <c r="I198" s="562"/>
      <c r="J198" s="562"/>
      <c r="K198" s="461"/>
      <c r="L198" s="461"/>
      <c r="M198" s="461"/>
      <c r="N198" s="461"/>
      <c r="O198" s="562"/>
      <c r="P198" s="461"/>
      <c r="Q198" s="461"/>
      <c r="R198" s="461"/>
      <c r="S198" s="461"/>
      <c r="T198" s="562"/>
      <c r="U198" s="461"/>
      <c r="V198" s="461"/>
      <c r="W198" s="461"/>
      <c r="X198" s="461"/>
      <c r="Y198" s="562"/>
      <c r="Z198" s="461"/>
      <c r="AA198" s="461"/>
      <c r="AB198" s="461"/>
      <c r="AC198" s="461"/>
      <c r="AD198" s="562"/>
      <c r="AE198" s="461"/>
      <c r="AF198" s="461"/>
      <c r="AG198" s="461"/>
      <c r="AH198" s="461"/>
      <c r="AI198" s="562"/>
      <c r="AJ198" s="463"/>
      <c r="AK198" s="463"/>
      <c r="AL198" s="463"/>
      <c r="AM198" s="463"/>
      <c r="AN198" s="562"/>
      <c r="AO198" s="463"/>
      <c r="AP198" s="463"/>
      <c r="AQ198" s="463"/>
      <c r="AR198" s="463"/>
      <c r="AS198" s="562"/>
      <c r="AT198" s="463"/>
      <c r="AU198" s="463"/>
      <c r="AV198" s="463"/>
      <c r="AW198" s="463"/>
      <c r="AX198" s="562"/>
      <c r="AY198" s="463"/>
      <c r="AZ198" s="463"/>
      <c r="BA198" s="463"/>
      <c r="BB198" s="463"/>
      <c r="BC198" s="566"/>
      <c r="BD198" s="463"/>
      <c r="BE198" s="463"/>
      <c r="BF198" s="463"/>
      <c r="BG198" s="463"/>
      <c r="BH198" s="566"/>
      <c r="BI198" s="463"/>
      <c r="BJ198" s="463"/>
      <c r="BK198" s="463"/>
      <c r="BL198" s="463"/>
      <c r="BM198" s="566"/>
      <c r="BN198" s="463"/>
      <c r="BO198" s="463"/>
      <c r="BP198" s="463"/>
      <c r="BQ198" s="463"/>
      <c r="BR198" s="566"/>
      <c r="BS198" s="463"/>
      <c r="BT198" s="463"/>
      <c r="BU198" s="463"/>
      <c r="BV198" s="463"/>
      <c r="BW198" s="566"/>
      <c r="BX198" s="461"/>
      <c r="BY198" s="461"/>
      <c r="BZ198" s="461"/>
      <c r="CA198" s="461"/>
      <c r="CB198" s="566"/>
      <c r="CC198" s="461"/>
      <c r="CD198" s="461"/>
      <c r="CE198" s="461"/>
      <c r="CF198" s="461"/>
      <c r="CG198" s="566"/>
      <c r="CH198" s="461"/>
      <c r="CI198" s="461"/>
      <c r="CJ198" s="461"/>
      <c r="CK198" s="461"/>
      <c r="CL198" s="566"/>
      <c r="CM198" s="461"/>
      <c r="CN198" s="461"/>
      <c r="CO198" s="461"/>
      <c r="CP198" s="461"/>
      <c r="CQ198" s="566"/>
    </row>
    <row r="199" spans="5:95" ht="13.5" hidden="1" x14ac:dyDescent="0.25">
      <c r="E199" s="54" t="s">
        <v>447</v>
      </c>
      <c r="F199" s="562"/>
      <c r="G199" s="562"/>
      <c r="H199" s="562"/>
      <c r="I199" s="562"/>
      <c r="J199" s="562"/>
      <c r="K199" s="461"/>
      <c r="L199" s="461"/>
      <c r="M199" s="461"/>
      <c r="N199" s="461"/>
      <c r="O199" s="562"/>
      <c r="P199" s="461"/>
      <c r="Q199" s="461"/>
      <c r="R199" s="461"/>
      <c r="S199" s="461"/>
      <c r="T199" s="562"/>
      <c r="U199" s="461"/>
      <c r="V199" s="461"/>
      <c r="W199" s="461"/>
      <c r="X199" s="461"/>
      <c r="Y199" s="562"/>
      <c r="Z199" s="461"/>
      <c r="AA199" s="461"/>
      <c r="AB199" s="461"/>
      <c r="AC199" s="461"/>
      <c r="AD199" s="562"/>
      <c r="AE199" s="461"/>
      <c r="AF199" s="461"/>
      <c r="AG199" s="461"/>
      <c r="AH199" s="461"/>
      <c r="AI199" s="562"/>
      <c r="AJ199" s="463"/>
      <c r="AK199" s="463"/>
      <c r="AL199" s="463"/>
      <c r="AM199" s="463"/>
      <c r="AN199" s="562"/>
      <c r="AO199" s="463"/>
      <c r="AP199" s="463"/>
      <c r="AQ199" s="463"/>
      <c r="AR199" s="463"/>
      <c r="AS199" s="562"/>
      <c r="AT199" s="463"/>
      <c r="AU199" s="463"/>
      <c r="AV199" s="463"/>
      <c r="AW199" s="463"/>
      <c r="AX199" s="562"/>
      <c r="AY199" s="463"/>
      <c r="AZ199" s="463"/>
      <c r="BA199" s="463"/>
      <c r="BB199" s="463"/>
      <c r="BC199" s="566"/>
      <c r="BD199" s="463"/>
      <c r="BE199" s="463"/>
      <c r="BF199" s="463"/>
      <c r="BG199" s="417">
        <v>34</v>
      </c>
      <c r="BH199" s="566">
        <f>SUM(BD199:BG199)</f>
        <v>34</v>
      </c>
      <c r="BI199" s="417">
        <v>27</v>
      </c>
      <c r="BJ199" s="417">
        <v>31</v>
      </c>
      <c r="BK199" s="417">
        <v>38</v>
      </c>
      <c r="BL199" s="417">
        <v>44</v>
      </c>
      <c r="BM199" s="566">
        <f>SUM(BI199:BL199)</f>
        <v>140</v>
      </c>
      <c r="BN199" s="417">
        <v>29</v>
      </c>
      <c r="BO199" s="417">
        <v>34</v>
      </c>
      <c r="BP199" s="417">
        <v>41</v>
      </c>
      <c r="BQ199" s="463"/>
      <c r="BR199" s="566"/>
      <c r="BS199" s="463"/>
      <c r="BT199" s="463"/>
      <c r="BU199" s="463"/>
      <c r="BV199" s="463"/>
      <c r="BW199" s="566"/>
      <c r="BX199" s="461"/>
      <c r="BY199" s="461"/>
      <c r="BZ199" s="461"/>
      <c r="CA199" s="461"/>
      <c r="CB199" s="566"/>
      <c r="CC199" s="461"/>
      <c r="CD199" s="461"/>
      <c r="CE199" s="461"/>
      <c r="CF199" s="461"/>
      <c r="CG199" s="566"/>
      <c r="CH199" s="461"/>
      <c r="CI199" s="461"/>
      <c r="CJ199" s="461"/>
      <c r="CK199" s="461"/>
      <c r="CL199" s="566"/>
      <c r="CM199" s="461"/>
      <c r="CN199" s="461"/>
      <c r="CO199" s="461"/>
      <c r="CP199" s="461"/>
      <c r="CQ199" s="566"/>
    </row>
    <row r="200" spans="5:95" ht="13.5" hidden="1" x14ac:dyDescent="0.25">
      <c r="E200" s="91" t="s">
        <v>2</v>
      </c>
      <c r="F200" s="562"/>
      <c r="G200" s="562"/>
      <c r="H200" s="562"/>
      <c r="I200" s="562"/>
      <c r="J200" s="562"/>
      <c r="K200" s="461"/>
      <c r="L200" s="461"/>
      <c r="M200" s="461"/>
      <c r="N200" s="461"/>
      <c r="O200" s="562"/>
      <c r="P200" s="461"/>
      <c r="Q200" s="461"/>
      <c r="R200" s="461"/>
      <c r="S200" s="461"/>
      <c r="T200" s="562"/>
      <c r="U200" s="461"/>
      <c r="V200" s="461"/>
      <c r="W200" s="461"/>
      <c r="X200" s="461"/>
      <c r="Y200" s="562"/>
      <c r="Z200" s="461"/>
      <c r="AA200" s="461"/>
      <c r="AB200" s="461"/>
      <c r="AC200" s="461"/>
      <c r="AD200" s="562"/>
      <c r="AE200" s="461"/>
      <c r="AF200" s="461"/>
      <c r="AG200" s="461"/>
      <c r="AH200" s="461"/>
      <c r="AI200" s="562"/>
      <c r="AJ200" s="463"/>
      <c r="AK200" s="463"/>
      <c r="AL200" s="463"/>
      <c r="AM200" s="463"/>
      <c r="AN200" s="562"/>
      <c r="AO200" s="463"/>
      <c r="AP200" s="463"/>
      <c r="AQ200" s="463"/>
      <c r="AR200" s="463"/>
      <c r="AS200" s="562"/>
      <c r="AT200" s="463"/>
      <c r="AU200" s="463"/>
      <c r="AV200" s="463"/>
      <c r="AW200" s="463"/>
      <c r="AX200" s="562"/>
      <c r="AY200" s="463"/>
      <c r="AZ200" s="463"/>
      <c r="BA200" s="463"/>
      <c r="BB200" s="463"/>
      <c r="BC200" s="566"/>
      <c r="BD200" s="463"/>
      <c r="BE200" s="463"/>
      <c r="BF200" s="463"/>
      <c r="BG200" s="463"/>
      <c r="BH200" s="525"/>
      <c r="BI200" s="463"/>
      <c r="BJ200" s="463"/>
      <c r="BK200" s="463"/>
      <c r="BL200" s="463"/>
      <c r="BM200" s="525"/>
      <c r="BN200" s="183">
        <f>BN199/BI199-1</f>
        <v>7.4074074074074181E-2</v>
      </c>
      <c r="BO200" s="183">
        <f>BO199/BJ199-1</f>
        <v>9.6774193548387011E-2</v>
      </c>
      <c r="BP200" s="183">
        <f>BP199/BK199-1</f>
        <v>7.8947368421052655E-2</v>
      </c>
      <c r="BQ200" s="463"/>
      <c r="BR200" s="566"/>
      <c r="BS200" s="463"/>
      <c r="BT200" s="463"/>
      <c r="BU200" s="463"/>
      <c r="BV200" s="463"/>
      <c r="BW200" s="566"/>
      <c r="BX200" s="461"/>
      <c r="BY200" s="461"/>
      <c r="BZ200" s="461"/>
      <c r="CA200" s="461"/>
      <c r="CB200" s="566"/>
      <c r="CC200" s="461"/>
      <c r="CD200" s="461"/>
      <c r="CE200" s="461"/>
      <c r="CF200" s="461"/>
      <c r="CG200" s="566"/>
      <c r="CH200" s="461"/>
      <c r="CI200" s="461"/>
      <c r="CJ200" s="461"/>
      <c r="CK200" s="461"/>
      <c r="CL200" s="566"/>
      <c r="CM200" s="461"/>
      <c r="CN200" s="461"/>
      <c r="CO200" s="461"/>
      <c r="CP200" s="461"/>
      <c r="CQ200" s="566"/>
    </row>
    <row r="201" spans="5:95" hidden="1" x14ac:dyDescent="0.25">
      <c r="E201" s="54" t="s">
        <v>448</v>
      </c>
      <c r="F201" s="566"/>
      <c r="G201" s="566"/>
      <c r="H201" s="566"/>
      <c r="I201" s="566"/>
      <c r="J201" s="566"/>
      <c r="K201" s="122"/>
      <c r="L201" s="122"/>
      <c r="M201" s="122"/>
      <c r="N201" s="122"/>
      <c r="O201" s="566"/>
      <c r="P201" s="122"/>
      <c r="Q201" s="122"/>
      <c r="R201" s="122"/>
      <c r="S201" s="122"/>
      <c r="T201" s="566"/>
      <c r="U201" s="122"/>
      <c r="V201" s="122"/>
      <c r="W201" s="122"/>
      <c r="X201" s="122"/>
      <c r="Y201" s="566"/>
      <c r="Z201" s="128"/>
      <c r="AA201" s="128"/>
      <c r="AB201" s="128"/>
      <c r="AC201" s="128"/>
      <c r="AD201" s="566"/>
      <c r="AE201" s="128"/>
      <c r="AF201" s="128"/>
      <c r="AG201" s="128"/>
      <c r="AH201" s="128"/>
      <c r="AI201" s="513"/>
      <c r="AJ201" s="85"/>
      <c r="AK201" s="85"/>
      <c r="AL201" s="85"/>
      <c r="AM201" s="85"/>
      <c r="AN201" s="513"/>
      <c r="AO201" s="85"/>
      <c r="AP201" s="85"/>
      <c r="AQ201" s="85"/>
      <c r="AR201" s="364"/>
      <c r="AS201" s="566"/>
      <c r="AT201" s="439"/>
      <c r="AU201" s="439"/>
      <c r="AV201" s="439"/>
      <c r="AW201" s="439"/>
      <c r="AX201" s="566"/>
      <c r="AY201" s="85"/>
      <c r="AZ201" s="85"/>
      <c r="BA201" s="85"/>
      <c r="BB201" s="85"/>
      <c r="BC201" s="566"/>
      <c r="BD201" s="85"/>
      <c r="BE201" s="439"/>
      <c r="BF201" s="439"/>
      <c r="BG201" s="439"/>
      <c r="BH201" s="566">
        <f>SUM(BD201:BG201)</f>
        <v>0</v>
      </c>
      <c r="BI201" s="439">
        <f>BI205-BI199</f>
        <v>25.437999999999974</v>
      </c>
      <c r="BJ201" s="439">
        <f>BJ205-BJ199</f>
        <v>26.246999999999957</v>
      </c>
      <c r="BK201" s="439">
        <f>BK205-BK199</f>
        <v>20.397000000000048</v>
      </c>
      <c r="BL201" s="439">
        <f>BL205-BL199</f>
        <v>18.071000000000026</v>
      </c>
      <c r="BM201" s="566">
        <f>SUM(BI201:BL201)</f>
        <v>90.153000000000006</v>
      </c>
      <c r="BN201" s="439">
        <f>BN205-BN199</f>
        <v>-4.5750000000000135</v>
      </c>
      <c r="BO201" s="439">
        <f>BO205-BO199</f>
        <v>-5.3369999999999962</v>
      </c>
      <c r="BP201" s="439">
        <f>BP205-BP199</f>
        <v>-3.5319999999999965</v>
      </c>
      <c r="BQ201" s="439"/>
      <c r="BR201" s="566"/>
      <c r="BS201" s="439"/>
      <c r="BT201" s="439"/>
      <c r="BU201" s="439"/>
      <c r="BV201" s="439"/>
      <c r="BW201" s="566"/>
      <c r="BX201" s="439"/>
      <c r="BY201" s="439"/>
      <c r="BZ201" s="439"/>
      <c r="CA201" s="439"/>
      <c r="CB201" s="566"/>
      <c r="CC201" s="439"/>
      <c r="CD201" s="439"/>
      <c r="CE201" s="439"/>
      <c r="CF201" s="439"/>
      <c r="CG201" s="566"/>
      <c r="CH201" s="439"/>
      <c r="CI201" s="439"/>
      <c r="CJ201" s="439"/>
      <c r="CK201" s="439"/>
      <c r="CL201" s="566"/>
      <c r="CM201" s="439"/>
      <c r="CN201" s="439"/>
      <c r="CO201" s="439"/>
      <c r="CP201" s="439"/>
      <c r="CQ201" s="566"/>
    </row>
    <row r="202" spans="5:95" ht="13.5" hidden="1" x14ac:dyDescent="0.25">
      <c r="E202" s="91" t="s">
        <v>2</v>
      </c>
      <c r="F202" s="562"/>
      <c r="G202" s="562"/>
      <c r="H202" s="562"/>
      <c r="I202" s="562"/>
      <c r="J202" s="562"/>
      <c r="K202" s="461"/>
      <c r="L202" s="461"/>
      <c r="M202" s="461"/>
      <c r="N202" s="461"/>
      <c r="O202" s="562"/>
      <c r="P202" s="461"/>
      <c r="Q202" s="461"/>
      <c r="R202" s="461"/>
      <c r="S202" s="461"/>
      <c r="T202" s="562"/>
      <c r="U202" s="461"/>
      <c r="V202" s="461"/>
      <c r="W202" s="461"/>
      <c r="X202" s="461"/>
      <c r="Y202" s="562"/>
      <c r="Z202" s="461"/>
      <c r="AA202" s="461"/>
      <c r="AB202" s="461"/>
      <c r="AC202" s="461"/>
      <c r="AD202" s="562"/>
      <c r="AE202" s="461"/>
      <c r="AF202" s="461"/>
      <c r="AG202" s="461"/>
      <c r="AH202" s="461"/>
      <c r="AI202" s="562"/>
      <c r="AJ202" s="463"/>
      <c r="AK202" s="463"/>
      <c r="AL202" s="463"/>
      <c r="AM202" s="463"/>
      <c r="AN202" s="562"/>
      <c r="AO202" s="463"/>
      <c r="AP202" s="463"/>
      <c r="AQ202" s="463"/>
      <c r="AR202" s="463"/>
      <c r="AS202" s="562"/>
      <c r="AT202" s="463"/>
      <c r="AU202" s="463"/>
      <c r="AV202" s="463"/>
      <c r="AW202" s="463"/>
      <c r="AX202" s="562"/>
      <c r="AY202" s="463"/>
      <c r="AZ202" s="463"/>
      <c r="BA202" s="463"/>
      <c r="BB202" s="463"/>
      <c r="BC202" s="566"/>
      <c r="BD202" s="463"/>
      <c r="BE202" s="463"/>
      <c r="BF202" s="463"/>
      <c r="BG202" s="463"/>
      <c r="BH202" s="566"/>
      <c r="BI202" s="463"/>
      <c r="BJ202" s="463"/>
      <c r="BK202" s="463"/>
      <c r="BL202" s="463"/>
      <c r="BM202" s="566"/>
      <c r="BN202" s="183">
        <f>BN201/BI201-1</f>
        <v>-1.1798490447362222</v>
      </c>
      <c r="BO202" s="183">
        <f>BO201/BJ201-1</f>
        <v>-1.2033375242884903</v>
      </c>
      <c r="BP202" s="183">
        <f>BP201/BK201-1</f>
        <v>-1.1731627200078436</v>
      </c>
      <c r="BQ202" s="463"/>
      <c r="BR202" s="566"/>
      <c r="BS202" s="463"/>
      <c r="BT202" s="463"/>
      <c r="BU202" s="463"/>
      <c r="BV202" s="463"/>
      <c r="BW202" s="566"/>
      <c r="BX202" s="461"/>
      <c r="BY202" s="461"/>
      <c r="BZ202" s="461"/>
      <c r="CA202" s="461"/>
      <c r="CB202" s="566"/>
      <c r="CC202" s="461"/>
      <c r="CD202" s="461"/>
      <c r="CE202" s="461"/>
      <c r="CF202" s="461"/>
      <c r="CG202" s="566"/>
      <c r="CH202" s="461"/>
      <c r="CI202" s="461"/>
      <c r="CJ202" s="461"/>
      <c r="CK202" s="461"/>
      <c r="CL202" s="566"/>
      <c r="CM202" s="461"/>
      <c r="CN202" s="461"/>
      <c r="CO202" s="461"/>
      <c r="CP202" s="461"/>
      <c r="CQ202" s="566"/>
    </row>
    <row r="203" spans="5:95" ht="13.5" hidden="1" x14ac:dyDescent="0.25">
      <c r="E203" s="54" t="s">
        <v>278</v>
      </c>
      <c r="F203" s="562"/>
      <c r="G203" s="562"/>
      <c r="H203" s="562"/>
      <c r="I203" s="562"/>
      <c r="J203" s="562"/>
      <c r="K203" s="461"/>
      <c r="L203" s="461"/>
      <c r="M203" s="461"/>
      <c r="N203" s="461"/>
      <c r="O203" s="562"/>
      <c r="P203" s="461"/>
      <c r="Q203" s="461"/>
      <c r="R203" s="461"/>
      <c r="S203" s="461"/>
      <c r="T203" s="562"/>
      <c r="U203" s="461"/>
      <c r="V203" s="461"/>
      <c r="W203" s="461"/>
      <c r="X203" s="461"/>
      <c r="Y203" s="562"/>
      <c r="Z203" s="461"/>
      <c r="AA203" s="461"/>
      <c r="AB203" s="461"/>
      <c r="AC203" s="461"/>
      <c r="AD203" s="562"/>
      <c r="AE203" s="461"/>
      <c r="AF203" s="461"/>
      <c r="AG203" s="461"/>
      <c r="AH203" s="461"/>
      <c r="AI203" s="562"/>
      <c r="AJ203" s="463"/>
      <c r="AK203" s="463"/>
      <c r="AL203" s="463"/>
      <c r="AM203" s="463"/>
      <c r="AN203" s="562"/>
      <c r="AO203" s="463"/>
      <c r="AP203" s="463"/>
      <c r="AQ203" s="463"/>
      <c r="AR203" s="463"/>
      <c r="AS203" s="562"/>
      <c r="AT203" s="463"/>
      <c r="AU203" s="463"/>
      <c r="AV203" s="463"/>
      <c r="AW203" s="463"/>
      <c r="AX203" s="562"/>
      <c r="AY203" s="463"/>
      <c r="AZ203" s="463"/>
      <c r="BA203" s="463"/>
      <c r="BB203" s="463"/>
      <c r="BC203" s="566"/>
      <c r="BD203" s="463"/>
      <c r="BE203" s="463"/>
      <c r="BF203" s="463"/>
      <c r="BG203" s="463"/>
      <c r="BH203" s="566"/>
      <c r="BI203" s="463"/>
      <c r="BJ203" s="463"/>
      <c r="BK203" s="463"/>
      <c r="BL203" s="463"/>
      <c r="BM203" s="566"/>
      <c r="BN203" s="463"/>
      <c r="BO203" s="463"/>
      <c r="BP203" s="463"/>
      <c r="BQ203" s="463"/>
      <c r="BR203" s="566"/>
      <c r="BS203" s="463"/>
      <c r="BT203" s="463"/>
      <c r="BU203" s="463"/>
      <c r="BV203" s="463"/>
      <c r="BW203" s="566"/>
      <c r="BX203" s="461"/>
      <c r="BY203" s="461"/>
      <c r="BZ203" s="461"/>
      <c r="CA203" s="461"/>
      <c r="CB203" s="566"/>
      <c r="CC203" s="461"/>
      <c r="CD203" s="461"/>
      <c r="CE203" s="461"/>
      <c r="CF203" s="461"/>
      <c r="CG203" s="566"/>
      <c r="CH203" s="461"/>
      <c r="CI203" s="461"/>
      <c r="CJ203" s="461"/>
      <c r="CK203" s="461"/>
      <c r="CL203" s="566"/>
      <c r="CM203" s="461"/>
      <c r="CN203" s="461"/>
      <c r="CO203" s="461"/>
      <c r="CP203" s="461"/>
      <c r="CQ203" s="566"/>
    </row>
    <row r="204" spans="5:95" ht="13.5" hidden="1" x14ac:dyDescent="0.25">
      <c r="E204" s="91" t="s">
        <v>2</v>
      </c>
      <c r="F204" s="562"/>
      <c r="G204" s="562"/>
      <c r="H204" s="562"/>
      <c r="I204" s="562"/>
      <c r="J204" s="562"/>
      <c r="K204" s="461"/>
      <c r="L204" s="461"/>
      <c r="M204" s="461"/>
      <c r="N204" s="461"/>
      <c r="O204" s="562"/>
      <c r="P204" s="461"/>
      <c r="Q204" s="461"/>
      <c r="R204" s="461"/>
      <c r="S204" s="461"/>
      <c r="T204" s="562"/>
      <c r="U204" s="461"/>
      <c r="V204" s="461"/>
      <c r="W204" s="461"/>
      <c r="X204" s="461"/>
      <c r="Y204" s="562"/>
      <c r="Z204" s="461"/>
      <c r="AA204" s="461"/>
      <c r="AB204" s="461"/>
      <c r="AC204" s="461"/>
      <c r="AD204" s="562"/>
      <c r="AE204" s="461"/>
      <c r="AF204" s="461"/>
      <c r="AG204" s="461"/>
      <c r="AH204" s="461"/>
      <c r="AI204" s="562"/>
      <c r="AJ204" s="463"/>
      <c r="AK204" s="463"/>
      <c r="AL204" s="463"/>
      <c r="AM204" s="463"/>
      <c r="AN204" s="562"/>
      <c r="AO204" s="463"/>
      <c r="AP204" s="463"/>
      <c r="AQ204" s="463"/>
      <c r="AR204" s="463"/>
      <c r="AS204" s="562"/>
      <c r="AT204" s="463"/>
      <c r="AU204" s="463"/>
      <c r="AV204" s="463"/>
      <c r="AW204" s="463"/>
      <c r="AX204" s="562"/>
      <c r="AY204" s="463"/>
      <c r="AZ204" s="463"/>
      <c r="BA204" s="463"/>
      <c r="BB204" s="463"/>
      <c r="BC204" s="566"/>
      <c r="BD204" s="463"/>
      <c r="BE204" s="463"/>
      <c r="BF204" s="463"/>
      <c r="BG204" s="463"/>
      <c r="BH204" s="566"/>
      <c r="BI204" s="463"/>
      <c r="BJ204" s="463"/>
      <c r="BK204" s="463"/>
      <c r="BL204" s="463"/>
      <c r="BM204" s="566"/>
      <c r="BN204" s="463"/>
      <c r="BO204" s="463"/>
      <c r="BP204" s="463"/>
      <c r="BQ204" s="463"/>
      <c r="BR204" s="566"/>
      <c r="BS204" s="463"/>
      <c r="BT204" s="463"/>
      <c r="BU204" s="463"/>
      <c r="BV204" s="463"/>
      <c r="BW204" s="566"/>
      <c r="BX204" s="461"/>
      <c r="BY204" s="461"/>
      <c r="BZ204" s="461"/>
      <c r="CA204" s="461"/>
      <c r="CB204" s="566"/>
      <c r="CC204" s="461"/>
      <c r="CD204" s="461"/>
      <c r="CE204" s="461"/>
      <c r="CF204" s="461"/>
      <c r="CG204" s="566"/>
      <c r="CH204" s="461"/>
      <c r="CI204" s="461"/>
      <c r="CJ204" s="461"/>
      <c r="CK204" s="461"/>
      <c r="CL204" s="566"/>
      <c r="CM204" s="461"/>
      <c r="CN204" s="461"/>
      <c r="CO204" s="461"/>
      <c r="CP204" s="461"/>
      <c r="CQ204" s="566"/>
    </row>
    <row r="205" spans="5:95" ht="13.5" hidden="1" x14ac:dyDescent="0.25">
      <c r="E205" s="298" t="s">
        <v>581</v>
      </c>
      <c r="F205" s="566"/>
      <c r="G205" s="566"/>
      <c r="H205" s="566"/>
      <c r="I205" s="566"/>
      <c r="J205" s="566"/>
      <c r="K205" s="185"/>
      <c r="L205" s="185"/>
      <c r="M205" s="185"/>
      <c r="N205" s="185"/>
      <c r="O205" s="566"/>
      <c r="P205" s="185"/>
      <c r="Q205" s="185"/>
      <c r="R205" s="185"/>
      <c r="S205" s="185"/>
      <c r="T205" s="566"/>
      <c r="U205" s="185"/>
      <c r="V205" s="185"/>
      <c r="W205" s="185"/>
      <c r="X205" s="185"/>
      <c r="Y205" s="566"/>
      <c r="Z205" s="443"/>
      <c r="AA205" s="443"/>
      <c r="AB205" s="443"/>
      <c r="AC205" s="443"/>
      <c r="AD205" s="566"/>
      <c r="AE205" s="443"/>
      <c r="AF205" s="443"/>
      <c r="AG205" s="443"/>
      <c r="AH205" s="443"/>
      <c r="AI205" s="513"/>
      <c r="AJ205" s="139"/>
      <c r="AK205" s="139"/>
      <c r="AL205" s="139"/>
      <c r="AM205" s="139"/>
      <c r="AN205" s="513"/>
      <c r="AO205" s="139"/>
      <c r="AP205" s="139"/>
      <c r="AQ205" s="139"/>
      <c r="AR205" s="185"/>
      <c r="AS205" s="566"/>
      <c r="AT205" s="298"/>
      <c r="AU205" s="298"/>
      <c r="AV205" s="298"/>
      <c r="AW205" s="298"/>
      <c r="AX205" s="576"/>
      <c r="AY205" s="298"/>
      <c r="AZ205" s="298"/>
      <c r="BA205" s="298"/>
      <c r="BB205" s="298"/>
      <c r="BC205" s="576"/>
      <c r="BD205" s="298"/>
      <c r="BE205" s="298"/>
      <c r="BF205" s="298"/>
      <c r="BG205" s="298"/>
      <c r="BH205" s="576">
        <f>Income!BH134</f>
        <v>232.93899999999991</v>
      </c>
      <c r="BI205" s="298">
        <f>Income!BI134</f>
        <v>52.437999999999974</v>
      </c>
      <c r="BJ205" s="298">
        <f>Income!BJ134</f>
        <v>57.246999999999957</v>
      </c>
      <c r="BK205" s="298">
        <f>Income!BK134</f>
        <v>58.397000000000048</v>
      </c>
      <c r="BL205" s="298">
        <f>Income!BL134</f>
        <v>62.071000000000026</v>
      </c>
      <c r="BM205" s="576">
        <f>Income!BM134</f>
        <v>159.88999999999999</v>
      </c>
      <c r="BN205" s="298">
        <f>Income!BN134</f>
        <v>24.424999999999986</v>
      </c>
      <c r="BO205" s="298">
        <f>Income!BO134</f>
        <v>28.663000000000004</v>
      </c>
      <c r="BP205" s="298">
        <f>Income!BP134</f>
        <v>37.468000000000004</v>
      </c>
      <c r="BQ205" s="298"/>
      <c r="BR205" s="576"/>
      <c r="BS205" s="298"/>
      <c r="BT205" s="298"/>
      <c r="BU205" s="298"/>
      <c r="BV205" s="298"/>
      <c r="BW205" s="576"/>
      <c r="BX205" s="298"/>
      <c r="BY205" s="298"/>
      <c r="BZ205" s="298"/>
      <c r="CA205" s="298"/>
      <c r="CB205" s="576"/>
      <c r="CC205" s="298"/>
      <c r="CD205" s="298"/>
      <c r="CE205" s="298"/>
      <c r="CF205" s="298"/>
      <c r="CG205" s="576"/>
      <c r="CH205" s="298"/>
      <c r="CI205" s="298"/>
      <c r="CJ205" s="298"/>
      <c r="CK205" s="298"/>
      <c r="CL205" s="576"/>
      <c r="CM205" s="298"/>
      <c r="CN205" s="298"/>
      <c r="CO205" s="298"/>
      <c r="CP205" s="298"/>
      <c r="CQ205" s="576"/>
    </row>
    <row r="206" spans="5:95" ht="13.5" hidden="1" x14ac:dyDescent="0.25">
      <c r="E206" s="356" t="s">
        <v>2</v>
      </c>
      <c r="F206" s="566"/>
      <c r="G206" s="566"/>
      <c r="H206" s="566"/>
      <c r="I206" s="566"/>
      <c r="J206" s="566"/>
      <c r="K206" s="185"/>
      <c r="L206" s="185"/>
      <c r="M206" s="185"/>
      <c r="N206" s="185"/>
      <c r="O206" s="566"/>
      <c r="P206" s="185"/>
      <c r="Q206" s="185"/>
      <c r="R206" s="185"/>
      <c r="S206" s="185"/>
      <c r="T206" s="566"/>
      <c r="U206" s="185"/>
      <c r="V206" s="185"/>
      <c r="W206" s="185"/>
      <c r="X206" s="185"/>
      <c r="Y206" s="566"/>
      <c r="Z206" s="443"/>
      <c r="AA206" s="443"/>
      <c r="AB206" s="443"/>
      <c r="AC206" s="443"/>
      <c r="AD206" s="566"/>
      <c r="AE206" s="443"/>
      <c r="AF206" s="443"/>
      <c r="AG206" s="443"/>
      <c r="AH206" s="443"/>
      <c r="AI206" s="513"/>
      <c r="AJ206" s="139"/>
      <c r="AK206" s="139"/>
      <c r="AL206" s="139"/>
      <c r="AM206" s="139"/>
      <c r="AN206" s="513"/>
      <c r="AO206" s="139"/>
      <c r="AP206" s="139"/>
      <c r="AQ206" s="139"/>
      <c r="AR206" s="185"/>
      <c r="AS206" s="566"/>
      <c r="AT206" s="298"/>
      <c r="AU206" s="298"/>
      <c r="AV206" s="298"/>
      <c r="AW206" s="298"/>
      <c r="AX206" s="576"/>
      <c r="AY206" s="298"/>
      <c r="AZ206" s="298"/>
      <c r="BA206" s="298"/>
      <c r="BB206" s="298"/>
      <c r="BC206" s="576"/>
      <c r="BD206" s="298"/>
      <c r="BE206" s="298"/>
      <c r="BF206" s="298"/>
      <c r="BG206" s="298"/>
      <c r="BH206" s="525"/>
      <c r="BI206" s="32"/>
      <c r="BJ206" s="32"/>
      <c r="BK206" s="32"/>
      <c r="BL206" s="32"/>
      <c r="BM206" s="525">
        <f>(BM205-BH205)/ABS(BH205)</f>
        <v>-0.31359712199331136</v>
      </c>
      <c r="BN206" s="32">
        <f>(BN205-BI205)/ABS(BI205)</f>
        <v>-0.53421183111484039</v>
      </c>
      <c r="BO206" s="32">
        <f>(BO205-BJ205)/ABS(BJ205)</f>
        <v>-0.49931000751131022</v>
      </c>
      <c r="BP206" s="32">
        <f>(BP205-BK205)/ABS(BK205)</f>
        <v>-0.35839169820367534</v>
      </c>
      <c r="BQ206" s="32"/>
      <c r="BR206" s="525"/>
      <c r="BS206" s="32"/>
      <c r="BT206" s="32"/>
      <c r="BU206" s="32"/>
      <c r="BV206" s="32"/>
      <c r="BW206" s="525"/>
      <c r="BX206" s="32"/>
      <c r="BY206" s="32"/>
      <c r="BZ206" s="32"/>
      <c r="CA206" s="32"/>
      <c r="CB206" s="525"/>
      <c r="CC206" s="32"/>
      <c r="CD206" s="32"/>
      <c r="CE206" s="32"/>
      <c r="CF206" s="32"/>
      <c r="CG206" s="525"/>
      <c r="CH206" s="32"/>
      <c r="CI206" s="32"/>
      <c r="CJ206" s="32"/>
      <c r="CK206" s="32"/>
      <c r="CL206" s="525"/>
      <c r="CM206" s="32"/>
      <c r="CN206" s="32"/>
      <c r="CO206" s="32"/>
      <c r="CP206" s="32"/>
      <c r="CQ206" s="641"/>
    </row>
    <row r="207" spans="5:95" ht="13.5" hidden="1" x14ac:dyDescent="0.25">
      <c r="E207" s="356" t="s">
        <v>91</v>
      </c>
      <c r="F207" s="566"/>
      <c r="G207" s="566"/>
      <c r="H207" s="566"/>
      <c r="I207" s="566"/>
      <c r="J207" s="566"/>
      <c r="K207" s="185"/>
      <c r="L207" s="185"/>
      <c r="M207" s="185"/>
      <c r="N207" s="185"/>
      <c r="O207" s="566"/>
      <c r="P207" s="185"/>
      <c r="Q207" s="185"/>
      <c r="R207" s="185"/>
      <c r="S207" s="185"/>
      <c r="T207" s="566"/>
      <c r="U207" s="185"/>
      <c r="V207" s="185"/>
      <c r="W207" s="185"/>
      <c r="X207" s="185"/>
      <c r="Y207" s="566"/>
      <c r="Z207" s="443"/>
      <c r="AA207" s="443"/>
      <c r="AB207" s="443"/>
      <c r="AC207" s="443"/>
      <c r="AD207" s="566"/>
      <c r="AE207" s="443"/>
      <c r="AF207" s="443"/>
      <c r="AG207" s="443"/>
      <c r="AH207" s="443"/>
      <c r="AI207" s="513"/>
      <c r="AJ207" s="139"/>
      <c r="AK207" s="139"/>
      <c r="AL207" s="139"/>
      <c r="AM207" s="139"/>
      <c r="AN207" s="513"/>
      <c r="AO207" s="139"/>
      <c r="AP207" s="139"/>
      <c r="AQ207" s="139"/>
      <c r="AR207" s="185"/>
      <c r="AS207" s="566"/>
      <c r="AT207" s="298"/>
      <c r="AU207" s="298"/>
      <c r="AV207" s="298"/>
      <c r="AW207" s="298"/>
      <c r="AX207" s="576"/>
      <c r="AY207" s="298"/>
      <c r="AZ207" s="298"/>
      <c r="BA207" s="298"/>
      <c r="BB207" s="298"/>
      <c r="BC207" s="576"/>
      <c r="BD207" s="298"/>
      <c r="BE207" s="298"/>
      <c r="BF207" s="298"/>
      <c r="BG207" s="298"/>
      <c r="BH207" s="525"/>
      <c r="BI207" s="298"/>
      <c r="BJ207" s="298"/>
      <c r="BK207" s="298"/>
      <c r="BL207" s="298"/>
      <c r="BM207" s="525">
        <f>BM205/'Audience Solutions'!BM65</f>
        <v>0.14567967600417292</v>
      </c>
      <c r="BN207" s="32">
        <f>BN205/'Audience Solutions'!BN65</f>
        <v>0.10084016266540052</v>
      </c>
      <c r="BO207" s="32">
        <f>BO205/'Audience Solutions'!BO65</f>
        <v>0.1102266215961575</v>
      </c>
      <c r="BP207" s="32">
        <f>BP205/'Audience Solutions'!BP65</f>
        <v>0.14386422976501306</v>
      </c>
      <c r="BQ207" s="32"/>
      <c r="BR207" s="525"/>
      <c r="BS207" s="32"/>
      <c r="BT207" s="32"/>
      <c r="BU207" s="32"/>
      <c r="BV207" s="32"/>
      <c r="BW207" s="525"/>
      <c r="BX207" s="32"/>
      <c r="BY207" s="32"/>
      <c r="BZ207" s="32"/>
      <c r="CA207" s="32"/>
      <c r="CB207" s="525"/>
      <c r="CC207" s="32"/>
      <c r="CD207" s="32"/>
      <c r="CE207" s="32"/>
      <c r="CF207" s="32"/>
      <c r="CG207" s="525"/>
      <c r="CH207" s="32"/>
      <c r="CI207" s="32"/>
      <c r="CJ207" s="32"/>
      <c r="CK207" s="32"/>
      <c r="CL207" s="525"/>
      <c r="CM207" s="32"/>
      <c r="CN207" s="32"/>
      <c r="CO207" s="32"/>
      <c r="CP207" s="32"/>
      <c r="CQ207" s="641"/>
    </row>
    <row r="208" spans="5:95" ht="13.5" hidden="1" x14ac:dyDescent="0.25">
      <c r="E208" s="54"/>
      <c r="F208" s="566"/>
      <c r="G208" s="566"/>
      <c r="H208" s="566"/>
      <c r="I208" s="566"/>
      <c r="J208" s="566"/>
      <c r="K208" s="122"/>
      <c r="L208" s="122"/>
      <c r="M208" s="122"/>
      <c r="N208" s="122"/>
      <c r="O208" s="566"/>
      <c r="P208" s="122"/>
      <c r="Q208" s="122"/>
      <c r="R208" s="122"/>
      <c r="S208" s="122"/>
      <c r="T208" s="566"/>
      <c r="U208" s="122"/>
      <c r="V208" s="122"/>
      <c r="W208" s="122"/>
      <c r="X208" s="122"/>
      <c r="Y208" s="566"/>
      <c r="Z208" s="128"/>
      <c r="AA208" s="128"/>
      <c r="AB208" s="128"/>
      <c r="AC208" s="128"/>
      <c r="AD208" s="566"/>
      <c r="AE208" s="128"/>
      <c r="AF208" s="128"/>
      <c r="AG208" s="128"/>
      <c r="AH208" s="128"/>
      <c r="AI208" s="513"/>
      <c r="AJ208" s="85"/>
      <c r="AK208" s="85"/>
      <c r="AL208" s="85"/>
      <c r="AM208" s="85"/>
      <c r="AN208" s="513"/>
      <c r="AO208" s="85"/>
      <c r="AP208" s="85"/>
      <c r="AQ208" s="85"/>
      <c r="AR208" s="364"/>
      <c r="AS208" s="566"/>
      <c r="AT208" s="442"/>
      <c r="AU208" s="442"/>
      <c r="AV208" s="442"/>
      <c r="AW208" s="442"/>
      <c r="AX208" s="566"/>
      <c r="AY208" s="442"/>
      <c r="AZ208" s="442"/>
      <c r="BA208" s="442"/>
      <c r="BB208" s="439"/>
      <c r="BC208" s="566"/>
      <c r="BD208" s="439"/>
      <c r="BE208" s="439"/>
      <c r="BF208" s="439"/>
      <c r="BG208" s="439"/>
      <c r="BH208" s="566"/>
      <c r="BI208" s="439"/>
      <c r="BJ208" s="439"/>
      <c r="BK208" s="439"/>
      <c r="BL208" s="439"/>
      <c r="BM208" s="566"/>
      <c r="BN208" s="504"/>
      <c r="BO208" s="504"/>
      <c r="BP208" s="504"/>
      <c r="BQ208" s="504"/>
      <c r="BR208" s="566"/>
      <c r="BS208" s="157"/>
      <c r="BT208" s="157"/>
      <c r="BU208" s="157"/>
      <c r="BV208" s="157"/>
      <c r="BW208" s="566"/>
      <c r="BX208" s="157"/>
      <c r="BY208" s="157"/>
      <c r="BZ208" s="157"/>
      <c r="CA208" s="157"/>
      <c r="CB208" s="566"/>
      <c r="CC208" s="157"/>
      <c r="CD208" s="157"/>
      <c r="CE208" s="157"/>
      <c r="CF208" s="157"/>
      <c r="CG208" s="566"/>
      <c r="CH208" s="157"/>
      <c r="CI208" s="157"/>
      <c r="CJ208" s="157"/>
      <c r="CK208" s="157"/>
      <c r="CL208" s="566"/>
      <c r="CM208" s="157"/>
      <c r="CN208" s="157"/>
      <c r="CO208" s="157"/>
      <c r="CP208" s="157"/>
      <c r="CQ208" s="566"/>
    </row>
    <row r="209" spans="5:95" ht="13.5" hidden="1" x14ac:dyDescent="0.25">
      <c r="E209" s="197" t="s">
        <v>202</v>
      </c>
      <c r="F209" s="576"/>
      <c r="G209" s="576"/>
      <c r="H209" s="576"/>
      <c r="I209" s="576"/>
      <c r="J209" s="576"/>
      <c r="K209" s="198"/>
      <c r="L209" s="198"/>
      <c r="M209" s="198"/>
      <c r="N209" s="198"/>
      <c r="O209" s="576"/>
      <c r="P209" s="198"/>
      <c r="Q209" s="198"/>
      <c r="R209" s="198"/>
      <c r="S209" s="198"/>
      <c r="T209" s="576"/>
      <c r="U209" s="198"/>
      <c r="V209" s="198"/>
      <c r="W209" s="198"/>
      <c r="X209" s="198"/>
      <c r="Y209" s="576"/>
      <c r="Z209" s="198"/>
      <c r="AA209" s="198"/>
      <c r="AB209" s="198"/>
      <c r="AC209" s="198"/>
      <c r="AD209" s="576"/>
      <c r="AE209" s="198">
        <v>240.392</v>
      </c>
      <c r="AF209" s="198">
        <v>245.03299999999999</v>
      </c>
      <c r="AG209" s="198">
        <v>244.64599999999999</v>
      </c>
      <c r="AH209" s="198">
        <v>239.7</v>
      </c>
      <c r="AI209" s="576">
        <f>SUM(AE209:AH209)</f>
        <v>969.77099999999996</v>
      </c>
      <c r="AJ209" s="198">
        <v>236.69499999999999</v>
      </c>
      <c r="AK209" s="198">
        <v>233.60499999999999</v>
      </c>
      <c r="AL209" s="198">
        <v>231.077</v>
      </c>
      <c r="AM209" s="198">
        <v>218.88499999999999</v>
      </c>
      <c r="AN209" s="576">
        <f>SUM(AJ209:AM209)</f>
        <v>920.26199999999994</v>
      </c>
      <c r="AO209" s="198">
        <v>199.32599999999999</v>
      </c>
      <c r="AP209" s="198">
        <v>210.21299999999999</v>
      </c>
      <c r="AQ209" s="198">
        <v>218.34</v>
      </c>
      <c r="AR209" s="198">
        <v>221.553</v>
      </c>
      <c r="AS209" s="576">
        <f>SUM(AO209:AR209)</f>
        <v>849.43200000000002</v>
      </c>
      <c r="AT209" s="198">
        <v>210.65600000000001</v>
      </c>
      <c r="AU209" s="198">
        <v>225.584</v>
      </c>
      <c r="AV209" s="198">
        <v>232.798</v>
      </c>
      <c r="AW209" s="198">
        <v>224.55600000000001</v>
      </c>
      <c r="AX209" s="576">
        <f>SUM(AT209:AW209)</f>
        <v>893.59400000000005</v>
      </c>
      <c r="AY209" s="198">
        <v>225.60400000000001</v>
      </c>
      <c r="AZ209" s="198">
        <v>230.655</v>
      </c>
      <c r="BA209" s="199"/>
      <c r="BB209" s="199"/>
      <c r="BC209" s="576"/>
      <c r="BD209" s="199"/>
      <c r="BE209" s="199"/>
      <c r="BF209" s="199"/>
      <c r="BG209" s="199"/>
      <c r="BH209" s="576"/>
      <c r="BI209" s="199"/>
      <c r="BJ209" s="199"/>
      <c r="BK209" s="199"/>
      <c r="BL209" s="199"/>
      <c r="BM209" s="576"/>
      <c r="BN209" s="199"/>
      <c r="BO209" s="199"/>
      <c r="BP209" s="199"/>
      <c r="BQ209" s="199"/>
      <c r="BR209" s="576"/>
      <c r="BS209" s="199"/>
      <c r="BT209" s="199"/>
      <c r="BU209" s="199"/>
      <c r="BV209" s="199"/>
      <c r="BW209" s="576"/>
      <c r="BX209" s="199"/>
      <c r="BY209" s="199"/>
      <c r="BZ209" s="199"/>
      <c r="CA209" s="199"/>
      <c r="CB209" s="576"/>
      <c r="CC209" s="199"/>
      <c r="CD209" s="199"/>
      <c r="CE209" s="199"/>
      <c r="CF209" s="199"/>
      <c r="CG209" s="576"/>
      <c r="CH209" s="199"/>
      <c r="CI209" s="199"/>
      <c r="CJ209" s="199"/>
      <c r="CK209" s="199"/>
      <c r="CL209" s="576"/>
      <c r="CM209" s="199"/>
      <c r="CN209" s="199"/>
      <c r="CO209" s="199"/>
      <c r="CP209" s="199"/>
      <c r="CQ209" s="576"/>
    </row>
    <row r="210" spans="5:95" ht="13.5" hidden="1" x14ac:dyDescent="0.25">
      <c r="E210" s="352" t="s">
        <v>2</v>
      </c>
      <c r="F210" s="525"/>
      <c r="G210" s="525"/>
      <c r="H210" s="525"/>
      <c r="I210" s="525"/>
      <c r="J210" s="525"/>
      <c r="K210" s="354"/>
      <c r="L210" s="354"/>
      <c r="M210" s="354"/>
      <c r="N210" s="354"/>
      <c r="O210" s="525"/>
      <c r="P210" s="183"/>
      <c r="Q210" s="183"/>
      <c r="R210" s="183"/>
      <c r="S210" s="183"/>
      <c r="T210" s="525"/>
      <c r="U210" s="183"/>
      <c r="V210" s="183"/>
      <c r="W210" s="183"/>
      <c r="X210" s="183"/>
      <c r="Y210" s="525"/>
      <c r="Z210" s="183"/>
      <c r="AA210" s="183"/>
      <c r="AB210" s="183"/>
      <c r="AC210" s="183"/>
      <c r="AD210" s="525"/>
      <c r="AE210" s="183"/>
      <c r="AF210" s="183"/>
      <c r="AG210" s="183"/>
      <c r="AH210" s="183"/>
      <c r="AI210" s="525"/>
      <c r="AJ210" s="183">
        <f t="shared" ref="AJ210:AZ210" si="37">AJ209/AE209-1</f>
        <v>-1.5379047555659109E-2</v>
      </c>
      <c r="AK210" s="183">
        <f t="shared" si="37"/>
        <v>-4.6638616023147894E-2</v>
      </c>
      <c r="AL210" s="183">
        <f t="shared" si="37"/>
        <v>-5.5463813019628327E-2</v>
      </c>
      <c r="AM210" s="183">
        <f t="shared" si="37"/>
        <v>-8.6837713808927797E-2</v>
      </c>
      <c r="AN210" s="525">
        <f t="shared" si="37"/>
        <v>-5.1052258729122668E-2</v>
      </c>
      <c r="AO210" s="183">
        <f t="shared" si="37"/>
        <v>-0.15787828217748578</v>
      </c>
      <c r="AP210" s="183">
        <f t="shared" si="37"/>
        <v>-0.10013484300421649</v>
      </c>
      <c r="AQ210" s="183">
        <f t="shared" si="37"/>
        <v>-5.5120154753610207E-2</v>
      </c>
      <c r="AR210" s="183">
        <f t="shared" si="37"/>
        <v>1.2189049044018629E-2</v>
      </c>
      <c r="AS210" s="525">
        <f t="shared" si="37"/>
        <v>-7.6967211511504208E-2</v>
      </c>
      <c r="AT210" s="183">
        <f t="shared" si="37"/>
        <v>5.684155604386798E-2</v>
      </c>
      <c r="AU210" s="183">
        <f t="shared" si="37"/>
        <v>7.3121072436052925E-2</v>
      </c>
      <c r="AV210" s="183">
        <f t="shared" si="37"/>
        <v>6.6217825409911057E-2</v>
      </c>
      <c r="AW210" s="183">
        <f t="shared" si="37"/>
        <v>1.3554318831160206E-2</v>
      </c>
      <c r="AX210" s="525">
        <f t="shared" si="37"/>
        <v>5.1990035694440495E-2</v>
      </c>
      <c r="AY210" s="183">
        <f t="shared" si="37"/>
        <v>7.0959289077928034E-2</v>
      </c>
      <c r="AZ210" s="183">
        <f t="shared" si="37"/>
        <v>2.247943116533091E-2</v>
      </c>
      <c r="BA210" s="357"/>
      <c r="BB210" s="357"/>
      <c r="BC210" s="525"/>
      <c r="BD210" s="357"/>
      <c r="BE210" s="357"/>
      <c r="BF210" s="357"/>
      <c r="BG210" s="357"/>
      <c r="BH210" s="525"/>
      <c r="BI210" s="183"/>
      <c r="BJ210" s="183"/>
      <c r="BK210" s="183"/>
      <c r="BL210" s="183"/>
      <c r="BM210" s="525"/>
      <c r="BN210" s="183"/>
      <c r="BO210" s="183"/>
      <c r="BP210" s="183"/>
      <c r="BQ210" s="183"/>
      <c r="BR210" s="525"/>
      <c r="BS210" s="183"/>
      <c r="BT210" s="183"/>
      <c r="BU210" s="183"/>
      <c r="BV210" s="183"/>
      <c r="BW210" s="525"/>
      <c r="BX210" s="183"/>
      <c r="BY210" s="183"/>
      <c r="BZ210" s="183"/>
      <c r="CA210" s="183"/>
      <c r="CB210" s="525"/>
      <c r="CC210" s="183"/>
      <c r="CD210" s="183"/>
      <c r="CE210" s="183"/>
      <c r="CF210" s="183"/>
      <c r="CG210" s="525"/>
      <c r="CH210" s="183"/>
      <c r="CI210" s="183"/>
      <c r="CJ210" s="183"/>
      <c r="CK210" s="183"/>
      <c r="CL210" s="525"/>
      <c r="CM210" s="183"/>
      <c r="CN210" s="183"/>
      <c r="CO210" s="183"/>
      <c r="CP210" s="183"/>
      <c r="CQ210" s="641"/>
    </row>
    <row r="211" spans="5:95" ht="13.5" hidden="1" x14ac:dyDescent="0.25">
      <c r="E211" s="352"/>
      <c r="F211" s="525"/>
      <c r="G211" s="525"/>
      <c r="H211" s="525"/>
      <c r="I211" s="525"/>
      <c r="J211" s="525"/>
      <c r="K211" s="354"/>
      <c r="L211" s="354"/>
      <c r="M211" s="354"/>
      <c r="N211" s="354"/>
      <c r="O211" s="525"/>
      <c r="P211" s="183"/>
      <c r="Q211" s="183"/>
      <c r="R211" s="183"/>
      <c r="S211" s="183"/>
      <c r="T211" s="525"/>
      <c r="U211" s="183"/>
      <c r="V211" s="183"/>
      <c r="W211" s="183"/>
      <c r="X211" s="183"/>
      <c r="Y211" s="525"/>
      <c r="Z211" s="183"/>
      <c r="AA211" s="183"/>
      <c r="AB211" s="183"/>
      <c r="AC211" s="183"/>
      <c r="AD211" s="525"/>
      <c r="AE211" s="183"/>
      <c r="AF211" s="183"/>
      <c r="AG211" s="183"/>
      <c r="AH211" s="183"/>
      <c r="AI211" s="525"/>
      <c r="AJ211" s="183"/>
      <c r="AK211" s="183"/>
      <c r="AL211" s="183"/>
      <c r="AM211" s="183"/>
      <c r="AN211" s="525"/>
      <c r="AO211" s="183"/>
      <c r="AP211" s="183"/>
      <c r="AQ211" s="183"/>
      <c r="AR211" s="357"/>
      <c r="AS211" s="525"/>
      <c r="AT211" s="357"/>
      <c r="AU211" s="357"/>
      <c r="AV211" s="357"/>
      <c r="AW211" s="357"/>
      <c r="AX211" s="525"/>
      <c r="AY211" s="183"/>
      <c r="AZ211" s="183"/>
      <c r="BA211" s="183"/>
      <c r="BB211" s="183"/>
      <c r="BC211" s="525"/>
      <c r="BD211" s="183"/>
      <c r="BE211" s="183"/>
      <c r="BF211" s="183"/>
      <c r="BG211" s="183"/>
      <c r="BH211" s="525"/>
      <c r="BI211" s="183"/>
      <c r="BJ211" s="183"/>
      <c r="BK211" s="183"/>
      <c r="BL211" s="183"/>
      <c r="BM211" s="525"/>
      <c r="BN211" s="183"/>
      <c r="BO211" s="183"/>
      <c r="BP211" s="183"/>
      <c r="BQ211" s="183"/>
      <c r="BR211" s="525"/>
      <c r="BS211" s="183"/>
      <c r="BT211" s="183"/>
      <c r="BU211" s="183"/>
      <c r="BV211" s="183"/>
      <c r="BW211" s="525"/>
      <c r="BX211" s="183"/>
      <c r="BY211" s="183"/>
      <c r="BZ211" s="183"/>
      <c r="CA211" s="183"/>
      <c r="CB211" s="525"/>
      <c r="CC211" s="183"/>
      <c r="CD211" s="183"/>
      <c r="CE211" s="183"/>
      <c r="CF211" s="183"/>
      <c r="CG211" s="525"/>
      <c r="CH211" s="183"/>
      <c r="CI211" s="183"/>
      <c r="CJ211" s="183"/>
      <c r="CK211" s="183"/>
      <c r="CL211" s="525"/>
      <c r="CM211" s="183"/>
      <c r="CN211" s="183"/>
      <c r="CO211" s="183"/>
      <c r="CP211" s="183"/>
      <c r="CQ211" s="641"/>
    </row>
    <row r="212" spans="5:95" hidden="1" x14ac:dyDescent="0.25">
      <c r="E212" s="85" t="s">
        <v>275</v>
      </c>
      <c r="F212" s="566"/>
      <c r="G212" s="566"/>
      <c r="H212" s="566"/>
      <c r="I212" s="566"/>
      <c r="J212" s="566"/>
      <c r="K212" s="122"/>
      <c r="L212" s="122"/>
      <c r="M212" s="122"/>
      <c r="N212" s="122"/>
      <c r="O212" s="566"/>
      <c r="P212" s="122"/>
      <c r="Q212" s="122"/>
      <c r="R212" s="122"/>
      <c r="S212" s="122"/>
      <c r="T212" s="566"/>
      <c r="U212" s="122"/>
      <c r="V212" s="122"/>
      <c r="W212" s="122"/>
      <c r="X212" s="122"/>
      <c r="Y212" s="566"/>
      <c r="Z212" s="128"/>
      <c r="AA212" s="128"/>
      <c r="AB212" s="128"/>
      <c r="AC212" s="128"/>
      <c r="AD212" s="566"/>
      <c r="AE212" s="364"/>
      <c r="AF212" s="364"/>
      <c r="AG212" s="364"/>
      <c r="AH212" s="364"/>
      <c r="AI212" s="513">
        <v>288</v>
      </c>
      <c r="AJ212" s="364"/>
      <c r="AK212" s="364"/>
      <c r="AL212" s="364"/>
      <c r="AM212" s="364"/>
      <c r="AN212" s="513">
        <v>245</v>
      </c>
      <c r="AO212" s="364"/>
      <c r="AP212" s="364"/>
      <c r="AQ212" s="364"/>
      <c r="AR212" s="85"/>
      <c r="AS212" s="566"/>
      <c r="AT212" s="157"/>
      <c r="AU212" s="157"/>
      <c r="AV212" s="157"/>
      <c r="AW212" s="157"/>
      <c r="AX212" s="566"/>
      <c r="AY212" s="157"/>
      <c r="AZ212" s="157"/>
      <c r="BA212" s="157"/>
      <c r="BB212" s="157"/>
      <c r="BC212" s="566"/>
      <c r="BD212" s="157"/>
      <c r="BE212" s="157"/>
      <c r="BF212" s="157"/>
      <c r="BG212" s="157"/>
      <c r="BH212" s="566"/>
      <c r="BI212" s="157"/>
      <c r="BJ212" s="157"/>
      <c r="BK212" s="157"/>
      <c r="BL212" s="157"/>
      <c r="BM212" s="566"/>
      <c r="BN212" s="157"/>
      <c r="BO212" s="157"/>
      <c r="BP212" s="157"/>
      <c r="BQ212" s="157"/>
      <c r="BR212" s="566"/>
      <c r="BS212" s="157"/>
      <c r="BT212" s="157"/>
      <c r="BU212" s="157"/>
      <c r="BV212" s="157"/>
      <c r="BW212" s="566"/>
      <c r="BX212" s="157"/>
      <c r="BY212" s="157"/>
      <c r="BZ212" s="157"/>
      <c r="CA212" s="157"/>
      <c r="CB212" s="566"/>
      <c r="CC212" s="157"/>
      <c r="CD212" s="157"/>
      <c r="CE212" s="157"/>
      <c r="CF212" s="157"/>
      <c r="CG212" s="566"/>
      <c r="CH212" s="157"/>
      <c r="CI212" s="157"/>
      <c r="CJ212" s="157"/>
      <c r="CK212" s="157"/>
      <c r="CL212" s="566"/>
      <c r="CM212" s="157"/>
      <c r="CN212" s="157"/>
      <c r="CO212" s="157"/>
      <c r="CP212" s="157"/>
      <c r="CQ212" s="566"/>
    </row>
    <row r="213" spans="5:95" ht="13.5" hidden="1" x14ac:dyDescent="0.25">
      <c r="E213" s="157" t="s">
        <v>276</v>
      </c>
      <c r="F213" s="566"/>
      <c r="G213" s="566"/>
      <c r="H213" s="566"/>
      <c r="I213" s="566"/>
      <c r="J213" s="566"/>
      <c r="K213" s="122"/>
      <c r="L213" s="122"/>
      <c r="M213" s="122"/>
      <c r="N213" s="122"/>
      <c r="O213" s="566"/>
      <c r="P213" s="122"/>
      <c r="Q213" s="122"/>
      <c r="R213" s="122"/>
      <c r="S213" s="122"/>
      <c r="T213" s="566"/>
      <c r="U213" s="122"/>
      <c r="V213" s="122"/>
      <c r="W213" s="122"/>
      <c r="X213" s="122"/>
      <c r="Y213" s="566"/>
      <c r="Z213" s="122"/>
      <c r="AA213" s="122"/>
      <c r="AB213" s="122"/>
      <c r="AC213" s="122"/>
      <c r="AD213" s="566"/>
      <c r="AE213" s="85"/>
      <c r="AF213" s="85"/>
      <c r="AG213" s="85"/>
      <c r="AH213" s="85"/>
      <c r="AI213" s="513">
        <v>44</v>
      </c>
      <c r="AJ213" s="85"/>
      <c r="AK213" s="85"/>
      <c r="AL213" s="85"/>
      <c r="AM213" s="85"/>
      <c r="AN213" s="513">
        <v>41</v>
      </c>
      <c r="AO213" s="85"/>
      <c r="AP213" s="85"/>
      <c r="AQ213" s="85"/>
      <c r="AR213" s="85"/>
      <c r="AS213" s="566"/>
      <c r="AT213" s="27"/>
      <c r="AU213" s="414">
        <v>0.25</v>
      </c>
      <c r="AV213" s="414">
        <v>0.33</v>
      </c>
      <c r="AW213" s="420">
        <v>0.33</v>
      </c>
      <c r="AX213" s="566"/>
      <c r="AY213" s="27"/>
      <c r="AZ213" s="27"/>
      <c r="BA213" s="157"/>
      <c r="BB213" s="157"/>
      <c r="BC213" s="566"/>
      <c r="BD213" s="27"/>
      <c r="BE213" s="157"/>
      <c r="BF213" s="157"/>
      <c r="BG213" s="157"/>
      <c r="BH213" s="566"/>
      <c r="BI213" s="27"/>
      <c r="BJ213" s="157"/>
      <c r="BK213" s="157"/>
      <c r="BL213" s="157"/>
      <c r="BM213" s="566"/>
      <c r="BN213" s="27"/>
      <c r="BO213" s="27"/>
      <c r="BP213" s="27"/>
      <c r="BQ213" s="27"/>
      <c r="BR213" s="566"/>
      <c r="BS213" s="27"/>
      <c r="BT213" s="157"/>
      <c r="BU213" s="157"/>
      <c r="BV213" s="157"/>
      <c r="BW213" s="566"/>
      <c r="BX213" s="27"/>
      <c r="BY213" s="157"/>
      <c r="BZ213" s="157"/>
      <c r="CA213" s="157"/>
      <c r="CB213" s="566"/>
      <c r="CC213" s="27"/>
      <c r="CD213" s="157"/>
      <c r="CE213" s="157"/>
      <c r="CF213" s="157"/>
      <c r="CG213" s="566"/>
      <c r="CH213" s="27"/>
      <c r="CI213" s="157"/>
      <c r="CJ213" s="157"/>
      <c r="CK213" s="157"/>
      <c r="CL213" s="566"/>
      <c r="CM213" s="27"/>
      <c r="CN213" s="157"/>
      <c r="CO213" s="157"/>
      <c r="CP213" s="157"/>
      <c r="CQ213" s="566"/>
    </row>
    <row r="214" spans="5:95" hidden="1" x14ac:dyDescent="0.25">
      <c r="E214" s="200" t="s">
        <v>277</v>
      </c>
      <c r="F214" s="577"/>
      <c r="G214" s="577"/>
      <c r="H214" s="577"/>
      <c r="I214" s="577"/>
      <c r="J214" s="577"/>
      <c r="K214" s="129"/>
      <c r="L214" s="129"/>
      <c r="M214" s="129"/>
      <c r="N214" s="129"/>
      <c r="O214" s="577"/>
      <c r="P214" s="129"/>
      <c r="Q214" s="129"/>
      <c r="R214" s="129"/>
      <c r="S214" s="129"/>
      <c r="T214" s="577"/>
      <c r="U214" s="129"/>
      <c r="V214" s="129"/>
      <c r="W214" s="129"/>
      <c r="X214" s="129"/>
      <c r="Y214" s="577"/>
      <c r="Z214" s="129"/>
      <c r="AA214" s="129"/>
      <c r="AB214" s="129"/>
      <c r="AC214" s="129"/>
      <c r="AD214" s="577"/>
      <c r="AE214" s="373">
        <v>19.591999999999999</v>
      </c>
      <c r="AF214" s="373">
        <v>19.838999999999999</v>
      </c>
      <c r="AG214" s="373">
        <v>20.477</v>
      </c>
      <c r="AH214" s="373">
        <v>22.094000000000001</v>
      </c>
      <c r="AI214" s="546">
        <v>82</v>
      </c>
      <c r="AJ214" s="373">
        <v>22.213999999999999</v>
      </c>
      <c r="AK214" s="373">
        <v>21.547999999999998</v>
      </c>
      <c r="AL214" s="373">
        <v>20.087</v>
      </c>
      <c r="AM214" s="373">
        <v>7.4569999999999999</v>
      </c>
      <c r="AN214" s="546">
        <v>71</v>
      </c>
      <c r="AO214" s="373">
        <v>0</v>
      </c>
      <c r="AP214" s="373">
        <v>0</v>
      </c>
      <c r="AQ214" s="373">
        <v>0</v>
      </c>
      <c r="AR214" s="373">
        <v>0</v>
      </c>
      <c r="AS214" s="546">
        <v>0</v>
      </c>
      <c r="AT214" s="373">
        <v>0</v>
      </c>
      <c r="AU214" s="373">
        <v>0</v>
      </c>
      <c r="AV214" s="373">
        <v>0</v>
      </c>
      <c r="AW214" s="373">
        <v>0</v>
      </c>
      <c r="AX214" s="577"/>
      <c r="AY214" s="29"/>
      <c r="AZ214" s="29"/>
      <c r="BA214" s="200"/>
      <c r="BB214" s="200"/>
      <c r="BC214" s="577"/>
      <c r="BD214" s="29"/>
      <c r="BE214" s="200"/>
      <c r="BF214" s="200"/>
      <c r="BG214" s="200"/>
      <c r="BH214" s="577"/>
      <c r="BI214" s="29"/>
      <c r="BJ214" s="200"/>
      <c r="BK214" s="200"/>
      <c r="BL214" s="200"/>
      <c r="BM214" s="577"/>
      <c r="BN214" s="29"/>
      <c r="BO214" s="29"/>
      <c r="BP214" s="29"/>
      <c r="BQ214" s="29"/>
      <c r="BR214" s="577"/>
      <c r="BS214" s="29"/>
      <c r="BT214" s="200"/>
      <c r="BU214" s="200"/>
      <c r="BV214" s="200"/>
      <c r="BW214" s="577"/>
      <c r="BX214" s="29"/>
      <c r="BY214" s="200"/>
      <c r="BZ214" s="200"/>
      <c r="CA214" s="200"/>
      <c r="CB214" s="577"/>
      <c r="CC214" s="29"/>
      <c r="CD214" s="200"/>
      <c r="CE214" s="200"/>
      <c r="CF214" s="200"/>
      <c r="CG214" s="577"/>
      <c r="CH214" s="29"/>
      <c r="CI214" s="200"/>
      <c r="CJ214" s="200"/>
      <c r="CK214" s="200"/>
      <c r="CL214" s="577"/>
      <c r="CM214" s="29"/>
      <c r="CN214" s="200"/>
      <c r="CO214" s="200"/>
      <c r="CP214" s="200"/>
      <c r="CQ214" s="577"/>
    </row>
    <row r="215" spans="5:95" ht="13.5" hidden="1" x14ac:dyDescent="0.25">
      <c r="E215" s="197" t="s">
        <v>203</v>
      </c>
      <c r="F215" s="576"/>
      <c r="G215" s="576"/>
      <c r="H215" s="576"/>
      <c r="I215" s="576"/>
      <c r="J215" s="576"/>
      <c r="K215" s="198"/>
      <c r="L215" s="198"/>
      <c r="M215" s="198"/>
      <c r="N215" s="198"/>
      <c r="O215" s="576"/>
      <c r="P215" s="198"/>
      <c r="Q215" s="198"/>
      <c r="R215" s="198"/>
      <c r="S215" s="198"/>
      <c r="T215" s="576"/>
      <c r="U215" s="198"/>
      <c r="V215" s="198"/>
      <c r="W215" s="198"/>
      <c r="X215" s="198"/>
      <c r="Y215" s="576"/>
      <c r="Z215" s="198"/>
      <c r="AA215" s="198"/>
      <c r="AB215" s="198"/>
      <c r="AC215" s="198"/>
      <c r="AD215" s="576"/>
      <c r="AE215" s="198">
        <v>94.277000000000001</v>
      </c>
      <c r="AF215" s="198">
        <v>103.821</v>
      </c>
      <c r="AG215" s="198">
        <v>106.113</v>
      </c>
      <c r="AH215" s="198">
        <v>110.09699999999999</v>
      </c>
      <c r="AI215" s="576">
        <f>SUM(AI212:AI214)</f>
        <v>414</v>
      </c>
      <c r="AJ215" s="198">
        <v>94.378</v>
      </c>
      <c r="AK215" s="198">
        <v>95.33</v>
      </c>
      <c r="AL215" s="198">
        <v>89.978999999999999</v>
      </c>
      <c r="AM215" s="198">
        <v>76.623999999999995</v>
      </c>
      <c r="AN215" s="576">
        <f>SUM(AN212:AN214)</f>
        <v>357</v>
      </c>
      <c r="AO215" s="198">
        <v>56.655000000000001</v>
      </c>
      <c r="AP215" s="198">
        <v>60.892000000000003</v>
      </c>
      <c r="AQ215" s="198">
        <v>65.466999999999999</v>
      </c>
      <c r="AR215" s="198">
        <v>66.789000000000001</v>
      </c>
      <c r="AS215" s="576">
        <f>SUM(AO215:AR215)</f>
        <v>249.803</v>
      </c>
      <c r="AT215" s="198">
        <v>59.738999999999997</v>
      </c>
      <c r="AU215" s="198">
        <v>66.084999999999994</v>
      </c>
      <c r="AV215" s="198">
        <v>66.311999999999998</v>
      </c>
      <c r="AW215" s="198">
        <v>74.239999999999995</v>
      </c>
      <c r="AX215" s="576">
        <f>SUM(AT215:AW215)</f>
        <v>266.37599999999998</v>
      </c>
      <c r="AY215" s="198">
        <v>63.33</v>
      </c>
      <c r="AZ215" s="198">
        <v>69.379000000000005</v>
      </c>
      <c r="BA215" s="199"/>
      <c r="BB215" s="199"/>
      <c r="BC215" s="576"/>
      <c r="BD215" s="199"/>
      <c r="BE215" s="199"/>
      <c r="BF215" s="199"/>
      <c r="BG215" s="199"/>
      <c r="BH215" s="576"/>
      <c r="BI215" s="199"/>
      <c r="BJ215" s="199"/>
      <c r="BK215" s="199"/>
      <c r="BL215" s="199"/>
      <c r="BM215" s="576"/>
      <c r="BN215" s="199"/>
      <c r="BO215" s="199"/>
      <c r="BP215" s="199"/>
      <c r="BQ215" s="199"/>
      <c r="BR215" s="576"/>
      <c r="BS215" s="199"/>
      <c r="BT215" s="199"/>
      <c r="BU215" s="199"/>
      <c r="BV215" s="199"/>
      <c r="BW215" s="576"/>
      <c r="BX215" s="199"/>
      <c r="BY215" s="199"/>
      <c r="BZ215" s="199"/>
      <c r="CA215" s="199"/>
      <c r="CB215" s="576"/>
      <c r="CC215" s="199"/>
      <c r="CD215" s="199"/>
      <c r="CE215" s="199"/>
      <c r="CF215" s="199"/>
      <c r="CG215" s="576"/>
      <c r="CH215" s="199"/>
      <c r="CI215" s="199"/>
      <c r="CJ215" s="199"/>
      <c r="CK215" s="199"/>
      <c r="CL215" s="576"/>
      <c r="CM215" s="199"/>
      <c r="CN215" s="199"/>
      <c r="CO215" s="199"/>
      <c r="CP215" s="199"/>
      <c r="CQ215" s="576"/>
    </row>
    <row r="216" spans="5:95" ht="13.5" hidden="1" x14ac:dyDescent="0.25">
      <c r="E216" s="352" t="s">
        <v>375</v>
      </c>
      <c r="F216" s="525"/>
      <c r="G216" s="525"/>
      <c r="H216" s="525"/>
      <c r="I216" s="525"/>
      <c r="J216" s="525"/>
      <c r="K216" s="354"/>
      <c r="L216" s="354"/>
      <c r="M216" s="354"/>
      <c r="N216" s="354"/>
      <c r="O216" s="525"/>
      <c r="P216" s="183"/>
      <c r="Q216" s="183"/>
      <c r="R216" s="183"/>
      <c r="S216" s="183"/>
      <c r="T216" s="525"/>
      <c r="U216" s="183"/>
      <c r="V216" s="183"/>
      <c r="W216" s="183"/>
      <c r="X216" s="183"/>
      <c r="Y216" s="525"/>
      <c r="Z216" s="183"/>
      <c r="AA216" s="183"/>
      <c r="AB216" s="183"/>
      <c r="AC216" s="183"/>
      <c r="AD216" s="525"/>
      <c r="AE216" s="183"/>
      <c r="AF216" s="183"/>
      <c r="AG216" s="183"/>
      <c r="AH216" s="183"/>
      <c r="AI216" s="525"/>
      <c r="AJ216" s="183">
        <f t="shared" ref="AJ216:AZ216" si="38">AJ215/AE215-1</f>
        <v>1.071311136332298E-3</v>
      </c>
      <c r="AK216" s="183">
        <f t="shared" si="38"/>
        <v>-8.1784995328498034E-2</v>
      </c>
      <c r="AL216" s="183">
        <f t="shared" si="38"/>
        <v>-0.15204546097085181</v>
      </c>
      <c r="AM216" s="183">
        <f t="shared" si="38"/>
        <v>-0.30403189914348261</v>
      </c>
      <c r="AN216" s="525">
        <f t="shared" si="38"/>
        <v>-0.1376811594202898</v>
      </c>
      <c r="AO216" s="183">
        <f t="shared" si="38"/>
        <v>-0.39970120155120892</v>
      </c>
      <c r="AP216" s="183">
        <f t="shared" si="38"/>
        <v>-0.36125039337039755</v>
      </c>
      <c r="AQ216" s="183">
        <f t="shared" si="38"/>
        <v>-0.27241912001689284</v>
      </c>
      <c r="AR216" s="183">
        <f t="shared" si="38"/>
        <v>-0.12835404050950083</v>
      </c>
      <c r="AS216" s="525">
        <f t="shared" si="38"/>
        <v>-0.30027170868347342</v>
      </c>
      <c r="AT216" s="183">
        <f t="shared" si="38"/>
        <v>5.4434736563410135E-2</v>
      </c>
      <c r="AU216" s="183">
        <f t="shared" si="38"/>
        <v>8.5282138868816748E-2</v>
      </c>
      <c r="AV216" s="183">
        <f t="shared" si="38"/>
        <v>1.2907266256281691E-2</v>
      </c>
      <c r="AW216" s="183">
        <f t="shared" si="38"/>
        <v>0.11156028687358677</v>
      </c>
      <c r="AX216" s="525">
        <f t="shared" si="38"/>
        <v>6.6344279292082087E-2</v>
      </c>
      <c r="AY216" s="183">
        <f t="shared" si="38"/>
        <v>6.011148495957408E-2</v>
      </c>
      <c r="AZ216" s="183">
        <f t="shared" si="38"/>
        <v>4.9844896723916232E-2</v>
      </c>
      <c r="BA216" s="357"/>
      <c r="BB216" s="357"/>
      <c r="BC216" s="525"/>
      <c r="BD216" s="357"/>
      <c r="BE216" s="357"/>
      <c r="BF216" s="357"/>
      <c r="BG216" s="357"/>
      <c r="BH216" s="525"/>
      <c r="BI216" s="183"/>
      <c r="BJ216" s="183"/>
      <c r="BK216" s="183"/>
      <c r="BL216" s="183"/>
      <c r="BM216" s="525"/>
      <c r="BN216" s="183"/>
      <c r="BO216" s="183"/>
      <c r="BP216" s="183"/>
      <c r="BQ216" s="183"/>
      <c r="BR216" s="525"/>
      <c r="BS216" s="183"/>
      <c r="BT216" s="183"/>
      <c r="BU216" s="183"/>
      <c r="BV216" s="183"/>
      <c r="BW216" s="525"/>
      <c r="BX216" s="183"/>
      <c r="BY216" s="183"/>
      <c r="BZ216" s="183"/>
      <c r="CA216" s="183"/>
      <c r="CB216" s="525"/>
      <c r="CC216" s="183"/>
      <c r="CD216" s="183"/>
      <c r="CE216" s="183"/>
      <c r="CF216" s="183"/>
      <c r="CG216" s="525"/>
      <c r="CH216" s="183"/>
      <c r="CI216" s="183"/>
      <c r="CJ216" s="183"/>
      <c r="CK216" s="183"/>
      <c r="CL216" s="525"/>
      <c r="CM216" s="183"/>
      <c r="CN216" s="183"/>
      <c r="CO216" s="183"/>
      <c r="CP216" s="183"/>
      <c r="CQ216" s="641"/>
    </row>
    <row r="217" spans="5:95" ht="13.5" hidden="1" x14ac:dyDescent="0.25">
      <c r="E217" s="352" t="s">
        <v>376</v>
      </c>
      <c r="F217" s="525"/>
      <c r="G217" s="525"/>
      <c r="H217" s="525"/>
      <c r="I217" s="525"/>
      <c r="J217" s="525"/>
      <c r="K217" s="354"/>
      <c r="L217" s="354"/>
      <c r="M217" s="354"/>
      <c r="N217" s="354"/>
      <c r="O217" s="525"/>
      <c r="P217" s="183"/>
      <c r="Q217" s="183"/>
      <c r="R217" s="183"/>
      <c r="S217" s="183"/>
      <c r="T217" s="525"/>
      <c r="U217" s="183"/>
      <c r="V217" s="183"/>
      <c r="W217" s="183"/>
      <c r="X217" s="183"/>
      <c r="Y217" s="525"/>
      <c r="Z217" s="183"/>
      <c r="AA217" s="183"/>
      <c r="AB217" s="183"/>
      <c r="AC217" s="183"/>
      <c r="AD217" s="525"/>
      <c r="AE217" s="183"/>
      <c r="AF217" s="183"/>
      <c r="AG217" s="183"/>
      <c r="AH217" s="183"/>
      <c r="AI217" s="525"/>
      <c r="AJ217" s="183">
        <f t="shared" ref="AJ217:AW217" si="39">(AJ215/(AE215-AE214))-1</f>
        <v>0.26368079266251576</v>
      </c>
      <c r="AK217" s="183">
        <f t="shared" si="39"/>
        <v>0.13512419327951219</v>
      </c>
      <c r="AL217" s="183">
        <f t="shared" si="39"/>
        <v>5.0714652716147501E-2</v>
      </c>
      <c r="AM217" s="183">
        <f t="shared" si="39"/>
        <v>-0.12930241014510857</v>
      </c>
      <c r="AN217" s="525">
        <f t="shared" si="39"/>
        <v>7.5301204819277157E-2</v>
      </c>
      <c r="AO217" s="183">
        <f t="shared" si="39"/>
        <v>-0.21491325314561283</v>
      </c>
      <c r="AP217" s="183">
        <f t="shared" si="39"/>
        <v>-0.17470385730937077</v>
      </c>
      <c r="AQ217" s="183">
        <f t="shared" si="39"/>
        <v>-6.3311967034853756E-2</v>
      </c>
      <c r="AR217" s="183">
        <f t="shared" si="39"/>
        <v>-3.4380557202133954E-2</v>
      </c>
      <c r="AS217" s="525">
        <f t="shared" si="39"/>
        <v>-0.12656293706293709</v>
      </c>
      <c r="AT217" s="183">
        <f t="shared" si="39"/>
        <v>5.4434736563410135E-2</v>
      </c>
      <c r="AU217" s="183">
        <f t="shared" si="39"/>
        <v>8.5282138868816748E-2</v>
      </c>
      <c r="AV217" s="183">
        <f t="shared" si="39"/>
        <v>1.2907266256281691E-2</v>
      </c>
      <c r="AW217" s="183">
        <f t="shared" si="39"/>
        <v>0.11156028687358677</v>
      </c>
      <c r="AX217" s="525"/>
      <c r="AY217" s="183">
        <f>(AY215/(AT215-AT214))-1</f>
        <v>6.011148495957408E-2</v>
      </c>
      <c r="AZ217" s="183">
        <f>(AZ215/(AU215-AU214))-1</f>
        <v>4.9844896723916232E-2</v>
      </c>
      <c r="BA217" s="183"/>
      <c r="BB217" s="183"/>
      <c r="BC217" s="525"/>
      <c r="BD217" s="183"/>
      <c r="BE217" s="183"/>
      <c r="BF217" s="183"/>
      <c r="BG217" s="183"/>
      <c r="BH217" s="525"/>
      <c r="BI217" s="183"/>
      <c r="BJ217" s="183"/>
      <c r="BK217" s="183"/>
      <c r="BL217" s="183"/>
      <c r="BM217" s="525"/>
      <c r="BN217" s="183"/>
      <c r="BO217" s="183"/>
      <c r="BP217" s="183"/>
      <c r="BQ217" s="183"/>
      <c r="BR217" s="525"/>
      <c r="BS217" s="183"/>
      <c r="BT217" s="183"/>
      <c r="BU217" s="183"/>
      <c r="BV217" s="183"/>
      <c r="BW217" s="525"/>
      <c r="BX217" s="183"/>
      <c r="BY217" s="183"/>
      <c r="BZ217" s="183"/>
      <c r="CA217" s="183"/>
      <c r="CB217" s="525"/>
      <c r="CC217" s="183"/>
      <c r="CD217" s="183"/>
      <c r="CE217" s="183"/>
      <c r="CF217" s="183"/>
      <c r="CG217" s="525"/>
      <c r="CH217" s="183"/>
      <c r="CI217" s="183"/>
      <c r="CJ217" s="183"/>
      <c r="CK217" s="183"/>
      <c r="CL217" s="525"/>
      <c r="CM217" s="183"/>
      <c r="CN217" s="183"/>
      <c r="CO217" s="183"/>
      <c r="CP217" s="183"/>
      <c r="CQ217" s="641"/>
    </row>
    <row r="218" spans="5:95" ht="13.5" hidden="1" x14ac:dyDescent="0.25">
      <c r="E218" s="352"/>
      <c r="F218" s="525"/>
      <c r="G218" s="525"/>
      <c r="H218" s="525"/>
      <c r="I218" s="525"/>
      <c r="J218" s="525"/>
      <c r="K218" s="354"/>
      <c r="L218" s="354"/>
      <c r="M218" s="354"/>
      <c r="N218" s="354"/>
      <c r="O218" s="525"/>
      <c r="P218" s="183"/>
      <c r="Q218" s="183"/>
      <c r="R218" s="183"/>
      <c r="S218" s="183"/>
      <c r="T218" s="525"/>
      <c r="U218" s="183"/>
      <c r="V218" s="183"/>
      <c r="W218" s="183"/>
      <c r="X218" s="183"/>
      <c r="Y218" s="525"/>
      <c r="Z218" s="183"/>
      <c r="AA218" s="183"/>
      <c r="AB218" s="183"/>
      <c r="AC218" s="183"/>
      <c r="AD218" s="525"/>
      <c r="AE218" s="183"/>
      <c r="AF218" s="183"/>
      <c r="AG218" s="183"/>
      <c r="AH218" s="183"/>
      <c r="AI218" s="525"/>
      <c r="AJ218" s="183"/>
      <c r="AK218" s="183"/>
      <c r="AL218" s="183"/>
      <c r="AM218" s="183"/>
      <c r="AN218" s="525"/>
      <c r="AO218" s="183"/>
      <c r="AP218" s="183"/>
      <c r="AQ218" s="183"/>
      <c r="AR218" s="357"/>
      <c r="AS218" s="525"/>
      <c r="AT218" s="183"/>
      <c r="AU218" s="183"/>
      <c r="AV218" s="183"/>
      <c r="AW218" s="183"/>
      <c r="AX218" s="525"/>
      <c r="AY218" s="419"/>
      <c r="AZ218" s="419"/>
      <c r="BA218" s="419"/>
      <c r="BB218" s="419"/>
      <c r="BC218" s="576"/>
      <c r="BD218" s="183"/>
      <c r="BE218" s="183"/>
      <c r="BF218" s="183"/>
      <c r="BG218" s="183"/>
      <c r="BH218" s="576"/>
      <c r="BI218" s="183"/>
      <c r="BJ218" s="183"/>
      <c r="BK218" s="183"/>
      <c r="BL218" s="183"/>
      <c r="BM218" s="525"/>
      <c r="BN218" s="183"/>
      <c r="BO218" s="183"/>
      <c r="BP218" s="183"/>
      <c r="BQ218" s="183"/>
      <c r="BR218" s="525"/>
      <c r="BS218" s="183"/>
      <c r="BT218" s="183"/>
      <c r="BU218" s="183"/>
      <c r="BV218" s="183"/>
      <c r="BW218" s="525"/>
      <c r="BX218" s="183"/>
      <c r="BY218" s="183"/>
      <c r="BZ218" s="183"/>
      <c r="CA218" s="183"/>
      <c r="CB218" s="525"/>
      <c r="CC218" s="183"/>
      <c r="CD218" s="183"/>
      <c r="CE218" s="183"/>
      <c r="CF218" s="183"/>
      <c r="CG218" s="525"/>
      <c r="CH218" s="183"/>
      <c r="CI218" s="183"/>
      <c r="CJ218" s="183"/>
      <c r="CK218" s="183"/>
      <c r="CL218" s="525"/>
      <c r="CM218" s="183"/>
      <c r="CN218" s="183"/>
      <c r="CO218" s="183"/>
      <c r="CP218" s="183"/>
      <c r="CQ218" s="641"/>
    </row>
    <row r="219" spans="5:95" ht="13.5" hidden="1" x14ac:dyDescent="0.25">
      <c r="E219" s="298" t="s">
        <v>69</v>
      </c>
      <c r="F219" s="576"/>
      <c r="G219" s="576"/>
      <c r="H219" s="576"/>
      <c r="I219" s="576"/>
      <c r="J219" s="576"/>
      <c r="K219" s="203"/>
      <c r="L219" s="203"/>
      <c r="M219" s="203"/>
      <c r="N219" s="203"/>
      <c r="O219" s="576"/>
      <c r="P219" s="203"/>
      <c r="Q219" s="203"/>
      <c r="R219" s="203"/>
      <c r="S219" s="203"/>
      <c r="T219" s="576"/>
      <c r="U219" s="203"/>
      <c r="V219" s="203"/>
      <c r="W219" s="203"/>
      <c r="X219" s="203"/>
      <c r="Y219" s="576"/>
      <c r="Z219" s="203"/>
      <c r="AA219" s="203"/>
      <c r="AB219" s="203"/>
      <c r="AC219" s="203"/>
      <c r="AD219" s="576"/>
      <c r="AE219" s="203">
        <f t="shared" ref="AE219:AZ219" si="40">AE215+AE209</f>
        <v>334.66899999999998</v>
      </c>
      <c r="AF219" s="203">
        <f t="shared" si="40"/>
        <v>348.85399999999998</v>
      </c>
      <c r="AG219" s="203">
        <f t="shared" si="40"/>
        <v>350.75900000000001</v>
      </c>
      <c r="AH219" s="203">
        <f t="shared" si="40"/>
        <v>349.79699999999997</v>
      </c>
      <c r="AI219" s="576">
        <f t="shared" si="40"/>
        <v>1383.771</v>
      </c>
      <c r="AJ219" s="203">
        <f t="shared" si="40"/>
        <v>331.07299999999998</v>
      </c>
      <c r="AK219" s="203">
        <f t="shared" si="40"/>
        <v>328.935</v>
      </c>
      <c r="AL219" s="203">
        <f t="shared" si="40"/>
        <v>321.05599999999998</v>
      </c>
      <c r="AM219" s="203">
        <f t="shared" si="40"/>
        <v>295.50900000000001</v>
      </c>
      <c r="AN219" s="576">
        <f t="shared" si="40"/>
        <v>1277.2619999999999</v>
      </c>
      <c r="AO219" s="203">
        <f t="shared" si="40"/>
        <v>255.98099999999999</v>
      </c>
      <c r="AP219" s="203">
        <f t="shared" si="40"/>
        <v>271.10500000000002</v>
      </c>
      <c r="AQ219" s="203">
        <f t="shared" si="40"/>
        <v>283.80700000000002</v>
      </c>
      <c r="AR219" s="203">
        <f t="shared" si="40"/>
        <v>288.34199999999998</v>
      </c>
      <c r="AS219" s="576">
        <f t="shared" si="40"/>
        <v>1099.2350000000001</v>
      </c>
      <c r="AT219" s="203">
        <f t="shared" si="40"/>
        <v>270.39499999999998</v>
      </c>
      <c r="AU219" s="203">
        <f t="shared" si="40"/>
        <v>291.66899999999998</v>
      </c>
      <c r="AV219" s="203">
        <f t="shared" si="40"/>
        <v>299.11</v>
      </c>
      <c r="AW219" s="203">
        <f t="shared" si="40"/>
        <v>298.79599999999999</v>
      </c>
      <c r="AX219" s="576">
        <f t="shared" si="40"/>
        <v>1159.97</v>
      </c>
      <c r="AY219" s="203">
        <f t="shared" si="40"/>
        <v>288.93400000000003</v>
      </c>
      <c r="AZ219" s="203">
        <f t="shared" si="40"/>
        <v>300.03399999999999</v>
      </c>
      <c r="BA219" s="203"/>
      <c r="BB219" s="203"/>
      <c r="BC219" s="576"/>
      <c r="BD219" s="203"/>
      <c r="BE219" s="203"/>
      <c r="BF219" s="203"/>
      <c r="BG219" s="203"/>
      <c r="BH219" s="576"/>
      <c r="BI219" s="203"/>
      <c r="BJ219" s="203"/>
      <c r="BK219" s="203"/>
      <c r="BL219" s="203"/>
      <c r="BM219" s="576"/>
      <c r="BN219" s="203"/>
      <c r="BO219" s="203"/>
      <c r="BP219" s="203"/>
      <c r="BQ219" s="203"/>
      <c r="BR219" s="576"/>
      <c r="BS219" s="203"/>
      <c r="BT219" s="203"/>
      <c r="BU219" s="203"/>
      <c r="BV219" s="203"/>
      <c r="BW219" s="576"/>
      <c r="BX219" s="203"/>
      <c r="BY219" s="203"/>
      <c r="BZ219" s="203"/>
      <c r="CA219" s="203"/>
      <c r="CB219" s="576"/>
      <c r="CC219" s="203"/>
      <c r="CD219" s="203"/>
      <c r="CE219" s="203"/>
      <c r="CF219" s="203"/>
      <c r="CG219" s="576"/>
      <c r="CH219" s="203"/>
      <c r="CI219" s="203"/>
      <c r="CJ219" s="203"/>
      <c r="CK219" s="203"/>
      <c r="CL219" s="576"/>
      <c r="CM219" s="203"/>
      <c r="CN219" s="203"/>
      <c r="CO219" s="203"/>
      <c r="CP219" s="203"/>
      <c r="CQ219" s="576"/>
    </row>
    <row r="220" spans="5:95" ht="13.5" hidden="1" x14ac:dyDescent="0.25">
      <c r="E220" s="356" t="s">
        <v>2</v>
      </c>
      <c r="F220" s="525"/>
      <c r="G220" s="525"/>
      <c r="H220" s="525"/>
      <c r="I220" s="525"/>
      <c r="J220" s="525"/>
      <c r="K220" s="353"/>
      <c r="L220" s="353"/>
      <c r="M220" s="353"/>
      <c r="N220" s="353"/>
      <c r="O220" s="525"/>
      <c r="P220" s="32"/>
      <c r="Q220" s="32"/>
      <c r="R220" s="32"/>
      <c r="S220" s="32"/>
      <c r="T220" s="525"/>
      <c r="U220" s="32"/>
      <c r="V220" s="32"/>
      <c r="W220" s="32"/>
      <c r="X220" s="32"/>
      <c r="Y220" s="525"/>
      <c r="Z220" s="32"/>
      <c r="AA220" s="32"/>
      <c r="AB220" s="32"/>
      <c r="AC220" s="32"/>
      <c r="AD220" s="525"/>
      <c r="AE220" s="32"/>
      <c r="AF220" s="32"/>
      <c r="AG220" s="32"/>
      <c r="AH220" s="32"/>
      <c r="AI220" s="525"/>
      <c r="AJ220" s="32">
        <f t="shared" ref="AJ220:AZ220" si="41">AJ219/AE219-1</f>
        <v>-1.0744945005363493E-2</v>
      </c>
      <c r="AK220" s="32">
        <f t="shared" si="41"/>
        <v>-5.7098384997735341E-2</v>
      </c>
      <c r="AL220" s="32">
        <f t="shared" si="41"/>
        <v>-8.4682075157016756E-2</v>
      </c>
      <c r="AM220" s="32">
        <f t="shared" si="41"/>
        <v>-0.15519858660880437</v>
      </c>
      <c r="AN220" s="525">
        <f t="shared" si="41"/>
        <v>-7.697010560273343E-2</v>
      </c>
      <c r="AO220" s="32">
        <f t="shared" si="41"/>
        <v>-0.22681402590969357</v>
      </c>
      <c r="AP220" s="32">
        <f t="shared" si="41"/>
        <v>-0.17580981044887278</v>
      </c>
      <c r="AQ220" s="32">
        <f t="shared" si="41"/>
        <v>-0.11602025814811112</v>
      </c>
      <c r="AR220" s="32">
        <f t="shared" si="41"/>
        <v>-2.4253068434464065E-2</v>
      </c>
      <c r="AS220" s="525">
        <f t="shared" si="41"/>
        <v>-0.13938174000322556</v>
      </c>
      <c r="AT220" s="32">
        <f t="shared" si="41"/>
        <v>5.6308866673698388E-2</v>
      </c>
      <c r="AU220" s="32">
        <f t="shared" si="41"/>
        <v>7.5852529462754115E-2</v>
      </c>
      <c r="AV220" s="32">
        <f t="shared" si="41"/>
        <v>5.3920445936851413E-2</v>
      </c>
      <c r="AW220" s="32">
        <f t="shared" si="41"/>
        <v>3.6255557636417857E-2</v>
      </c>
      <c r="AX220" s="525">
        <f t="shared" si="41"/>
        <v>5.5252061661064111E-2</v>
      </c>
      <c r="AY220" s="32">
        <f t="shared" si="41"/>
        <v>6.8562658333179316E-2</v>
      </c>
      <c r="AZ220" s="32">
        <f t="shared" si="41"/>
        <v>2.8679770561835571E-2</v>
      </c>
      <c r="BA220" s="32"/>
      <c r="BB220" s="32"/>
      <c r="BC220" s="525"/>
      <c r="BD220" s="32"/>
      <c r="BE220" s="32"/>
      <c r="BF220" s="32"/>
      <c r="BG220" s="32"/>
      <c r="BH220" s="525"/>
      <c r="BI220" s="32"/>
      <c r="BJ220" s="32"/>
      <c r="BK220" s="32"/>
      <c r="BL220" s="32"/>
      <c r="BM220" s="525"/>
      <c r="BN220" s="32"/>
      <c r="BO220" s="32"/>
      <c r="BP220" s="32"/>
      <c r="BQ220" s="32"/>
      <c r="BR220" s="525"/>
      <c r="BS220" s="32"/>
      <c r="BT220" s="32"/>
      <c r="BU220" s="32"/>
      <c r="BV220" s="32"/>
      <c r="BW220" s="525"/>
      <c r="BX220" s="32"/>
      <c r="BY220" s="32"/>
      <c r="BZ220" s="32"/>
      <c r="CA220" s="32"/>
      <c r="CB220" s="525"/>
      <c r="CC220" s="32"/>
      <c r="CD220" s="32"/>
      <c r="CE220" s="32"/>
      <c r="CF220" s="32"/>
      <c r="CG220" s="525"/>
      <c r="CH220" s="32"/>
      <c r="CI220" s="32"/>
      <c r="CJ220" s="32"/>
      <c r="CK220" s="32"/>
      <c r="CL220" s="525"/>
      <c r="CM220" s="32"/>
      <c r="CN220" s="32"/>
      <c r="CO220" s="32"/>
      <c r="CP220" s="32"/>
      <c r="CQ220" s="641"/>
    </row>
    <row r="221" spans="5:95" ht="13.5" hidden="1" x14ac:dyDescent="0.25">
      <c r="E221" s="356" t="s">
        <v>376</v>
      </c>
      <c r="F221" s="525"/>
      <c r="G221" s="525"/>
      <c r="H221" s="525"/>
      <c r="I221" s="525"/>
      <c r="J221" s="525"/>
      <c r="K221" s="353"/>
      <c r="L221" s="353"/>
      <c r="M221" s="353"/>
      <c r="N221" s="353"/>
      <c r="O221" s="525"/>
      <c r="P221" s="32"/>
      <c r="Q221" s="32"/>
      <c r="R221" s="32"/>
      <c r="S221" s="32"/>
      <c r="T221" s="525"/>
      <c r="U221" s="32"/>
      <c r="V221" s="32"/>
      <c r="W221" s="32"/>
      <c r="X221" s="32"/>
      <c r="Y221" s="525"/>
      <c r="Z221" s="32"/>
      <c r="AA221" s="32"/>
      <c r="AB221" s="32"/>
      <c r="AC221" s="32"/>
      <c r="AD221" s="525"/>
      <c r="AE221" s="32"/>
      <c r="AF221" s="32"/>
      <c r="AG221" s="32"/>
      <c r="AH221" s="32"/>
      <c r="AI221" s="525"/>
      <c r="AJ221" s="32">
        <f t="shared" ref="AJ221:AX221" si="42">(AJ219/(AE219-AE214))-1</f>
        <v>5.0768542292836338E-2</v>
      </c>
      <c r="AK221" s="32">
        <f t="shared" si="42"/>
        <v>-2.4315000835828382E-4</v>
      </c>
      <c r="AL221" s="32">
        <f t="shared" si="42"/>
        <v>-2.7933705136822584E-2</v>
      </c>
      <c r="AM221" s="32">
        <f t="shared" si="42"/>
        <v>-9.8241395409867982E-2</v>
      </c>
      <c r="AN221" s="525">
        <f t="shared" si="42"/>
        <v>-1.8827428172850658E-2</v>
      </c>
      <c r="AO221" s="32">
        <f t="shared" si="42"/>
        <v>-0.17120433595912699</v>
      </c>
      <c r="AP221" s="32">
        <f t="shared" si="42"/>
        <v>-0.11803361885831209</v>
      </c>
      <c r="AQ221" s="32">
        <f t="shared" si="42"/>
        <v>-5.7022484043207089E-2</v>
      </c>
      <c r="AR221" s="32">
        <f t="shared" si="42"/>
        <v>1.0067626678516017E-3</v>
      </c>
      <c r="AS221" s="525">
        <f t="shared" si="42"/>
        <v>-8.872616396769506E-2</v>
      </c>
      <c r="AT221" s="32">
        <f t="shared" si="42"/>
        <v>5.6308866673698388E-2</v>
      </c>
      <c r="AU221" s="32">
        <f t="shared" si="42"/>
        <v>7.5852529462754115E-2</v>
      </c>
      <c r="AV221" s="32">
        <f t="shared" si="42"/>
        <v>5.3920445936851413E-2</v>
      </c>
      <c r="AW221" s="32">
        <f t="shared" si="42"/>
        <v>3.6255557636417857E-2</v>
      </c>
      <c r="AX221" s="525">
        <f t="shared" si="42"/>
        <v>5.5252061661064111E-2</v>
      </c>
      <c r="AY221" s="32"/>
      <c r="AZ221" s="32"/>
      <c r="BA221" s="32"/>
      <c r="BB221" s="32"/>
      <c r="BC221" s="525"/>
      <c r="BD221" s="32"/>
      <c r="BE221" s="32"/>
      <c r="BF221" s="32"/>
      <c r="BG221" s="32"/>
      <c r="BH221" s="525"/>
      <c r="BI221" s="32"/>
      <c r="BJ221" s="32"/>
      <c r="BK221" s="32"/>
      <c r="BL221" s="32"/>
      <c r="BM221" s="525"/>
      <c r="BN221" s="32"/>
      <c r="BO221" s="32"/>
      <c r="BP221" s="32"/>
      <c r="BQ221" s="32"/>
      <c r="BR221" s="525"/>
      <c r="BS221" s="32"/>
      <c r="BT221" s="32"/>
      <c r="BU221" s="32"/>
      <c r="BV221" s="32"/>
      <c r="BW221" s="525"/>
      <c r="BX221" s="32"/>
      <c r="BY221" s="32"/>
      <c r="BZ221" s="32"/>
      <c r="CA221" s="32"/>
      <c r="CB221" s="525"/>
      <c r="CC221" s="32"/>
      <c r="CD221" s="32"/>
      <c r="CE221" s="32"/>
      <c r="CF221" s="32"/>
      <c r="CG221" s="525"/>
      <c r="CH221" s="32"/>
      <c r="CI221" s="32"/>
      <c r="CJ221" s="32"/>
      <c r="CK221" s="32"/>
      <c r="CL221" s="525"/>
      <c r="CM221" s="32"/>
      <c r="CN221" s="32"/>
      <c r="CO221" s="32"/>
      <c r="CP221" s="32"/>
      <c r="CQ221" s="641"/>
    </row>
    <row r="222" spans="5:95" hidden="1" x14ac:dyDescent="0.25">
      <c r="E222" s="194"/>
      <c r="F222" s="578"/>
      <c r="G222" s="578"/>
      <c r="H222" s="578"/>
      <c r="I222" s="578"/>
      <c r="J222" s="578"/>
      <c r="K222" s="192"/>
      <c r="L222" s="192"/>
      <c r="M222" s="192"/>
      <c r="N222" s="192"/>
      <c r="O222" s="578"/>
      <c r="P222" s="192"/>
      <c r="Q222" s="192"/>
      <c r="R222" s="192"/>
      <c r="S222" s="192"/>
      <c r="T222" s="578"/>
      <c r="U222" s="192"/>
      <c r="V222" s="192"/>
      <c r="W222" s="192"/>
      <c r="X222" s="192"/>
      <c r="Y222" s="578"/>
      <c r="Z222" s="195"/>
      <c r="AA222" s="195"/>
      <c r="AB222" s="195"/>
      <c r="AC222" s="195"/>
      <c r="AD222" s="578"/>
      <c r="AE222" s="195"/>
      <c r="AF222" s="195"/>
      <c r="AG222" s="195"/>
      <c r="AH222" s="195"/>
      <c r="AI222" s="578"/>
      <c r="AJ222" s="195"/>
      <c r="AK222" s="195"/>
      <c r="AL222" s="195"/>
      <c r="AM222" s="195"/>
      <c r="AN222" s="578"/>
      <c r="AO222" s="195"/>
      <c r="AP222" s="195"/>
      <c r="AQ222" s="195"/>
      <c r="AR222" s="195"/>
      <c r="AS222" s="578"/>
      <c r="AT222" s="194"/>
      <c r="AU222" s="194"/>
      <c r="AV222" s="194"/>
      <c r="AW222" s="194"/>
      <c r="AX222" s="578"/>
      <c r="AY222" s="194"/>
      <c r="AZ222" s="194"/>
      <c r="BA222" s="194"/>
      <c r="BB222" s="194"/>
      <c r="BC222" s="578"/>
      <c r="BD222" s="194"/>
      <c r="BE222" s="194"/>
      <c r="BF222" s="194"/>
      <c r="BG222" s="194"/>
      <c r="BH222" s="578"/>
      <c r="BI222" s="194"/>
      <c r="BJ222" s="194"/>
      <c r="BK222" s="194"/>
      <c r="BL222" s="194"/>
      <c r="BM222" s="578"/>
      <c r="BN222" s="194"/>
      <c r="BO222" s="194"/>
      <c r="BP222" s="194"/>
      <c r="BQ222" s="194"/>
      <c r="BR222" s="578"/>
      <c r="BS222" s="194"/>
      <c r="BT222" s="194"/>
      <c r="BU222" s="194"/>
      <c r="BV222" s="194"/>
      <c r="BW222" s="578"/>
      <c r="BX222" s="194"/>
      <c r="BY222" s="194"/>
      <c r="BZ222" s="194"/>
      <c r="CA222" s="194"/>
      <c r="CB222" s="578"/>
      <c r="CC222" s="194"/>
      <c r="CD222" s="194"/>
      <c r="CE222" s="194"/>
      <c r="CF222" s="194"/>
      <c r="CG222" s="578"/>
      <c r="CH222" s="194"/>
      <c r="CI222" s="194"/>
      <c r="CJ222" s="194"/>
      <c r="CK222" s="194"/>
      <c r="CL222" s="578"/>
      <c r="CM222" s="194"/>
      <c r="CN222" s="194"/>
      <c r="CO222" s="194"/>
      <c r="CP222" s="194"/>
      <c r="CQ222" s="578"/>
    </row>
    <row r="223" spans="5:95" hidden="1" x14ac:dyDescent="0.25">
      <c r="E223" s="190" t="s">
        <v>292</v>
      </c>
      <c r="F223" s="578"/>
      <c r="G223" s="578"/>
      <c r="H223" s="578"/>
      <c r="I223" s="578"/>
      <c r="J223" s="578"/>
      <c r="K223" s="192"/>
      <c r="L223" s="192"/>
      <c r="M223" s="192"/>
      <c r="N223" s="192"/>
      <c r="O223" s="578"/>
      <c r="P223" s="192"/>
      <c r="Q223" s="192"/>
      <c r="R223" s="192"/>
      <c r="S223" s="192"/>
      <c r="T223" s="578"/>
      <c r="U223" s="192"/>
      <c r="V223" s="192"/>
      <c r="W223" s="192"/>
      <c r="X223" s="192"/>
      <c r="Y223" s="578"/>
      <c r="Z223" s="195"/>
      <c r="AA223" s="195"/>
      <c r="AB223" s="195"/>
      <c r="AC223" s="195"/>
      <c r="AD223" s="578"/>
      <c r="AE223" s="195"/>
      <c r="AF223" s="195"/>
      <c r="AG223" s="195"/>
      <c r="AH223" s="195"/>
      <c r="AI223" s="578"/>
      <c r="AJ223" s="195"/>
      <c r="AK223" s="195"/>
      <c r="AL223" s="195"/>
      <c r="AM223" s="195"/>
      <c r="AN223" s="578"/>
      <c r="AO223" s="195"/>
      <c r="AP223" s="195"/>
      <c r="AQ223" s="195"/>
      <c r="AR223" s="195"/>
      <c r="AS223" s="578"/>
      <c r="AT223" s="194"/>
      <c r="AU223" s="194"/>
      <c r="AV223" s="194"/>
      <c r="AW223" s="194"/>
      <c r="AX223" s="578"/>
      <c r="AY223" s="194"/>
      <c r="AZ223" s="194"/>
      <c r="BA223" s="194"/>
      <c r="BB223" s="194"/>
      <c r="BC223" s="578"/>
      <c r="BD223" s="194"/>
      <c r="BE223" s="194"/>
      <c r="BF223" s="194"/>
      <c r="BG223" s="194"/>
      <c r="BH223" s="578"/>
      <c r="BI223" s="194"/>
      <c r="BJ223" s="194"/>
      <c r="BK223" s="194"/>
      <c r="BL223" s="194"/>
      <c r="BM223" s="578"/>
      <c r="BN223" s="194"/>
      <c r="BO223" s="194"/>
      <c r="BP223" s="194"/>
      <c r="BQ223" s="194"/>
      <c r="BR223" s="578"/>
      <c r="BS223" s="194"/>
      <c r="BT223" s="194"/>
      <c r="BU223" s="194"/>
      <c r="BV223" s="194"/>
      <c r="BW223" s="578"/>
      <c r="BX223" s="194"/>
      <c r="BY223" s="194"/>
      <c r="BZ223" s="194"/>
      <c r="CA223" s="194"/>
      <c r="CB223" s="578"/>
      <c r="CC223" s="194"/>
      <c r="CD223" s="194"/>
      <c r="CE223" s="194"/>
      <c r="CF223" s="194"/>
      <c r="CG223" s="578"/>
      <c r="CH223" s="194"/>
      <c r="CI223" s="194"/>
      <c r="CJ223" s="194"/>
      <c r="CK223" s="194"/>
      <c r="CL223" s="578"/>
      <c r="CM223" s="194"/>
      <c r="CN223" s="194"/>
      <c r="CO223" s="194"/>
      <c r="CP223" s="194"/>
      <c r="CQ223" s="578"/>
    </row>
    <row r="224" spans="5:95" hidden="1" x14ac:dyDescent="0.25">
      <c r="E224" s="27" t="s">
        <v>306</v>
      </c>
      <c r="F224" s="578"/>
      <c r="G224" s="578"/>
      <c r="H224" s="578"/>
      <c r="I224" s="578"/>
      <c r="J224" s="578"/>
      <c r="K224" s="192"/>
      <c r="L224" s="192"/>
      <c r="M224" s="192"/>
      <c r="N224" s="192"/>
      <c r="O224" s="578"/>
      <c r="P224" s="192"/>
      <c r="Q224" s="192"/>
      <c r="R224" s="192"/>
      <c r="S224" s="192"/>
      <c r="T224" s="578"/>
      <c r="U224" s="192"/>
      <c r="V224" s="192"/>
      <c r="W224" s="192"/>
      <c r="X224" s="192"/>
      <c r="Y224" s="578"/>
      <c r="Z224" s="195"/>
      <c r="AA224" s="195"/>
      <c r="AB224" s="195"/>
      <c r="AC224" s="195"/>
      <c r="AD224" s="578"/>
      <c r="AE224" s="124">
        <v>-194.602</v>
      </c>
      <c r="AF224" s="124">
        <v>-196.333</v>
      </c>
      <c r="AG224" s="124">
        <v>-188.65899999999999</v>
      </c>
      <c r="AH224" s="124">
        <v>-225.77600000000001</v>
      </c>
      <c r="AI224" s="568">
        <f>SUM(AE224:AH224)</f>
        <v>-805.37000000000012</v>
      </c>
      <c r="AJ224" s="124">
        <v>-178.86099999999999</v>
      </c>
      <c r="AK224" s="124">
        <v>-180.98599999999999</v>
      </c>
      <c r="AL224" s="124">
        <v>-173.43299999999999</v>
      </c>
      <c r="AM224" s="124">
        <v>-161.06</v>
      </c>
      <c r="AN224" s="568">
        <f>SUM(AJ224:AM224)</f>
        <v>-694.33999999999992</v>
      </c>
      <c r="AO224" s="124">
        <v>-159.57599999999999</v>
      </c>
      <c r="AP224" s="124">
        <v>-165.792</v>
      </c>
      <c r="AQ224" s="124">
        <v>-163.20599999999999</v>
      </c>
      <c r="AR224" s="124">
        <v>-166.08500000000001</v>
      </c>
      <c r="AS224" s="568">
        <f>SUM(AO224:AR224)</f>
        <v>-654.65899999999999</v>
      </c>
      <c r="AT224" s="124">
        <v>-164.65</v>
      </c>
      <c r="AU224" s="124">
        <v>-175.68700000000001</v>
      </c>
      <c r="AV224" s="124">
        <v>-178.58600000000001</v>
      </c>
      <c r="AW224" s="124">
        <v>-176.065</v>
      </c>
      <c r="AX224" s="568">
        <f>SUM(AT224:AW224)</f>
        <v>-694.98800000000006</v>
      </c>
      <c r="AY224" s="124">
        <v>-180.46299999999999</v>
      </c>
      <c r="AZ224" s="124">
        <v>-181.12100000000001</v>
      </c>
      <c r="BA224" s="27"/>
      <c r="BB224" s="27"/>
      <c r="BC224" s="568"/>
      <c r="BD224" s="27"/>
      <c r="BE224" s="27"/>
      <c r="BF224" s="27"/>
      <c r="BG224" s="27"/>
      <c r="BH224" s="568"/>
      <c r="BI224" s="27"/>
      <c r="BJ224" s="27"/>
      <c r="BK224" s="27"/>
      <c r="BL224" s="27"/>
      <c r="BM224" s="568"/>
      <c r="BN224" s="27"/>
      <c r="BO224" s="27"/>
      <c r="BP224" s="27"/>
      <c r="BQ224" s="27"/>
      <c r="BR224" s="568"/>
      <c r="BS224" s="27"/>
      <c r="BT224" s="27"/>
      <c r="BU224" s="27"/>
      <c r="BV224" s="27"/>
      <c r="BW224" s="568"/>
      <c r="BX224" s="27"/>
      <c r="BY224" s="27"/>
      <c r="BZ224" s="27"/>
      <c r="CA224" s="27"/>
      <c r="CB224" s="568"/>
      <c r="CC224" s="27"/>
      <c r="CD224" s="27"/>
      <c r="CE224" s="27"/>
      <c r="CF224" s="27"/>
      <c r="CG224" s="568"/>
      <c r="CH224" s="27"/>
      <c r="CI224" s="27"/>
      <c r="CJ224" s="27"/>
      <c r="CK224" s="27"/>
      <c r="CL224" s="568"/>
      <c r="CM224" s="27"/>
      <c r="CN224" s="27"/>
      <c r="CO224" s="27"/>
      <c r="CP224" s="27"/>
      <c r="CQ224" s="568"/>
    </row>
    <row r="225" spans="5:95" hidden="1" x14ac:dyDescent="0.25">
      <c r="E225" s="27" t="s">
        <v>315</v>
      </c>
      <c r="F225" s="578"/>
      <c r="G225" s="578"/>
      <c r="H225" s="578"/>
      <c r="I225" s="578"/>
      <c r="J225" s="578"/>
      <c r="K225" s="192"/>
      <c r="L225" s="192"/>
      <c r="M225" s="192"/>
      <c r="N225" s="192"/>
      <c r="O225" s="578"/>
      <c r="P225" s="192"/>
      <c r="Q225" s="192"/>
      <c r="R225" s="192"/>
      <c r="S225" s="192"/>
      <c r="T225" s="578"/>
      <c r="U225" s="192"/>
      <c r="V225" s="192"/>
      <c r="W225" s="192"/>
      <c r="X225" s="192"/>
      <c r="Y225" s="578"/>
      <c r="Z225" s="195"/>
      <c r="AA225" s="195"/>
      <c r="AB225" s="195"/>
      <c r="AC225" s="195"/>
      <c r="AD225" s="578"/>
      <c r="AE225" s="27">
        <f>AE227-AE226</f>
        <v>-62.411000000000001</v>
      </c>
      <c r="AF225" s="27">
        <f>AF227-AF226</f>
        <v>-61.963000000000008</v>
      </c>
      <c r="AG225" s="27">
        <f>AG227-AG226</f>
        <v>-61.61399999999999</v>
      </c>
      <c r="AH225" s="27">
        <f>AH227-AH226</f>
        <v>-56.87</v>
      </c>
      <c r="AI225" s="568">
        <f>SUM(AE225:AH225)</f>
        <v>-242.858</v>
      </c>
      <c r="AJ225" s="27">
        <f>AJ227-AJ226</f>
        <v>-55.503</v>
      </c>
      <c r="AK225" s="27">
        <f>AK227-AK226</f>
        <v>-55.489999999999995</v>
      </c>
      <c r="AL225" s="27">
        <f>AL227-AL226</f>
        <v>-50.399999999999991</v>
      </c>
      <c r="AM225" s="27">
        <f>AM227-AM226</f>
        <v>-48.146999999999998</v>
      </c>
      <c r="AN225" s="568">
        <f>SUM(AJ225:AM225)</f>
        <v>-209.53999999999996</v>
      </c>
      <c r="AO225" s="27">
        <f>AO227-AO226</f>
        <v>-45.918999999999997</v>
      </c>
      <c r="AP225" s="27">
        <f>AP227-AP226</f>
        <v>-46.128999999999998</v>
      </c>
      <c r="AQ225" s="27">
        <f>AQ227-AQ226</f>
        <v>-46.726999999999997</v>
      </c>
      <c r="AR225" s="27">
        <f>AR227-AR226</f>
        <v>-45.835000000000001</v>
      </c>
      <c r="AS225" s="568">
        <f>SUM(AO225:AR225)</f>
        <v>-184.61</v>
      </c>
      <c r="AT225" s="27">
        <f>AT227-AT226</f>
        <v>-45.771000000000001</v>
      </c>
      <c r="AU225" s="27">
        <f>AU232-AU215</f>
        <v>-48.32</v>
      </c>
      <c r="AV225" s="27">
        <f>AV232-AV215</f>
        <v>-48.258000000000003</v>
      </c>
      <c r="AW225" s="27">
        <f>AW232-AW215</f>
        <v>-47.551000000000002</v>
      </c>
      <c r="AX225" s="568">
        <f>SUM(AT225:AW225)</f>
        <v>-189.90000000000003</v>
      </c>
      <c r="AY225" s="27">
        <f>AY227-AY226</f>
        <v>-48.878</v>
      </c>
      <c r="AZ225" s="27">
        <f>AZ232-AZ215</f>
        <v>-47.962000000000003</v>
      </c>
      <c r="BA225" s="27"/>
      <c r="BB225" s="27"/>
      <c r="BC225" s="568"/>
      <c r="BD225" s="27"/>
      <c r="BE225" s="27"/>
      <c r="BF225" s="27"/>
      <c r="BG225" s="27"/>
      <c r="BH225" s="568"/>
      <c r="BI225" s="27"/>
      <c r="BJ225" s="27"/>
      <c r="BK225" s="27"/>
      <c r="BL225" s="27"/>
      <c r="BM225" s="568"/>
      <c r="BN225" s="27"/>
      <c r="BO225" s="27"/>
      <c r="BP225" s="27"/>
      <c r="BQ225" s="27"/>
      <c r="BR225" s="568"/>
      <c r="BS225" s="27"/>
      <c r="BT225" s="27"/>
      <c r="BU225" s="27"/>
      <c r="BV225" s="27"/>
      <c r="BW225" s="568"/>
      <c r="BX225" s="27"/>
      <c r="BY225" s="27"/>
      <c r="BZ225" s="27"/>
      <c r="CA225" s="27"/>
      <c r="CB225" s="568"/>
      <c r="CC225" s="27"/>
      <c r="CD225" s="27"/>
      <c r="CE225" s="27"/>
      <c r="CF225" s="27"/>
      <c r="CG225" s="568"/>
      <c r="CH225" s="27"/>
      <c r="CI225" s="27"/>
      <c r="CJ225" s="27"/>
      <c r="CK225" s="27"/>
      <c r="CL225" s="568"/>
      <c r="CM225" s="27"/>
      <c r="CN225" s="27"/>
      <c r="CO225" s="27"/>
      <c r="CP225" s="27"/>
      <c r="CQ225" s="568"/>
    </row>
    <row r="226" spans="5:95" hidden="1" x14ac:dyDescent="0.25">
      <c r="E226" s="27" t="s">
        <v>316</v>
      </c>
      <c r="F226" s="588"/>
      <c r="G226" s="588"/>
      <c r="H226" s="588"/>
      <c r="I226" s="588"/>
      <c r="J226" s="588"/>
      <c r="K226" s="367"/>
      <c r="L226" s="367"/>
      <c r="M226" s="367"/>
      <c r="N226" s="367"/>
      <c r="O226" s="588"/>
      <c r="P226" s="367"/>
      <c r="Q226" s="367"/>
      <c r="R226" s="367"/>
      <c r="S226" s="367"/>
      <c r="T226" s="588"/>
      <c r="U226" s="367"/>
      <c r="V226" s="367"/>
      <c r="W226" s="367"/>
      <c r="X226" s="367"/>
      <c r="Y226" s="588"/>
      <c r="Z226" s="368"/>
      <c r="AA226" s="368"/>
      <c r="AB226" s="368"/>
      <c r="AC226" s="368"/>
      <c r="AD226" s="588"/>
      <c r="AE226" s="29">
        <f>-AE214</f>
        <v>-19.591999999999999</v>
      </c>
      <c r="AF226" s="29">
        <f>-AF214</f>
        <v>-19.838999999999999</v>
      </c>
      <c r="AG226" s="29">
        <f>-AG214</f>
        <v>-20.477</v>
      </c>
      <c r="AH226" s="29">
        <f>-AH214</f>
        <v>-22.094000000000001</v>
      </c>
      <c r="AI226" s="579">
        <f>SUM(AE226:AH226)</f>
        <v>-82.00200000000001</v>
      </c>
      <c r="AJ226" s="29">
        <f>-AJ214</f>
        <v>-22.213999999999999</v>
      </c>
      <c r="AK226" s="29">
        <f>-AK214</f>
        <v>-21.547999999999998</v>
      </c>
      <c r="AL226" s="29">
        <f>-AL214</f>
        <v>-20.087</v>
      </c>
      <c r="AM226" s="29">
        <f>-AM214</f>
        <v>-7.4569999999999999</v>
      </c>
      <c r="AN226" s="579">
        <f>SUM(AJ226:AM226)</f>
        <v>-71.305999999999997</v>
      </c>
      <c r="AO226" s="125">
        <f>-AO214</f>
        <v>0</v>
      </c>
      <c r="AP226" s="125">
        <f>-AP214</f>
        <v>0</v>
      </c>
      <c r="AQ226" s="125">
        <f>-AQ214</f>
        <v>0</v>
      </c>
      <c r="AR226" s="29">
        <f>-AR214</f>
        <v>0</v>
      </c>
      <c r="AS226" s="579">
        <f>SUM(AO226:AR226)</f>
        <v>0</v>
      </c>
      <c r="AT226" s="125">
        <f>-AT214</f>
        <v>0</v>
      </c>
      <c r="AU226" s="125">
        <f>-AU214</f>
        <v>0</v>
      </c>
      <c r="AV226" s="125">
        <f>-AV214</f>
        <v>0</v>
      </c>
      <c r="AW226" s="125">
        <f>-AW214</f>
        <v>0</v>
      </c>
      <c r="AX226" s="579">
        <f>SUM(AT226:AW226)</f>
        <v>0</v>
      </c>
      <c r="AY226" s="125">
        <f>-AY214</f>
        <v>0</v>
      </c>
      <c r="AZ226" s="125">
        <f>-AZ214</f>
        <v>0</v>
      </c>
      <c r="BA226" s="29"/>
      <c r="BB226" s="29"/>
      <c r="BC226" s="579"/>
      <c r="BD226" s="29"/>
      <c r="BE226" s="29"/>
      <c r="BF226" s="29"/>
      <c r="BG226" s="29"/>
      <c r="BH226" s="579"/>
      <c r="BI226" s="29"/>
      <c r="BJ226" s="29"/>
      <c r="BK226" s="29"/>
      <c r="BL226" s="29"/>
      <c r="BM226" s="579"/>
      <c r="BN226" s="29"/>
      <c r="BO226" s="29"/>
      <c r="BP226" s="29"/>
      <c r="BQ226" s="29"/>
      <c r="BR226" s="579"/>
      <c r="BS226" s="29"/>
      <c r="BT226" s="29"/>
      <c r="BU226" s="29"/>
      <c r="BV226" s="29"/>
      <c r="BW226" s="579"/>
      <c r="BX226" s="29"/>
      <c r="BY226" s="29"/>
      <c r="BZ226" s="29"/>
      <c r="CA226" s="29"/>
      <c r="CB226" s="579"/>
      <c r="CC226" s="29"/>
      <c r="CD226" s="29"/>
      <c r="CE226" s="29"/>
      <c r="CF226" s="29"/>
      <c r="CG226" s="579"/>
      <c r="CH226" s="29"/>
      <c r="CI226" s="29"/>
      <c r="CJ226" s="29"/>
      <c r="CK226" s="29"/>
      <c r="CL226" s="579"/>
      <c r="CM226" s="29"/>
      <c r="CN226" s="29"/>
      <c r="CO226" s="29"/>
      <c r="CP226" s="29"/>
      <c r="CQ226" s="579"/>
    </row>
    <row r="227" spans="5:95" hidden="1" x14ac:dyDescent="0.25">
      <c r="E227" s="27" t="s">
        <v>205</v>
      </c>
      <c r="F227" s="578"/>
      <c r="G227" s="578"/>
      <c r="H227" s="578"/>
      <c r="I227" s="578"/>
      <c r="J227" s="578"/>
      <c r="K227" s="192"/>
      <c r="L227" s="192"/>
      <c r="M227" s="192"/>
      <c r="N227" s="192"/>
      <c r="O227" s="578"/>
      <c r="P227" s="192"/>
      <c r="Q227" s="192"/>
      <c r="R227" s="192"/>
      <c r="S227" s="192"/>
      <c r="T227" s="578"/>
      <c r="U227" s="192"/>
      <c r="V227" s="192"/>
      <c r="W227" s="192"/>
      <c r="X227" s="192"/>
      <c r="Y227" s="578"/>
      <c r="Z227" s="195"/>
      <c r="AA227" s="195"/>
      <c r="AB227" s="195"/>
      <c r="AC227" s="195"/>
      <c r="AD227" s="578"/>
      <c r="AE227" s="124">
        <v>-82.003</v>
      </c>
      <c r="AF227" s="124">
        <v>-81.802000000000007</v>
      </c>
      <c r="AG227" s="124">
        <v>-82.090999999999994</v>
      </c>
      <c r="AH227" s="124">
        <v>-78.963999999999999</v>
      </c>
      <c r="AI227" s="568">
        <f>SUM(AE227:AH227)</f>
        <v>-324.86</v>
      </c>
      <c r="AJ227" s="124">
        <v>-77.716999999999999</v>
      </c>
      <c r="AK227" s="124">
        <v>-77.037999999999997</v>
      </c>
      <c r="AL227" s="124">
        <v>-70.486999999999995</v>
      </c>
      <c r="AM227" s="124">
        <v>-55.603999999999999</v>
      </c>
      <c r="AN227" s="568">
        <f>SUM(AJ227:AM227)</f>
        <v>-280.846</v>
      </c>
      <c r="AO227" s="124">
        <v>-45.918999999999997</v>
      </c>
      <c r="AP227" s="124">
        <v>-46.128999999999998</v>
      </c>
      <c r="AQ227" s="124">
        <v>-46.726999999999997</v>
      </c>
      <c r="AR227" s="124">
        <v>-45.835000000000001</v>
      </c>
      <c r="AS227" s="568">
        <f>SUM(AO227:AR227)</f>
        <v>-184.61</v>
      </c>
      <c r="AT227" s="124">
        <v>-45.771000000000001</v>
      </c>
      <c r="AU227" s="124">
        <v>-48.32</v>
      </c>
      <c r="AV227" s="124">
        <v>-48.258000000000003</v>
      </c>
      <c r="AW227" s="124">
        <v>-47.551000000000002</v>
      </c>
      <c r="AX227" s="568">
        <f>SUM(AT227:AW227)</f>
        <v>-189.90000000000003</v>
      </c>
      <c r="AY227" s="124">
        <v>-48.878</v>
      </c>
      <c r="AZ227" s="124">
        <v>-47.962000000000003</v>
      </c>
      <c r="BA227" s="27"/>
      <c r="BB227" s="27"/>
      <c r="BC227" s="568"/>
      <c r="BD227" s="27"/>
      <c r="BE227" s="27"/>
      <c r="BF227" s="27"/>
      <c r="BG227" s="27"/>
      <c r="BH227" s="568"/>
      <c r="BI227" s="27"/>
      <c r="BJ227" s="27"/>
      <c r="BK227" s="27"/>
      <c r="BL227" s="27"/>
      <c r="BM227" s="568"/>
      <c r="BN227" s="27"/>
      <c r="BO227" s="27"/>
      <c r="BP227" s="27"/>
      <c r="BQ227" s="27"/>
      <c r="BR227" s="568"/>
      <c r="BS227" s="27"/>
      <c r="BT227" s="27"/>
      <c r="BU227" s="27"/>
      <c r="BV227" s="27"/>
      <c r="BW227" s="568"/>
      <c r="BX227" s="27"/>
      <c r="BY227" s="27"/>
      <c r="BZ227" s="27"/>
      <c r="CA227" s="27"/>
      <c r="CB227" s="568"/>
      <c r="CC227" s="27"/>
      <c r="CD227" s="27"/>
      <c r="CE227" s="27"/>
      <c r="CF227" s="27"/>
      <c r="CG227" s="568"/>
      <c r="CH227" s="27"/>
      <c r="CI227" s="27"/>
      <c r="CJ227" s="27"/>
      <c r="CK227" s="27"/>
      <c r="CL227" s="568"/>
      <c r="CM227" s="27"/>
      <c r="CN227" s="27"/>
      <c r="CO227" s="27"/>
      <c r="CP227" s="27"/>
      <c r="CQ227" s="568"/>
    </row>
    <row r="228" spans="5:95" ht="13.5" hidden="1" x14ac:dyDescent="0.25">
      <c r="E228" s="380" t="s">
        <v>293</v>
      </c>
      <c r="F228" s="578"/>
      <c r="G228" s="578"/>
      <c r="H228" s="578"/>
      <c r="I228" s="578"/>
      <c r="J228" s="578"/>
      <c r="K228" s="202"/>
      <c r="L228" s="202"/>
      <c r="M228" s="202"/>
      <c r="N228" s="202"/>
      <c r="O228" s="578"/>
      <c r="P228" s="202"/>
      <c r="Q228" s="202"/>
      <c r="R228" s="202"/>
      <c r="S228" s="202"/>
      <c r="T228" s="578"/>
      <c r="U228" s="202"/>
      <c r="V228" s="202"/>
      <c r="W228" s="202"/>
      <c r="X228" s="202"/>
      <c r="Y228" s="578"/>
      <c r="Z228" s="381"/>
      <c r="AA228" s="381"/>
      <c r="AB228" s="381"/>
      <c r="AC228" s="381"/>
      <c r="AD228" s="578"/>
      <c r="AE228" s="203">
        <f t="shared" ref="AE228:AZ228" si="43">SUM(AE224+AE227)</f>
        <v>-276.60500000000002</v>
      </c>
      <c r="AF228" s="203">
        <f t="shared" si="43"/>
        <v>-278.13499999999999</v>
      </c>
      <c r="AG228" s="203">
        <f t="shared" si="43"/>
        <v>-270.75</v>
      </c>
      <c r="AH228" s="203">
        <f t="shared" si="43"/>
        <v>-304.74</v>
      </c>
      <c r="AI228" s="536">
        <f t="shared" si="43"/>
        <v>-1130.23</v>
      </c>
      <c r="AJ228" s="203">
        <f t="shared" si="43"/>
        <v>-256.57799999999997</v>
      </c>
      <c r="AK228" s="203">
        <f t="shared" si="43"/>
        <v>-258.024</v>
      </c>
      <c r="AL228" s="203">
        <f t="shared" si="43"/>
        <v>-243.92</v>
      </c>
      <c r="AM228" s="203">
        <f t="shared" si="43"/>
        <v>-216.66399999999999</v>
      </c>
      <c r="AN228" s="536">
        <f t="shared" si="43"/>
        <v>-975.18599999999992</v>
      </c>
      <c r="AO228" s="203">
        <f t="shared" si="43"/>
        <v>-205.495</v>
      </c>
      <c r="AP228" s="203">
        <f t="shared" si="43"/>
        <v>-211.92099999999999</v>
      </c>
      <c r="AQ228" s="203">
        <f t="shared" si="43"/>
        <v>-209.93299999999999</v>
      </c>
      <c r="AR228" s="203">
        <f t="shared" si="43"/>
        <v>-211.92000000000002</v>
      </c>
      <c r="AS228" s="536">
        <f t="shared" si="43"/>
        <v>-839.26900000000001</v>
      </c>
      <c r="AT228" s="203">
        <f t="shared" si="43"/>
        <v>-210.42099999999999</v>
      </c>
      <c r="AU228" s="203">
        <f t="shared" si="43"/>
        <v>-224.00700000000001</v>
      </c>
      <c r="AV228" s="203">
        <f t="shared" si="43"/>
        <v>-226.84400000000002</v>
      </c>
      <c r="AW228" s="203">
        <f t="shared" si="43"/>
        <v>-223.61599999999999</v>
      </c>
      <c r="AX228" s="536">
        <f t="shared" si="43"/>
        <v>-884.88800000000015</v>
      </c>
      <c r="AY228" s="203">
        <f t="shared" si="43"/>
        <v>-229.34100000000001</v>
      </c>
      <c r="AZ228" s="203">
        <f t="shared" si="43"/>
        <v>-229.08300000000003</v>
      </c>
      <c r="BA228" s="203"/>
      <c r="BB228" s="203"/>
      <c r="BC228" s="536"/>
      <c r="BD228" s="203"/>
      <c r="BE228" s="203"/>
      <c r="BF228" s="203"/>
      <c r="BG228" s="203"/>
      <c r="BH228" s="536"/>
      <c r="BI228" s="203"/>
      <c r="BJ228" s="203"/>
      <c r="BK228" s="203"/>
      <c r="BL228" s="203"/>
      <c r="BM228" s="536"/>
      <c r="BN228" s="203"/>
      <c r="BO228" s="203"/>
      <c r="BP228" s="203"/>
      <c r="BQ228" s="203"/>
      <c r="BR228" s="536"/>
      <c r="BS228" s="203"/>
      <c r="BT228" s="203"/>
      <c r="BU228" s="203"/>
      <c r="BV228" s="203"/>
      <c r="BW228" s="536"/>
      <c r="BX228" s="203"/>
      <c r="BY228" s="203"/>
      <c r="BZ228" s="203"/>
      <c r="CA228" s="203"/>
      <c r="CB228" s="536"/>
      <c r="CC228" s="203"/>
      <c r="CD228" s="203"/>
      <c r="CE228" s="203"/>
      <c r="CF228" s="203"/>
      <c r="CG228" s="536"/>
      <c r="CH228" s="203"/>
      <c r="CI228" s="203"/>
      <c r="CJ228" s="203"/>
      <c r="CK228" s="203"/>
      <c r="CL228" s="536"/>
      <c r="CM228" s="203"/>
      <c r="CN228" s="203"/>
      <c r="CO228" s="203"/>
      <c r="CP228" s="203"/>
      <c r="CQ228" s="642"/>
    </row>
    <row r="229" spans="5:95" hidden="1" x14ac:dyDescent="0.25">
      <c r="E229" s="194"/>
      <c r="F229" s="578"/>
      <c r="G229" s="578"/>
      <c r="H229" s="578"/>
      <c r="I229" s="578"/>
      <c r="J229" s="578"/>
      <c r="K229" s="192"/>
      <c r="L229" s="192"/>
      <c r="M229" s="192"/>
      <c r="N229" s="192"/>
      <c r="O229" s="578"/>
      <c r="P229" s="192"/>
      <c r="Q229" s="192"/>
      <c r="R229" s="192"/>
      <c r="S229" s="192"/>
      <c r="T229" s="578"/>
      <c r="U229" s="192"/>
      <c r="V229" s="192"/>
      <c r="W229" s="192"/>
      <c r="X229" s="192"/>
      <c r="Y229" s="578"/>
      <c r="Z229" s="195"/>
      <c r="AA229" s="195"/>
      <c r="AB229" s="195"/>
      <c r="AC229" s="195"/>
      <c r="AD229" s="578"/>
      <c r="AE229" s="195"/>
      <c r="AF229" s="195"/>
      <c r="AG229" s="195"/>
      <c r="AH229" s="195"/>
      <c r="AI229" s="578"/>
      <c r="AJ229" s="195"/>
      <c r="AK229" s="195"/>
      <c r="AL229" s="195"/>
      <c r="AM229" s="195"/>
      <c r="AN229" s="578"/>
      <c r="AO229" s="195"/>
      <c r="AP229" s="195"/>
      <c r="AQ229" s="195"/>
      <c r="AR229" s="195"/>
      <c r="AS229" s="578"/>
      <c r="AT229" s="194"/>
      <c r="AU229" s="194"/>
      <c r="AV229" s="194"/>
      <c r="AW229" s="194"/>
      <c r="AX229" s="578"/>
      <c r="AY229" s="194"/>
      <c r="AZ229" s="194"/>
      <c r="BA229" s="194"/>
      <c r="BB229" s="194"/>
      <c r="BC229" s="578"/>
      <c r="BD229" s="194"/>
      <c r="BE229" s="194"/>
      <c r="BF229" s="194"/>
      <c r="BG229" s="194"/>
      <c r="BH229" s="578"/>
      <c r="BI229" s="194"/>
      <c r="BJ229" s="194"/>
      <c r="BK229" s="194"/>
      <c r="BL229" s="194"/>
      <c r="BM229" s="578"/>
      <c r="BN229" s="194"/>
      <c r="BO229" s="194"/>
      <c r="BP229" s="194"/>
      <c r="BQ229" s="194"/>
      <c r="BR229" s="578"/>
      <c r="BS229" s="194"/>
      <c r="BT229" s="194"/>
      <c r="BU229" s="194"/>
      <c r="BV229" s="194"/>
      <c r="BW229" s="578"/>
      <c r="BX229" s="194"/>
      <c r="BY229" s="194"/>
      <c r="BZ229" s="194"/>
      <c r="CA229" s="194"/>
      <c r="CB229" s="578"/>
      <c r="CC229" s="194"/>
      <c r="CD229" s="194"/>
      <c r="CE229" s="194"/>
      <c r="CF229" s="194"/>
      <c r="CG229" s="578"/>
      <c r="CH229" s="194"/>
      <c r="CI229" s="194"/>
      <c r="CJ229" s="194"/>
      <c r="CK229" s="194"/>
      <c r="CL229" s="578"/>
      <c r="CM229" s="194"/>
      <c r="CN229" s="194"/>
      <c r="CO229" s="194"/>
      <c r="CP229" s="194"/>
      <c r="CQ229" s="578"/>
    </row>
    <row r="230" spans="5:95" hidden="1" x14ac:dyDescent="0.25">
      <c r="E230" s="190" t="s">
        <v>29</v>
      </c>
      <c r="F230" s="578"/>
      <c r="G230" s="578"/>
      <c r="H230" s="578"/>
      <c r="I230" s="578"/>
      <c r="J230" s="578"/>
      <c r="K230" s="192"/>
      <c r="L230" s="192"/>
      <c r="M230" s="192"/>
      <c r="N230" s="192"/>
      <c r="O230" s="578"/>
      <c r="P230" s="192"/>
      <c r="Q230" s="192"/>
      <c r="R230" s="192"/>
      <c r="S230" s="192"/>
      <c r="T230" s="578"/>
      <c r="U230" s="192"/>
      <c r="V230" s="192"/>
      <c r="W230" s="192"/>
      <c r="X230" s="192"/>
      <c r="Y230" s="578"/>
      <c r="Z230" s="195"/>
      <c r="AA230" s="195"/>
      <c r="AB230" s="195"/>
      <c r="AC230" s="195"/>
      <c r="AD230" s="578"/>
      <c r="AE230" s="195"/>
      <c r="AF230" s="195"/>
      <c r="AG230" s="195"/>
      <c r="AH230" s="195"/>
      <c r="AI230" s="578"/>
      <c r="AJ230" s="195"/>
      <c r="AK230" s="195"/>
      <c r="AL230" s="195"/>
      <c r="AM230" s="195"/>
      <c r="AN230" s="578"/>
      <c r="AO230" s="195"/>
      <c r="AP230" s="195"/>
      <c r="AQ230" s="195"/>
      <c r="AR230" s="195"/>
      <c r="AS230" s="578"/>
      <c r="AT230" s="194"/>
      <c r="AU230" s="194"/>
      <c r="AV230" s="194"/>
      <c r="AW230" s="194"/>
      <c r="AX230" s="578"/>
      <c r="AY230" s="194"/>
      <c r="AZ230" s="194"/>
      <c r="BA230" s="194"/>
      <c r="BB230" s="194"/>
      <c r="BC230" s="578"/>
      <c r="BD230" s="194"/>
      <c r="BE230" s="194"/>
      <c r="BF230" s="194"/>
      <c r="BG230" s="194"/>
      <c r="BH230" s="578"/>
      <c r="BI230" s="194"/>
      <c r="BJ230" s="194"/>
      <c r="BK230" s="194"/>
      <c r="BL230" s="194"/>
      <c r="BM230" s="578"/>
      <c r="BN230" s="194"/>
      <c r="BO230" s="194"/>
      <c r="BP230" s="194"/>
      <c r="BQ230" s="194"/>
      <c r="BR230" s="578"/>
      <c r="BS230" s="194"/>
      <c r="BT230" s="194"/>
      <c r="BU230" s="194"/>
      <c r="BV230" s="194"/>
      <c r="BW230" s="578"/>
      <c r="BX230" s="194"/>
      <c r="BY230" s="194"/>
      <c r="BZ230" s="194"/>
      <c r="CA230" s="194"/>
      <c r="CB230" s="578"/>
      <c r="CC230" s="194"/>
      <c r="CD230" s="194"/>
      <c r="CE230" s="194"/>
      <c r="CF230" s="194"/>
      <c r="CG230" s="578"/>
      <c r="CH230" s="194"/>
      <c r="CI230" s="194"/>
      <c r="CJ230" s="194"/>
      <c r="CK230" s="194"/>
      <c r="CL230" s="578"/>
      <c r="CM230" s="194"/>
      <c r="CN230" s="194"/>
      <c r="CO230" s="194"/>
      <c r="CP230" s="194"/>
      <c r="CQ230" s="578"/>
    </row>
    <row r="231" spans="5:95" hidden="1" x14ac:dyDescent="0.25">
      <c r="E231" s="27" t="s">
        <v>305</v>
      </c>
      <c r="F231" s="578"/>
      <c r="G231" s="578"/>
      <c r="H231" s="578"/>
      <c r="I231" s="578"/>
      <c r="J231" s="578"/>
      <c r="K231" s="192"/>
      <c r="L231" s="192"/>
      <c r="M231" s="192"/>
      <c r="N231" s="192"/>
      <c r="O231" s="578"/>
      <c r="P231" s="192"/>
      <c r="Q231" s="192"/>
      <c r="R231" s="192"/>
      <c r="S231" s="192"/>
      <c r="T231" s="578"/>
      <c r="U231" s="192"/>
      <c r="V231" s="192"/>
      <c r="W231" s="192"/>
      <c r="X231" s="192"/>
      <c r="Y231" s="578"/>
      <c r="Z231" s="195"/>
      <c r="AA231" s="195"/>
      <c r="AB231" s="195"/>
      <c r="AC231" s="195"/>
      <c r="AD231" s="578"/>
      <c r="AE231" s="360">
        <f>AE209+AE224</f>
        <v>45.789999999999992</v>
      </c>
      <c r="AF231" s="360">
        <f>AF209+AF224</f>
        <v>48.699999999999989</v>
      </c>
      <c r="AG231" s="360">
        <f>AG209+AG224</f>
        <v>55.986999999999995</v>
      </c>
      <c r="AH231" s="360">
        <f>AH209+AH224</f>
        <v>13.923999999999978</v>
      </c>
      <c r="AI231" s="568">
        <f>SUM(AE231:AH231)</f>
        <v>164.40099999999995</v>
      </c>
      <c r="AJ231" s="360">
        <f>AJ209+AJ224</f>
        <v>57.834000000000003</v>
      </c>
      <c r="AK231" s="360">
        <f>AK209+AK224</f>
        <v>52.619</v>
      </c>
      <c r="AL231" s="360">
        <f>AL209+AL224</f>
        <v>57.644000000000005</v>
      </c>
      <c r="AM231" s="360">
        <f>AM209+AM224</f>
        <v>57.824999999999989</v>
      </c>
      <c r="AN231" s="568">
        <f>SUM(AJ231:AM231)</f>
        <v>225.922</v>
      </c>
      <c r="AO231" s="360">
        <f>AO209+AO224</f>
        <v>39.75</v>
      </c>
      <c r="AP231" s="360">
        <f>AP209+AP224</f>
        <v>44.420999999999992</v>
      </c>
      <c r="AQ231" s="360">
        <f>AQ209+AQ224</f>
        <v>55.134000000000015</v>
      </c>
      <c r="AR231" s="360">
        <f>AR209+AR224</f>
        <v>55.467999999999989</v>
      </c>
      <c r="AS231" s="568">
        <f>SUM(AO231:AR231)</f>
        <v>194.773</v>
      </c>
      <c r="AT231" s="360">
        <f>AT209+AT224</f>
        <v>46.006</v>
      </c>
      <c r="AU231" s="360">
        <f>AU209+AU224</f>
        <v>49.896999999999991</v>
      </c>
      <c r="AV231" s="360">
        <f>AV209+AV224</f>
        <v>54.211999999999989</v>
      </c>
      <c r="AW231" s="360">
        <f>AW209+AW224</f>
        <v>48.491000000000014</v>
      </c>
      <c r="AX231" s="568">
        <f>SUM(AT231:AW231)</f>
        <v>198.60599999999999</v>
      </c>
      <c r="AY231" s="360">
        <f>AY209+AY224</f>
        <v>45.14100000000002</v>
      </c>
      <c r="AZ231" s="360">
        <f>AZ209+AZ224</f>
        <v>49.533999999999992</v>
      </c>
      <c r="BA231" s="27"/>
      <c r="BB231" s="27"/>
      <c r="BC231" s="568"/>
      <c r="BD231" s="27"/>
      <c r="BE231" s="27"/>
      <c r="BF231" s="27"/>
      <c r="BG231" s="27"/>
      <c r="BH231" s="568"/>
      <c r="BI231" s="27"/>
      <c r="BJ231" s="27"/>
      <c r="BK231" s="27"/>
      <c r="BL231" s="27"/>
      <c r="BM231" s="568"/>
      <c r="BN231" s="27"/>
      <c r="BO231" s="27"/>
      <c r="BP231" s="27"/>
      <c r="BQ231" s="27"/>
      <c r="BR231" s="568"/>
      <c r="BS231" s="27"/>
      <c r="BT231" s="27"/>
      <c r="BU231" s="27"/>
      <c r="BV231" s="27"/>
      <c r="BW231" s="568"/>
      <c r="BX231" s="27"/>
      <c r="BY231" s="27"/>
      <c r="BZ231" s="27"/>
      <c r="CA231" s="27"/>
      <c r="CB231" s="568"/>
      <c r="CC231" s="27"/>
      <c r="CD231" s="27"/>
      <c r="CE231" s="27"/>
      <c r="CF231" s="27"/>
      <c r="CG231" s="568"/>
      <c r="CH231" s="27"/>
      <c r="CI231" s="27"/>
      <c r="CJ231" s="27"/>
      <c r="CK231" s="27"/>
      <c r="CL231" s="568"/>
      <c r="CM231" s="27"/>
      <c r="CN231" s="27"/>
      <c r="CO231" s="27"/>
      <c r="CP231" s="27"/>
      <c r="CQ231" s="568"/>
    </row>
    <row r="232" spans="5:95" hidden="1" x14ac:dyDescent="0.25">
      <c r="E232" s="27" t="s">
        <v>294</v>
      </c>
      <c r="F232" s="578"/>
      <c r="G232" s="578"/>
      <c r="H232" s="578"/>
      <c r="I232" s="578"/>
      <c r="J232" s="578"/>
      <c r="K232" s="192"/>
      <c r="L232" s="192"/>
      <c r="M232" s="192"/>
      <c r="N232" s="192"/>
      <c r="O232" s="578"/>
      <c r="P232" s="192"/>
      <c r="Q232" s="192"/>
      <c r="R232" s="192"/>
      <c r="S232" s="192"/>
      <c r="T232" s="578"/>
      <c r="U232" s="192"/>
      <c r="V232" s="192"/>
      <c r="W232" s="192"/>
      <c r="X232" s="192"/>
      <c r="Y232" s="578"/>
      <c r="Z232" s="195"/>
      <c r="AA232" s="195"/>
      <c r="AB232" s="195"/>
      <c r="AC232" s="195"/>
      <c r="AD232" s="578"/>
      <c r="AE232" s="360">
        <f>AE215+AE227</f>
        <v>12.274000000000001</v>
      </c>
      <c r="AF232" s="360">
        <f>AF215+AF227</f>
        <v>22.018999999999991</v>
      </c>
      <c r="AG232" s="360">
        <f>AG215+AG227</f>
        <v>24.022000000000006</v>
      </c>
      <c r="AH232" s="360">
        <f>AH215+AH227</f>
        <v>31.132999999999996</v>
      </c>
      <c r="AI232" s="568">
        <f>SUM(AE232:AH232)</f>
        <v>89.447999999999993</v>
      </c>
      <c r="AJ232" s="360">
        <f>AJ215+AJ227</f>
        <v>16.661000000000001</v>
      </c>
      <c r="AK232" s="360">
        <f>AK215+AK227</f>
        <v>18.292000000000002</v>
      </c>
      <c r="AL232" s="360">
        <f>AL215+AL227</f>
        <v>19.492000000000004</v>
      </c>
      <c r="AM232" s="360">
        <f>AM215+AM227</f>
        <v>21.019999999999996</v>
      </c>
      <c r="AN232" s="568">
        <f>SUM(AJ232:AM232)</f>
        <v>75.465000000000003</v>
      </c>
      <c r="AO232" s="360">
        <f>AO215+AO227</f>
        <v>10.736000000000004</v>
      </c>
      <c r="AP232" s="360">
        <f>AP215+AP227</f>
        <v>14.763000000000005</v>
      </c>
      <c r="AQ232" s="360">
        <f>AQ215+AQ227</f>
        <v>18.740000000000002</v>
      </c>
      <c r="AR232" s="360">
        <f>AR215+AR227</f>
        <v>20.954000000000001</v>
      </c>
      <c r="AS232" s="568">
        <f>SUM(AO232:AR232)</f>
        <v>65.193000000000012</v>
      </c>
      <c r="AT232" s="360">
        <f>AT215+AT227</f>
        <v>13.967999999999996</v>
      </c>
      <c r="AU232" s="360">
        <f>AU215+AU227</f>
        <v>17.764999999999993</v>
      </c>
      <c r="AV232" s="360">
        <f>AV215+AV227</f>
        <v>18.053999999999995</v>
      </c>
      <c r="AW232" s="360">
        <f>AW215+AW227</f>
        <v>26.688999999999993</v>
      </c>
      <c r="AX232" s="568">
        <f>SUM(AT232:AW232)</f>
        <v>76.475999999999971</v>
      </c>
      <c r="AY232" s="360">
        <f>AY215+AY227</f>
        <v>14.451999999999998</v>
      </c>
      <c r="AZ232" s="360">
        <f>AZ215+AZ227</f>
        <v>21.417000000000002</v>
      </c>
      <c r="BA232" s="27"/>
      <c r="BB232" s="27"/>
      <c r="BC232" s="568"/>
      <c r="BD232" s="27"/>
      <c r="BE232" s="27"/>
      <c r="BF232" s="27"/>
      <c r="BG232" s="27"/>
      <c r="BH232" s="568"/>
      <c r="BI232" s="27"/>
      <c r="BJ232" s="27"/>
      <c r="BK232" s="27"/>
      <c r="BL232" s="27"/>
      <c r="BM232" s="568"/>
      <c r="BN232" s="27"/>
      <c r="BO232" s="27"/>
      <c r="BP232" s="27"/>
      <c r="BQ232" s="27"/>
      <c r="BR232" s="568"/>
      <c r="BS232" s="27"/>
      <c r="BT232" s="27"/>
      <c r="BU232" s="27"/>
      <c r="BV232" s="27"/>
      <c r="BW232" s="568"/>
      <c r="BX232" s="27"/>
      <c r="BY232" s="27"/>
      <c r="BZ232" s="27"/>
      <c r="CA232" s="27"/>
      <c r="CB232" s="568"/>
      <c r="CC232" s="27"/>
      <c r="CD232" s="27"/>
      <c r="CE232" s="27"/>
      <c r="CF232" s="27"/>
      <c r="CG232" s="568"/>
      <c r="CH232" s="27"/>
      <c r="CI232" s="27"/>
      <c r="CJ232" s="27"/>
      <c r="CK232" s="27"/>
      <c r="CL232" s="568"/>
      <c r="CM232" s="27"/>
      <c r="CN232" s="27"/>
      <c r="CO232" s="27"/>
      <c r="CP232" s="27"/>
      <c r="CQ232" s="568"/>
    </row>
    <row r="233" spans="5:95" ht="13.5" hidden="1" x14ac:dyDescent="0.25">
      <c r="E233" s="380" t="s">
        <v>295</v>
      </c>
      <c r="F233" s="578"/>
      <c r="G233" s="578"/>
      <c r="H233" s="578"/>
      <c r="I233" s="578"/>
      <c r="J233" s="578"/>
      <c r="K233" s="202"/>
      <c r="L233" s="202"/>
      <c r="M233" s="202"/>
      <c r="N233" s="202"/>
      <c r="O233" s="578"/>
      <c r="P233" s="202"/>
      <c r="Q233" s="202"/>
      <c r="R233" s="202"/>
      <c r="S233" s="202"/>
      <c r="T233" s="578"/>
      <c r="U233" s="202"/>
      <c r="V233" s="202"/>
      <c r="W233" s="202"/>
      <c r="X233" s="202"/>
      <c r="Y233" s="578"/>
      <c r="Z233" s="381"/>
      <c r="AA233" s="381"/>
      <c r="AB233" s="381"/>
      <c r="AC233" s="381"/>
      <c r="AD233" s="578"/>
      <c r="AE233" s="203">
        <f>SUM(AE231:AE232)</f>
        <v>58.063999999999993</v>
      </c>
      <c r="AF233" s="203">
        <f>SUM(AF231:AF232)</f>
        <v>70.71899999999998</v>
      </c>
      <c r="AG233" s="203">
        <f>SUM(AG231:AG232)</f>
        <v>80.009</v>
      </c>
      <c r="AH233" s="203">
        <f>SUM(AH231:AH232)</f>
        <v>45.056999999999974</v>
      </c>
      <c r="AI233" s="536">
        <f>SUM(AE233:AH233)</f>
        <v>253.84899999999993</v>
      </c>
      <c r="AJ233" s="203">
        <f>SUM(AJ231:AJ232)</f>
        <v>74.495000000000005</v>
      </c>
      <c r="AK233" s="203">
        <f>SUM(AK231:AK232)</f>
        <v>70.911000000000001</v>
      </c>
      <c r="AL233" s="203">
        <f>SUM(AL231:AL232)</f>
        <v>77.13600000000001</v>
      </c>
      <c r="AM233" s="203">
        <f>SUM(AM231:AM232)</f>
        <v>78.844999999999985</v>
      </c>
      <c r="AN233" s="536">
        <f>SUM(AJ233:AM233)</f>
        <v>301.387</v>
      </c>
      <c r="AO233" s="203">
        <f>SUM(AO231:AO232)</f>
        <v>50.486000000000004</v>
      </c>
      <c r="AP233" s="203">
        <f>SUM(AP231:AP232)</f>
        <v>59.183999999999997</v>
      </c>
      <c r="AQ233" s="203">
        <f>SUM(AQ231:AQ232)</f>
        <v>73.874000000000024</v>
      </c>
      <c r="AR233" s="203">
        <f>SUM(AR231:AR232)</f>
        <v>76.421999999999997</v>
      </c>
      <c r="AS233" s="536">
        <f>SUM(AO233:AR233)</f>
        <v>259.96600000000001</v>
      </c>
      <c r="AT233" s="203">
        <f>SUM(AT231:AT232)</f>
        <v>59.973999999999997</v>
      </c>
      <c r="AU233" s="203">
        <f>SUM(AU231:AU232)</f>
        <v>67.661999999999978</v>
      </c>
      <c r="AV233" s="203">
        <f>SUM(AV231:AV232)</f>
        <v>72.265999999999991</v>
      </c>
      <c r="AW233" s="203">
        <f>SUM(AW231:AW232)</f>
        <v>75.180000000000007</v>
      </c>
      <c r="AX233" s="536">
        <f>SUM(AT233:AW233)</f>
        <v>275.08199999999999</v>
      </c>
      <c r="AY233" s="203">
        <f>SUM(AY231:AY232)</f>
        <v>59.593000000000018</v>
      </c>
      <c r="AZ233" s="203">
        <f>SUM(AZ231:AZ232)</f>
        <v>70.950999999999993</v>
      </c>
      <c r="BA233" s="203"/>
      <c r="BB233" s="203"/>
      <c r="BC233" s="536"/>
      <c r="BD233" s="203"/>
      <c r="BE233" s="203"/>
      <c r="BF233" s="203"/>
      <c r="BG233" s="203"/>
      <c r="BH233" s="536"/>
      <c r="BI233" s="203"/>
      <c r="BJ233" s="203"/>
      <c r="BK233" s="203"/>
      <c r="BL233" s="203"/>
      <c r="BM233" s="536"/>
      <c r="BN233" s="203"/>
      <c r="BO233" s="203"/>
      <c r="BP233" s="203"/>
      <c r="BQ233" s="203"/>
      <c r="BR233" s="536"/>
      <c r="BS233" s="203"/>
      <c r="BT233" s="203"/>
      <c r="BU233" s="203"/>
      <c r="BV233" s="203"/>
      <c r="BW233" s="536"/>
      <c r="BX233" s="203"/>
      <c r="BY233" s="203"/>
      <c r="BZ233" s="203"/>
      <c r="CA233" s="203"/>
      <c r="CB233" s="536"/>
      <c r="CC233" s="203"/>
      <c r="CD233" s="203"/>
      <c r="CE233" s="203"/>
      <c r="CF233" s="203"/>
      <c r="CG233" s="536"/>
      <c r="CH233" s="203"/>
      <c r="CI233" s="203"/>
      <c r="CJ233" s="203"/>
      <c r="CK233" s="203"/>
      <c r="CL233" s="536"/>
      <c r="CM233" s="203"/>
      <c r="CN233" s="203"/>
      <c r="CO233" s="203"/>
      <c r="CP233" s="203"/>
      <c r="CQ233" s="642"/>
    </row>
    <row r="234" spans="5:95" ht="13.5" hidden="1" x14ac:dyDescent="0.25">
      <c r="E234" s="358"/>
      <c r="F234" s="578"/>
      <c r="G234" s="578"/>
      <c r="H234" s="578"/>
      <c r="I234" s="578"/>
      <c r="J234" s="578"/>
      <c r="K234" s="192"/>
      <c r="L234" s="192"/>
      <c r="M234" s="192"/>
      <c r="N234" s="192"/>
      <c r="O234" s="578"/>
      <c r="P234" s="192"/>
      <c r="Q234" s="192"/>
      <c r="R234" s="192"/>
      <c r="S234" s="192"/>
      <c r="T234" s="578"/>
      <c r="U234" s="192"/>
      <c r="V234" s="192"/>
      <c r="W234" s="192"/>
      <c r="X234" s="192"/>
      <c r="Y234" s="578"/>
      <c r="Z234" s="195"/>
      <c r="AA234" s="195"/>
      <c r="AB234" s="195"/>
      <c r="AC234" s="195"/>
      <c r="AD234" s="578"/>
      <c r="AE234" s="195"/>
      <c r="AF234" s="195"/>
      <c r="AG234" s="195"/>
      <c r="AH234" s="195"/>
      <c r="AI234" s="578"/>
      <c r="AJ234" s="195"/>
      <c r="AK234" s="195"/>
      <c r="AL234" s="195"/>
      <c r="AM234" s="195"/>
      <c r="AN234" s="578"/>
      <c r="AO234" s="195"/>
      <c r="AP234" s="195"/>
      <c r="AQ234" s="195"/>
      <c r="AR234" s="195"/>
      <c r="AS234" s="578"/>
      <c r="AT234" s="195"/>
      <c r="AU234" s="194"/>
      <c r="AV234" s="194"/>
      <c r="AW234" s="194"/>
      <c r="AX234" s="578"/>
      <c r="AY234" s="194"/>
      <c r="AZ234" s="194"/>
      <c r="BA234" s="194"/>
      <c r="BB234" s="194"/>
      <c r="BC234" s="578"/>
      <c r="BD234" s="194"/>
      <c r="BE234" s="194"/>
      <c r="BF234" s="194"/>
      <c r="BG234" s="194"/>
      <c r="BH234" s="578"/>
      <c r="BI234" s="194"/>
      <c r="BJ234" s="194"/>
      <c r="BK234" s="194"/>
      <c r="BL234" s="194"/>
      <c r="BM234" s="578"/>
      <c r="BN234" s="194"/>
      <c r="BO234" s="194"/>
      <c r="BP234" s="194"/>
      <c r="BQ234" s="194"/>
      <c r="BR234" s="578"/>
      <c r="BS234" s="194"/>
      <c r="BT234" s="194"/>
      <c r="BU234" s="194"/>
      <c r="BV234" s="194"/>
      <c r="BW234" s="578"/>
      <c r="BX234" s="194"/>
      <c r="BY234" s="194"/>
      <c r="BZ234" s="194"/>
      <c r="CA234" s="194"/>
      <c r="CB234" s="578"/>
      <c r="CC234" s="194"/>
      <c r="CD234" s="194"/>
      <c r="CE234" s="194"/>
      <c r="CF234" s="194"/>
      <c r="CG234" s="578"/>
      <c r="CH234" s="194"/>
      <c r="CI234" s="194"/>
      <c r="CJ234" s="194"/>
      <c r="CK234" s="194"/>
      <c r="CL234" s="578"/>
      <c r="CM234" s="194"/>
      <c r="CN234" s="194"/>
      <c r="CO234" s="194"/>
      <c r="CP234" s="194"/>
      <c r="CQ234" s="578"/>
    </row>
    <row r="235" spans="5:95" hidden="1" x14ac:dyDescent="0.25">
      <c r="E235" s="190" t="s">
        <v>296</v>
      </c>
      <c r="F235" s="578"/>
      <c r="G235" s="578"/>
      <c r="H235" s="578"/>
      <c r="I235" s="578"/>
      <c r="J235" s="578"/>
      <c r="K235" s="192"/>
      <c r="L235" s="192"/>
      <c r="M235" s="192"/>
      <c r="N235" s="192"/>
      <c r="O235" s="578"/>
      <c r="P235" s="192"/>
      <c r="Q235" s="192"/>
      <c r="R235" s="192"/>
      <c r="S235" s="192"/>
      <c r="T235" s="578"/>
      <c r="U235" s="192"/>
      <c r="V235" s="192"/>
      <c r="W235" s="192"/>
      <c r="X235" s="192"/>
      <c r="Y235" s="578"/>
      <c r="Z235" s="195"/>
      <c r="AA235" s="195"/>
      <c r="AB235" s="195"/>
      <c r="AC235" s="195"/>
      <c r="AD235" s="578"/>
      <c r="AE235" s="195"/>
      <c r="AF235" s="195"/>
      <c r="AG235" s="195"/>
      <c r="AH235" s="195"/>
      <c r="AI235" s="578"/>
      <c r="AJ235" s="195"/>
      <c r="AK235" s="195"/>
      <c r="AL235" s="195"/>
      <c r="AM235" s="195"/>
      <c r="AN235" s="578"/>
      <c r="AO235" s="195"/>
      <c r="AP235" s="195"/>
      <c r="AQ235" s="195"/>
      <c r="AR235" s="195"/>
      <c r="AS235" s="578"/>
      <c r="AT235" s="195"/>
      <c r="AU235" s="194"/>
      <c r="AV235" s="194"/>
      <c r="AW235" s="194"/>
      <c r="AX235" s="578"/>
      <c r="AY235" s="194"/>
      <c r="AZ235" s="194"/>
      <c r="BA235" s="194"/>
      <c r="BB235" s="194"/>
      <c r="BC235" s="578"/>
      <c r="BD235" s="194"/>
      <c r="BE235" s="194"/>
      <c r="BF235" s="194"/>
      <c r="BG235" s="194"/>
      <c r="BH235" s="578"/>
      <c r="BI235" s="194"/>
      <c r="BJ235" s="194"/>
      <c r="BK235" s="194"/>
      <c r="BL235" s="194"/>
      <c r="BM235" s="578"/>
      <c r="BN235" s="194"/>
      <c r="BO235" s="194"/>
      <c r="BP235" s="194"/>
      <c r="BQ235" s="194"/>
      <c r="BR235" s="578"/>
      <c r="BS235" s="194"/>
      <c r="BT235" s="194"/>
      <c r="BU235" s="194"/>
      <c r="BV235" s="194"/>
      <c r="BW235" s="578"/>
      <c r="BX235" s="194"/>
      <c r="BY235" s="194"/>
      <c r="BZ235" s="194"/>
      <c r="CA235" s="194"/>
      <c r="CB235" s="578"/>
      <c r="CC235" s="194"/>
      <c r="CD235" s="194"/>
      <c r="CE235" s="194"/>
      <c r="CF235" s="194"/>
      <c r="CG235" s="578"/>
      <c r="CH235" s="194"/>
      <c r="CI235" s="194"/>
      <c r="CJ235" s="194"/>
      <c r="CK235" s="194"/>
      <c r="CL235" s="578"/>
      <c r="CM235" s="194"/>
      <c r="CN235" s="194"/>
      <c r="CO235" s="194"/>
      <c r="CP235" s="194"/>
      <c r="CQ235" s="578"/>
    </row>
    <row r="236" spans="5:95" ht="13.5" hidden="1" x14ac:dyDescent="0.25">
      <c r="E236" s="130" t="s">
        <v>290</v>
      </c>
      <c r="F236" s="578"/>
      <c r="G236" s="578"/>
      <c r="H236" s="578"/>
      <c r="I236" s="578"/>
      <c r="J236" s="578"/>
      <c r="K236" s="192"/>
      <c r="L236" s="192"/>
      <c r="M236" s="192"/>
      <c r="N236" s="192"/>
      <c r="O236" s="578"/>
      <c r="P236" s="192"/>
      <c r="Q236" s="192"/>
      <c r="R236" s="192"/>
      <c r="S236" s="192"/>
      <c r="T236" s="578"/>
      <c r="U236" s="192"/>
      <c r="V236" s="192"/>
      <c r="W236" s="192"/>
      <c r="X236" s="192"/>
      <c r="Y236" s="578"/>
      <c r="Z236" s="195"/>
      <c r="AA236" s="195"/>
      <c r="AB236" s="195"/>
      <c r="AC236" s="195"/>
      <c r="AD236" s="578"/>
      <c r="AE236" s="183">
        <f t="shared" ref="AE236:AZ236" si="44">AE231/AE209</f>
        <v>0.19048054843755197</v>
      </c>
      <c r="AF236" s="183">
        <f t="shared" si="44"/>
        <v>0.19874873996563724</v>
      </c>
      <c r="AG236" s="183">
        <f t="shared" si="44"/>
        <v>0.22884903084456723</v>
      </c>
      <c r="AH236" s="183">
        <f t="shared" si="44"/>
        <v>5.8089278264497203E-2</v>
      </c>
      <c r="AI236" s="525">
        <f t="shared" si="44"/>
        <v>0.16952558903081238</v>
      </c>
      <c r="AJ236" s="183">
        <f t="shared" si="44"/>
        <v>0.24433976214115213</v>
      </c>
      <c r="AK236" s="183">
        <f t="shared" si="44"/>
        <v>0.22524774726568353</v>
      </c>
      <c r="AL236" s="183">
        <f t="shared" si="44"/>
        <v>0.24945797288349775</v>
      </c>
      <c r="AM236" s="183">
        <f t="shared" si="44"/>
        <v>0.26417982045366284</v>
      </c>
      <c r="AN236" s="525">
        <f t="shared" si="44"/>
        <v>0.2454974778921655</v>
      </c>
      <c r="AO236" s="183">
        <f t="shared" si="44"/>
        <v>0.19942205231630597</v>
      </c>
      <c r="AP236" s="183">
        <f t="shared" si="44"/>
        <v>0.21131423841532157</v>
      </c>
      <c r="AQ236" s="183">
        <f t="shared" si="44"/>
        <v>0.25251442704039578</v>
      </c>
      <c r="AR236" s="183">
        <f t="shared" si="44"/>
        <v>0.25035995901657837</v>
      </c>
      <c r="AS236" s="525">
        <f t="shared" si="44"/>
        <v>0.22929793085261679</v>
      </c>
      <c r="AT236" s="183">
        <f t="shared" si="44"/>
        <v>0.21839396931490201</v>
      </c>
      <c r="AU236" s="183">
        <f t="shared" si="44"/>
        <v>0.22119033264770546</v>
      </c>
      <c r="AV236" s="183">
        <f t="shared" si="44"/>
        <v>0.23287141642110323</v>
      </c>
      <c r="AW236" s="183">
        <f t="shared" si="44"/>
        <v>0.21594168047168641</v>
      </c>
      <c r="AX236" s="525">
        <f t="shared" si="44"/>
        <v>0.22225529714836936</v>
      </c>
      <c r="AY236" s="183">
        <f t="shared" si="44"/>
        <v>0.20008953741954938</v>
      </c>
      <c r="AZ236" s="183">
        <f t="shared" si="44"/>
        <v>0.21475363638334305</v>
      </c>
      <c r="BA236" s="357"/>
      <c r="BB236" s="357"/>
      <c r="BC236" s="525"/>
      <c r="BD236" s="432"/>
      <c r="BE236" s="432"/>
      <c r="BF236" s="432"/>
      <c r="BG236" s="432"/>
      <c r="BH236" s="525"/>
      <c r="BI236" s="379"/>
      <c r="BJ236" s="379"/>
      <c r="BK236" s="379"/>
      <c r="BL236" s="379"/>
      <c r="BM236" s="525"/>
      <c r="BN236" s="379"/>
      <c r="BO236" s="379"/>
      <c r="BP236" s="379"/>
      <c r="BQ236" s="379"/>
      <c r="BR236" s="525"/>
      <c r="BS236" s="379"/>
      <c r="BT236" s="379"/>
      <c r="BU236" s="379"/>
      <c r="BV236" s="379"/>
      <c r="BW236" s="525"/>
      <c r="BX236" s="379"/>
      <c r="BY236" s="379"/>
      <c r="BZ236" s="379"/>
      <c r="CA236" s="379"/>
      <c r="CB236" s="525"/>
      <c r="CC236" s="379"/>
      <c r="CD236" s="379"/>
      <c r="CE236" s="379"/>
      <c r="CF236" s="379"/>
      <c r="CG236" s="525"/>
      <c r="CH236" s="379"/>
      <c r="CI236" s="379"/>
      <c r="CJ236" s="379"/>
      <c r="CK236" s="379"/>
      <c r="CL236" s="525"/>
      <c r="CM236" s="379"/>
      <c r="CN236" s="379"/>
      <c r="CO236" s="379"/>
      <c r="CP236" s="379"/>
      <c r="CQ236" s="641"/>
    </row>
    <row r="237" spans="5:95" ht="13.5" hidden="1" x14ac:dyDescent="0.25">
      <c r="E237" s="130" t="s">
        <v>291</v>
      </c>
      <c r="F237" s="578"/>
      <c r="G237" s="578"/>
      <c r="H237" s="578"/>
      <c r="I237" s="578"/>
      <c r="J237" s="578"/>
      <c r="K237" s="192"/>
      <c r="L237" s="192"/>
      <c r="M237" s="192"/>
      <c r="N237" s="192"/>
      <c r="O237" s="578"/>
      <c r="P237" s="192"/>
      <c r="Q237" s="192"/>
      <c r="R237" s="192"/>
      <c r="S237" s="192"/>
      <c r="T237" s="578"/>
      <c r="U237" s="192"/>
      <c r="V237" s="192"/>
      <c r="W237" s="192"/>
      <c r="X237" s="192"/>
      <c r="Y237" s="578"/>
      <c r="Z237" s="195"/>
      <c r="AA237" s="195"/>
      <c r="AB237" s="195"/>
      <c r="AC237" s="195"/>
      <c r="AD237" s="578"/>
      <c r="AE237" s="183">
        <f t="shared" ref="AE237:AZ237" si="45">AE232/AE215</f>
        <v>0.13019082066675861</v>
      </c>
      <c r="AF237" s="183">
        <f t="shared" si="45"/>
        <v>0.21208618680228461</v>
      </c>
      <c r="AG237" s="183">
        <f t="shared" si="45"/>
        <v>0.22638131048976096</v>
      </c>
      <c r="AH237" s="183">
        <f t="shared" si="45"/>
        <v>0.28277791402127211</v>
      </c>
      <c r="AI237" s="525">
        <f t="shared" si="45"/>
        <v>0.21605797101449273</v>
      </c>
      <c r="AJ237" s="183">
        <f t="shared" si="45"/>
        <v>0.17653478564919792</v>
      </c>
      <c r="AK237" s="183">
        <f t="shared" si="45"/>
        <v>0.19188083499423059</v>
      </c>
      <c r="AL237" s="183">
        <f t="shared" si="45"/>
        <v>0.21662832438680141</v>
      </c>
      <c r="AM237" s="183">
        <f t="shared" si="45"/>
        <v>0.27432658174984337</v>
      </c>
      <c r="AN237" s="525">
        <f t="shared" si="45"/>
        <v>0.21138655462184874</v>
      </c>
      <c r="AO237" s="183">
        <f t="shared" si="45"/>
        <v>0.18949783779013332</v>
      </c>
      <c r="AP237" s="183">
        <f t="shared" si="45"/>
        <v>0.24244564146357492</v>
      </c>
      <c r="AQ237" s="183">
        <f t="shared" si="45"/>
        <v>0.28625108833458079</v>
      </c>
      <c r="AR237" s="183">
        <f t="shared" si="45"/>
        <v>0.31373429756397014</v>
      </c>
      <c r="AS237" s="525">
        <f t="shared" si="45"/>
        <v>0.26097765038850618</v>
      </c>
      <c r="AT237" s="183">
        <f t="shared" si="45"/>
        <v>0.23381710440415804</v>
      </c>
      <c r="AU237" s="183">
        <f t="shared" si="45"/>
        <v>0.26882045850041608</v>
      </c>
      <c r="AV237" s="183">
        <f t="shared" si="45"/>
        <v>0.27225841476655804</v>
      </c>
      <c r="AW237" s="183">
        <f t="shared" si="45"/>
        <v>0.35949622844827578</v>
      </c>
      <c r="AX237" s="525">
        <f t="shared" si="45"/>
        <v>0.28709793675105855</v>
      </c>
      <c r="AY237" s="183">
        <f t="shared" si="45"/>
        <v>0.22820148428864676</v>
      </c>
      <c r="AZ237" s="183">
        <f t="shared" si="45"/>
        <v>0.3086957148416668</v>
      </c>
      <c r="BA237" s="357"/>
      <c r="BB237" s="357"/>
      <c r="BC237" s="525"/>
      <c r="BD237" s="432"/>
      <c r="BE237" s="432"/>
      <c r="BF237" s="432"/>
      <c r="BG237" s="432"/>
      <c r="BH237" s="525"/>
      <c r="BI237" s="379"/>
      <c r="BJ237" s="379"/>
      <c r="BK237" s="379"/>
      <c r="BL237" s="379"/>
      <c r="BM237" s="525"/>
      <c r="BN237" s="379"/>
      <c r="BO237" s="379"/>
      <c r="BP237" s="379"/>
      <c r="BQ237" s="379"/>
      <c r="BR237" s="525"/>
      <c r="BS237" s="379"/>
      <c r="BT237" s="379"/>
      <c r="BU237" s="379"/>
      <c r="BV237" s="379"/>
      <c r="BW237" s="525"/>
      <c r="BX237" s="379"/>
      <c r="BY237" s="379"/>
      <c r="BZ237" s="379"/>
      <c r="CA237" s="379"/>
      <c r="CB237" s="525"/>
      <c r="CC237" s="379"/>
      <c r="CD237" s="379"/>
      <c r="CE237" s="379"/>
      <c r="CF237" s="379"/>
      <c r="CG237" s="525"/>
      <c r="CH237" s="379"/>
      <c r="CI237" s="379"/>
      <c r="CJ237" s="379"/>
      <c r="CK237" s="379"/>
      <c r="CL237" s="525"/>
      <c r="CM237" s="379"/>
      <c r="CN237" s="379"/>
      <c r="CO237" s="379"/>
      <c r="CP237" s="379"/>
      <c r="CQ237" s="641"/>
    </row>
    <row r="238" spans="5:95" ht="13.5" hidden="1" x14ac:dyDescent="0.25">
      <c r="E238" s="359" t="s">
        <v>289</v>
      </c>
      <c r="F238" s="578"/>
      <c r="G238" s="578"/>
      <c r="H238" s="578"/>
      <c r="I238" s="578"/>
      <c r="J238" s="578"/>
      <c r="K238" s="192"/>
      <c r="L238" s="192"/>
      <c r="M238" s="192"/>
      <c r="N238" s="192"/>
      <c r="O238" s="578"/>
      <c r="P238" s="192"/>
      <c r="Q238" s="192"/>
      <c r="R238" s="192"/>
      <c r="S238" s="192"/>
      <c r="T238" s="578"/>
      <c r="U238" s="192"/>
      <c r="V238" s="192"/>
      <c r="W238" s="192"/>
      <c r="X238" s="192"/>
      <c r="Y238" s="578"/>
      <c r="Z238" s="195"/>
      <c r="AA238" s="195"/>
      <c r="AB238" s="195"/>
      <c r="AC238" s="195"/>
      <c r="AD238" s="578"/>
      <c r="AE238" s="183">
        <f t="shared" ref="AE238:AZ238" si="46">AE233/AE219</f>
        <v>0.17349679832909531</v>
      </c>
      <c r="AF238" s="183">
        <f t="shared" si="46"/>
        <v>0.20271804250488737</v>
      </c>
      <c r="AG238" s="183">
        <f t="shared" si="46"/>
        <v>0.22810248632251773</v>
      </c>
      <c r="AH238" s="183">
        <f t="shared" si="46"/>
        <v>0.12880899493134584</v>
      </c>
      <c r="AI238" s="525">
        <f t="shared" si="46"/>
        <v>0.18344726114364293</v>
      </c>
      <c r="AJ238" s="183">
        <f t="shared" si="46"/>
        <v>0.2250107982227485</v>
      </c>
      <c r="AK238" s="183">
        <f t="shared" si="46"/>
        <v>0.21557754571571891</v>
      </c>
      <c r="AL238" s="183">
        <f t="shared" si="46"/>
        <v>0.24025715140037879</v>
      </c>
      <c r="AM238" s="183">
        <f t="shared" si="46"/>
        <v>0.26681082471261441</v>
      </c>
      <c r="AN238" s="525">
        <f t="shared" si="46"/>
        <v>0.23596333406928258</v>
      </c>
      <c r="AO238" s="183">
        <f t="shared" si="46"/>
        <v>0.19722557533566948</v>
      </c>
      <c r="AP238" s="183">
        <f t="shared" si="46"/>
        <v>0.21830656018885669</v>
      </c>
      <c r="AQ238" s="183">
        <f t="shared" si="46"/>
        <v>0.26029661002018983</v>
      </c>
      <c r="AR238" s="183">
        <f t="shared" si="46"/>
        <v>0.26503943234076199</v>
      </c>
      <c r="AS238" s="525">
        <f t="shared" si="46"/>
        <v>0.23649720032568103</v>
      </c>
      <c r="AT238" s="183">
        <f t="shared" si="46"/>
        <v>0.22180143863606946</v>
      </c>
      <c r="AU238" s="183">
        <f t="shared" si="46"/>
        <v>0.23198214414284679</v>
      </c>
      <c r="AV238" s="183">
        <f t="shared" si="46"/>
        <v>0.24160342348968603</v>
      </c>
      <c r="AW238" s="183">
        <f t="shared" si="46"/>
        <v>0.25160979397314559</v>
      </c>
      <c r="AX238" s="525">
        <f t="shared" si="46"/>
        <v>0.23714578825314447</v>
      </c>
      <c r="AY238" s="183">
        <f t="shared" si="46"/>
        <v>0.2062512546117799</v>
      </c>
      <c r="AZ238" s="183">
        <f t="shared" si="46"/>
        <v>0.23647653265963189</v>
      </c>
      <c r="BA238" s="183"/>
      <c r="BB238" s="183"/>
      <c r="BC238" s="525"/>
      <c r="BD238" s="183"/>
      <c r="BE238" s="183"/>
      <c r="BF238" s="183"/>
      <c r="BG238" s="183"/>
      <c r="BH238" s="525"/>
      <c r="BI238" s="183"/>
      <c r="BJ238" s="183"/>
      <c r="BK238" s="183"/>
      <c r="BL238" s="183"/>
      <c r="BM238" s="525"/>
      <c r="BN238" s="183"/>
      <c r="BO238" s="183"/>
      <c r="BP238" s="183"/>
      <c r="BQ238" s="183"/>
      <c r="BR238" s="525"/>
      <c r="BS238" s="183"/>
      <c r="BT238" s="183"/>
      <c r="BU238" s="183"/>
      <c r="BV238" s="183"/>
      <c r="BW238" s="525"/>
      <c r="BX238" s="183"/>
      <c r="BY238" s="183"/>
      <c r="BZ238" s="183"/>
      <c r="CA238" s="183"/>
      <c r="CB238" s="525"/>
      <c r="CC238" s="183"/>
      <c r="CD238" s="183"/>
      <c r="CE238" s="183"/>
      <c r="CF238" s="183"/>
      <c r="CG238" s="525"/>
      <c r="CH238" s="183"/>
      <c r="CI238" s="183"/>
      <c r="CJ238" s="183"/>
      <c r="CK238" s="183"/>
      <c r="CL238" s="525"/>
      <c r="CM238" s="183"/>
      <c r="CN238" s="183"/>
      <c r="CO238" s="183"/>
      <c r="CP238" s="183"/>
      <c r="CQ238" s="641"/>
    </row>
    <row r="239" spans="5:95" ht="13.5" hidden="1" x14ac:dyDescent="0.25">
      <c r="E239" s="358"/>
      <c r="F239" s="578"/>
      <c r="G239" s="578"/>
      <c r="H239" s="578"/>
      <c r="I239" s="578"/>
      <c r="J239" s="578"/>
      <c r="K239" s="192"/>
      <c r="L239" s="192"/>
      <c r="M239" s="192"/>
      <c r="N239" s="192"/>
      <c r="O239" s="578"/>
      <c r="P239" s="192"/>
      <c r="Q239" s="192"/>
      <c r="R239" s="192"/>
      <c r="S239" s="192"/>
      <c r="T239" s="578"/>
      <c r="U239" s="192"/>
      <c r="V239" s="192"/>
      <c r="W239" s="192"/>
      <c r="X239" s="192"/>
      <c r="Y239" s="578"/>
      <c r="Z239" s="195"/>
      <c r="AA239" s="195"/>
      <c r="AB239" s="195"/>
      <c r="AC239" s="195"/>
      <c r="AD239" s="578"/>
      <c r="AE239" s="195"/>
      <c r="AF239" s="195"/>
      <c r="AG239" s="195"/>
      <c r="AH239" s="195"/>
      <c r="AI239" s="578"/>
      <c r="AJ239" s="195"/>
      <c r="AK239" s="195"/>
      <c r="AL239" s="195"/>
      <c r="AM239" s="195"/>
      <c r="AN239" s="578"/>
      <c r="AO239" s="195"/>
      <c r="AP239" s="195"/>
      <c r="AQ239" s="195"/>
      <c r="AR239" s="195"/>
      <c r="AS239" s="578"/>
      <c r="AT239" s="194"/>
      <c r="AU239" s="194"/>
      <c r="AV239" s="194"/>
      <c r="AW239" s="194"/>
      <c r="AX239" s="578"/>
      <c r="AY239" s="194"/>
      <c r="AZ239" s="194"/>
      <c r="BA239" s="194"/>
      <c r="BB239" s="194"/>
      <c r="BC239" s="578"/>
      <c r="BD239" s="194"/>
      <c r="BE239" s="194"/>
      <c r="BF239" s="194"/>
      <c r="BG239" s="194"/>
      <c r="BH239" s="578"/>
      <c r="BI239" s="194"/>
      <c r="BJ239" s="194"/>
      <c r="BK239" s="194"/>
      <c r="BL239" s="194"/>
      <c r="BM239" s="578"/>
      <c r="BN239" s="194"/>
      <c r="BO239" s="194"/>
      <c r="BP239" s="194"/>
      <c r="BQ239" s="194"/>
      <c r="BR239" s="578"/>
      <c r="BS239" s="194"/>
      <c r="BT239" s="194"/>
      <c r="BU239" s="194"/>
      <c r="BV239" s="194"/>
      <c r="BW239" s="578"/>
      <c r="BX239" s="194"/>
      <c r="BY239" s="194"/>
      <c r="BZ239" s="194"/>
      <c r="CA239" s="194"/>
      <c r="CB239" s="578"/>
      <c r="CC239" s="194"/>
      <c r="CD239" s="194"/>
      <c r="CE239" s="194"/>
      <c r="CF239" s="194"/>
      <c r="CG239" s="578"/>
      <c r="CH239" s="194"/>
      <c r="CI239" s="194"/>
      <c r="CJ239" s="194"/>
      <c r="CK239" s="194"/>
      <c r="CL239" s="578"/>
      <c r="CM239" s="194"/>
      <c r="CN239" s="194"/>
      <c r="CO239" s="194"/>
      <c r="CP239" s="194"/>
      <c r="CQ239" s="578"/>
    </row>
    <row r="240" spans="5:95" hidden="1" x14ac:dyDescent="0.25">
      <c r="E240" s="190" t="s">
        <v>6</v>
      </c>
      <c r="F240" s="578"/>
      <c r="G240" s="578"/>
      <c r="H240" s="578"/>
      <c r="I240" s="578"/>
      <c r="J240" s="578"/>
      <c r="K240" s="192"/>
      <c r="L240" s="192"/>
      <c r="M240" s="192"/>
      <c r="N240" s="192"/>
      <c r="O240" s="578"/>
      <c r="P240" s="192"/>
      <c r="Q240" s="192"/>
      <c r="R240" s="192"/>
      <c r="S240" s="192"/>
      <c r="T240" s="578"/>
      <c r="U240" s="192"/>
      <c r="V240" s="192"/>
      <c r="W240" s="192"/>
      <c r="X240" s="192"/>
      <c r="Y240" s="578"/>
      <c r="Z240" s="195"/>
      <c r="AA240" s="195"/>
      <c r="AB240" s="195"/>
      <c r="AC240" s="195"/>
      <c r="AD240" s="578"/>
      <c r="AE240" s="195"/>
      <c r="AF240" s="195"/>
      <c r="AG240" s="195"/>
      <c r="AH240" s="195"/>
      <c r="AI240" s="578"/>
      <c r="AJ240" s="195"/>
      <c r="AK240" s="195"/>
      <c r="AL240" s="195"/>
      <c r="AM240" s="195"/>
      <c r="AN240" s="578"/>
      <c r="AO240" s="195"/>
      <c r="AP240" s="195"/>
      <c r="AQ240" s="195"/>
      <c r="AR240" s="195"/>
      <c r="AS240" s="578"/>
      <c r="AT240" s="194"/>
      <c r="AU240" s="194"/>
      <c r="AV240" s="194"/>
      <c r="AW240" s="194"/>
      <c r="AX240" s="578"/>
      <c r="AY240" s="194"/>
      <c r="AZ240" s="194"/>
      <c r="BA240" s="194"/>
      <c r="BB240" s="194"/>
      <c r="BC240" s="578"/>
      <c r="BD240" s="194"/>
      <c r="BE240" s="194"/>
      <c r="BF240" s="194"/>
      <c r="BG240" s="194"/>
      <c r="BH240" s="578"/>
      <c r="BI240" s="194"/>
      <c r="BJ240" s="194"/>
      <c r="BK240" s="194"/>
      <c r="BL240" s="194"/>
      <c r="BM240" s="578"/>
      <c r="BN240" s="194"/>
      <c r="BO240" s="194"/>
      <c r="BP240" s="194"/>
      <c r="BQ240" s="194"/>
      <c r="BR240" s="578"/>
      <c r="BS240" s="194"/>
      <c r="BT240" s="194"/>
      <c r="BU240" s="194"/>
      <c r="BV240" s="194"/>
      <c r="BW240" s="578"/>
      <c r="BX240" s="194"/>
      <c r="BY240" s="194"/>
      <c r="BZ240" s="194"/>
      <c r="CA240" s="194"/>
      <c r="CB240" s="578"/>
      <c r="CC240" s="194"/>
      <c r="CD240" s="194"/>
      <c r="CE240" s="194"/>
      <c r="CF240" s="194"/>
      <c r="CG240" s="578"/>
      <c r="CH240" s="194"/>
      <c r="CI240" s="194"/>
      <c r="CJ240" s="194"/>
      <c r="CK240" s="194"/>
      <c r="CL240" s="578"/>
      <c r="CM240" s="194"/>
      <c r="CN240" s="194"/>
      <c r="CO240" s="194"/>
      <c r="CP240" s="194"/>
      <c r="CQ240" s="578"/>
    </row>
    <row r="241" spans="5:95" hidden="1" x14ac:dyDescent="0.25">
      <c r="E241" s="27" t="s">
        <v>303</v>
      </c>
      <c r="F241" s="578"/>
      <c r="G241" s="578"/>
      <c r="H241" s="578"/>
      <c r="I241" s="578"/>
      <c r="J241" s="578"/>
      <c r="K241" s="192"/>
      <c r="L241" s="192"/>
      <c r="M241" s="192"/>
      <c r="N241" s="192"/>
      <c r="O241" s="578"/>
      <c r="P241" s="192"/>
      <c r="Q241" s="192"/>
      <c r="R241" s="192"/>
      <c r="S241" s="192"/>
      <c r="T241" s="578"/>
      <c r="U241" s="192"/>
      <c r="V241" s="192"/>
      <c r="W241" s="192"/>
      <c r="X241" s="192"/>
      <c r="Y241" s="578"/>
      <c r="Z241" s="195"/>
      <c r="AA241" s="195"/>
      <c r="AB241" s="195"/>
      <c r="AC241" s="195"/>
      <c r="AD241" s="578"/>
      <c r="AE241" s="360">
        <f t="shared" ref="AE241:AH242" si="47">AE231-AE246</f>
        <v>11.719999999999992</v>
      </c>
      <c r="AF241" s="360">
        <f t="shared" si="47"/>
        <v>12.840999999999987</v>
      </c>
      <c r="AG241" s="360">
        <f t="shared" si="47"/>
        <v>13.263999999999996</v>
      </c>
      <c r="AH241" s="360">
        <f t="shared" si="47"/>
        <v>12.901999999999978</v>
      </c>
      <c r="AI241" s="568">
        <f>SUM(AE241:AH241)</f>
        <v>50.726999999999954</v>
      </c>
      <c r="AJ241" s="360">
        <f t="shared" ref="AJ241:AM242" si="48">AJ231-AJ246</f>
        <v>32.195000000000007</v>
      </c>
      <c r="AK241" s="360">
        <f t="shared" si="48"/>
        <v>24.091999999999999</v>
      </c>
      <c r="AL241" s="360">
        <f t="shared" si="48"/>
        <v>27.286000000000005</v>
      </c>
      <c r="AM241" s="360">
        <f t="shared" si="48"/>
        <v>24.951999999999991</v>
      </c>
      <c r="AN241" s="568">
        <f>SUM(AJ241:AM241)</f>
        <v>108.52500000000001</v>
      </c>
      <c r="AO241" s="360">
        <f t="shared" ref="AO241:AR242" si="49">AO231-AO246</f>
        <v>23.911999999999999</v>
      </c>
      <c r="AP241" s="360">
        <f t="shared" si="49"/>
        <v>24.449999999999992</v>
      </c>
      <c r="AQ241" s="360">
        <f t="shared" si="49"/>
        <v>27.569000000000013</v>
      </c>
      <c r="AR241" s="360">
        <f t="shared" si="49"/>
        <v>27.82899999999999</v>
      </c>
      <c r="AS241" s="568">
        <f>SUM(AO241:AR241)</f>
        <v>103.76</v>
      </c>
      <c r="AT241" s="360">
        <f t="shared" ref="AT241:AW242" si="50">AT231-AT246</f>
        <v>25.126999999999999</v>
      </c>
      <c r="AU241" s="360">
        <f t="shared" si="50"/>
        <v>26.94499999999999</v>
      </c>
      <c r="AV241" s="360">
        <f t="shared" si="50"/>
        <v>27.821999999999989</v>
      </c>
      <c r="AW241" s="360">
        <f t="shared" si="50"/>
        <v>27.310000000000013</v>
      </c>
      <c r="AX241" s="568">
        <f>SUM(AT241:AW241)</f>
        <v>107.20399999999999</v>
      </c>
      <c r="AY241" s="360">
        <f>AY231-AY246</f>
        <v>24.969000000000019</v>
      </c>
      <c r="AZ241" s="360">
        <f>AZ231-AZ246</f>
        <v>26.322999999999993</v>
      </c>
      <c r="BA241" s="360"/>
      <c r="BB241" s="360"/>
      <c r="BC241" s="568"/>
      <c r="BD241" s="360"/>
      <c r="BE241" s="360"/>
      <c r="BF241" s="360"/>
      <c r="BG241" s="360"/>
      <c r="BH241" s="568"/>
      <c r="BI241" s="360"/>
      <c r="BJ241" s="360"/>
      <c r="BK241" s="360"/>
      <c r="BL241" s="360"/>
      <c r="BM241" s="568"/>
      <c r="BN241" s="360"/>
      <c r="BO241" s="360"/>
      <c r="BP241" s="360"/>
      <c r="BQ241" s="360"/>
      <c r="BR241" s="568"/>
      <c r="BS241" s="360"/>
      <c r="BT241" s="360"/>
      <c r="BU241" s="360"/>
      <c r="BV241" s="360"/>
      <c r="BW241" s="568"/>
      <c r="BX241" s="360"/>
      <c r="BY241" s="360"/>
      <c r="BZ241" s="360"/>
      <c r="CA241" s="360"/>
      <c r="CB241" s="568"/>
      <c r="CC241" s="360"/>
      <c r="CD241" s="360"/>
      <c r="CE241" s="360"/>
      <c r="CF241" s="360"/>
      <c r="CG241" s="568"/>
      <c r="CH241" s="360"/>
      <c r="CI241" s="360"/>
      <c r="CJ241" s="360"/>
      <c r="CK241" s="360"/>
      <c r="CL241" s="568"/>
      <c r="CM241" s="360"/>
      <c r="CN241" s="360"/>
      <c r="CO241" s="360"/>
      <c r="CP241" s="360"/>
      <c r="CQ241" s="568"/>
    </row>
    <row r="242" spans="5:95" hidden="1" x14ac:dyDescent="0.25">
      <c r="E242" s="27" t="s">
        <v>297</v>
      </c>
      <c r="F242" s="578"/>
      <c r="G242" s="578"/>
      <c r="H242" s="578"/>
      <c r="I242" s="578"/>
      <c r="J242" s="578"/>
      <c r="K242" s="192"/>
      <c r="L242" s="192"/>
      <c r="M242" s="192"/>
      <c r="N242" s="192"/>
      <c r="O242" s="578"/>
      <c r="P242" s="192"/>
      <c r="Q242" s="192"/>
      <c r="R242" s="192"/>
      <c r="S242" s="192"/>
      <c r="T242" s="578"/>
      <c r="U242" s="192"/>
      <c r="V242" s="192"/>
      <c r="W242" s="192"/>
      <c r="X242" s="192"/>
      <c r="Y242" s="578"/>
      <c r="Z242" s="195"/>
      <c r="AA242" s="195"/>
      <c r="AB242" s="195"/>
      <c r="AC242" s="195"/>
      <c r="AD242" s="578"/>
      <c r="AE242" s="360">
        <f t="shared" si="47"/>
        <v>10.110000000000001</v>
      </c>
      <c r="AF242" s="360">
        <f t="shared" si="47"/>
        <v>10.344999999999992</v>
      </c>
      <c r="AG242" s="360">
        <f t="shared" si="47"/>
        <v>11.975000000000005</v>
      </c>
      <c r="AH242" s="360">
        <f t="shared" si="47"/>
        <v>11.274999999999995</v>
      </c>
      <c r="AI242" s="568">
        <f>SUM(AE242:AH242)</f>
        <v>43.704999999999984</v>
      </c>
      <c r="AJ242" s="360">
        <f t="shared" si="48"/>
        <v>17.287000000000003</v>
      </c>
      <c r="AK242" s="360">
        <f t="shared" si="48"/>
        <v>14.896000000000001</v>
      </c>
      <c r="AL242" s="360">
        <f t="shared" si="48"/>
        <v>15.274000000000004</v>
      </c>
      <c r="AM242" s="360">
        <f t="shared" si="48"/>
        <v>13.977999999999996</v>
      </c>
      <c r="AN242" s="568">
        <f>SUM(AJ242:AM242)</f>
        <v>61.435000000000002</v>
      </c>
      <c r="AO242" s="360">
        <f t="shared" si="49"/>
        <v>13.731000000000005</v>
      </c>
      <c r="AP242" s="360">
        <f t="shared" si="49"/>
        <v>13.514000000000005</v>
      </c>
      <c r="AQ242" s="360">
        <f t="shared" si="49"/>
        <v>15.908000000000001</v>
      </c>
      <c r="AR242" s="360">
        <f t="shared" si="49"/>
        <v>15.184000000000001</v>
      </c>
      <c r="AS242" s="568">
        <f>SUM(AO242:AR242)</f>
        <v>58.337000000000018</v>
      </c>
      <c r="AT242" s="360">
        <f t="shared" si="50"/>
        <v>12.827999999999996</v>
      </c>
      <c r="AU242" s="360">
        <f t="shared" si="50"/>
        <v>13.328999999999994</v>
      </c>
      <c r="AV242" s="360">
        <f t="shared" si="50"/>
        <v>13.508999999999995</v>
      </c>
      <c r="AW242" s="360">
        <f t="shared" si="50"/>
        <v>13.013999999999992</v>
      </c>
      <c r="AX242" s="568">
        <f>SUM(AT242:AW242)</f>
        <v>52.679999999999978</v>
      </c>
      <c r="AY242" s="360">
        <f>AY232-AY247</f>
        <v>12.149999999999999</v>
      </c>
      <c r="AZ242" s="360">
        <f>AZ232-AZ247</f>
        <v>13.216000000000001</v>
      </c>
      <c r="BA242" s="360"/>
      <c r="BB242" s="360"/>
      <c r="BC242" s="568"/>
      <c r="BD242" s="360"/>
      <c r="BE242" s="360"/>
      <c r="BF242" s="360"/>
      <c r="BG242" s="360"/>
      <c r="BH242" s="568"/>
      <c r="BI242" s="360"/>
      <c r="BJ242" s="360"/>
      <c r="BK242" s="360"/>
      <c r="BL242" s="360"/>
      <c r="BM242" s="568"/>
      <c r="BN242" s="360"/>
      <c r="BO242" s="360"/>
      <c r="BP242" s="360"/>
      <c r="BQ242" s="360"/>
      <c r="BR242" s="568"/>
      <c r="BS242" s="360"/>
      <c r="BT242" s="360"/>
      <c r="BU242" s="360"/>
      <c r="BV242" s="360"/>
      <c r="BW242" s="568"/>
      <c r="BX242" s="360"/>
      <c r="BY242" s="360"/>
      <c r="BZ242" s="360"/>
      <c r="CA242" s="360"/>
      <c r="CB242" s="568"/>
      <c r="CC242" s="360"/>
      <c r="CD242" s="360"/>
      <c r="CE242" s="360"/>
      <c r="CF242" s="360"/>
      <c r="CG242" s="568"/>
      <c r="CH242" s="360"/>
      <c r="CI242" s="360"/>
      <c r="CJ242" s="360"/>
      <c r="CK242" s="360"/>
      <c r="CL242" s="568"/>
      <c r="CM242" s="360"/>
      <c r="CN242" s="360"/>
      <c r="CO242" s="360"/>
      <c r="CP242" s="360"/>
      <c r="CQ242" s="568"/>
    </row>
    <row r="243" spans="5:95" ht="13.5" hidden="1" x14ac:dyDescent="0.25">
      <c r="E243" s="380" t="s">
        <v>298</v>
      </c>
      <c r="F243" s="578"/>
      <c r="G243" s="578"/>
      <c r="H243" s="578"/>
      <c r="I243" s="578"/>
      <c r="J243" s="578"/>
      <c r="K243" s="202"/>
      <c r="L243" s="202"/>
      <c r="M243" s="202"/>
      <c r="N243" s="202"/>
      <c r="O243" s="578"/>
      <c r="P243" s="202"/>
      <c r="Q243" s="202"/>
      <c r="R243" s="202"/>
      <c r="S243" s="202"/>
      <c r="T243" s="578"/>
      <c r="U243" s="202"/>
      <c r="V243" s="202"/>
      <c r="W243" s="202"/>
      <c r="X243" s="202"/>
      <c r="Y243" s="578"/>
      <c r="Z243" s="381"/>
      <c r="AA243" s="381"/>
      <c r="AB243" s="381"/>
      <c r="AC243" s="381"/>
      <c r="AD243" s="578"/>
      <c r="AE243" s="203">
        <f>AE241+AE242</f>
        <v>21.829999999999991</v>
      </c>
      <c r="AF243" s="203">
        <f>AF241+AF242</f>
        <v>23.185999999999979</v>
      </c>
      <c r="AG243" s="203">
        <f>AG241+AG242</f>
        <v>25.239000000000001</v>
      </c>
      <c r="AH243" s="203">
        <f>AH241+AH242</f>
        <v>24.176999999999971</v>
      </c>
      <c r="AI243" s="536">
        <f>SUM(AE243:AH243)</f>
        <v>94.431999999999931</v>
      </c>
      <c r="AJ243" s="203">
        <f>AJ241+AJ242</f>
        <v>49.482000000000014</v>
      </c>
      <c r="AK243" s="203">
        <f>AK241+AK242</f>
        <v>38.988</v>
      </c>
      <c r="AL243" s="203">
        <f>AL241+AL242</f>
        <v>42.560000000000009</v>
      </c>
      <c r="AM243" s="203">
        <f>AM241+AM242</f>
        <v>38.929999999999986</v>
      </c>
      <c r="AN243" s="536">
        <f>SUM(AJ243:AM243)</f>
        <v>169.96</v>
      </c>
      <c r="AO243" s="203">
        <f>AO241+AO242</f>
        <v>37.643000000000001</v>
      </c>
      <c r="AP243" s="203">
        <f>AP241+AP242</f>
        <v>37.963999999999999</v>
      </c>
      <c r="AQ243" s="203">
        <f>AQ241+AQ242</f>
        <v>43.477000000000018</v>
      </c>
      <c r="AR243" s="203">
        <f>AR241+AR242</f>
        <v>43.012999999999991</v>
      </c>
      <c r="AS243" s="536">
        <f>SUM(AO243:AR243)</f>
        <v>162.09700000000001</v>
      </c>
      <c r="AT243" s="203">
        <f>AT241+AT242</f>
        <v>37.954999999999998</v>
      </c>
      <c r="AU243" s="203">
        <f>AU241+AU242</f>
        <v>40.273999999999987</v>
      </c>
      <c r="AV243" s="203">
        <f>AV241+AV242</f>
        <v>41.330999999999982</v>
      </c>
      <c r="AW243" s="203">
        <f>AW241+AW242</f>
        <v>40.324000000000005</v>
      </c>
      <c r="AX243" s="536">
        <f>SUM(AT243:AW243)</f>
        <v>159.88399999999999</v>
      </c>
      <c r="AY243" s="203">
        <f>AY241+AY242</f>
        <v>37.119000000000014</v>
      </c>
      <c r="AZ243" s="203">
        <f>AZ241+AZ242</f>
        <v>39.538999999999994</v>
      </c>
      <c r="BA243" s="203"/>
      <c r="BB243" s="203"/>
      <c r="BC243" s="536"/>
      <c r="BD243" s="203"/>
      <c r="BE243" s="203"/>
      <c r="BF243" s="203"/>
      <c r="BG243" s="203"/>
      <c r="BH243" s="536"/>
      <c r="BI243" s="203"/>
      <c r="BJ243" s="203"/>
      <c r="BK243" s="203"/>
      <c r="BL243" s="203"/>
      <c r="BM243" s="536"/>
      <c r="BN243" s="203"/>
      <c r="BO243" s="203"/>
      <c r="BP243" s="203"/>
      <c r="BQ243" s="203"/>
      <c r="BR243" s="536"/>
      <c r="BS243" s="203"/>
      <c r="BT243" s="203"/>
      <c r="BU243" s="203"/>
      <c r="BV243" s="203"/>
      <c r="BW243" s="536"/>
      <c r="BX243" s="203"/>
      <c r="BY243" s="203"/>
      <c r="BZ243" s="203"/>
      <c r="CA243" s="203"/>
      <c r="CB243" s="536"/>
      <c r="CC243" s="203"/>
      <c r="CD243" s="203"/>
      <c r="CE243" s="203"/>
      <c r="CF243" s="203"/>
      <c r="CG243" s="536"/>
      <c r="CH243" s="203"/>
      <c r="CI243" s="203"/>
      <c r="CJ243" s="203"/>
      <c r="CK243" s="203"/>
      <c r="CL243" s="536"/>
      <c r="CM243" s="203"/>
      <c r="CN243" s="203"/>
      <c r="CO243" s="203"/>
      <c r="CP243" s="203"/>
      <c r="CQ243" s="642"/>
    </row>
    <row r="244" spans="5:95" ht="13.5" hidden="1" x14ac:dyDescent="0.25">
      <c r="E244" s="358"/>
      <c r="F244" s="578"/>
      <c r="G244" s="578"/>
      <c r="H244" s="578"/>
      <c r="I244" s="578"/>
      <c r="J244" s="578"/>
      <c r="K244" s="192"/>
      <c r="L244" s="192"/>
      <c r="M244" s="192"/>
      <c r="N244" s="192"/>
      <c r="O244" s="578"/>
      <c r="P244" s="192"/>
      <c r="Q244" s="192"/>
      <c r="R244" s="192"/>
      <c r="S244" s="192"/>
      <c r="T244" s="578"/>
      <c r="U244" s="192"/>
      <c r="V244" s="192"/>
      <c r="W244" s="192"/>
      <c r="X244" s="192"/>
      <c r="Y244" s="578"/>
      <c r="Z244" s="195"/>
      <c r="AA244" s="195"/>
      <c r="AB244" s="195"/>
      <c r="AC244" s="195"/>
      <c r="AD244" s="578"/>
      <c r="AE244" s="195"/>
      <c r="AF244" s="195"/>
      <c r="AG244" s="195"/>
      <c r="AH244" s="195"/>
      <c r="AI244" s="578"/>
      <c r="AJ244" s="195"/>
      <c r="AK244" s="195"/>
      <c r="AL244" s="195"/>
      <c r="AM244" s="195"/>
      <c r="AN244" s="578"/>
      <c r="AO244" s="195"/>
      <c r="AP244" s="195"/>
      <c r="AQ244" s="195"/>
      <c r="AR244" s="195"/>
      <c r="AS244" s="578"/>
      <c r="AT244" s="194"/>
      <c r="AU244" s="194"/>
      <c r="AV244" s="194"/>
      <c r="AW244" s="194"/>
      <c r="AX244" s="578"/>
      <c r="AY244" s="194"/>
      <c r="AZ244" s="194"/>
      <c r="BA244" s="194"/>
      <c r="BB244" s="194"/>
      <c r="BC244" s="578"/>
      <c r="BD244" s="194"/>
      <c r="BE244" s="194"/>
      <c r="BF244" s="194"/>
      <c r="BG244" s="194"/>
      <c r="BH244" s="578"/>
      <c r="BI244" s="194"/>
      <c r="BJ244" s="194"/>
      <c r="BK244" s="194"/>
      <c r="BL244" s="194"/>
      <c r="BM244" s="578"/>
      <c r="BN244" s="194"/>
      <c r="BO244" s="194"/>
      <c r="BP244" s="194"/>
      <c r="BQ244" s="194"/>
      <c r="BR244" s="578"/>
      <c r="BS244" s="194"/>
      <c r="BT244" s="194"/>
      <c r="BU244" s="194"/>
      <c r="BV244" s="194"/>
      <c r="BW244" s="578"/>
      <c r="BX244" s="194"/>
      <c r="BY244" s="194"/>
      <c r="BZ244" s="194"/>
      <c r="CA244" s="194"/>
      <c r="CB244" s="578"/>
      <c r="CC244" s="194"/>
      <c r="CD244" s="194"/>
      <c r="CE244" s="194"/>
      <c r="CF244" s="194"/>
      <c r="CG244" s="578"/>
      <c r="CH244" s="194"/>
      <c r="CI244" s="194"/>
      <c r="CJ244" s="194"/>
      <c r="CK244" s="194"/>
      <c r="CL244" s="578"/>
      <c r="CM244" s="194"/>
      <c r="CN244" s="194"/>
      <c r="CO244" s="194"/>
      <c r="CP244" s="194"/>
      <c r="CQ244" s="578"/>
    </row>
    <row r="245" spans="5:95" hidden="1" x14ac:dyDescent="0.25">
      <c r="E245" s="190" t="s">
        <v>299</v>
      </c>
      <c r="F245" s="578"/>
      <c r="G245" s="578"/>
      <c r="H245" s="578"/>
      <c r="I245" s="578"/>
      <c r="J245" s="578"/>
      <c r="K245" s="192"/>
      <c r="L245" s="192"/>
      <c r="M245" s="192"/>
      <c r="N245" s="192"/>
      <c r="O245" s="578"/>
      <c r="P245" s="192"/>
      <c r="Q245" s="192"/>
      <c r="R245" s="192"/>
      <c r="S245" s="192"/>
      <c r="T245" s="578"/>
      <c r="U245" s="192"/>
      <c r="V245" s="192"/>
      <c r="W245" s="192"/>
      <c r="X245" s="192"/>
      <c r="Y245" s="578"/>
      <c r="Z245" s="195"/>
      <c r="AA245" s="195"/>
      <c r="AB245" s="195"/>
      <c r="AC245" s="195"/>
      <c r="AD245" s="578"/>
      <c r="AE245" s="195"/>
      <c r="AF245" s="195"/>
      <c r="AG245" s="195"/>
      <c r="AH245" s="195"/>
      <c r="AI245" s="578"/>
      <c r="AJ245" s="195"/>
      <c r="AK245" s="195"/>
      <c r="AL245" s="195"/>
      <c r="AM245" s="195"/>
      <c r="AN245" s="578"/>
      <c r="AO245" s="195"/>
      <c r="AP245" s="195"/>
      <c r="AQ245" s="195"/>
      <c r="AR245" s="195"/>
      <c r="AS245" s="578"/>
      <c r="AT245" s="194"/>
      <c r="AU245" s="194"/>
      <c r="AV245" s="194"/>
      <c r="AW245" s="421"/>
      <c r="AX245" s="578"/>
      <c r="AY245" s="421"/>
      <c r="AZ245" s="194"/>
      <c r="BA245" s="194"/>
      <c r="BB245" s="194"/>
      <c r="BC245" s="578"/>
      <c r="BD245" s="194"/>
      <c r="BE245" s="194"/>
      <c r="BF245" s="194"/>
      <c r="BG245" s="194"/>
      <c r="BH245" s="578"/>
      <c r="BI245" s="194"/>
      <c r="BJ245" s="194"/>
      <c r="BK245" s="194"/>
      <c r="BL245" s="194"/>
      <c r="BM245" s="578"/>
      <c r="BN245" s="194"/>
      <c r="BO245" s="194"/>
      <c r="BP245" s="194"/>
      <c r="BQ245" s="194"/>
      <c r="BR245" s="578"/>
      <c r="BS245" s="194"/>
      <c r="BT245" s="194"/>
      <c r="BU245" s="194"/>
      <c r="BV245" s="194"/>
      <c r="BW245" s="578"/>
      <c r="BX245" s="194"/>
      <c r="BY245" s="194"/>
      <c r="BZ245" s="194"/>
      <c r="CA245" s="194"/>
      <c r="CB245" s="578"/>
      <c r="CC245" s="194"/>
      <c r="CD245" s="194"/>
      <c r="CE245" s="194"/>
      <c r="CF245" s="194"/>
      <c r="CG245" s="578"/>
      <c r="CH245" s="194"/>
      <c r="CI245" s="194"/>
      <c r="CJ245" s="194"/>
      <c r="CK245" s="194"/>
      <c r="CL245" s="578"/>
      <c r="CM245" s="194"/>
      <c r="CN245" s="194"/>
      <c r="CO245" s="194"/>
      <c r="CP245" s="194"/>
      <c r="CQ245" s="578"/>
    </row>
    <row r="246" spans="5:95" hidden="1" x14ac:dyDescent="0.25">
      <c r="E246" s="27" t="s">
        <v>304</v>
      </c>
      <c r="F246" s="578"/>
      <c r="G246" s="578"/>
      <c r="H246" s="578"/>
      <c r="I246" s="578"/>
      <c r="J246" s="578"/>
      <c r="K246" s="192"/>
      <c r="L246" s="192"/>
      <c r="M246" s="192"/>
      <c r="N246" s="192"/>
      <c r="O246" s="578"/>
      <c r="P246" s="192"/>
      <c r="Q246" s="192"/>
      <c r="R246" s="192"/>
      <c r="S246" s="192"/>
      <c r="T246" s="578"/>
      <c r="U246" s="192"/>
      <c r="V246" s="192"/>
      <c r="W246" s="192"/>
      <c r="X246" s="192"/>
      <c r="Y246" s="578"/>
      <c r="Z246" s="195"/>
      <c r="AA246" s="195"/>
      <c r="AB246" s="195"/>
      <c r="AC246" s="195"/>
      <c r="AD246" s="578"/>
      <c r="AE246" s="124">
        <v>34.07</v>
      </c>
      <c r="AF246" s="124">
        <v>35.859000000000002</v>
      </c>
      <c r="AG246" s="124">
        <v>42.722999999999999</v>
      </c>
      <c r="AH246" s="124">
        <v>1.022</v>
      </c>
      <c r="AI246" s="568">
        <f>SUM(AE246:AH246)</f>
        <v>113.67400000000001</v>
      </c>
      <c r="AJ246" s="124">
        <v>25.638999999999999</v>
      </c>
      <c r="AK246" s="124">
        <v>28.527000000000001</v>
      </c>
      <c r="AL246" s="124">
        <v>30.358000000000001</v>
      </c>
      <c r="AM246" s="124">
        <v>32.872999999999998</v>
      </c>
      <c r="AN246" s="568">
        <f>SUM(AJ246:AM246)</f>
        <v>117.39699999999999</v>
      </c>
      <c r="AO246" s="124">
        <v>15.837999999999999</v>
      </c>
      <c r="AP246" s="124">
        <v>19.971</v>
      </c>
      <c r="AQ246" s="124">
        <v>27.565000000000001</v>
      </c>
      <c r="AR246" s="124">
        <v>27.638999999999999</v>
      </c>
      <c r="AS246" s="568">
        <f>SUM(AO246:AR246)</f>
        <v>91.012999999999991</v>
      </c>
      <c r="AT246" s="124">
        <v>20.879000000000001</v>
      </c>
      <c r="AU246" s="124">
        <v>22.952000000000002</v>
      </c>
      <c r="AV246" s="124">
        <v>26.39</v>
      </c>
      <c r="AW246" s="124">
        <v>21.181000000000001</v>
      </c>
      <c r="AX246" s="568">
        <f>SUM(AT246:AW246)</f>
        <v>91.402000000000001</v>
      </c>
      <c r="AY246" s="124">
        <v>20.172000000000001</v>
      </c>
      <c r="AZ246" s="124">
        <v>23.210999999999999</v>
      </c>
      <c r="BA246" s="27"/>
      <c r="BB246" s="27"/>
      <c r="BC246" s="568"/>
      <c r="BD246" s="27"/>
      <c r="BE246" s="27"/>
      <c r="BF246" s="27"/>
      <c r="BG246" s="27"/>
      <c r="BH246" s="568"/>
      <c r="BI246" s="27"/>
      <c r="BJ246" s="27"/>
      <c r="BK246" s="27"/>
      <c r="BL246" s="27"/>
      <c r="BM246" s="568"/>
      <c r="BN246" s="27"/>
      <c r="BO246" s="27"/>
      <c r="BP246" s="27"/>
      <c r="BQ246" s="27"/>
      <c r="BR246" s="568"/>
      <c r="BS246" s="27"/>
      <c r="BT246" s="27"/>
      <c r="BU246" s="27"/>
      <c r="BV246" s="27"/>
      <c r="BW246" s="568"/>
      <c r="BX246" s="27"/>
      <c r="BY246" s="27"/>
      <c r="BZ246" s="27"/>
      <c r="CA246" s="27"/>
      <c r="CB246" s="568"/>
      <c r="CC246" s="27"/>
      <c r="CD246" s="27"/>
      <c r="CE246" s="27"/>
      <c r="CF246" s="27"/>
      <c r="CG246" s="568"/>
      <c r="CH246" s="27"/>
      <c r="CI246" s="27"/>
      <c r="CJ246" s="27"/>
      <c r="CK246" s="27"/>
      <c r="CL246" s="568"/>
      <c r="CM246" s="27"/>
      <c r="CN246" s="27"/>
      <c r="CO246" s="27"/>
      <c r="CP246" s="27"/>
      <c r="CQ246" s="568"/>
    </row>
    <row r="247" spans="5:95" hidden="1" x14ac:dyDescent="0.25">
      <c r="E247" s="27" t="s">
        <v>300</v>
      </c>
      <c r="F247" s="578"/>
      <c r="G247" s="578"/>
      <c r="H247" s="578"/>
      <c r="I247" s="578"/>
      <c r="J247" s="578"/>
      <c r="K247" s="192"/>
      <c r="L247" s="192"/>
      <c r="M247" s="192"/>
      <c r="N247" s="192"/>
      <c r="O247" s="578"/>
      <c r="P247" s="192"/>
      <c r="Q247" s="192"/>
      <c r="R247" s="192"/>
      <c r="S247" s="192"/>
      <c r="T247" s="578"/>
      <c r="U247" s="192"/>
      <c r="V247" s="192"/>
      <c r="W247" s="192"/>
      <c r="X247" s="192"/>
      <c r="Y247" s="578"/>
      <c r="Z247" s="195"/>
      <c r="AA247" s="195"/>
      <c r="AB247" s="195"/>
      <c r="AC247" s="195"/>
      <c r="AD247" s="578"/>
      <c r="AE247" s="124">
        <v>2.1640000000000001</v>
      </c>
      <c r="AF247" s="124">
        <v>11.673999999999999</v>
      </c>
      <c r="AG247" s="124">
        <v>12.047000000000001</v>
      </c>
      <c r="AH247" s="124">
        <v>19.858000000000001</v>
      </c>
      <c r="AI247" s="568">
        <f>SUM(AE247:AH247)</f>
        <v>45.742999999999995</v>
      </c>
      <c r="AJ247" s="124">
        <v>-0.626</v>
      </c>
      <c r="AK247" s="124">
        <v>3.3959999999999999</v>
      </c>
      <c r="AL247" s="124">
        <v>4.218</v>
      </c>
      <c r="AM247" s="124">
        <v>7.0419999999999998</v>
      </c>
      <c r="AN247" s="568">
        <f>SUM(AJ247:AM247)</f>
        <v>14.03</v>
      </c>
      <c r="AO247" s="124">
        <v>-2.9950000000000001</v>
      </c>
      <c r="AP247" s="124">
        <v>1.2490000000000001</v>
      </c>
      <c r="AQ247" s="124">
        <v>2.8319999999999999</v>
      </c>
      <c r="AR247" s="124">
        <v>5.77</v>
      </c>
      <c r="AS247" s="568">
        <f>SUM(AO247:AR247)</f>
        <v>6.8559999999999999</v>
      </c>
      <c r="AT247" s="124">
        <v>1.1399999999999999</v>
      </c>
      <c r="AU247" s="124">
        <v>4.4359999999999999</v>
      </c>
      <c r="AV247" s="124">
        <v>4.5449999999999999</v>
      </c>
      <c r="AW247" s="124">
        <v>13.675000000000001</v>
      </c>
      <c r="AX247" s="568">
        <f>SUM(AT247:AW247)</f>
        <v>23.795999999999999</v>
      </c>
      <c r="AY247" s="124">
        <v>2.302</v>
      </c>
      <c r="AZ247" s="124">
        <v>8.2010000000000005</v>
      </c>
      <c r="BA247" s="27"/>
      <c r="BB247" s="27"/>
      <c r="BC247" s="568"/>
      <c r="BD247" s="27"/>
      <c r="BE247" s="27"/>
      <c r="BF247" s="27"/>
      <c r="BG247" s="27"/>
      <c r="BH247" s="568"/>
      <c r="BI247" s="27"/>
      <c r="BJ247" s="27"/>
      <c r="BK247" s="27"/>
      <c r="BL247" s="27"/>
      <c r="BM247" s="568"/>
      <c r="BN247" s="27"/>
      <c r="BO247" s="27"/>
      <c r="BP247" s="27"/>
      <c r="BQ247" s="27"/>
      <c r="BR247" s="568"/>
      <c r="BS247" s="27"/>
      <c r="BT247" s="27"/>
      <c r="BU247" s="27"/>
      <c r="BV247" s="27"/>
      <c r="BW247" s="568"/>
      <c r="BX247" s="27"/>
      <c r="BY247" s="27"/>
      <c r="BZ247" s="27"/>
      <c r="CA247" s="27"/>
      <c r="CB247" s="568"/>
      <c r="CC247" s="27"/>
      <c r="CD247" s="27"/>
      <c r="CE247" s="27"/>
      <c r="CF247" s="27"/>
      <c r="CG247" s="568"/>
      <c r="CH247" s="27"/>
      <c r="CI247" s="27"/>
      <c r="CJ247" s="27"/>
      <c r="CK247" s="27"/>
      <c r="CL247" s="568"/>
      <c r="CM247" s="27"/>
      <c r="CN247" s="27"/>
      <c r="CO247" s="27"/>
      <c r="CP247" s="27"/>
      <c r="CQ247" s="568"/>
    </row>
    <row r="248" spans="5:95" hidden="1" x14ac:dyDescent="0.25">
      <c r="E248" s="29" t="s">
        <v>302</v>
      </c>
      <c r="F248" s="588"/>
      <c r="G248" s="588"/>
      <c r="H248" s="588"/>
      <c r="I248" s="588"/>
      <c r="J248" s="588"/>
      <c r="K248" s="367"/>
      <c r="L248" s="367"/>
      <c r="M248" s="367"/>
      <c r="N248" s="367"/>
      <c r="O248" s="588"/>
      <c r="P248" s="367"/>
      <c r="Q248" s="367"/>
      <c r="R248" s="367"/>
      <c r="S248" s="367"/>
      <c r="T248" s="588"/>
      <c r="U248" s="367"/>
      <c r="V248" s="367"/>
      <c r="W248" s="367"/>
      <c r="X248" s="367"/>
      <c r="Y248" s="588"/>
      <c r="Z248" s="368"/>
      <c r="AA248" s="368"/>
      <c r="AB248" s="368"/>
      <c r="AC248" s="368"/>
      <c r="AD248" s="588"/>
      <c r="AE248" s="125">
        <v>-35.594999999999999</v>
      </c>
      <c r="AF248" s="125">
        <v>-29.347999999999999</v>
      </c>
      <c r="AG248" s="125">
        <v>42.61</v>
      </c>
      <c r="AH248" s="125">
        <v>-96.837000000000003</v>
      </c>
      <c r="AI248" s="579">
        <f>SUM(AE248:AH248)</f>
        <v>-119.17</v>
      </c>
      <c r="AJ248" s="125">
        <v>0.54500000000000004</v>
      </c>
      <c r="AK248" s="125">
        <v>2.37</v>
      </c>
      <c r="AL248" s="125">
        <v>-43.174999999999997</v>
      </c>
      <c r="AM248" s="125">
        <v>1.694</v>
      </c>
      <c r="AN248" s="579">
        <f>SUM(AJ248:AM248)</f>
        <v>-38.565999999999995</v>
      </c>
      <c r="AO248" s="125">
        <v>-0.34699999999999998</v>
      </c>
      <c r="AP248" s="125">
        <v>2.7E-2</v>
      </c>
      <c r="AQ248" s="125">
        <v>-0.53800000000000003</v>
      </c>
      <c r="AR248" s="125">
        <v>1.802</v>
      </c>
      <c r="AS248" s="579">
        <f>SUM(AO248:AR248)</f>
        <v>0.94400000000000006</v>
      </c>
      <c r="AT248" s="125">
        <v>5.7000000000000002E-2</v>
      </c>
      <c r="AU248" s="125">
        <v>-7.8E-2</v>
      </c>
      <c r="AV248" s="373">
        <v>3.64</v>
      </c>
      <c r="AW248" s="373">
        <v>-87.893000000000001</v>
      </c>
      <c r="AX248" s="579">
        <f>SUM(AT248:AW248)</f>
        <v>-84.274000000000001</v>
      </c>
      <c r="AY248" s="125">
        <v>-0.24399999999999999</v>
      </c>
      <c r="AZ248" s="125">
        <v>-2.4649999999999999</v>
      </c>
      <c r="BA248" s="167"/>
      <c r="BB248" s="167"/>
      <c r="BC248" s="579"/>
      <c r="BD248" s="167"/>
      <c r="BE248" s="167"/>
      <c r="BF248" s="167"/>
      <c r="BG248" s="167"/>
      <c r="BH248" s="579"/>
      <c r="BI248" s="167"/>
      <c r="BJ248" s="167"/>
      <c r="BK248" s="167"/>
      <c r="BL248" s="167"/>
      <c r="BM248" s="579"/>
      <c r="BN248" s="167"/>
      <c r="BO248" s="167"/>
      <c r="BP248" s="167"/>
      <c r="BQ248" s="167"/>
      <c r="BR248" s="579"/>
      <c r="BS248" s="167"/>
      <c r="BT248" s="167"/>
      <c r="BU248" s="167"/>
      <c r="BV248" s="167"/>
      <c r="BW248" s="579"/>
      <c r="BX248" s="167"/>
      <c r="BY248" s="167"/>
      <c r="BZ248" s="167"/>
      <c r="CA248" s="167"/>
      <c r="CB248" s="579"/>
      <c r="CC248" s="167"/>
      <c r="CD248" s="167"/>
      <c r="CE248" s="167"/>
      <c r="CF248" s="167"/>
      <c r="CG248" s="579"/>
      <c r="CH248" s="167"/>
      <c r="CI248" s="167"/>
      <c r="CJ248" s="167"/>
      <c r="CK248" s="167"/>
      <c r="CL248" s="579"/>
      <c r="CM248" s="167"/>
      <c r="CN248" s="167"/>
      <c r="CO248" s="167"/>
      <c r="CP248" s="167"/>
      <c r="CQ248" s="579"/>
    </row>
    <row r="249" spans="5:95" ht="13.5" hidden="1" x14ac:dyDescent="0.25">
      <c r="E249" s="380" t="s">
        <v>301</v>
      </c>
      <c r="F249" s="578"/>
      <c r="G249" s="578"/>
      <c r="H249" s="578"/>
      <c r="I249" s="578"/>
      <c r="J249" s="578"/>
      <c r="K249" s="202"/>
      <c r="L249" s="202"/>
      <c r="M249" s="202"/>
      <c r="N249" s="202"/>
      <c r="O249" s="578"/>
      <c r="P249" s="202"/>
      <c r="Q249" s="202"/>
      <c r="R249" s="202"/>
      <c r="S249" s="202"/>
      <c r="T249" s="578"/>
      <c r="U249" s="202"/>
      <c r="V249" s="202"/>
      <c r="W249" s="202"/>
      <c r="X249" s="202"/>
      <c r="Y249" s="578"/>
      <c r="Z249" s="381"/>
      <c r="AA249" s="381"/>
      <c r="AB249" s="381"/>
      <c r="AC249" s="381"/>
      <c r="AD249" s="578"/>
      <c r="AE249" s="203">
        <f>SUM(AE246:AE248)</f>
        <v>0.6390000000000029</v>
      </c>
      <c r="AF249" s="203">
        <f>SUM(AF246:AF248)</f>
        <v>18.185000000000002</v>
      </c>
      <c r="AG249" s="203">
        <f>SUM(AG246:AG248)</f>
        <v>97.38</v>
      </c>
      <c r="AH249" s="203">
        <f>SUM(AH246:AH248)</f>
        <v>-75.957000000000008</v>
      </c>
      <c r="AI249" s="536">
        <f>SUM(AE249:AH249)</f>
        <v>40.247</v>
      </c>
      <c r="AJ249" s="203">
        <f>SUM(AJ246:AJ248)</f>
        <v>25.558</v>
      </c>
      <c r="AK249" s="203">
        <f>SUM(AK246:AK248)</f>
        <v>34.292999999999999</v>
      </c>
      <c r="AL249" s="203">
        <f>SUM(AL246:AL248)</f>
        <v>-8.5989999999999966</v>
      </c>
      <c r="AM249" s="203">
        <f>SUM(AM246:AM248)</f>
        <v>41.609000000000002</v>
      </c>
      <c r="AN249" s="536">
        <f>SUM(AJ249:AM249)</f>
        <v>92.861000000000004</v>
      </c>
      <c r="AO249" s="203">
        <f>SUM(AO246:AO248)</f>
        <v>12.496</v>
      </c>
      <c r="AP249" s="203">
        <f>SUM(AP246:AP248)</f>
        <v>21.247</v>
      </c>
      <c r="AQ249" s="203">
        <f>SUM(AQ246:AQ248)</f>
        <v>29.859000000000002</v>
      </c>
      <c r="AR249" s="203">
        <f>SUM(AR246:AR248)</f>
        <v>35.210999999999999</v>
      </c>
      <c r="AS249" s="536">
        <f>SUM(AO249:AR249)</f>
        <v>98.813000000000002</v>
      </c>
      <c r="AT249" s="203">
        <f>SUM(AT246:AT248)</f>
        <v>22.076000000000001</v>
      </c>
      <c r="AU249" s="203">
        <f>SUM(AU246:AU248)</f>
        <v>27.310000000000002</v>
      </c>
      <c r="AV249" s="203">
        <f>SUM(AV246:AV248)</f>
        <v>34.575000000000003</v>
      </c>
      <c r="AW249" s="203">
        <f>SUM(AW246:AW248)</f>
        <v>-53.036999999999999</v>
      </c>
      <c r="AX249" s="536">
        <f>SUM(AT249:AW249)</f>
        <v>30.924000000000014</v>
      </c>
      <c r="AY249" s="203">
        <f>SUM(AY246:AY248)</f>
        <v>22.23</v>
      </c>
      <c r="AZ249" s="203">
        <f>SUM(AZ246:AZ248)</f>
        <v>28.946999999999999</v>
      </c>
      <c r="BA249" s="203"/>
      <c r="BB249" s="203"/>
      <c r="BC249" s="536"/>
      <c r="BD249" s="203"/>
      <c r="BE249" s="203"/>
      <c r="BF249" s="203"/>
      <c r="BG249" s="203"/>
      <c r="BH249" s="536"/>
      <c r="BI249" s="203"/>
      <c r="BJ249" s="203"/>
      <c r="BK249" s="203"/>
      <c r="BL249" s="203"/>
      <c r="BM249" s="536"/>
      <c r="BN249" s="203"/>
      <c r="BO249" s="203"/>
      <c r="BP249" s="203"/>
      <c r="BQ249" s="203"/>
      <c r="BR249" s="536"/>
      <c r="BS249" s="203"/>
      <c r="BT249" s="203"/>
      <c r="BU249" s="203"/>
      <c r="BV249" s="203"/>
      <c r="BW249" s="536"/>
      <c r="BX249" s="203"/>
      <c r="BY249" s="203"/>
      <c r="BZ249" s="203"/>
      <c r="CA249" s="203"/>
      <c r="CB249" s="536"/>
      <c r="CC249" s="203"/>
      <c r="CD249" s="203"/>
      <c r="CE249" s="203"/>
      <c r="CF249" s="203"/>
      <c r="CG249" s="536"/>
      <c r="CH249" s="203"/>
      <c r="CI249" s="203"/>
      <c r="CJ249" s="203"/>
      <c r="CK249" s="203"/>
      <c r="CL249" s="536"/>
      <c r="CM249" s="203"/>
      <c r="CN249" s="203"/>
      <c r="CO249" s="203"/>
      <c r="CP249" s="203"/>
      <c r="CQ249" s="642"/>
    </row>
    <row r="250" spans="5:95" ht="13.5" hidden="1" x14ac:dyDescent="0.25">
      <c r="E250" s="358"/>
      <c r="F250" s="578"/>
      <c r="G250" s="578"/>
      <c r="H250" s="578"/>
      <c r="I250" s="578"/>
      <c r="J250" s="578"/>
      <c r="K250" s="192"/>
      <c r="L250" s="192"/>
      <c r="M250" s="192"/>
      <c r="N250" s="192"/>
      <c r="O250" s="578"/>
      <c r="P250" s="192"/>
      <c r="Q250" s="192"/>
      <c r="R250" s="192"/>
      <c r="S250" s="192"/>
      <c r="T250" s="578"/>
      <c r="U250" s="192"/>
      <c r="V250" s="192"/>
      <c r="W250" s="192"/>
      <c r="X250" s="192"/>
      <c r="Y250" s="578"/>
      <c r="Z250" s="195"/>
      <c r="AA250" s="195"/>
      <c r="AB250" s="195"/>
      <c r="AC250" s="195"/>
      <c r="AD250" s="578"/>
      <c r="AE250" s="195"/>
      <c r="AF250" s="195"/>
      <c r="AG250" s="195"/>
      <c r="AH250" s="195"/>
      <c r="AI250" s="578"/>
      <c r="AJ250" s="195"/>
      <c r="AK250" s="195"/>
      <c r="AL250" s="366"/>
      <c r="AM250" s="195"/>
      <c r="AN250" s="578"/>
      <c r="AO250" s="195"/>
      <c r="AP250" s="195"/>
      <c r="AQ250" s="366"/>
      <c r="AR250" s="195"/>
      <c r="AS250" s="578"/>
      <c r="AT250" s="194"/>
      <c r="AU250" s="194"/>
      <c r="AV250" s="194"/>
      <c r="AW250" s="194"/>
      <c r="AX250" s="578"/>
      <c r="AY250" s="194"/>
      <c r="AZ250" s="194"/>
      <c r="BA250" s="194"/>
      <c r="BB250" s="194"/>
      <c r="BC250" s="578"/>
      <c r="BD250" s="194"/>
      <c r="BE250" s="194"/>
      <c r="BF250" s="194"/>
      <c r="BG250" s="194"/>
      <c r="BH250" s="578"/>
      <c r="BI250" s="194"/>
      <c r="BJ250" s="194"/>
      <c r="BK250" s="194"/>
      <c r="BL250" s="194"/>
      <c r="BM250" s="578"/>
      <c r="BN250" s="194"/>
      <c r="BO250" s="194"/>
      <c r="BP250" s="194"/>
      <c r="BQ250" s="194"/>
      <c r="BR250" s="578"/>
      <c r="BS250" s="194"/>
      <c r="BT250" s="194"/>
      <c r="BU250" s="194"/>
      <c r="BV250" s="194"/>
      <c r="BW250" s="578"/>
      <c r="BX250" s="194"/>
      <c r="BY250" s="194"/>
      <c r="BZ250" s="194"/>
      <c r="CA250" s="194"/>
      <c r="CB250" s="578"/>
      <c r="CC250" s="194"/>
      <c r="CD250" s="194"/>
      <c r="CE250" s="194"/>
      <c r="CF250" s="194"/>
      <c r="CG250" s="578"/>
      <c r="CH250" s="194"/>
      <c r="CI250" s="194"/>
      <c r="CJ250" s="194"/>
      <c r="CK250" s="194"/>
      <c r="CL250" s="578"/>
      <c r="CM250" s="194"/>
      <c r="CN250" s="194"/>
      <c r="CO250" s="194"/>
      <c r="CP250" s="194"/>
      <c r="CQ250" s="578"/>
    </row>
    <row r="251" spans="5:95" hidden="1" x14ac:dyDescent="0.25">
      <c r="E251" s="190" t="s">
        <v>307</v>
      </c>
      <c r="F251" s="578"/>
      <c r="G251" s="578"/>
      <c r="H251" s="578"/>
      <c r="I251" s="578"/>
      <c r="J251" s="578"/>
      <c r="K251" s="192"/>
      <c r="L251" s="192"/>
      <c r="M251" s="192"/>
      <c r="N251" s="192"/>
      <c r="O251" s="578"/>
      <c r="P251" s="192"/>
      <c r="Q251" s="192"/>
      <c r="R251" s="192"/>
      <c r="S251" s="192"/>
      <c r="T251" s="578"/>
      <c r="U251" s="192"/>
      <c r="V251" s="192"/>
      <c r="W251" s="192"/>
      <c r="X251" s="192"/>
      <c r="Y251" s="578"/>
      <c r="Z251" s="195"/>
      <c r="AA251" s="195"/>
      <c r="AB251" s="195"/>
      <c r="AC251" s="195"/>
      <c r="AD251" s="578"/>
      <c r="AE251" s="195"/>
      <c r="AF251" s="195"/>
      <c r="AG251" s="195"/>
      <c r="AH251" s="195"/>
      <c r="AI251" s="578"/>
      <c r="AJ251" s="195"/>
      <c r="AK251" s="195"/>
      <c r="AL251" s="195"/>
      <c r="AM251" s="195"/>
      <c r="AN251" s="578"/>
      <c r="AO251" s="195"/>
      <c r="AP251" s="195"/>
      <c r="AQ251" s="195"/>
      <c r="AR251" s="195"/>
      <c r="AS251" s="578"/>
      <c r="AT251" s="194"/>
      <c r="AU251" s="194"/>
      <c r="AV251" s="194"/>
      <c r="AW251" s="194"/>
      <c r="AX251" s="578"/>
      <c r="AY251" s="194"/>
      <c r="AZ251" s="194"/>
      <c r="BA251" s="194"/>
      <c r="BB251" s="194"/>
      <c r="BC251" s="578"/>
      <c r="BD251" s="194"/>
      <c r="BE251" s="194"/>
      <c r="BF251" s="194"/>
      <c r="BG251" s="194"/>
      <c r="BH251" s="578"/>
      <c r="BI251" s="194"/>
      <c r="BJ251" s="194"/>
      <c r="BK251" s="194"/>
      <c r="BL251" s="194"/>
      <c r="BM251" s="578"/>
      <c r="BN251" s="194"/>
      <c r="BO251" s="194"/>
      <c r="BP251" s="194"/>
      <c r="BQ251" s="194"/>
      <c r="BR251" s="578"/>
      <c r="BS251" s="194"/>
      <c r="BT251" s="194"/>
      <c r="BU251" s="194"/>
      <c r="BV251" s="194"/>
      <c r="BW251" s="578"/>
      <c r="BX251" s="194"/>
      <c r="BY251" s="194"/>
      <c r="BZ251" s="194"/>
      <c r="CA251" s="194"/>
      <c r="CB251" s="578"/>
      <c r="CC251" s="194"/>
      <c r="CD251" s="194"/>
      <c r="CE251" s="194"/>
      <c r="CF251" s="194"/>
      <c r="CG251" s="578"/>
      <c r="CH251" s="194"/>
      <c r="CI251" s="194"/>
      <c r="CJ251" s="194"/>
      <c r="CK251" s="194"/>
      <c r="CL251" s="578"/>
      <c r="CM251" s="194"/>
      <c r="CN251" s="194"/>
      <c r="CO251" s="194"/>
      <c r="CP251" s="194"/>
      <c r="CQ251" s="578"/>
    </row>
    <row r="252" spans="5:95" ht="13.5" hidden="1" x14ac:dyDescent="0.25">
      <c r="E252" s="27" t="s">
        <v>308</v>
      </c>
      <c r="F252" s="578"/>
      <c r="G252" s="578"/>
      <c r="H252" s="578"/>
      <c r="I252" s="578"/>
      <c r="J252" s="578"/>
      <c r="K252" s="192"/>
      <c r="L252" s="192"/>
      <c r="M252" s="192"/>
      <c r="N252" s="192"/>
      <c r="O252" s="578"/>
      <c r="P252" s="192"/>
      <c r="Q252" s="192"/>
      <c r="R252" s="192"/>
      <c r="S252" s="192"/>
      <c r="T252" s="578"/>
      <c r="U252" s="192"/>
      <c r="V252" s="192"/>
      <c r="W252" s="192"/>
      <c r="X252" s="192"/>
      <c r="Y252" s="578"/>
      <c r="Z252" s="195"/>
      <c r="AA252" s="195"/>
      <c r="AB252" s="195"/>
      <c r="AC252" s="195"/>
      <c r="AD252" s="578"/>
      <c r="AE252" s="183">
        <f t="shared" ref="AE252:AZ252" si="51">AE246/AE209</f>
        <v>0.14172684615128622</v>
      </c>
      <c r="AF252" s="183">
        <f t="shared" si="51"/>
        <v>0.1463435537254166</v>
      </c>
      <c r="AG252" s="183">
        <f t="shared" si="51"/>
        <v>0.17463191713741488</v>
      </c>
      <c r="AH252" s="183">
        <f t="shared" si="51"/>
        <v>4.2636629119733004E-3</v>
      </c>
      <c r="AI252" s="525">
        <f t="shared" si="51"/>
        <v>0.11721736368689104</v>
      </c>
      <c r="AJ252" s="183">
        <f t="shared" si="51"/>
        <v>0.10832083482963308</v>
      </c>
      <c r="AK252" s="183">
        <f t="shared" si="51"/>
        <v>0.12211639305665548</v>
      </c>
      <c r="AL252" s="183">
        <f t="shared" si="51"/>
        <v>0.13137612137945359</v>
      </c>
      <c r="AM252" s="183">
        <f t="shared" si="51"/>
        <v>0.15018388651575026</v>
      </c>
      <c r="AN252" s="525">
        <f t="shared" si="51"/>
        <v>0.1275691053200067</v>
      </c>
      <c r="AO252" s="183">
        <f t="shared" si="51"/>
        <v>7.9457772693978704E-2</v>
      </c>
      <c r="AP252" s="183">
        <f t="shared" si="51"/>
        <v>9.5003639165988779E-2</v>
      </c>
      <c r="AQ252" s="183">
        <f t="shared" si="51"/>
        <v>0.12624805349454979</v>
      </c>
      <c r="AR252" s="183">
        <f t="shared" si="51"/>
        <v>0.12475118820327416</v>
      </c>
      <c r="AS252" s="525">
        <f t="shared" si="51"/>
        <v>0.10714571619623464</v>
      </c>
      <c r="AT252" s="183">
        <f t="shared" si="51"/>
        <v>9.9114195655476231E-2</v>
      </c>
      <c r="AU252" s="183">
        <f t="shared" si="51"/>
        <v>0.10174480459607065</v>
      </c>
      <c r="AV252" s="183">
        <f t="shared" si="51"/>
        <v>0.11336008041306198</v>
      </c>
      <c r="AW252" s="183">
        <f t="shared" si="51"/>
        <v>9.4323910294091456E-2</v>
      </c>
      <c r="AX252" s="525">
        <f t="shared" si="51"/>
        <v>0.10228582555388688</v>
      </c>
      <c r="AY252" s="183">
        <f t="shared" si="51"/>
        <v>8.9413308274675973E-2</v>
      </c>
      <c r="AZ252" s="183">
        <f t="shared" si="51"/>
        <v>0.10063081225206477</v>
      </c>
      <c r="BA252" s="357"/>
      <c r="BB252" s="357"/>
      <c r="BC252" s="525"/>
      <c r="BD252" s="432"/>
      <c r="BE252" s="432"/>
      <c r="BF252" s="432"/>
      <c r="BG252" s="432"/>
      <c r="BH252" s="525"/>
      <c r="BI252" s="379"/>
      <c r="BJ252" s="379"/>
      <c r="BK252" s="379"/>
      <c r="BL252" s="379"/>
      <c r="BM252" s="525"/>
      <c r="BN252" s="379"/>
      <c r="BO252" s="379"/>
      <c r="BP252" s="379"/>
      <c r="BQ252" s="379"/>
      <c r="BR252" s="525"/>
      <c r="BS252" s="379"/>
      <c r="BT252" s="379"/>
      <c r="BU252" s="379"/>
      <c r="BV252" s="379"/>
      <c r="BW252" s="525"/>
      <c r="BX252" s="379"/>
      <c r="BY252" s="379"/>
      <c r="BZ252" s="379"/>
      <c r="CA252" s="379"/>
      <c r="CB252" s="525"/>
      <c r="CC252" s="379"/>
      <c r="CD252" s="379"/>
      <c r="CE252" s="379"/>
      <c r="CF252" s="379"/>
      <c r="CG252" s="525"/>
      <c r="CH252" s="379"/>
      <c r="CI252" s="379"/>
      <c r="CJ252" s="379"/>
      <c r="CK252" s="379"/>
      <c r="CL252" s="525"/>
      <c r="CM252" s="379"/>
      <c r="CN252" s="379"/>
      <c r="CO252" s="379"/>
      <c r="CP252" s="379"/>
      <c r="CQ252" s="641"/>
    </row>
    <row r="253" spans="5:95" ht="13.5" hidden="1" x14ac:dyDescent="0.25">
      <c r="E253" s="27" t="s">
        <v>309</v>
      </c>
      <c r="F253" s="578"/>
      <c r="G253" s="578"/>
      <c r="H253" s="578"/>
      <c r="I253" s="578"/>
      <c r="J253" s="578"/>
      <c r="K253" s="192"/>
      <c r="L253" s="192"/>
      <c r="M253" s="192"/>
      <c r="N253" s="192"/>
      <c r="O253" s="578"/>
      <c r="P253" s="192"/>
      <c r="Q253" s="192"/>
      <c r="R253" s="192"/>
      <c r="S253" s="192"/>
      <c r="T253" s="578"/>
      <c r="U253" s="192"/>
      <c r="V253" s="192"/>
      <c r="W253" s="192"/>
      <c r="X253" s="192"/>
      <c r="Y253" s="578"/>
      <c r="Z253" s="195"/>
      <c r="AA253" s="195"/>
      <c r="AB253" s="195"/>
      <c r="AC253" s="195"/>
      <c r="AD253" s="578"/>
      <c r="AE253" s="183">
        <f t="shared" ref="AE253:AZ253" si="52">AE247/AE215</f>
        <v>2.2953636623991008E-2</v>
      </c>
      <c r="AF253" s="183">
        <f t="shared" si="52"/>
        <v>0.11244353261864169</v>
      </c>
      <c r="AG253" s="183">
        <f t="shared" si="52"/>
        <v>0.11352991622138664</v>
      </c>
      <c r="AH253" s="183">
        <f t="shared" si="52"/>
        <v>0.18036822075079251</v>
      </c>
      <c r="AI253" s="525">
        <f t="shared" si="52"/>
        <v>0.11049033816425119</v>
      </c>
      <c r="AJ253" s="183">
        <f t="shared" si="52"/>
        <v>-6.6329017355739681E-3</v>
      </c>
      <c r="AK253" s="183">
        <f t="shared" si="52"/>
        <v>3.5623623203608519E-2</v>
      </c>
      <c r="AL253" s="183">
        <f t="shared" si="52"/>
        <v>4.6877604774447371E-2</v>
      </c>
      <c r="AM253" s="183">
        <f t="shared" si="52"/>
        <v>9.1903320108582168E-2</v>
      </c>
      <c r="AN253" s="525">
        <f t="shared" si="52"/>
        <v>3.9299719887955178E-2</v>
      </c>
      <c r="AO253" s="183">
        <f t="shared" si="52"/>
        <v>-5.2863824905127525E-2</v>
      </c>
      <c r="AP253" s="183">
        <f t="shared" si="52"/>
        <v>2.0511725678250017E-2</v>
      </c>
      <c r="AQ253" s="183">
        <f t="shared" si="52"/>
        <v>4.325843554768051E-2</v>
      </c>
      <c r="AR253" s="183">
        <f t="shared" si="52"/>
        <v>8.6391471649523113E-2</v>
      </c>
      <c r="AS253" s="525">
        <f t="shared" si="52"/>
        <v>2.7445627154197509E-2</v>
      </c>
      <c r="AT253" s="183">
        <f t="shared" si="52"/>
        <v>1.9083011098277508E-2</v>
      </c>
      <c r="AU253" s="183">
        <f t="shared" si="52"/>
        <v>6.7125671483695248E-2</v>
      </c>
      <c r="AV253" s="183">
        <f t="shared" si="52"/>
        <v>6.8539630836047777E-2</v>
      </c>
      <c r="AW253" s="183">
        <f t="shared" si="52"/>
        <v>0.18419989224137934</v>
      </c>
      <c r="AX253" s="525">
        <f t="shared" si="52"/>
        <v>8.9332372285791523E-2</v>
      </c>
      <c r="AY253" s="183">
        <f t="shared" si="52"/>
        <v>3.6349281541133746E-2</v>
      </c>
      <c r="AZ253" s="183">
        <f t="shared" si="52"/>
        <v>0.11820579714322778</v>
      </c>
      <c r="BA253" s="357"/>
      <c r="BB253" s="357"/>
      <c r="BC253" s="525"/>
      <c r="BD253" s="432"/>
      <c r="BE253" s="432"/>
      <c r="BF253" s="432"/>
      <c r="BG253" s="432"/>
      <c r="BH253" s="525"/>
      <c r="BI253" s="379"/>
      <c r="BJ253" s="379"/>
      <c r="BK253" s="379"/>
      <c r="BL253" s="379"/>
      <c r="BM253" s="525"/>
      <c r="BN253" s="379"/>
      <c r="BO253" s="379"/>
      <c r="BP253" s="379"/>
      <c r="BQ253" s="379"/>
      <c r="BR253" s="525"/>
      <c r="BS253" s="379"/>
      <c r="BT253" s="379"/>
      <c r="BU253" s="379"/>
      <c r="BV253" s="379"/>
      <c r="BW253" s="525"/>
      <c r="BX253" s="379"/>
      <c r="BY253" s="379"/>
      <c r="BZ253" s="379"/>
      <c r="CA253" s="379"/>
      <c r="CB253" s="525"/>
      <c r="CC253" s="379"/>
      <c r="CD253" s="379"/>
      <c r="CE253" s="379"/>
      <c r="CF253" s="379"/>
      <c r="CG253" s="525"/>
      <c r="CH253" s="379"/>
      <c r="CI253" s="379"/>
      <c r="CJ253" s="379"/>
      <c r="CK253" s="379"/>
      <c r="CL253" s="525"/>
      <c r="CM253" s="379"/>
      <c r="CN253" s="379"/>
      <c r="CO253" s="379"/>
      <c r="CP253" s="379"/>
      <c r="CQ253" s="641"/>
    </row>
    <row r="254" spans="5:95" ht="13.5" hidden="1" x14ac:dyDescent="0.25">
      <c r="E254" s="358" t="s">
        <v>310</v>
      </c>
      <c r="F254" s="578"/>
      <c r="G254" s="578"/>
      <c r="H254" s="578"/>
      <c r="I254" s="578"/>
      <c r="J254" s="578"/>
      <c r="K254" s="192"/>
      <c r="L254" s="192"/>
      <c r="M254" s="192"/>
      <c r="N254" s="192"/>
      <c r="O254" s="578"/>
      <c r="P254" s="192"/>
      <c r="Q254" s="192"/>
      <c r="R254" s="192"/>
      <c r="S254" s="192"/>
      <c r="T254" s="578"/>
      <c r="U254" s="192"/>
      <c r="V254" s="192"/>
      <c r="W254" s="192"/>
      <c r="X254" s="192"/>
      <c r="Y254" s="578"/>
      <c r="Z254" s="195"/>
      <c r="AA254" s="195"/>
      <c r="AB254" s="195"/>
      <c r="AC254" s="195"/>
      <c r="AD254" s="578"/>
      <c r="AE254" s="183">
        <f t="shared" ref="AE254:AZ254" si="53">AE249/AE219</f>
        <v>1.9093492376049258E-3</v>
      </c>
      <c r="AF254" s="183">
        <f t="shared" si="53"/>
        <v>5.2127824247392901E-2</v>
      </c>
      <c r="AG254" s="183">
        <f t="shared" si="53"/>
        <v>0.27762651849275427</v>
      </c>
      <c r="AH254" s="183">
        <f t="shared" si="53"/>
        <v>-0.21714594464789583</v>
      </c>
      <c r="AI254" s="525">
        <f t="shared" si="53"/>
        <v>2.9085014789296783E-2</v>
      </c>
      <c r="AJ254" s="183">
        <f t="shared" si="53"/>
        <v>7.7197476085334657E-2</v>
      </c>
      <c r="AK254" s="183">
        <f t="shared" si="53"/>
        <v>0.10425463997446303</v>
      </c>
      <c r="AL254" s="183">
        <f t="shared" si="53"/>
        <v>-2.6783489484700478E-2</v>
      </c>
      <c r="AM254" s="183">
        <f t="shared" si="53"/>
        <v>0.14080451018412299</v>
      </c>
      <c r="AN254" s="525">
        <f t="shared" si="53"/>
        <v>7.2703172880740213E-2</v>
      </c>
      <c r="AO254" s="183">
        <f t="shared" si="53"/>
        <v>4.8816123071634222E-2</v>
      </c>
      <c r="AP254" s="183">
        <f t="shared" si="53"/>
        <v>7.8371848545766398E-2</v>
      </c>
      <c r="AQ254" s="183">
        <f t="shared" si="53"/>
        <v>0.10520882148784209</v>
      </c>
      <c r="AR254" s="183">
        <f t="shared" si="53"/>
        <v>0.12211540462367605</v>
      </c>
      <c r="AS254" s="525">
        <f t="shared" si="53"/>
        <v>8.9892516158965097E-2</v>
      </c>
      <c r="AT254" s="183">
        <f t="shared" si="53"/>
        <v>8.1643521514820919E-2</v>
      </c>
      <c r="AU254" s="183">
        <f t="shared" si="53"/>
        <v>9.3633536645992554E-2</v>
      </c>
      <c r="AV254" s="183">
        <f t="shared" si="53"/>
        <v>0.1155929256795159</v>
      </c>
      <c r="AW254" s="183">
        <f t="shared" si="53"/>
        <v>-0.17750237620316203</v>
      </c>
      <c r="AX254" s="525">
        <f t="shared" si="53"/>
        <v>2.6659310154572975E-2</v>
      </c>
      <c r="AY254" s="183">
        <f t="shared" si="53"/>
        <v>7.6937985837596118E-2</v>
      </c>
      <c r="AZ254" s="183">
        <f t="shared" si="53"/>
        <v>9.6479065705886671E-2</v>
      </c>
      <c r="BA254" s="183"/>
      <c r="BB254" s="183"/>
      <c r="BC254" s="525"/>
      <c r="BD254" s="183"/>
      <c r="BE254" s="183"/>
      <c r="BF254" s="183"/>
      <c r="BG254" s="183"/>
      <c r="BH254" s="525"/>
      <c r="BI254" s="183"/>
      <c r="BJ254" s="183"/>
      <c r="BK254" s="183"/>
      <c r="BL254" s="183"/>
      <c r="BM254" s="525"/>
      <c r="BN254" s="183"/>
      <c r="BO254" s="183"/>
      <c r="BP254" s="183"/>
      <c r="BQ254" s="183"/>
      <c r="BR254" s="525"/>
      <c r="BS254" s="183"/>
      <c r="BT254" s="183"/>
      <c r="BU254" s="183"/>
      <c r="BV254" s="183"/>
      <c r="BW254" s="525"/>
      <c r="BX254" s="183"/>
      <c r="BY254" s="183"/>
      <c r="BZ254" s="183"/>
      <c r="CA254" s="183"/>
      <c r="CB254" s="525"/>
      <c r="CC254" s="183"/>
      <c r="CD254" s="183"/>
      <c r="CE254" s="183"/>
      <c r="CF254" s="183"/>
      <c r="CG254" s="525"/>
      <c r="CH254" s="183"/>
      <c r="CI254" s="183"/>
      <c r="CJ254" s="183"/>
      <c r="CK254" s="183"/>
      <c r="CL254" s="525"/>
      <c r="CM254" s="183"/>
      <c r="CN254" s="183"/>
      <c r="CO254" s="183"/>
      <c r="CP254" s="183"/>
      <c r="CQ254" s="641"/>
    </row>
    <row r="255" spans="5:95" ht="13.5" hidden="1" x14ac:dyDescent="0.25">
      <c r="E255" s="358"/>
      <c r="F255" s="578"/>
      <c r="G255" s="578"/>
      <c r="H255" s="578"/>
      <c r="I255" s="578"/>
      <c r="J255" s="578"/>
      <c r="K255" s="192"/>
      <c r="L255" s="192"/>
      <c r="M255" s="192"/>
      <c r="N255" s="192"/>
      <c r="O255" s="578"/>
      <c r="P255" s="192"/>
      <c r="Q255" s="192"/>
      <c r="R255" s="192"/>
      <c r="S255" s="192"/>
      <c r="T255" s="578"/>
      <c r="U255" s="192"/>
      <c r="V255" s="192"/>
      <c r="W255" s="192"/>
      <c r="X255" s="192"/>
      <c r="Y255" s="578"/>
      <c r="Z255" s="195"/>
      <c r="AA255" s="195"/>
      <c r="AB255" s="195"/>
      <c r="AC255" s="195"/>
      <c r="AD255" s="578"/>
      <c r="AE255" s="183"/>
      <c r="AF255" s="183"/>
      <c r="AG255" s="183"/>
      <c r="AH255" s="183"/>
      <c r="AI255" s="525"/>
      <c r="AJ255" s="183"/>
      <c r="AK255" s="183"/>
      <c r="AL255" s="183"/>
      <c r="AM255" s="183"/>
      <c r="AN255" s="525"/>
      <c r="AO255" s="183"/>
      <c r="AP255" s="183"/>
      <c r="AQ255" s="183"/>
      <c r="AR255" s="183"/>
      <c r="AS255" s="525"/>
      <c r="AT255" s="183"/>
      <c r="AU255" s="183"/>
      <c r="AV255" s="183"/>
      <c r="AW255" s="183"/>
      <c r="AX255" s="525"/>
      <c r="AY255" s="183"/>
      <c r="AZ255" s="183"/>
      <c r="BA255" s="183"/>
      <c r="BB255" s="183"/>
      <c r="BC255" s="525"/>
      <c r="BD255" s="183"/>
      <c r="BE255" s="183"/>
      <c r="BF255" s="183"/>
      <c r="BG255" s="183"/>
      <c r="BH255" s="525"/>
      <c r="BI255" s="183"/>
      <c r="BJ255" s="183"/>
      <c r="BK255" s="183"/>
      <c r="BL255" s="183"/>
      <c r="BM255" s="525"/>
      <c r="BN255" s="183"/>
      <c r="BO255" s="183"/>
      <c r="BP255" s="183"/>
      <c r="BQ255" s="183"/>
      <c r="BR255" s="525"/>
      <c r="BS255" s="183"/>
      <c r="BT255" s="183"/>
      <c r="BU255" s="183"/>
      <c r="BV255" s="183"/>
      <c r="BW255" s="525"/>
      <c r="BX255" s="183"/>
      <c r="BY255" s="183"/>
      <c r="BZ255" s="183"/>
      <c r="CA255" s="183"/>
      <c r="CB255" s="525"/>
      <c r="CC255" s="183"/>
      <c r="CD255" s="183"/>
      <c r="CE255" s="183"/>
      <c r="CF255" s="183"/>
      <c r="CG255" s="525"/>
      <c r="CH255" s="183"/>
      <c r="CI255" s="183"/>
      <c r="CJ255" s="183"/>
      <c r="CK255" s="183"/>
      <c r="CL255" s="525"/>
      <c r="CM255" s="183"/>
      <c r="CN255" s="183"/>
      <c r="CO255" s="183"/>
      <c r="CP255" s="183"/>
      <c r="CQ255" s="641"/>
    </row>
    <row r="256" spans="5:95" ht="13.5" hidden="1" x14ac:dyDescent="0.25">
      <c r="E256" s="190" t="s">
        <v>409</v>
      </c>
      <c r="F256" s="578"/>
      <c r="G256" s="578"/>
      <c r="H256" s="578"/>
      <c r="I256" s="578"/>
      <c r="J256" s="578"/>
      <c r="K256" s="192"/>
      <c r="L256" s="192"/>
      <c r="M256" s="192"/>
      <c r="N256" s="192"/>
      <c r="O256" s="578"/>
      <c r="P256" s="192"/>
      <c r="Q256" s="192"/>
      <c r="R256" s="192"/>
      <c r="S256" s="192"/>
      <c r="T256" s="578"/>
      <c r="U256" s="192"/>
      <c r="V256" s="192"/>
      <c r="W256" s="192"/>
      <c r="X256" s="192"/>
      <c r="Y256" s="578"/>
      <c r="Z256" s="195"/>
      <c r="AA256" s="195"/>
      <c r="AB256" s="195"/>
      <c r="AC256" s="195"/>
      <c r="AD256" s="578"/>
      <c r="AE256" s="183"/>
      <c r="AF256" s="183"/>
      <c r="AG256" s="183"/>
      <c r="AH256" s="183"/>
      <c r="AI256" s="525"/>
      <c r="AJ256" s="183"/>
      <c r="AK256" s="183"/>
      <c r="AL256" s="183"/>
      <c r="AM256" s="183"/>
      <c r="AN256" s="525"/>
      <c r="AO256" s="183"/>
      <c r="AP256" s="183"/>
      <c r="AQ256" s="183"/>
      <c r="AR256" s="183"/>
      <c r="AS256" s="525"/>
      <c r="AT256" s="183"/>
      <c r="AU256" s="183"/>
      <c r="AV256" s="183"/>
      <c r="AW256" s="183"/>
      <c r="AX256" s="525"/>
      <c r="AY256" s="183"/>
      <c r="AZ256" s="183"/>
      <c r="BA256" s="183"/>
      <c r="BB256" s="183"/>
      <c r="BC256" s="525"/>
      <c r="BD256" s="183"/>
      <c r="BE256" s="183"/>
      <c r="BF256" s="183"/>
      <c r="BG256" s="183"/>
      <c r="BH256" s="525"/>
      <c r="BI256" s="183"/>
      <c r="BJ256" s="183"/>
      <c r="BK256" s="183"/>
      <c r="BL256" s="183"/>
      <c r="BM256" s="525"/>
      <c r="BN256" s="183"/>
      <c r="BO256" s="183"/>
      <c r="BP256" s="183"/>
      <c r="BQ256" s="183"/>
      <c r="BR256" s="525"/>
      <c r="BS256" s="183"/>
      <c r="BT256" s="183"/>
      <c r="BU256" s="183"/>
      <c r="BV256" s="183"/>
      <c r="BW256" s="525"/>
      <c r="BX256" s="183"/>
      <c r="BY256" s="183"/>
      <c r="BZ256" s="183"/>
      <c r="CA256" s="183"/>
      <c r="CB256" s="525"/>
      <c r="CC256" s="183"/>
      <c r="CD256" s="183"/>
      <c r="CE256" s="183"/>
      <c r="CF256" s="183"/>
      <c r="CG256" s="525"/>
      <c r="CH256" s="183"/>
      <c r="CI256" s="183"/>
      <c r="CJ256" s="183"/>
      <c r="CK256" s="183"/>
      <c r="CL256" s="525"/>
      <c r="CM256" s="183"/>
      <c r="CN256" s="183"/>
      <c r="CO256" s="183"/>
      <c r="CP256" s="183"/>
      <c r="CQ256" s="641"/>
    </row>
    <row r="257" spans="5:95" ht="13.5" hidden="1" x14ac:dyDescent="0.25">
      <c r="E257" s="27" t="s">
        <v>410</v>
      </c>
      <c r="F257" s="578"/>
      <c r="G257" s="578"/>
      <c r="H257" s="578"/>
      <c r="I257" s="578"/>
      <c r="J257" s="578"/>
      <c r="K257" s="192"/>
      <c r="L257" s="192"/>
      <c r="M257" s="192"/>
      <c r="N257" s="192"/>
      <c r="O257" s="578"/>
      <c r="P257" s="192"/>
      <c r="Q257" s="192"/>
      <c r="R257" s="192"/>
      <c r="S257" s="192"/>
      <c r="T257" s="578"/>
      <c r="U257" s="192"/>
      <c r="V257" s="192"/>
      <c r="W257" s="192"/>
      <c r="X257" s="192"/>
      <c r="Y257" s="578"/>
      <c r="Z257" s="195"/>
      <c r="AA257" s="195"/>
      <c r="AB257" s="195"/>
      <c r="AC257" s="195"/>
      <c r="AD257" s="578"/>
      <c r="AE257" s="183"/>
      <c r="AF257" s="183"/>
      <c r="AG257" s="183"/>
      <c r="AH257" s="183"/>
      <c r="AI257" s="525"/>
      <c r="AJ257" s="183"/>
      <c r="AK257" s="183"/>
      <c r="AL257" s="183"/>
      <c r="AM257" s="183"/>
      <c r="AN257" s="525"/>
      <c r="AO257" s="183"/>
      <c r="AP257" s="183"/>
      <c r="AQ257" s="183"/>
      <c r="AR257" s="183"/>
      <c r="AS257" s="525">
        <f t="shared" ref="AS257:AZ257" si="54">((AS246-AN246)/(AS209-AN209))</f>
        <v>0.37249752929549662</v>
      </c>
      <c r="AT257" s="183">
        <f t="shared" si="54"/>
        <v>0.44492497793468638</v>
      </c>
      <c r="AU257" s="183">
        <f t="shared" si="54"/>
        <v>0.19393663392102009</v>
      </c>
      <c r="AV257" s="183">
        <f t="shared" si="54"/>
        <v>-8.1269885184672902E-2</v>
      </c>
      <c r="AW257" s="183">
        <f t="shared" si="54"/>
        <v>-2.1505161505161396</v>
      </c>
      <c r="AX257" s="525">
        <f t="shared" si="54"/>
        <v>8.8084778769079684E-3</v>
      </c>
      <c r="AY257" s="183">
        <f t="shared" si="54"/>
        <v>-4.7297297297297321E-2</v>
      </c>
      <c r="AZ257" s="183">
        <f t="shared" si="54"/>
        <v>5.1074738710312935E-2</v>
      </c>
      <c r="BA257" s="183"/>
      <c r="BB257" s="183"/>
      <c r="BC257" s="525"/>
      <c r="BD257" s="183"/>
      <c r="BE257" s="183"/>
      <c r="BF257" s="183"/>
      <c r="BG257" s="183"/>
      <c r="BH257" s="525"/>
      <c r="BI257" s="183"/>
      <c r="BJ257" s="183"/>
      <c r="BK257" s="183"/>
      <c r="BL257" s="183"/>
      <c r="BM257" s="525"/>
      <c r="BN257" s="183"/>
      <c r="BO257" s="183"/>
      <c r="BP257" s="183"/>
      <c r="BQ257" s="183"/>
      <c r="BR257" s="525"/>
      <c r="BS257" s="183"/>
      <c r="BT257" s="183"/>
      <c r="BU257" s="183"/>
      <c r="BV257" s="183"/>
      <c r="BW257" s="525"/>
      <c r="BX257" s="183"/>
      <c r="BY257" s="183"/>
      <c r="BZ257" s="183"/>
      <c r="CA257" s="183"/>
      <c r="CB257" s="525"/>
      <c r="CC257" s="183"/>
      <c r="CD257" s="183"/>
      <c r="CE257" s="183"/>
      <c r="CF257" s="183"/>
      <c r="CG257" s="525"/>
      <c r="CH257" s="183"/>
      <c r="CI257" s="183"/>
      <c r="CJ257" s="183"/>
      <c r="CK257" s="183"/>
      <c r="CL257" s="525"/>
      <c r="CM257" s="183"/>
      <c r="CN257" s="183"/>
      <c r="CO257" s="183"/>
      <c r="CP257" s="183"/>
      <c r="CQ257" s="641"/>
    </row>
    <row r="258" spans="5:95" ht="13.5" hidden="1" x14ac:dyDescent="0.25">
      <c r="E258" s="27" t="s">
        <v>411</v>
      </c>
      <c r="F258" s="578"/>
      <c r="G258" s="578"/>
      <c r="H258" s="578"/>
      <c r="I258" s="578"/>
      <c r="J258" s="578"/>
      <c r="K258" s="192"/>
      <c r="L258" s="192"/>
      <c r="M258" s="192"/>
      <c r="N258" s="192"/>
      <c r="O258" s="578"/>
      <c r="P258" s="192"/>
      <c r="Q258" s="192"/>
      <c r="R258" s="192"/>
      <c r="S258" s="192"/>
      <c r="T258" s="578"/>
      <c r="U258" s="192"/>
      <c r="V258" s="192"/>
      <c r="W258" s="192"/>
      <c r="X258" s="192"/>
      <c r="Y258" s="578"/>
      <c r="Z258" s="195"/>
      <c r="AA258" s="195"/>
      <c r="AB258" s="195"/>
      <c r="AC258" s="195"/>
      <c r="AD258" s="578"/>
      <c r="AE258" s="183"/>
      <c r="AF258" s="183"/>
      <c r="AG258" s="183"/>
      <c r="AH258" s="183"/>
      <c r="AI258" s="525"/>
      <c r="AJ258" s="183"/>
      <c r="AK258" s="183"/>
      <c r="AL258" s="183"/>
      <c r="AM258" s="183"/>
      <c r="AN258" s="525"/>
      <c r="AO258" s="183"/>
      <c r="AP258" s="183"/>
      <c r="AQ258" s="183"/>
      <c r="AR258" s="183"/>
      <c r="AS258" s="525">
        <f t="shared" ref="AS258:AZ258" si="55">((AS247-AN247)/(AS215-AN215))</f>
        <v>6.6923514650596552E-2</v>
      </c>
      <c r="AT258" s="183">
        <f t="shared" si="55"/>
        <v>1.3407911802853454</v>
      </c>
      <c r="AU258" s="183">
        <f t="shared" si="55"/>
        <v>0.61371076449066153</v>
      </c>
      <c r="AV258" s="183">
        <f t="shared" si="55"/>
        <v>2.0272189349112453</v>
      </c>
      <c r="AW258" s="183">
        <f t="shared" si="55"/>
        <v>1.0609314186015311</v>
      </c>
      <c r="AX258" s="525">
        <f t="shared" si="55"/>
        <v>1.0221444518192251</v>
      </c>
      <c r="AY258" s="183">
        <f t="shared" si="55"/>
        <v>0.32358674463937614</v>
      </c>
      <c r="AZ258" s="183">
        <f t="shared" si="55"/>
        <v>1.1429872495446229</v>
      </c>
      <c r="BA258" s="183"/>
      <c r="BB258" s="183"/>
      <c r="BC258" s="525"/>
      <c r="BD258" s="183"/>
      <c r="BE258" s="183"/>
      <c r="BF258" s="183"/>
      <c r="BG258" s="183"/>
      <c r="BH258" s="525"/>
      <c r="BI258" s="183"/>
      <c r="BJ258" s="183"/>
      <c r="BK258" s="183"/>
      <c r="BL258" s="183"/>
      <c r="BM258" s="525"/>
      <c r="BN258" s="183"/>
      <c r="BO258" s="183"/>
      <c r="BP258" s="183"/>
      <c r="BQ258" s="183"/>
      <c r="BR258" s="525"/>
      <c r="BS258" s="183"/>
      <c r="BT258" s="183"/>
      <c r="BU258" s="183"/>
      <c r="BV258" s="183"/>
      <c r="BW258" s="525"/>
      <c r="BX258" s="183"/>
      <c r="BY258" s="183"/>
      <c r="BZ258" s="183"/>
      <c r="CA258" s="183"/>
      <c r="CB258" s="525"/>
      <c r="CC258" s="183"/>
      <c r="CD258" s="183"/>
      <c r="CE258" s="183"/>
      <c r="CF258" s="183"/>
      <c r="CG258" s="525"/>
      <c r="CH258" s="183"/>
      <c r="CI258" s="183"/>
      <c r="CJ258" s="183"/>
      <c r="CK258" s="183"/>
      <c r="CL258" s="525"/>
      <c r="CM258" s="183"/>
      <c r="CN258" s="183"/>
      <c r="CO258" s="183"/>
      <c r="CP258" s="183"/>
      <c r="CQ258" s="641"/>
    </row>
    <row r="259" spans="5:95" ht="13.5" hidden="1" x14ac:dyDescent="0.25">
      <c r="E259" s="358" t="s">
        <v>412</v>
      </c>
      <c r="F259" s="578"/>
      <c r="G259" s="578"/>
      <c r="H259" s="578"/>
      <c r="I259" s="578"/>
      <c r="J259" s="578"/>
      <c r="K259" s="192"/>
      <c r="L259" s="192"/>
      <c r="M259" s="192"/>
      <c r="N259" s="192"/>
      <c r="O259" s="578"/>
      <c r="P259" s="192"/>
      <c r="Q259" s="192"/>
      <c r="R259" s="192"/>
      <c r="S259" s="192"/>
      <c r="T259" s="578"/>
      <c r="U259" s="192"/>
      <c r="V259" s="192"/>
      <c r="W259" s="192"/>
      <c r="X259" s="192"/>
      <c r="Y259" s="578"/>
      <c r="Z259" s="195"/>
      <c r="AA259" s="195"/>
      <c r="AB259" s="195"/>
      <c r="AC259" s="195"/>
      <c r="AD259" s="578"/>
      <c r="AE259" s="195"/>
      <c r="AF259" s="195"/>
      <c r="AG259" s="195"/>
      <c r="AH259" s="195"/>
      <c r="AI259" s="578"/>
      <c r="AJ259" s="195"/>
      <c r="AK259" s="195"/>
      <c r="AL259" s="195"/>
      <c r="AM259" s="195"/>
      <c r="AN259" s="578"/>
      <c r="AO259" s="195"/>
      <c r="AP259" s="195"/>
      <c r="AQ259" s="195"/>
      <c r="AR259" s="195"/>
      <c r="AS259" s="525">
        <f t="shared" ref="AS259:AZ259" si="56">((AS249-AN249)/(AS219-AN219))</f>
        <v>-3.3433130929578121E-2</v>
      </c>
      <c r="AT259" s="183">
        <f t="shared" si="56"/>
        <v>0.66463160815873512</v>
      </c>
      <c r="AU259" s="183">
        <f t="shared" si="56"/>
        <v>0.29483563509044997</v>
      </c>
      <c r="AV259" s="183">
        <f t="shared" si="56"/>
        <v>0.30817486767300539</v>
      </c>
      <c r="AW259" s="183">
        <f t="shared" si="56"/>
        <v>-8.4415534723550714</v>
      </c>
      <c r="AX259" s="525">
        <f t="shared" si="56"/>
        <v>-1.1177904009220399</v>
      </c>
      <c r="AY259" s="183">
        <f t="shared" si="56"/>
        <v>8.306812665192273E-3</v>
      </c>
      <c r="AZ259" s="183">
        <f t="shared" si="56"/>
        <v>0.19569635385534909</v>
      </c>
      <c r="BA259" s="183"/>
      <c r="BB259" s="183"/>
      <c r="BC259" s="525"/>
      <c r="BD259" s="183"/>
      <c r="BE259" s="183"/>
      <c r="BF259" s="183"/>
      <c r="BG259" s="183"/>
      <c r="BH259" s="525"/>
      <c r="BI259" s="194"/>
      <c r="BJ259" s="194"/>
      <c r="BK259" s="194"/>
      <c r="BL259" s="194"/>
      <c r="BM259" s="525"/>
      <c r="BN259" s="194"/>
      <c r="BO259" s="194"/>
      <c r="BP259" s="194"/>
      <c r="BQ259" s="194"/>
      <c r="BR259" s="578"/>
      <c r="BS259" s="194"/>
      <c r="BT259" s="194"/>
      <c r="BU259" s="194"/>
      <c r="BV259" s="194"/>
      <c r="BW259" s="578"/>
      <c r="BX259" s="194"/>
      <c r="BY259" s="194"/>
      <c r="BZ259" s="194"/>
      <c r="CA259" s="194"/>
      <c r="CB259" s="578"/>
      <c r="CC259" s="194"/>
      <c r="CD259" s="194"/>
      <c r="CE259" s="194"/>
      <c r="CF259" s="194"/>
      <c r="CG259" s="578"/>
      <c r="CH259" s="194"/>
      <c r="CI259" s="194"/>
      <c r="CJ259" s="194"/>
      <c r="CK259" s="194"/>
      <c r="CL259" s="578"/>
      <c r="CM259" s="194"/>
      <c r="CN259" s="194"/>
      <c r="CO259" s="194"/>
      <c r="CP259" s="194"/>
      <c r="CQ259" s="578"/>
    </row>
    <row r="260" spans="5:95" ht="13.5" hidden="1" x14ac:dyDescent="0.25">
      <c r="E260" s="358"/>
      <c r="F260" s="578"/>
      <c r="G260" s="578"/>
      <c r="H260" s="578"/>
      <c r="I260" s="578"/>
      <c r="J260" s="578"/>
      <c r="K260" s="192"/>
      <c r="L260" s="192"/>
      <c r="M260" s="192"/>
      <c r="N260" s="192"/>
      <c r="O260" s="578"/>
      <c r="P260" s="192"/>
      <c r="Q260" s="192"/>
      <c r="R260" s="192"/>
      <c r="S260" s="192"/>
      <c r="T260" s="578"/>
      <c r="U260" s="192"/>
      <c r="V260" s="192"/>
      <c r="W260" s="192"/>
      <c r="X260" s="192"/>
      <c r="Y260" s="578"/>
      <c r="Z260" s="195"/>
      <c r="AA260" s="195"/>
      <c r="AB260" s="195"/>
      <c r="AC260" s="195"/>
      <c r="AD260" s="578"/>
      <c r="AE260" s="195"/>
      <c r="AF260" s="195"/>
      <c r="AG260" s="195"/>
      <c r="AH260" s="195"/>
      <c r="AI260" s="578"/>
      <c r="AJ260" s="195"/>
      <c r="AK260" s="195"/>
      <c r="AL260" s="195"/>
      <c r="AM260" s="195"/>
      <c r="AN260" s="578"/>
      <c r="AO260" s="195"/>
      <c r="AP260" s="195"/>
      <c r="AQ260" s="195"/>
      <c r="AR260" s="195"/>
      <c r="AS260" s="578"/>
      <c r="AT260" s="194"/>
      <c r="AU260" s="194"/>
      <c r="AV260" s="194"/>
      <c r="AW260" s="194"/>
      <c r="AX260" s="578"/>
      <c r="AY260" s="194"/>
      <c r="AZ260" s="194"/>
      <c r="BA260" s="194"/>
      <c r="BB260" s="194"/>
      <c r="BC260" s="578"/>
      <c r="BD260" s="194"/>
      <c r="BE260" s="194"/>
      <c r="BF260" s="194"/>
      <c r="BG260" s="194"/>
      <c r="BH260" s="578"/>
      <c r="BI260" s="194"/>
      <c r="BJ260" s="194"/>
      <c r="BK260" s="194"/>
      <c r="BL260" s="194"/>
      <c r="BM260" s="578"/>
      <c r="BN260" s="194"/>
      <c r="BO260" s="194"/>
      <c r="BP260" s="194"/>
      <c r="BQ260" s="194"/>
      <c r="BR260" s="578"/>
      <c r="BS260" s="194"/>
      <c r="BT260" s="194"/>
      <c r="BU260" s="194"/>
      <c r="BV260" s="194"/>
      <c r="BW260" s="578"/>
      <c r="BX260" s="194"/>
      <c r="BY260" s="194"/>
      <c r="BZ260" s="194"/>
      <c r="CA260" s="194"/>
      <c r="CB260" s="578"/>
      <c r="CC260" s="194"/>
      <c r="CD260" s="194"/>
      <c r="CE260" s="194"/>
      <c r="CF260" s="194"/>
      <c r="CG260" s="578"/>
      <c r="CH260" s="194"/>
      <c r="CI260" s="194"/>
      <c r="CJ260" s="194"/>
      <c r="CK260" s="194"/>
      <c r="CL260" s="578"/>
      <c r="CM260" s="194"/>
      <c r="CN260" s="194"/>
      <c r="CO260" s="194"/>
      <c r="CP260" s="194"/>
      <c r="CQ260" s="578"/>
    </row>
    <row r="261" spans="5:95" ht="13.5" hidden="1" x14ac:dyDescent="0.25">
      <c r="E261" s="352" t="s">
        <v>413</v>
      </c>
      <c r="F261" s="578"/>
      <c r="G261" s="578"/>
      <c r="H261" s="578"/>
      <c r="I261" s="578"/>
      <c r="J261" s="578"/>
      <c r="K261" s="192"/>
      <c r="L261" s="192"/>
      <c r="M261" s="192"/>
      <c r="N261" s="192"/>
      <c r="O261" s="578"/>
      <c r="P261" s="192"/>
      <c r="Q261" s="192"/>
      <c r="R261" s="192"/>
      <c r="S261" s="192"/>
      <c r="T261" s="578"/>
      <c r="U261" s="192"/>
      <c r="V261" s="192"/>
      <c r="W261" s="192"/>
      <c r="X261" s="192"/>
      <c r="Y261" s="578"/>
      <c r="Z261" s="195"/>
      <c r="AA261" s="195"/>
      <c r="AB261" s="195"/>
      <c r="AC261" s="195"/>
      <c r="AD261" s="578"/>
      <c r="AE261" s="195"/>
      <c r="AF261" s="195"/>
      <c r="AG261" s="195"/>
      <c r="AH261" s="195"/>
      <c r="AI261" s="578"/>
      <c r="AJ261" s="195"/>
      <c r="AK261" s="195"/>
      <c r="AL261" s="195"/>
      <c r="AM261" s="195"/>
      <c r="AN261" s="578"/>
      <c r="AO261" s="195"/>
      <c r="AP261" s="195"/>
      <c r="AQ261" s="195"/>
      <c r="AR261" s="195"/>
      <c r="AS261" s="578"/>
      <c r="AT261" s="194"/>
      <c r="AU261" s="194"/>
      <c r="AV261" s="194"/>
      <c r="AW261" s="194"/>
      <c r="AX261" s="578"/>
      <c r="AY261" s="194"/>
      <c r="AZ261" s="194"/>
      <c r="BA261" s="194"/>
      <c r="BB261" s="194"/>
      <c r="BC261" s="578"/>
      <c r="BD261" s="194"/>
      <c r="BE261" s="194"/>
      <c r="BF261" s="194"/>
      <c r="BG261" s="194"/>
      <c r="BH261" s="578"/>
      <c r="BI261" s="194"/>
      <c r="BJ261" s="194"/>
      <c r="BK261" s="194"/>
      <c r="BL261" s="194"/>
      <c r="BM261" s="578"/>
      <c r="BN261" s="194"/>
      <c r="BO261" s="194"/>
      <c r="BP261" s="194"/>
      <c r="BQ261" s="194"/>
      <c r="BR261" s="578"/>
      <c r="BS261" s="194"/>
      <c r="BT261" s="194"/>
      <c r="BU261" s="194"/>
      <c r="BV261" s="194"/>
      <c r="BW261" s="578"/>
      <c r="BX261" s="194"/>
      <c r="BY261" s="194"/>
      <c r="BZ261" s="194"/>
      <c r="CA261" s="194"/>
      <c r="CB261" s="578"/>
      <c r="CC261" s="194"/>
      <c r="CD261" s="194"/>
      <c r="CE261" s="194"/>
      <c r="CF261" s="194"/>
      <c r="CG261" s="578"/>
      <c r="CH261" s="194"/>
      <c r="CI261" s="194"/>
      <c r="CJ261" s="194"/>
      <c r="CK261" s="194"/>
      <c r="CL261" s="578"/>
      <c r="CM261" s="194"/>
      <c r="CN261" s="194"/>
      <c r="CO261" s="194"/>
      <c r="CP261" s="194"/>
      <c r="CQ261" s="578"/>
    </row>
    <row r="262" spans="5:95" ht="13.5" hidden="1" x14ac:dyDescent="0.25">
      <c r="E262" s="193" t="s">
        <v>271</v>
      </c>
      <c r="F262" s="578"/>
      <c r="G262" s="578"/>
      <c r="H262" s="578"/>
      <c r="I262" s="578"/>
      <c r="J262" s="578"/>
      <c r="K262" s="192"/>
      <c r="L262" s="192"/>
      <c r="M262" s="192"/>
      <c r="N262" s="192"/>
      <c r="O262" s="578"/>
      <c r="P262" s="192"/>
      <c r="Q262" s="192"/>
      <c r="R262" s="192"/>
      <c r="S262" s="192"/>
      <c r="T262" s="578"/>
      <c r="U262" s="192"/>
      <c r="V262" s="192"/>
      <c r="W262" s="192"/>
      <c r="X262" s="192"/>
      <c r="Y262" s="578"/>
      <c r="Z262" s="195"/>
      <c r="AA262" s="195"/>
      <c r="AB262" s="195"/>
      <c r="AC262" s="195"/>
      <c r="AD262" s="578"/>
      <c r="AE262" s="195"/>
      <c r="AF262" s="195"/>
      <c r="AG262" s="195"/>
      <c r="AH262" s="195"/>
      <c r="AI262" s="560"/>
      <c r="AJ262" s="362"/>
      <c r="AK262" s="362"/>
      <c r="AL262" s="362"/>
      <c r="AM262" s="362"/>
      <c r="AN262" s="560"/>
      <c r="AO262" s="365"/>
      <c r="AP262" s="365"/>
      <c r="AQ262" s="365"/>
      <c r="AR262" s="365"/>
      <c r="AS262" s="560"/>
      <c r="AT262" s="201"/>
      <c r="AU262" s="194"/>
      <c r="AV262" s="194"/>
      <c r="AW262" s="194"/>
      <c r="AX262" s="578"/>
      <c r="AY262" s="194"/>
      <c r="AZ262" s="194"/>
      <c r="BA262" s="194"/>
      <c r="BB262" s="194"/>
      <c r="BC262" s="578"/>
      <c r="BD262" s="194"/>
      <c r="BE262" s="194"/>
      <c r="BF262" s="194"/>
      <c r="BG262" s="194"/>
      <c r="BH262" s="578"/>
      <c r="BI262" s="194"/>
      <c r="BJ262" s="194"/>
      <c r="BK262" s="194"/>
      <c r="BL262" s="194"/>
      <c r="BM262" s="578"/>
      <c r="BN262" s="194"/>
      <c r="BO262" s="194"/>
      <c r="BP262" s="194"/>
      <c r="BQ262" s="194"/>
      <c r="BR262" s="578"/>
      <c r="BS262" s="194"/>
      <c r="BT262" s="194"/>
      <c r="BU262" s="194"/>
      <c r="BV262" s="194"/>
      <c r="BW262" s="578"/>
      <c r="BX262" s="194"/>
      <c r="BY262" s="194"/>
      <c r="BZ262" s="194"/>
      <c r="CA262" s="194"/>
      <c r="CB262" s="578"/>
      <c r="CC262" s="194"/>
      <c r="CD262" s="194"/>
      <c r="CE262" s="194"/>
      <c r="CF262" s="194"/>
      <c r="CG262" s="578"/>
      <c r="CH262" s="194"/>
      <c r="CI262" s="194"/>
      <c r="CJ262" s="194"/>
      <c r="CK262" s="194"/>
      <c r="CL262" s="578"/>
      <c r="CM262" s="194"/>
      <c r="CN262" s="194"/>
      <c r="CO262" s="194"/>
      <c r="CP262" s="194"/>
      <c r="CQ262" s="578"/>
    </row>
    <row r="263" spans="5:95" ht="13.5" hidden="1" x14ac:dyDescent="0.25">
      <c r="E263" s="193" t="s">
        <v>272</v>
      </c>
      <c r="F263" s="578"/>
      <c r="G263" s="578"/>
      <c r="H263" s="578"/>
      <c r="I263" s="578"/>
      <c r="J263" s="578"/>
      <c r="K263" s="192"/>
      <c r="L263" s="192"/>
      <c r="M263" s="192"/>
      <c r="N263" s="192"/>
      <c r="O263" s="578"/>
      <c r="P263" s="192"/>
      <c r="Q263" s="192"/>
      <c r="R263" s="192"/>
      <c r="S263" s="192"/>
      <c r="T263" s="578"/>
      <c r="U263" s="192"/>
      <c r="V263" s="192"/>
      <c r="W263" s="192"/>
      <c r="X263" s="192"/>
      <c r="Y263" s="578"/>
      <c r="Z263" s="195"/>
      <c r="AA263" s="195"/>
      <c r="AB263" s="195"/>
      <c r="AC263" s="195"/>
      <c r="AD263" s="578"/>
      <c r="AE263" s="195"/>
      <c r="AF263" s="195"/>
      <c r="AG263" s="195"/>
      <c r="AH263" s="195"/>
      <c r="AI263" s="560"/>
      <c r="AJ263" s="362"/>
      <c r="AK263" s="362"/>
      <c r="AL263" s="362"/>
      <c r="AM263" s="362"/>
      <c r="AN263" s="560"/>
      <c r="AO263" s="365"/>
      <c r="AP263" s="365"/>
      <c r="AQ263" s="365"/>
      <c r="AR263" s="365"/>
      <c r="AS263" s="560"/>
      <c r="AT263" s="194"/>
      <c r="AU263" s="194"/>
      <c r="AV263" s="194"/>
      <c r="AW263" s="194"/>
      <c r="AX263" s="578"/>
      <c r="AY263" s="194"/>
      <c r="AZ263" s="194"/>
      <c r="BA263" s="194"/>
      <c r="BB263" s="194"/>
      <c r="BC263" s="578"/>
      <c r="BD263" s="194"/>
      <c r="BE263" s="194"/>
      <c r="BF263" s="194"/>
      <c r="BG263" s="194"/>
      <c r="BH263" s="578"/>
      <c r="BI263" s="194"/>
      <c r="BJ263" s="194"/>
      <c r="BK263" s="194"/>
      <c r="BL263" s="194"/>
      <c r="BM263" s="578"/>
      <c r="BN263" s="194"/>
      <c r="BO263" s="194"/>
      <c r="BP263" s="194"/>
      <c r="BQ263" s="194"/>
      <c r="BR263" s="578"/>
      <c r="BS263" s="194"/>
      <c r="BT263" s="194"/>
      <c r="BU263" s="194"/>
      <c r="BV263" s="194"/>
      <c r="BW263" s="578"/>
      <c r="BX263" s="194"/>
      <c r="BY263" s="194"/>
      <c r="BZ263" s="194"/>
      <c r="CA263" s="194"/>
      <c r="CB263" s="578"/>
      <c r="CC263" s="194"/>
      <c r="CD263" s="194"/>
      <c r="CE263" s="194"/>
      <c r="CF263" s="194"/>
      <c r="CG263" s="578"/>
      <c r="CH263" s="194"/>
      <c r="CI263" s="194"/>
      <c r="CJ263" s="194"/>
      <c r="CK263" s="194"/>
      <c r="CL263" s="578"/>
      <c r="CM263" s="194"/>
      <c r="CN263" s="194"/>
      <c r="CO263" s="194"/>
      <c r="CP263" s="194"/>
      <c r="CQ263" s="578"/>
    </row>
    <row r="264" spans="5:95" ht="13.5" hidden="1" x14ac:dyDescent="0.25">
      <c r="E264" s="193" t="s">
        <v>273</v>
      </c>
      <c r="F264" s="578"/>
      <c r="G264" s="578"/>
      <c r="H264" s="578"/>
      <c r="I264" s="578"/>
      <c r="J264" s="578"/>
      <c r="K264" s="192"/>
      <c r="L264" s="192"/>
      <c r="M264" s="192"/>
      <c r="N264" s="192"/>
      <c r="O264" s="578"/>
      <c r="P264" s="192"/>
      <c r="Q264" s="192"/>
      <c r="R264" s="192"/>
      <c r="S264" s="192"/>
      <c r="T264" s="578"/>
      <c r="U264" s="192"/>
      <c r="V264" s="192"/>
      <c r="W264" s="192"/>
      <c r="X264" s="192"/>
      <c r="Y264" s="578"/>
      <c r="Z264" s="195"/>
      <c r="AA264" s="195"/>
      <c r="AB264" s="195"/>
      <c r="AC264" s="195"/>
      <c r="AD264" s="578"/>
      <c r="AE264" s="195"/>
      <c r="AF264" s="195"/>
      <c r="AG264" s="195"/>
      <c r="AH264" s="195"/>
      <c r="AI264" s="560"/>
      <c r="AJ264" s="362"/>
      <c r="AK264" s="362"/>
      <c r="AL264" s="362"/>
      <c r="AM264" s="362"/>
      <c r="AN264" s="560"/>
      <c r="AO264" s="365"/>
      <c r="AP264" s="365"/>
      <c r="AQ264" s="365"/>
      <c r="AR264" s="365"/>
      <c r="AS264" s="560"/>
      <c r="AT264" s="194"/>
      <c r="AU264" s="194"/>
      <c r="AV264" s="194"/>
      <c r="AW264" s="194"/>
      <c r="AX264" s="578"/>
      <c r="AY264" s="194"/>
      <c r="AZ264" s="194"/>
      <c r="BA264" s="194"/>
      <c r="BB264" s="194"/>
      <c r="BC264" s="578"/>
      <c r="BD264" s="194"/>
      <c r="BE264" s="194"/>
      <c r="BF264" s="194"/>
      <c r="BG264" s="194"/>
      <c r="BH264" s="578"/>
      <c r="BI264" s="194"/>
      <c r="BJ264" s="194"/>
      <c r="BK264" s="194"/>
      <c r="BL264" s="194"/>
      <c r="BM264" s="578"/>
      <c r="BN264" s="194"/>
      <c r="BO264" s="194"/>
      <c r="BP264" s="194"/>
      <c r="BQ264" s="194"/>
      <c r="BR264" s="578"/>
      <c r="BS264" s="194"/>
      <c r="BT264" s="194"/>
      <c r="BU264" s="194"/>
      <c r="BV264" s="194"/>
      <c r="BW264" s="578"/>
      <c r="BX264" s="194"/>
      <c r="BY264" s="194"/>
      <c r="BZ264" s="194"/>
      <c r="CA264" s="194"/>
      <c r="CB264" s="578"/>
      <c r="CC264" s="194"/>
      <c r="CD264" s="194"/>
      <c r="CE264" s="194"/>
      <c r="CF264" s="194"/>
      <c r="CG264" s="578"/>
      <c r="CH264" s="194"/>
      <c r="CI264" s="194"/>
      <c r="CJ264" s="194"/>
      <c r="CK264" s="194"/>
      <c r="CL264" s="578"/>
      <c r="CM264" s="194"/>
      <c r="CN264" s="194"/>
      <c r="CO264" s="194"/>
      <c r="CP264" s="194"/>
      <c r="CQ264" s="578"/>
    </row>
    <row r="265" spans="5:95" ht="13.5" hidden="1" x14ac:dyDescent="0.25">
      <c r="E265" s="193" t="s">
        <v>274</v>
      </c>
      <c r="F265" s="578"/>
      <c r="G265" s="578"/>
      <c r="H265" s="578"/>
      <c r="I265" s="578"/>
      <c r="J265" s="578"/>
      <c r="K265" s="192"/>
      <c r="L265" s="192"/>
      <c r="M265" s="192"/>
      <c r="N265" s="192"/>
      <c r="O265" s="578"/>
      <c r="P265" s="192"/>
      <c r="Q265" s="192"/>
      <c r="R265" s="192"/>
      <c r="S265" s="192"/>
      <c r="T265" s="578"/>
      <c r="U265" s="192"/>
      <c r="V265" s="192"/>
      <c r="W265" s="192"/>
      <c r="X265" s="192"/>
      <c r="Y265" s="578"/>
      <c r="Z265" s="195"/>
      <c r="AA265" s="195"/>
      <c r="AB265" s="195"/>
      <c r="AC265" s="195"/>
      <c r="AD265" s="578"/>
      <c r="AE265" s="195"/>
      <c r="AF265" s="195"/>
      <c r="AG265" s="195"/>
      <c r="AH265" s="195"/>
      <c r="AI265" s="560"/>
      <c r="AJ265" s="362"/>
      <c r="AK265" s="362"/>
      <c r="AL265" s="362"/>
      <c r="AM265" s="362"/>
      <c r="AN265" s="560"/>
      <c r="AO265" s="365"/>
      <c r="AP265" s="365"/>
      <c r="AQ265" s="365"/>
      <c r="AR265" s="365"/>
      <c r="AS265" s="560"/>
      <c r="AT265" s="194"/>
      <c r="AU265" s="194"/>
      <c r="AV265" s="194"/>
      <c r="AW265" s="194"/>
      <c r="AX265" s="578"/>
      <c r="AY265" s="194"/>
      <c r="AZ265" s="194"/>
      <c r="BA265" s="194"/>
      <c r="BB265" s="194"/>
      <c r="BC265" s="578"/>
      <c r="BD265" s="194"/>
      <c r="BE265" s="194"/>
      <c r="BF265" s="194"/>
      <c r="BG265" s="194"/>
      <c r="BH265" s="578"/>
      <c r="BI265" s="194"/>
      <c r="BJ265" s="194"/>
      <c r="BK265" s="194"/>
      <c r="BL265" s="194"/>
      <c r="BM265" s="578"/>
      <c r="BN265" s="194"/>
      <c r="BO265" s="194"/>
      <c r="BP265" s="194"/>
      <c r="BQ265" s="194"/>
      <c r="BR265" s="578"/>
      <c r="BS265" s="194"/>
      <c r="BT265" s="194"/>
      <c r="BU265" s="194"/>
      <c r="BV265" s="194"/>
      <c r="BW265" s="578"/>
      <c r="BX265" s="194"/>
      <c r="BY265" s="194"/>
      <c r="BZ265" s="194"/>
      <c r="CA265" s="194"/>
      <c r="CB265" s="578"/>
      <c r="CC265" s="194"/>
      <c r="CD265" s="194"/>
      <c r="CE265" s="194"/>
      <c r="CF265" s="194"/>
      <c r="CG265" s="578"/>
      <c r="CH265" s="194"/>
      <c r="CI265" s="194"/>
      <c r="CJ265" s="194"/>
      <c r="CK265" s="194"/>
      <c r="CL265" s="578"/>
      <c r="CM265" s="194"/>
      <c r="CN265" s="194"/>
      <c r="CO265" s="194"/>
      <c r="CP265" s="194"/>
      <c r="CQ265" s="578"/>
    </row>
    <row r="266" spans="5:95" ht="13.5" hidden="1" x14ac:dyDescent="0.25">
      <c r="E266" s="193" t="s">
        <v>278</v>
      </c>
      <c r="F266" s="578"/>
      <c r="G266" s="578"/>
      <c r="H266" s="578"/>
      <c r="I266" s="578"/>
      <c r="J266" s="578"/>
      <c r="K266" s="192"/>
      <c r="L266" s="192"/>
      <c r="M266" s="192"/>
      <c r="N266" s="192"/>
      <c r="O266" s="578"/>
      <c r="P266" s="192"/>
      <c r="Q266" s="192"/>
      <c r="R266" s="192"/>
      <c r="S266" s="192"/>
      <c r="T266" s="578"/>
      <c r="U266" s="192"/>
      <c r="V266" s="192"/>
      <c r="W266" s="192"/>
      <c r="X266" s="192"/>
      <c r="Y266" s="578"/>
      <c r="Z266" s="195"/>
      <c r="AA266" s="195"/>
      <c r="AB266" s="195"/>
      <c r="AC266" s="195"/>
      <c r="AD266" s="578"/>
      <c r="AE266" s="195"/>
      <c r="AF266" s="195"/>
      <c r="AG266" s="195"/>
      <c r="AH266" s="195"/>
      <c r="AI266" s="560"/>
      <c r="AJ266" s="362"/>
      <c r="AK266" s="362"/>
      <c r="AL266" s="362"/>
      <c r="AM266" s="362"/>
      <c r="AN266" s="560"/>
      <c r="AO266" s="365"/>
      <c r="AP266" s="365"/>
      <c r="AQ266" s="365"/>
      <c r="AR266" s="365"/>
      <c r="AS266" s="560"/>
      <c r="AT266" s="194"/>
      <c r="AU266" s="194"/>
      <c r="AV266" s="194"/>
      <c r="AW266" s="194"/>
      <c r="AX266" s="578"/>
      <c r="AY266" s="194"/>
      <c r="AZ266" s="194"/>
      <c r="BA266" s="194"/>
      <c r="BB266" s="194"/>
      <c r="BC266" s="578"/>
      <c r="BD266" s="194"/>
      <c r="BE266" s="194"/>
      <c r="BF266" s="194"/>
      <c r="BG266" s="194"/>
      <c r="BH266" s="578"/>
      <c r="BI266" s="194"/>
      <c r="BJ266" s="194"/>
      <c r="BK266" s="194"/>
      <c r="BL266" s="194"/>
      <c r="BM266" s="578"/>
      <c r="BN266" s="194"/>
      <c r="BO266" s="194"/>
      <c r="BP266" s="194"/>
      <c r="BQ266" s="194"/>
      <c r="BR266" s="578"/>
      <c r="BS266" s="194"/>
      <c r="BT266" s="194"/>
      <c r="BU266" s="194"/>
      <c r="BV266" s="194"/>
      <c r="BW266" s="578"/>
      <c r="BX266" s="194"/>
      <c r="BY266" s="194"/>
      <c r="BZ266" s="194"/>
      <c r="CA266" s="194"/>
      <c r="CB266" s="578"/>
      <c r="CC266" s="194"/>
      <c r="CD266" s="194"/>
      <c r="CE266" s="194"/>
      <c r="CF266" s="194"/>
      <c r="CG266" s="578"/>
      <c r="CH266" s="194"/>
      <c r="CI266" s="194"/>
      <c r="CJ266" s="194"/>
      <c r="CK266" s="194"/>
      <c r="CL266" s="578"/>
      <c r="CM266" s="194"/>
      <c r="CN266" s="194"/>
      <c r="CO266" s="194"/>
      <c r="CP266" s="194"/>
      <c r="CQ266" s="578"/>
    </row>
    <row r="267" spans="5:95" ht="13.5" hidden="1" x14ac:dyDescent="0.25">
      <c r="E267" s="194" t="s">
        <v>275</v>
      </c>
      <c r="F267" s="578"/>
      <c r="G267" s="578"/>
      <c r="H267" s="578"/>
      <c r="I267" s="578"/>
      <c r="J267" s="578"/>
      <c r="K267" s="192"/>
      <c r="L267" s="192"/>
      <c r="M267" s="192"/>
      <c r="N267" s="192"/>
      <c r="O267" s="578"/>
      <c r="P267" s="192"/>
      <c r="Q267" s="192"/>
      <c r="R267" s="192"/>
      <c r="S267" s="192"/>
      <c r="T267" s="578"/>
      <c r="U267" s="192"/>
      <c r="V267" s="192"/>
      <c r="W267" s="192"/>
      <c r="X267" s="192"/>
      <c r="Y267" s="578"/>
      <c r="Z267" s="195"/>
      <c r="AA267" s="195"/>
      <c r="AB267" s="195"/>
      <c r="AC267" s="195"/>
      <c r="AD267" s="578"/>
      <c r="AE267" s="195"/>
      <c r="AF267" s="195"/>
      <c r="AG267" s="195"/>
      <c r="AH267" s="195"/>
      <c r="AI267" s="560"/>
      <c r="AJ267" s="362"/>
      <c r="AK267" s="362"/>
      <c r="AL267" s="362"/>
      <c r="AM267" s="362"/>
      <c r="AN267" s="560"/>
      <c r="AO267" s="362"/>
      <c r="AP267" s="362"/>
      <c r="AQ267" s="362"/>
      <c r="AR267" s="361"/>
      <c r="AS267" s="560"/>
      <c r="AT267" s="194"/>
      <c r="AU267" s="194"/>
      <c r="AV267" s="194"/>
      <c r="AW267" s="194"/>
      <c r="AX267" s="578"/>
      <c r="AY267" s="194"/>
      <c r="AZ267" s="194"/>
      <c r="BA267" s="194"/>
      <c r="BB267" s="194"/>
      <c r="BC267" s="578"/>
      <c r="BD267" s="194"/>
      <c r="BE267" s="194"/>
      <c r="BF267" s="194"/>
      <c r="BG267" s="194"/>
      <c r="BH267" s="578"/>
      <c r="BI267" s="194"/>
      <c r="BJ267" s="194"/>
      <c r="BK267" s="194"/>
      <c r="BL267" s="194"/>
      <c r="BM267" s="578"/>
      <c r="BN267" s="194"/>
      <c r="BO267" s="194"/>
      <c r="BP267" s="194"/>
      <c r="BQ267" s="194"/>
      <c r="BR267" s="578"/>
      <c r="BS267" s="194"/>
      <c r="BT267" s="194"/>
      <c r="BU267" s="194"/>
      <c r="BV267" s="194"/>
      <c r="BW267" s="578"/>
      <c r="BX267" s="194"/>
      <c r="BY267" s="194"/>
      <c r="BZ267" s="194"/>
      <c r="CA267" s="194"/>
      <c r="CB267" s="578"/>
      <c r="CC267" s="194"/>
      <c r="CD267" s="194"/>
      <c r="CE267" s="194"/>
      <c r="CF267" s="194"/>
      <c r="CG267" s="578"/>
      <c r="CH267" s="194"/>
      <c r="CI267" s="194"/>
      <c r="CJ267" s="194"/>
      <c r="CK267" s="194"/>
      <c r="CL267" s="578"/>
      <c r="CM267" s="194"/>
      <c r="CN267" s="194"/>
      <c r="CO267" s="194"/>
      <c r="CP267" s="194"/>
      <c r="CQ267" s="578"/>
    </row>
    <row r="268" spans="5:95" ht="13.5" hidden="1" x14ac:dyDescent="0.25">
      <c r="E268" s="194" t="s">
        <v>276</v>
      </c>
      <c r="F268" s="578"/>
      <c r="G268" s="578"/>
      <c r="H268" s="578"/>
      <c r="I268" s="578"/>
      <c r="J268" s="578"/>
      <c r="K268" s="192"/>
      <c r="L268" s="192"/>
      <c r="M268" s="192"/>
      <c r="N268" s="192"/>
      <c r="O268" s="578"/>
      <c r="P268" s="192"/>
      <c r="Q268" s="192"/>
      <c r="R268" s="192"/>
      <c r="S268" s="192"/>
      <c r="T268" s="578"/>
      <c r="U268" s="192"/>
      <c r="V268" s="192"/>
      <c r="W268" s="192"/>
      <c r="X268" s="192"/>
      <c r="Y268" s="578"/>
      <c r="Z268" s="195"/>
      <c r="AA268" s="195"/>
      <c r="AB268" s="195"/>
      <c r="AC268" s="195"/>
      <c r="AD268" s="578"/>
      <c r="AE268" s="195"/>
      <c r="AF268" s="195"/>
      <c r="AG268" s="195"/>
      <c r="AH268" s="195"/>
      <c r="AI268" s="560"/>
      <c r="AJ268" s="362"/>
      <c r="AK268" s="362"/>
      <c r="AL268" s="362"/>
      <c r="AM268" s="362"/>
      <c r="AN268" s="560"/>
      <c r="AO268" s="362"/>
      <c r="AP268" s="362"/>
      <c r="AQ268" s="362"/>
      <c r="AR268" s="361"/>
      <c r="AS268" s="560"/>
      <c r="AT268" s="194"/>
      <c r="AU268" s="194"/>
      <c r="AV268" s="194"/>
      <c r="AW268" s="194"/>
      <c r="AX268" s="578"/>
      <c r="AY268" s="194"/>
      <c r="AZ268" s="194"/>
      <c r="BA268" s="194"/>
      <c r="BB268" s="194"/>
      <c r="BC268" s="578"/>
      <c r="BD268" s="194"/>
      <c r="BE268" s="194"/>
      <c r="BF268" s="194"/>
      <c r="BG268" s="194"/>
      <c r="BH268" s="578"/>
      <c r="BI268" s="194"/>
      <c r="BJ268" s="194"/>
      <c r="BK268" s="194"/>
      <c r="BL268" s="194"/>
      <c r="BM268" s="578"/>
      <c r="BN268" s="194"/>
      <c r="BO268" s="194"/>
      <c r="BP268" s="194"/>
      <c r="BQ268" s="194"/>
      <c r="BR268" s="578"/>
      <c r="BS268" s="194"/>
      <c r="BT268" s="194"/>
      <c r="BU268" s="194"/>
      <c r="BV268" s="194"/>
      <c r="BW268" s="578"/>
      <c r="BX268" s="194"/>
      <c r="BY268" s="194"/>
      <c r="BZ268" s="194"/>
      <c r="CA268" s="194"/>
      <c r="CB268" s="578"/>
      <c r="CC268" s="194"/>
      <c r="CD268" s="194"/>
      <c r="CE268" s="194"/>
      <c r="CF268" s="194"/>
      <c r="CG268" s="578"/>
      <c r="CH268" s="194"/>
      <c r="CI268" s="194"/>
      <c r="CJ268" s="194"/>
      <c r="CK268" s="194"/>
      <c r="CL268" s="578"/>
      <c r="CM268" s="194"/>
      <c r="CN268" s="194"/>
      <c r="CO268" s="194"/>
      <c r="CP268" s="194"/>
      <c r="CQ268" s="578"/>
    </row>
    <row r="269" spans="5:95" ht="13.5" hidden="1" x14ac:dyDescent="0.25">
      <c r="E269" s="194" t="s">
        <v>277</v>
      </c>
      <c r="F269" s="578"/>
      <c r="G269" s="578"/>
      <c r="H269" s="578"/>
      <c r="I269" s="578"/>
      <c r="J269" s="578"/>
      <c r="K269" s="192"/>
      <c r="L269" s="192"/>
      <c r="M269" s="192"/>
      <c r="N269" s="192"/>
      <c r="O269" s="578"/>
      <c r="P269" s="192"/>
      <c r="Q269" s="192"/>
      <c r="R269" s="192"/>
      <c r="S269" s="192"/>
      <c r="T269" s="578"/>
      <c r="U269" s="192"/>
      <c r="V269" s="192"/>
      <c r="W269" s="192"/>
      <c r="X269" s="192"/>
      <c r="Y269" s="578"/>
      <c r="Z269" s="195"/>
      <c r="AA269" s="195"/>
      <c r="AB269" s="195"/>
      <c r="AC269" s="195"/>
      <c r="AD269" s="578"/>
      <c r="AE269" s="195"/>
      <c r="AF269" s="195"/>
      <c r="AG269" s="195"/>
      <c r="AH269" s="195"/>
      <c r="AI269" s="560"/>
      <c r="AJ269" s="363"/>
      <c r="AK269" s="363"/>
      <c r="AL269" s="363"/>
      <c r="AM269" s="363"/>
      <c r="AN269" s="560"/>
      <c r="AO269" s="363"/>
      <c r="AP269" s="363"/>
      <c r="AQ269" s="363"/>
      <c r="AR269" s="363"/>
      <c r="AS269" s="560"/>
      <c r="AT269" s="194"/>
      <c r="AU269" s="194"/>
      <c r="AV269" s="194"/>
      <c r="AW269" s="194"/>
      <c r="AX269" s="578"/>
      <c r="AY269" s="194"/>
      <c r="AZ269" s="194"/>
      <c r="BA269" s="194"/>
      <c r="BB269" s="194"/>
      <c r="BC269" s="578"/>
      <c r="BD269" s="194"/>
      <c r="BE269" s="194"/>
      <c r="BF269" s="194"/>
      <c r="BG269" s="194"/>
      <c r="BH269" s="578"/>
      <c r="BI269" s="194"/>
      <c r="BJ269" s="194"/>
      <c r="BK269" s="194"/>
      <c r="BL269" s="194"/>
      <c r="BM269" s="578"/>
      <c r="BN269" s="194"/>
      <c r="BO269" s="194"/>
      <c r="BP269" s="194"/>
      <c r="BQ269" s="194"/>
      <c r="BR269" s="578"/>
      <c r="BS269" s="194"/>
      <c r="BT269" s="194"/>
      <c r="BU269" s="194"/>
      <c r="BV269" s="194"/>
      <c r="BW269" s="578"/>
      <c r="BX269" s="194"/>
      <c r="BY269" s="194"/>
      <c r="BZ269" s="194"/>
      <c r="CA269" s="194"/>
      <c r="CB269" s="578"/>
      <c r="CC269" s="194"/>
      <c r="CD269" s="194"/>
      <c r="CE269" s="194"/>
      <c r="CF269" s="194"/>
      <c r="CG269" s="578"/>
      <c r="CH269" s="194"/>
      <c r="CI269" s="194"/>
      <c r="CJ269" s="194"/>
      <c r="CK269" s="194"/>
      <c r="CL269" s="578"/>
      <c r="CM269" s="194"/>
      <c r="CN269" s="194"/>
      <c r="CO269" s="194"/>
      <c r="CP269" s="194"/>
      <c r="CQ269" s="578"/>
    </row>
    <row r="270" spans="5:95" ht="13.5" hidden="1" x14ac:dyDescent="0.25">
      <c r="E270" s="194"/>
      <c r="F270" s="578"/>
      <c r="G270" s="578"/>
      <c r="H270" s="578"/>
      <c r="I270" s="578"/>
      <c r="J270" s="578"/>
      <c r="K270" s="192"/>
      <c r="L270" s="192"/>
      <c r="M270" s="192"/>
      <c r="N270" s="192"/>
      <c r="O270" s="578"/>
      <c r="P270" s="192"/>
      <c r="Q270" s="192"/>
      <c r="R270" s="192"/>
      <c r="S270" s="192"/>
      <c r="T270" s="578"/>
      <c r="U270" s="192"/>
      <c r="V270" s="192"/>
      <c r="W270" s="192"/>
      <c r="X270" s="192"/>
      <c r="Y270" s="578"/>
      <c r="Z270" s="195"/>
      <c r="AA270" s="195"/>
      <c r="AB270" s="195"/>
      <c r="AC270" s="195"/>
      <c r="AD270" s="578"/>
      <c r="AE270" s="195"/>
      <c r="AF270" s="195"/>
      <c r="AG270" s="195"/>
      <c r="AH270" s="195"/>
      <c r="AI270" s="584"/>
      <c r="AJ270" s="195"/>
      <c r="AK270" s="195"/>
      <c r="AL270" s="195"/>
      <c r="AM270" s="195"/>
      <c r="AN270" s="584"/>
      <c r="AO270" s="195"/>
      <c r="AP270" s="195"/>
      <c r="AQ270" s="195"/>
      <c r="AR270" s="195"/>
      <c r="AS270" s="584"/>
      <c r="AT270" s="194"/>
      <c r="AU270" s="194"/>
      <c r="AV270" s="194"/>
      <c r="AW270" s="194"/>
      <c r="AX270" s="578"/>
      <c r="AY270" s="194"/>
      <c r="AZ270" s="194"/>
      <c r="BA270" s="194"/>
      <c r="BB270" s="194"/>
      <c r="BC270" s="578"/>
      <c r="BD270" s="194"/>
      <c r="BE270" s="194"/>
      <c r="BF270" s="194"/>
      <c r="BG270" s="194"/>
      <c r="BH270" s="578"/>
      <c r="BI270" s="194"/>
      <c r="BJ270" s="194"/>
      <c r="BK270" s="194"/>
      <c r="BL270" s="194"/>
      <c r="BM270" s="578"/>
      <c r="BN270" s="194"/>
      <c r="BO270" s="194"/>
      <c r="BP270" s="194"/>
      <c r="BQ270" s="194"/>
      <c r="BR270" s="578"/>
      <c r="BS270" s="194"/>
      <c r="BT270" s="194"/>
      <c r="BU270" s="194"/>
      <c r="BV270" s="194"/>
      <c r="BW270" s="578"/>
      <c r="BX270" s="194"/>
      <c r="BY270" s="194"/>
      <c r="BZ270" s="194"/>
      <c r="CA270" s="194"/>
      <c r="CB270" s="578"/>
      <c r="CC270" s="194"/>
      <c r="CD270" s="194"/>
      <c r="CE270" s="194"/>
      <c r="CF270" s="194"/>
      <c r="CG270" s="578"/>
      <c r="CH270" s="194"/>
      <c r="CI270" s="194"/>
      <c r="CJ270" s="194"/>
      <c r="CK270" s="194"/>
      <c r="CL270" s="578"/>
      <c r="CM270" s="194"/>
      <c r="CN270" s="194"/>
      <c r="CO270" s="194"/>
      <c r="CP270" s="194"/>
      <c r="CQ270" s="578"/>
    </row>
    <row r="271" spans="5:95" ht="13.5" hidden="1" x14ac:dyDescent="0.25">
      <c r="E271" s="352" t="s">
        <v>288</v>
      </c>
      <c r="F271" s="578"/>
      <c r="G271" s="578"/>
      <c r="H271" s="578"/>
      <c r="I271" s="578"/>
      <c r="J271" s="578"/>
      <c r="K271" s="192"/>
      <c r="L271" s="192"/>
      <c r="M271" s="192"/>
      <c r="N271" s="192"/>
      <c r="O271" s="578"/>
      <c r="P271" s="192"/>
      <c r="Q271" s="192"/>
      <c r="R271" s="192"/>
      <c r="S271" s="192"/>
      <c r="T271" s="578"/>
      <c r="U271" s="192"/>
      <c r="V271" s="192"/>
      <c r="W271" s="192"/>
      <c r="X271" s="192"/>
      <c r="Y271" s="578"/>
      <c r="Z271" s="195"/>
      <c r="AA271" s="195"/>
      <c r="AB271" s="195"/>
      <c r="AC271" s="195"/>
      <c r="AD271" s="578"/>
      <c r="AE271" s="195"/>
      <c r="AF271" s="195"/>
      <c r="AG271" s="195"/>
      <c r="AH271" s="195"/>
      <c r="AI271" s="584"/>
      <c r="AJ271" s="195"/>
      <c r="AK271" s="195"/>
      <c r="AL271" s="195"/>
      <c r="AM271" s="195"/>
      <c r="AN271" s="584"/>
      <c r="AO271" s="195"/>
      <c r="AP271" s="195"/>
      <c r="AQ271" s="195"/>
      <c r="AR271" s="195"/>
      <c r="AS271" s="578"/>
      <c r="AT271" s="194"/>
      <c r="AU271" s="194"/>
      <c r="AV271" s="194"/>
      <c r="AW271" s="194"/>
      <c r="AX271" s="578"/>
      <c r="AY271" s="194"/>
      <c r="AZ271" s="194"/>
      <c r="BA271" s="194"/>
      <c r="BB271" s="194"/>
      <c r="BC271" s="578"/>
      <c r="BD271" s="194"/>
      <c r="BE271" s="194"/>
      <c r="BF271" s="194"/>
      <c r="BG271" s="194"/>
      <c r="BH271" s="578"/>
      <c r="BI271" s="194"/>
      <c r="BJ271" s="194"/>
      <c r="BK271" s="194"/>
      <c r="BL271" s="194"/>
      <c r="BM271" s="578"/>
      <c r="BN271" s="194"/>
      <c r="BO271" s="194"/>
      <c r="BP271" s="194"/>
      <c r="BQ271" s="194"/>
      <c r="BR271" s="578"/>
      <c r="BS271" s="194"/>
      <c r="BT271" s="194"/>
      <c r="BU271" s="194"/>
      <c r="BV271" s="194"/>
      <c r="BW271" s="578"/>
      <c r="BX271" s="194"/>
      <c r="BY271" s="194"/>
      <c r="BZ271" s="194"/>
      <c r="CA271" s="194"/>
      <c r="CB271" s="578"/>
      <c r="CC271" s="194"/>
      <c r="CD271" s="194"/>
      <c r="CE271" s="194"/>
      <c r="CF271" s="194"/>
      <c r="CG271" s="578"/>
      <c r="CH271" s="194"/>
      <c r="CI271" s="194"/>
      <c r="CJ271" s="194"/>
      <c r="CK271" s="194"/>
      <c r="CL271" s="578"/>
      <c r="CM271" s="194"/>
      <c r="CN271" s="194"/>
      <c r="CO271" s="194"/>
      <c r="CP271" s="194"/>
      <c r="CQ271" s="578"/>
    </row>
    <row r="272" spans="5:95" hidden="1" x14ac:dyDescent="0.25">
      <c r="E272" s="194" t="s">
        <v>279</v>
      </c>
      <c r="F272" s="578"/>
      <c r="G272" s="578"/>
      <c r="H272" s="578"/>
      <c r="I272" s="578"/>
      <c r="J272" s="578"/>
      <c r="K272" s="192"/>
      <c r="L272" s="192"/>
      <c r="M272" s="192"/>
      <c r="N272" s="192"/>
      <c r="O272" s="578"/>
      <c r="P272" s="192"/>
      <c r="Q272" s="192"/>
      <c r="R272" s="192"/>
      <c r="S272" s="192"/>
      <c r="T272" s="578"/>
      <c r="U272" s="192"/>
      <c r="V272" s="192"/>
      <c r="W272" s="192"/>
      <c r="X272" s="192"/>
      <c r="Y272" s="578"/>
      <c r="Z272" s="195"/>
      <c r="AA272" s="195"/>
      <c r="AB272" s="195"/>
      <c r="AC272" s="195"/>
      <c r="AD272" s="578"/>
      <c r="AE272" s="195"/>
      <c r="AF272" s="195"/>
      <c r="AG272" s="195"/>
      <c r="AH272" s="195"/>
      <c r="AI272" s="585">
        <v>327</v>
      </c>
      <c r="AJ272" s="196"/>
      <c r="AK272" s="194"/>
      <c r="AL272" s="194"/>
      <c r="AM272" s="194"/>
      <c r="AN272" s="585">
        <v>303</v>
      </c>
      <c r="AO272" s="195"/>
      <c r="AP272" s="195"/>
      <c r="AQ272" s="195"/>
      <c r="AR272" s="410"/>
      <c r="AS272" s="578"/>
      <c r="AT272" s="194"/>
      <c r="AU272" s="194"/>
      <c r="AV272" s="194"/>
      <c r="AW272" s="194"/>
      <c r="AX272" s="578"/>
      <c r="AY272" s="194"/>
      <c r="AZ272" s="194"/>
      <c r="BA272" s="194"/>
      <c r="BB272" s="194"/>
      <c r="BC272" s="578"/>
      <c r="BD272" s="194"/>
      <c r="BE272" s="194"/>
      <c r="BF272" s="194"/>
      <c r="BG272" s="194"/>
      <c r="BH272" s="578"/>
      <c r="BI272" s="194"/>
      <c r="BJ272" s="194"/>
      <c r="BK272" s="194"/>
      <c r="BL272" s="194"/>
      <c r="BM272" s="578"/>
      <c r="BN272" s="194"/>
      <c r="BO272" s="194"/>
      <c r="BP272" s="194"/>
      <c r="BQ272" s="194"/>
      <c r="BR272" s="578"/>
      <c r="BS272" s="194"/>
      <c r="BT272" s="194"/>
      <c r="BU272" s="194"/>
      <c r="BV272" s="194"/>
      <c r="BW272" s="578"/>
      <c r="BX272" s="194"/>
      <c r="BY272" s="194"/>
      <c r="BZ272" s="194"/>
      <c r="CA272" s="194"/>
      <c r="CB272" s="578"/>
      <c r="CC272" s="194"/>
      <c r="CD272" s="194"/>
      <c r="CE272" s="194"/>
      <c r="CF272" s="194"/>
      <c r="CG272" s="578"/>
      <c r="CH272" s="194"/>
      <c r="CI272" s="194"/>
      <c r="CJ272" s="194"/>
      <c r="CK272" s="194"/>
      <c r="CL272" s="578"/>
      <c r="CM272" s="194"/>
      <c r="CN272" s="194"/>
      <c r="CO272" s="194"/>
      <c r="CP272" s="194"/>
      <c r="CQ272" s="578"/>
    </row>
    <row r="273" spans="5:95" hidden="1" x14ac:dyDescent="0.25">
      <c r="E273" s="194" t="s">
        <v>280</v>
      </c>
      <c r="F273" s="578"/>
      <c r="G273" s="578"/>
      <c r="H273" s="578"/>
      <c r="I273" s="578"/>
      <c r="J273" s="578"/>
      <c r="K273" s="192"/>
      <c r="L273" s="192"/>
      <c r="M273" s="192"/>
      <c r="N273" s="192"/>
      <c r="O273" s="578"/>
      <c r="P273" s="192"/>
      <c r="Q273" s="192"/>
      <c r="R273" s="192"/>
      <c r="S273" s="192"/>
      <c r="T273" s="578"/>
      <c r="U273" s="192"/>
      <c r="V273" s="192"/>
      <c r="W273" s="192"/>
      <c r="X273" s="192"/>
      <c r="Y273" s="578"/>
      <c r="Z273" s="195"/>
      <c r="AA273" s="195"/>
      <c r="AB273" s="195"/>
      <c r="AC273" s="195"/>
      <c r="AD273" s="578"/>
      <c r="AE273" s="195"/>
      <c r="AF273" s="195"/>
      <c r="AG273" s="195"/>
      <c r="AH273" s="195"/>
      <c r="AI273" s="586">
        <v>95</v>
      </c>
      <c r="AJ273" s="196"/>
      <c r="AK273" s="194"/>
      <c r="AL273" s="194"/>
      <c r="AM273" s="194"/>
      <c r="AN273" s="586">
        <v>88</v>
      </c>
      <c r="AO273" s="195"/>
      <c r="AP273" s="195"/>
      <c r="AQ273" s="195"/>
      <c r="AR273" s="410"/>
      <c r="AS273" s="578"/>
      <c r="AT273" s="194"/>
      <c r="AU273" s="194"/>
      <c r="AV273" s="194"/>
      <c r="AW273" s="194"/>
      <c r="AX273" s="578"/>
      <c r="AY273" s="194"/>
      <c r="AZ273" s="194"/>
      <c r="BA273" s="194"/>
      <c r="BB273" s="194"/>
      <c r="BC273" s="578"/>
      <c r="BD273" s="194"/>
      <c r="BE273" s="194"/>
      <c r="BF273" s="194"/>
      <c r="BG273" s="194"/>
      <c r="BH273" s="578"/>
      <c r="BI273" s="194"/>
      <c r="BJ273" s="194"/>
      <c r="BK273" s="194"/>
      <c r="BL273" s="194"/>
      <c r="BM273" s="578"/>
      <c r="BN273" s="194"/>
      <c r="BO273" s="194"/>
      <c r="BP273" s="194"/>
      <c r="BQ273" s="194"/>
      <c r="BR273" s="578"/>
      <c r="BS273" s="194"/>
      <c r="BT273" s="194"/>
      <c r="BU273" s="194"/>
      <c r="BV273" s="194"/>
      <c r="BW273" s="578"/>
      <c r="BX273" s="194"/>
      <c r="BY273" s="194"/>
      <c r="BZ273" s="194"/>
      <c r="CA273" s="194"/>
      <c r="CB273" s="578"/>
      <c r="CC273" s="194"/>
      <c r="CD273" s="194"/>
      <c r="CE273" s="194"/>
      <c r="CF273" s="194"/>
      <c r="CG273" s="578"/>
      <c r="CH273" s="194"/>
      <c r="CI273" s="194"/>
      <c r="CJ273" s="194"/>
      <c r="CK273" s="194"/>
      <c r="CL273" s="578"/>
      <c r="CM273" s="194"/>
      <c r="CN273" s="194"/>
      <c r="CO273" s="194"/>
      <c r="CP273" s="194"/>
      <c r="CQ273" s="578"/>
    </row>
    <row r="274" spans="5:95" ht="13.5" hidden="1" x14ac:dyDescent="0.25">
      <c r="E274" s="194" t="s">
        <v>281</v>
      </c>
      <c r="F274" s="578"/>
      <c r="G274" s="578"/>
      <c r="H274" s="578"/>
      <c r="I274" s="578"/>
      <c r="J274" s="578"/>
      <c r="K274" s="192"/>
      <c r="L274" s="192"/>
      <c r="M274" s="192"/>
      <c r="N274" s="192"/>
      <c r="O274" s="578"/>
      <c r="P274" s="192"/>
      <c r="Q274" s="192"/>
      <c r="R274" s="192"/>
      <c r="S274" s="192"/>
      <c r="T274" s="578"/>
      <c r="U274" s="192"/>
      <c r="V274" s="192"/>
      <c r="W274" s="192"/>
      <c r="X274" s="192"/>
      <c r="Y274" s="578"/>
      <c r="Z274" s="195"/>
      <c r="AA274" s="195"/>
      <c r="AB274" s="195"/>
      <c r="AC274" s="195"/>
      <c r="AD274" s="578"/>
      <c r="AE274" s="195"/>
      <c r="AF274" s="195"/>
      <c r="AG274" s="195"/>
      <c r="AH274" s="195"/>
      <c r="AI274" s="586">
        <v>77</v>
      </c>
      <c r="AJ274" s="196"/>
      <c r="AK274" s="194"/>
      <c r="AL274" s="194"/>
      <c r="AM274" s="194"/>
      <c r="AN274" s="586">
        <v>78</v>
      </c>
      <c r="AO274" s="195"/>
      <c r="AP274" s="195"/>
      <c r="AQ274" s="195"/>
      <c r="AR274" s="411">
        <v>0.09</v>
      </c>
      <c r="AS274" s="578"/>
      <c r="AT274" s="194"/>
      <c r="AU274" s="194"/>
      <c r="AV274" s="194"/>
      <c r="AW274" s="194"/>
      <c r="AX274" s="578"/>
      <c r="AY274" s="194"/>
      <c r="AZ274" s="194"/>
      <c r="BA274" s="194"/>
      <c r="BB274" s="194"/>
      <c r="BC274" s="578"/>
      <c r="BD274" s="194"/>
      <c r="BE274" s="194"/>
      <c r="BF274" s="194"/>
      <c r="BG274" s="194"/>
      <c r="BH274" s="578"/>
      <c r="BI274" s="194"/>
      <c r="BJ274" s="194"/>
      <c r="BK274" s="194"/>
      <c r="BL274" s="194"/>
      <c r="BM274" s="578"/>
      <c r="BN274" s="194"/>
      <c r="BO274" s="194"/>
      <c r="BP274" s="194"/>
      <c r="BQ274" s="194"/>
      <c r="BR274" s="578"/>
      <c r="BS274" s="194"/>
      <c r="BT274" s="194"/>
      <c r="BU274" s="194"/>
      <c r="BV274" s="194"/>
      <c r="BW274" s="578"/>
      <c r="BX274" s="194"/>
      <c r="BY274" s="194"/>
      <c r="BZ274" s="194"/>
      <c r="CA274" s="194"/>
      <c r="CB274" s="578"/>
      <c r="CC274" s="194"/>
      <c r="CD274" s="194"/>
      <c r="CE274" s="194"/>
      <c r="CF274" s="194"/>
      <c r="CG274" s="578"/>
      <c r="CH274" s="194"/>
      <c r="CI274" s="194"/>
      <c r="CJ274" s="194"/>
      <c r="CK274" s="194"/>
      <c r="CL274" s="578"/>
      <c r="CM274" s="194"/>
      <c r="CN274" s="194"/>
      <c r="CO274" s="194"/>
      <c r="CP274" s="194"/>
      <c r="CQ274" s="578"/>
    </row>
    <row r="275" spans="5:95" hidden="1" x14ac:dyDescent="0.25">
      <c r="E275" s="194" t="s">
        <v>282</v>
      </c>
      <c r="F275" s="578"/>
      <c r="G275" s="578"/>
      <c r="H275" s="578"/>
      <c r="I275" s="578"/>
      <c r="J275" s="578"/>
      <c r="K275" s="192"/>
      <c r="L275" s="192"/>
      <c r="M275" s="192"/>
      <c r="N275" s="192"/>
      <c r="O275" s="578"/>
      <c r="P275" s="192"/>
      <c r="Q275" s="192"/>
      <c r="R275" s="192"/>
      <c r="S275" s="192"/>
      <c r="T275" s="578"/>
      <c r="U275" s="192"/>
      <c r="V275" s="192"/>
      <c r="W275" s="192"/>
      <c r="X275" s="192"/>
      <c r="Y275" s="578"/>
      <c r="Z275" s="195"/>
      <c r="AA275" s="195"/>
      <c r="AB275" s="195"/>
      <c r="AC275" s="195"/>
      <c r="AD275" s="578"/>
      <c r="AE275" s="195"/>
      <c r="AF275" s="195"/>
      <c r="AG275" s="195"/>
      <c r="AH275" s="195"/>
      <c r="AI275" s="586">
        <v>65</v>
      </c>
      <c r="AJ275" s="196"/>
      <c r="AK275" s="194"/>
      <c r="AL275" s="194"/>
      <c r="AM275" s="194"/>
      <c r="AN275" s="586">
        <v>76</v>
      </c>
      <c r="AO275" s="195"/>
      <c r="AP275" s="195"/>
      <c r="AQ275" s="195"/>
      <c r="AR275" s="410"/>
      <c r="AS275" s="578"/>
      <c r="AT275" s="194"/>
      <c r="AU275" s="194"/>
      <c r="AV275" s="194"/>
      <c r="AW275" s="194"/>
      <c r="AX275" s="578"/>
      <c r="AY275" s="194"/>
      <c r="AZ275" s="194"/>
      <c r="BA275" s="194"/>
      <c r="BB275" s="194"/>
      <c r="BC275" s="578"/>
      <c r="BD275" s="194"/>
      <c r="BE275" s="194"/>
      <c r="BF275" s="194"/>
      <c r="BG275" s="194"/>
      <c r="BH275" s="578"/>
      <c r="BI275" s="194"/>
      <c r="BJ275" s="194"/>
      <c r="BK275" s="194"/>
      <c r="BL275" s="194"/>
      <c r="BM275" s="578"/>
      <c r="BN275" s="194"/>
      <c r="BO275" s="194"/>
      <c r="BP275" s="194"/>
      <c r="BQ275" s="194"/>
      <c r="BR275" s="578"/>
      <c r="BS275" s="194"/>
      <c r="BT275" s="194"/>
      <c r="BU275" s="194"/>
      <c r="BV275" s="194"/>
      <c r="BW275" s="578"/>
      <c r="BX275" s="194"/>
      <c r="BY275" s="194"/>
      <c r="BZ275" s="194"/>
      <c r="CA275" s="194"/>
      <c r="CB275" s="578"/>
      <c r="CC275" s="194"/>
      <c r="CD275" s="194"/>
      <c r="CE275" s="194"/>
      <c r="CF275" s="194"/>
      <c r="CG275" s="578"/>
      <c r="CH275" s="194"/>
      <c r="CI275" s="194"/>
      <c r="CJ275" s="194"/>
      <c r="CK275" s="194"/>
      <c r="CL275" s="578"/>
      <c r="CM275" s="194"/>
      <c r="CN275" s="194"/>
      <c r="CO275" s="194"/>
      <c r="CP275" s="194"/>
      <c r="CQ275" s="578"/>
    </row>
    <row r="276" spans="5:95" ht="13.5" hidden="1" x14ac:dyDescent="0.25">
      <c r="E276" s="194" t="s">
        <v>283</v>
      </c>
      <c r="F276" s="578"/>
      <c r="G276" s="578"/>
      <c r="H276" s="578"/>
      <c r="I276" s="578"/>
      <c r="J276" s="578"/>
      <c r="K276" s="192"/>
      <c r="L276" s="192"/>
      <c r="M276" s="192"/>
      <c r="N276" s="192"/>
      <c r="O276" s="578"/>
      <c r="P276" s="192"/>
      <c r="Q276" s="192"/>
      <c r="R276" s="192"/>
      <c r="S276" s="192"/>
      <c r="T276" s="578"/>
      <c r="U276" s="192"/>
      <c r="V276" s="192"/>
      <c r="W276" s="192"/>
      <c r="X276" s="192"/>
      <c r="Y276" s="578"/>
      <c r="Z276" s="195"/>
      <c r="AA276" s="195"/>
      <c r="AB276" s="195"/>
      <c r="AC276" s="195"/>
      <c r="AD276" s="578"/>
      <c r="AE276" s="195"/>
      <c r="AF276" s="195"/>
      <c r="AG276" s="195"/>
      <c r="AH276" s="195"/>
      <c r="AI276" s="586">
        <v>408</v>
      </c>
      <c r="AJ276" s="196"/>
      <c r="AK276" s="194"/>
      <c r="AL276" s="194"/>
      <c r="AM276" s="194"/>
      <c r="AN276" s="586">
        <v>366</v>
      </c>
      <c r="AO276" s="195"/>
      <c r="AP276" s="195"/>
      <c r="AQ276" s="195"/>
      <c r="AR276" s="411">
        <v>0.1</v>
      </c>
      <c r="AS276" s="578"/>
      <c r="AT276" s="194"/>
      <c r="AU276" s="194"/>
      <c r="AV276" s="194"/>
      <c r="AW276" s="194"/>
      <c r="AX276" s="578"/>
      <c r="AY276" s="194"/>
      <c r="AZ276" s="194"/>
      <c r="BA276" s="194"/>
      <c r="BB276" s="194"/>
      <c r="BC276" s="578"/>
      <c r="BD276" s="194"/>
      <c r="BE276" s="194"/>
      <c r="BF276" s="194"/>
      <c r="BG276" s="194"/>
      <c r="BH276" s="578"/>
      <c r="BI276" s="194"/>
      <c r="BJ276" s="194"/>
      <c r="BK276" s="194"/>
      <c r="BL276" s="194"/>
      <c r="BM276" s="578"/>
      <c r="BN276" s="194"/>
      <c r="BO276" s="194"/>
      <c r="BP276" s="194"/>
      <c r="BQ276" s="194"/>
      <c r="BR276" s="578"/>
      <c r="BS276" s="194"/>
      <c r="BT276" s="194"/>
      <c r="BU276" s="194"/>
      <c r="BV276" s="194"/>
      <c r="BW276" s="578"/>
      <c r="BX276" s="194"/>
      <c r="BY276" s="194"/>
      <c r="BZ276" s="194"/>
      <c r="CA276" s="194"/>
      <c r="CB276" s="578"/>
      <c r="CC276" s="194"/>
      <c r="CD276" s="194"/>
      <c r="CE276" s="194"/>
      <c r="CF276" s="194"/>
      <c r="CG276" s="578"/>
      <c r="CH276" s="194"/>
      <c r="CI276" s="194"/>
      <c r="CJ276" s="194"/>
      <c r="CK276" s="194"/>
      <c r="CL276" s="578"/>
      <c r="CM276" s="194"/>
      <c r="CN276" s="194"/>
      <c r="CO276" s="194"/>
      <c r="CP276" s="194"/>
      <c r="CQ276" s="578"/>
    </row>
    <row r="277" spans="5:95" hidden="1" x14ac:dyDescent="0.25">
      <c r="E277" s="194" t="s">
        <v>284</v>
      </c>
      <c r="F277" s="578"/>
      <c r="G277" s="578"/>
      <c r="H277" s="578"/>
      <c r="I277" s="578"/>
      <c r="J277" s="578"/>
      <c r="K277" s="192"/>
      <c r="L277" s="192"/>
      <c r="M277" s="192"/>
      <c r="N277" s="192"/>
      <c r="O277" s="578"/>
      <c r="P277" s="192"/>
      <c r="Q277" s="192"/>
      <c r="R277" s="192"/>
      <c r="S277" s="192"/>
      <c r="T277" s="578"/>
      <c r="U277" s="192"/>
      <c r="V277" s="192"/>
      <c r="W277" s="192"/>
      <c r="X277" s="192"/>
      <c r="Y277" s="578"/>
      <c r="Z277" s="195"/>
      <c r="AA277" s="195"/>
      <c r="AB277" s="195"/>
      <c r="AC277" s="195"/>
      <c r="AD277" s="578"/>
      <c r="AE277" s="195"/>
      <c r="AF277" s="195"/>
      <c r="AG277" s="195"/>
      <c r="AH277" s="195"/>
      <c r="AI277" s="586">
        <v>189</v>
      </c>
      <c r="AJ277" s="196"/>
      <c r="AK277" s="194"/>
      <c r="AL277" s="194"/>
      <c r="AM277" s="194"/>
      <c r="AN277" s="586">
        <v>158</v>
      </c>
      <c r="AO277" s="195"/>
      <c r="AP277" s="195"/>
      <c r="AQ277" s="195"/>
      <c r="AR277" s="410"/>
      <c r="AS277" s="578"/>
      <c r="AT277" s="194"/>
      <c r="AU277" s="194"/>
      <c r="AV277" s="194"/>
      <c r="AW277" s="194"/>
      <c r="AX277" s="578"/>
      <c r="AY277" s="194"/>
      <c r="AZ277" s="194"/>
      <c r="BA277" s="194"/>
      <c r="BB277" s="194"/>
      <c r="BC277" s="578"/>
      <c r="BD277" s="194"/>
      <c r="BE277" s="194"/>
      <c r="BF277" s="194"/>
      <c r="BG277" s="194"/>
      <c r="BH277" s="578"/>
      <c r="BI277" s="194"/>
      <c r="BJ277" s="194"/>
      <c r="BK277" s="194"/>
      <c r="BL277" s="194"/>
      <c r="BM277" s="578"/>
      <c r="BN277" s="194"/>
      <c r="BO277" s="194"/>
      <c r="BP277" s="194"/>
      <c r="BQ277" s="194"/>
      <c r="BR277" s="578"/>
      <c r="BS277" s="194"/>
      <c r="BT277" s="194"/>
      <c r="BU277" s="194"/>
      <c r="BV277" s="194"/>
      <c r="BW277" s="578"/>
      <c r="BX277" s="194"/>
      <c r="BY277" s="194"/>
      <c r="BZ277" s="194"/>
      <c r="CA277" s="194"/>
      <c r="CB277" s="578"/>
      <c r="CC277" s="194"/>
      <c r="CD277" s="194"/>
      <c r="CE277" s="194"/>
      <c r="CF277" s="194"/>
      <c r="CG277" s="578"/>
      <c r="CH277" s="194"/>
      <c r="CI277" s="194"/>
      <c r="CJ277" s="194"/>
      <c r="CK277" s="194"/>
      <c r="CL277" s="578"/>
      <c r="CM277" s="194"/>
      <c r="CN277" s="194"/>
      <c r="CO277" s="194"/>
      <c r="CP277" s="194"/>
      <c r="CQ277" s="578"/>
    </row>
    <row r="278" spans="5:95" hidden="1" x14ac:dyDescent="0.25">
      <c r="E278" s="194" t="s">
        <v>395</v>
      </c>
      <c r="F278" s="578"/>
      <c r="G278" s="578"/>
      <c r="H278" s="578"/>
      <c r="I278" s="578"/>
      <c r="J278" s="578"/>
      <c r="K278" s="192"/>
      <c r="L278" s="192"/>
      <c r="M278" s="192"/>
      <c r="N278" s="192"/>
      <c r="O278" s="578"/>
      <c r="P278" s="192"/>
      <c r="Q278" s="192"/>
      <c r="R278" s="192"/>
      <c r="S278" s="192"/>
      <c r="T278" s="578"/>
      <c r="U278" s="192"/>
      <c r="V278" s="192"/>
      <c r="W278" s="192"/>
      <c r="X278" s="192"/>
      <c r="Y278" s="578"/>
      <c r="Z278" s="195"/>
      <c r="AA278" s="195"/>
      <c r="AB278" s="195"/>
      <c r="AC278" s="195"/>
      <c r="AD278" s="578"/>
      <c r="AE278" s="195"/>
      <c r="AF278" s="195"/>
      <c r="AG278" s="195"/>
      <c r="AH278" s="195"/>
      <c r="AI278" s="586">
        <v>20</v>
      </c>
      <c r="AJ278" s="196"/>
      <c r="AK278" s="194"/>
      <c r="AL278" s="194"/>
      <c r="AM278" s="194"/>
      <c r="AN278" s="586">
        <v>22</v>
      </c>
      <c r="AO278" s="195"/>
      <c r="AP278" s="195"/>
      <c r="AQ278" s="195"/>
      <c r="AR278" s="410"/>
      <c r="AS278" s="578"/>
      <c r="AT278" s="194"/>
      <c r="AU278" s="194"/>
      <c r="AV278" s="194"/>
      <c r="AW278" s="194"/>
      <c r="AX278" s="578"/>
      <c r="AY278" s="194"/>
      <c r="AZ278" s="194"/>
      <c r="BA278" s="194"/>
      <c r="BB278" s="194"/>
      <c r="BC278" s="578"/>
      <c r="BD278" s="194"/>
      <c r="BE278" s="194"/>
      <c r="BF278" s="194"/>
      <c r="BG278" s="194"/>
      <c r="BH278" s="578"/>
      <c r="BI278" s="194"/>
      <c r="BJ278" s="194"/>
      <c r="BK278" s="194"/>
      <c r="BL278" s="194"/>
      <c r="BM278" s="578"/>
      <c r="BN278" s="194"/>
      <c r="BO278" s="194"/>
      <c r="BP278" s="194"/>
      <c r="BQ278" s="194"/>
      <c r="BR278" s="578"/>
      <c r="BS278" s="194"/>
      <c r="BT278" s="194"/>
      <c r="BU278" s="194"/>
      <c r="BV278" s="194"/>
      <c r="BW278" s="578"/>
      <c r="BX278" s="194"/>
      <c r="BY278" s="194"/>
      <c r="BZ278" s="194"/>
      <c r="CA278" s="194"/>
      <c r="CB278" s="578"/>
      <c r="CC278" s="194"/>
      <c r="CD278" s="194"/>
      <c r="CE278" s="194"/>
      <c r="CF278" s="194"/>
      <c r="CG278" s="578"/>
      <c r="CH278" s="194"/>
      <c r="CI278" s="194"/>
      <c r="CJ278" s="194"/>
      <c r="CK278" s="194"/>
      <c r="CL278" s="578"/>
      <c r="CM278" s="194"/>
      <c r="CN278" s="194"/>
      <c r="CO278" s="194"/>
      <c r="CP278" s="194"/>
      <c r="CQ278" s="578"/>
    </row>
    <row r="279" spans="5:95" hidden="1" x14ac:dyDescent="0.25">
      <c r="E279" s="194" t="s">
        <v>114</v>
      </c>
      <c r="F279" s="578"/>
      <c r="G279" s="578"/>
      <c r="H279" s="578"/>
      <c r="I279" s="578"/>
      <c r="J279" s="578"/>
      <c r="K279" s="192"/>
      <c r="L279" s="192"/>
      <c r="M279" s="192"/>
      <c r="N279" s="192"/>
      <c r="O279" s="578"/>
      <c r="P279" s="192"/>
      <c r="Q279" s="192"/>
      <c r="R279" s="192"/>
      <c r="S279" s="192"/>
      <c r="T279" s="578"/>
      <c r="U279" s="192"/>
      <c r="V279" s="192"/>
      <c r="W279" s="192"/>
      <c r="X279" s="192"/>
      <c r="Y279" s="578"/>
      <c r="Z279" s="195"/>
      <c r="AA279" s="195"/>
      <c r="AB279" s="195"/>
      <c r="AC279" s="195"/>
      <c r="AD279" s="578"/>
      <c r="AE279" s="195"/>
      <c r="AF279" s="195"/>
      <c r="AG279" s="195"/>
      <c r="AH279" s="195"/>
      <c r="AI279" s="586">
        <v>121</v>
      </c>
      <c r="AJ279" s="196"/>
      <c r="AK279" s="194"/>
      <c r="AL279" s="194"/>
      <c r="AM279" s="194"/>
      <c r="AN279" s="586">
        <v>115</v>
      </c>
      <c r="AO279" s="195"/>
      <c r="AP279" s="195"/>
      <c r="AQ279" s="195"/>
      <c r="AR279" s="410"/>
      <c r="AS279" s="578"/>
      <c r="AT279" s="194"/>
      <c r="AU279" s="194"/>
      <c r="AV279" s="194"/>
      <c r="AW279" s="194"/>
      <c r="AX279" s="578"/>
      <c r="AY279" s="194"/>
      <c r="AZ279" s="194"/>
      <c r="BA279" s="194"/>
      <c r="BB279" s="194"/>
      <c r="BC279" s="578"/>
      <c r="BD279" s="194"/>
      <c r="BE279" s="194"/>
      <c r="BF279" s="194"/>
      <c r="BG279" s="194"/>
      <c r="BH279" s="578"/>
      <c r="BI279" s="194"/>
      <c r="BJ279" s="194"/>
      <c r="BK279" s="194"/>
      <c r="BL279" s="194"/>
      <c r="BM279" s="578"/>
      <c r="BN279" s="194"/>
      <c r="BO279" s="194"/>
      <c r="BP279" s="194"/>
      <c r="BQ279" s="194"/>
      <c r="BR279" s="578"/>
      <c r="BS279" s="194"/>
      <c r="BT279" s="194"/>
      <c r="BU279" s="194"/>
      <c r="BV279" s="194"/>
      <c r="BW279" s="578"/>
      <c r="BX279" s="194"/>
      <c r="BY279" s="194"/>
      <c r="BZ279" s="194"/>
      <c r="CA279" s="194"/>
      <c r="CB279" s="578"/>
      <c r="CC279" s="194"/>
      <c r="CD279" s="194"/>
      <c r="CE279" s="194"/>
      <c r="CF279" s="194"/>
      <c r="CG279" s="578"/>
      <c r="CH279" s="194"/>
      <c r="CI279" s="194"/>
      <c r="CJ279" s="194"/>
      <c r="CK279" s="194"/>
      <c r="CL279" s="578"/>
      <c r="CM279" s="194"/>
      <c r="CN279" s="194"/>
      <c r="CO279" s="194"/>
      <c r="CP279" s="194"/>
      <c r="CQ279" s="578"/>
    </row>
    <row r="280" spans="5:95" hidden="1" x14ac:dyDescent="0.25">
      <c r="E280" s="194" t="s">
        <v>277</v>
      </c>
      <c r="F280" s="578"/>
      <c r="G280" s="578"/>
      <c r="H280" s="578"/>
      <c r="I280" s="578"/>
      <c r="J280" s="578"/>
      <c r="K280" s="192"/>
      <c r="L280" s="192"/>
      <c r="M280" s="192"/>
      <c r="N280" s="192"/>
      <c r="O280" s="578"/>
      <c r="P280" s="192"/>
      <c r="Q280" s="192"/>
      <c r="R280" s="192"/>
      <c r="S280" s="192"/>
      <c r="T280" s="578"/>
      <c r="U280" s="192"/>
      <c r="V280" s="192"/>
      <c r="W280" s="192"/>
      <c r="X280" s="192"/>
      <c r="Y280" s="578"/>
      <c r="Z280" s="195"/>
      <c r="AA280" s="195"/>
      <c r="AB280" s="195"/>
      <c r="AC280" s="195"/>
      <c r="AD280" s="578"/>
      <c r="AE280" s="195"/>
      <c r="AF280" s="195"/>
      <c r="AG280" s="195"/>
      <c r="AH280" s="195"/>
      <c r="AI280" s="574">
        <f>AI219-AI279-AI278-AI277-AI276-AI275-AI274-AI273-AI272</f>
        <v>81.770999999999958</v>
      </c>
      <c r="AJ280" s="196"/>
      <c r="AK280" s="194"/>
      <c r="AL280" s="194"/>
      <c r="AM280" s="194"/>
      <c r="AN280" s="574">
        <f>AN219-AN279-AN278-AN277-AN276-AN275-AN274-AN273-AN272</f>
        <v>71.261999999999944</v>
      </c>
      <c r="AO280" s="195"/>
      <c r="AP280" s="195"/>
      <c r="AQ280" s="195"/>
      <c r="AR280" s="410"/>
      <c r="AS280" s="578"/>
      <c r="AT280" s="194"/>
      <c r="AU280" s="194"/>
      <c r="AV280" s="194"/>
      <c r="AW280" s="194"/>
      <c r="AX280" s="578"/>
      <c r="AY280" s="194"/>
      <c r="AZ280" s="194"/>
      <c r="BA280" s="194"/>
      <c r="BB280" s="194"/>
      <c r="BC280" s="578"/>
      <c r="BD280" s="194"/>
      <c r="BE280" s="194"/>
      <c r="BF280" s="194"/>
      <c r="BG280" s="194"/>
      <c r="BH280" s="578"/>
      <c r="BI280" s="194"/>
      <c r="BJ280" s="194"/>
      <c r="BK280" s="194"/>
      <c r="BL280" s="194"/>
      <c r="BM280" s="578"/>
      <c r="BN280" s="194"/>
      <c r="BO280" s="194"/>
      <c r="BP280" s="194"/>
      <c r="BQ280" s="194"/>
      <c r="BR280" s="578"/>
      <c r="BS280" s="194"/>
      <c r="BT280" s="194"/>
      <c r="BU280" s="194"/>
      <c r="BV280" s="194"/>
      <c r="BW280" s="578"/>
      <c r="BX280" s="194"/>
      <c r="BY280" s="194"/>
      <c r="BZ280" s="194"/>
      <c r="CA280" s="194"/>
      <c r="CB280" s="578"/>
      <c r="CC280" s="194"/>
      <c r="CD280" s="194"/>
      <c r="CE280" s="194"/>
      <c r="CF280" s="194"/>
      <c r="CG280" s="578"/>
      <c r="CH280" s="194"/>
      <c r="CI280" s="194"/>
      <c r="CJ280" s="194"/>
      <c r="CK280" s="194"/>
      <c r="CL280" s="578"/>
      <c r="CM280" s="194"/>
      <c r="CN280" s="194"/>
      <c r="CO280" s="194"/>
      <c r="CP280" s="194"/>
      <c r="CQ280" s="578"/>
    </row>
    <row r="281" spans="5:95" ht="13.5" hidden="1" x14ac:dyDescent="0.25">
      <c r="E281" s="194"/>
      <c r="F281" s="578"/>
      <c r="G281" s="578"/>
      <c r="H281" s="578"/>
      <c r="I281" s="578"/>
      <c r="J281" s="578"/>
      <c r="K281" s="192"/>
      <c r="L281" s="192"/>
      <c r="M281" s="192"/>
      <c r="N281" s="192"/>
      <c r="O281" s="578"/>
      <c r="P281" s="192"/>
      <c r="Q281" s="192"/>
      <c r="R281" s="192"/>
      <c r="S281" s="192"/>
      <c r="T281" s="578"/>
      <c r="U281" s="192"/>
      <c r="V281" s="192"/>
      <c r="W281" s="192"/>
      <c r="X281" s="192"/>
      <c r="Y281" s="578"/>
      <c r="Z281" s="195"/>
      <c r="AA281" s="195"/>
      <c r="AB281" s="195"/>
      <c r="AC281" s="195"/>
      <c r="AD281" s="578"/>
      <c r="AE281" s="195"/>
      <c r="AF281" s="195"/>
      <c r="AG281" s="195"/>
      <c r="AH281" s="195"/>
      <c r="AI281" s="584"/>
      <c r="AJ281" s="195"/>
      <c r="AK281" s="195"/>
      <c r="AL281" s="195"/>
      <c r="AM281" s="195"/>
      <c r="AN281" s="584"/>
      <c r="AO281" s="195"/>
      <c r="AP281" s="195"/>
      <c r="AQ281" s="195"/>
      <c r="AR281" s="195"/>
      <c r="AS281" s="578"/>
      <c r="AT281" s="194"/>
      <c r="AU281" s="194"/>
      <c r="AV281" s="194"/>
      <c r="AW281" s="194"/>
      <c r="AX281" s="578"/>
      <c r="AY281" s="194"/>
      <c r="AZ281" s="194"/>
      <c r="BA281" s="194"/>
      <c r="BB281" s="194"/>
      <c r="BC281" s="578"/>
      <c r="BD281" s="194"/>
      <c r="BE281" s="194"/>
      <c r="BF281" s="194"/>
      <c r="BG281" s="194"/>
      <c r="BH281" s="578"/>
      <c r="BI281" s="194"/>
      <c r="BJ281" s="194"/>
      <c r="BK281" s="194"/>
      <c r="BL281" s="194"/>
      <c r="BM281" s="578"/>
      <c r="BN281" s="194"/>
      <c r="BO281" s="194"/>
      <c r="BP281" s="194"/>
      <c r="BQ281" s="194"/>
      <c r="BR281" s="578"/>
      <c r="BS281" s="194"/>
      <c r="BT281" s="194"/>
      <c r="BU281" s="194"/>
      <c r="BV281" s="194"/>
      <c r="BW281" s="578"/>
      <c r="BX281" s="194"/>
      <c r="BY281" s="194"/>
      <c r="BZ281" s="194"/>
      <c r="CA281" s="194"/>
      <c r="CB281" s="578"/>
      <c r="CC281" s="194"/>
      <c r="CD281" s="194"/>
      <c r="CE281" s="194"/>
      <c r="CF281" s="194"/>
      <c r="CG281" s="578"/>
      <c r="CH281" s="194"/>
      <c r="CI281" s="194"/>
      <c r="CJ281" s="194"/>
      <c r="CK281" s="194"/>
      <c r="CL281" s="578"/>
      <c r="CM281" s="194"/>
      <c r="CN281" s="194"/>
      <c r="CO281" s="194"/>
      <c r="CP281" s="194"/>
      <c r="CQ281" s="578"/>
    </row>
    <row r="282" spans="5:95" ht="13.5" hidden="1" x14ac:dyDescent="0.25">
      <c r="E282" s="352" t="s">
        <v>286</v>
      </c>
      <c r="F282" s="578"/>
      <c r="G282" s="578"/>
      <c r="H282" s="578"/>
      <c r="I282" s="578"/>
      <c r="J282" s="578"/>
      <c r="K282" s="192"/>
      <c r="L282" s="192"/>
      <c r="M282" s="192"/>
      <c r="N282" s="192"/>
      <c r="O282" s="578"/>
      <c r="P282" s="192"/>
      <c r="Q282" s="192"/>
      <c r="R282" s="192"/>
      <c r="S282" s="192"/>
      <c r="T282" s="578"/>
      <c r="U282" s="192"/>
      <c r="V282" s="192"/>
      <c r="W282" s="192"/>
      <c r="X282" s="192"/>
      <c r="Y282" s="578"/>
      <c r="Z282" s="195"/>
      <c r="AA282" s="195"/>
      <c r="AB282" s="195"/>
      <c r="AC282" s="195"/>
      <c r="AD282" s="578"/>
      <c r="AE282" s="195"/>
      <c r="AF282" s="195"/>
      <c r="AG282" s="195"/>
      <c r="AH282" s="195"/>
      <c r="AI282" s="584"/>
      <c r="AJ282" s="195"/>
      <c r="AK282" s="195"/>
      <c r="AL282" s="195"/>
      <c r="AM282" s="195"/>
      <c r="AN282" s="584"/>
      <c r="AO282" s="195"/>
      <c r="AP282" s="195"/>
      <c r="AQ282" s="195"/>
      <c r="AR282" s="195"/>
      <c r="AS282" s="578"/>
      <c r="AT282" s="194"/>
      <c r="AU282" s="194"/>
      <c r="AV282" s="194"/>
      <c r="AW282" s="194"/>
      <c r="AX282" s="578"/>
      <c r="AY282" s="194"/>
      <c r="AZ282" s="194"/>
      <c r="BA282" s="194"/>
      <c r="BB282" s="194"/>
      <c r="BC282" s="578"/>
      <c r="BD282" s="194"/>
      <c r="BE282" s="194"/>
      <c r="BF282" s="194"/>
      <c r="BG282" s="194"/>
      <c r="BH282" s="578"/>
      <c r="BI282" s="194"/>
      <c r="BJ282" s="194"/>
      <c r="BK282" s="194"/>
      <c r="BL282" s="194"/>
      <c r="BM282" s="578"/>
      <c r="BN282" s="194"/>
      <c r="BO282" s="194"/>
      <c r="BP282" s="194"/>
      <c r="BQ282" s="194"/>
      <c r="BR282" s="578"/>
      <c r="BS282" s="194"/>
      <c r="BT282" s="194"/>
      <c r="BU282" s="194"/>
      <c r="BV282" s="194"/>
      <c r="BW282" s="578"/>
      <c r="BX282" s="194"/>
      <c r="BY282" s="194"/>
      <c r="BZ282" s="194"/>
      <c r="CA282" s="194"/>
      <c r="CB282" s="578"/>
      <c r="CC282" s="194"/>
      <c r="CD282" s="194"/>
      <c r="CE282" s="194"/>
      <c r="CF282" s="194"/>
      <c r="CG282" s="578"/>
      <c r="CH282" s="194"/>
      <c r="CI282" s="194"/>
      <c r="CJ282" s="194"/>
      <c r="CK282" s="194"/>
      <c r="CL282" s="578"/>
      <c r="CM282" s="194"/>
      <c r="CN282" s="194"/>
      <c r="CO282" s="194"/>
      <c r="CP282" s="194"/>
      <c r="CQ282" s="578"/>
    </row>
    <row r="283" spans="5:95" ht="13.5" hidden="1" x14ac:dyDescent="0.25">
      <c r="E283" s="194" t="s">
        <v>287</v>
      </c>
      <c r="F283" s="578"/>
      <c r="G283" s="578"/>
      <c r="H283" s="578"/>
      <c r="I283" s="578"/>
      <c r="J283" s="578"/>
      <c r="K283" s="192"/>
      <c r="L283" s="192"/>
      <c r="M283" s="192"/>
      <c r="N283" s="192"/>
      <c r="O283" s="578"/>
      <c r="P283" s="192"/>
      <c r="Q283" s="192"/>
      <c r="R283" s="192"/>
      <c r="S283" s="192"/>
      <c r="T283" s="578"/>
      <c r="U283" s="192"/>
      <c r="V283" s="192"/>
      <c r="W283" s="192"/>
      <c r="X283" s="192"/>
      <c r="Y283" s="578"/>
      <c r="Z283" s="195"/>
      <c r="AA283" s="195"/>
      <c r="AB283" s="195"/>
      <c r="AC283" s="195"/>
      <c r="AD283" s="578"/>
      <c r="AE283" s="195"/>
      <c r="AF283" s="195"/>
      <c r="AG283" s="195"/>
      <c r="AH283" s="195"/>
      <c r="AI283" s="587" t="e">
        <f>SUM(AI272:AI276, AI279,AI280)/AI$158</f>
        <v>#DIV/0!</v>
      </c>
      <c r="AJ283" s="195"/>
      <c r="AK283" s="195"/>
      <c r="AL283" s="195"/>
      <c r="AM283" s="195"/>
      <c r="AN283" s="587" t="e">
        <f>SUM(AN272:AN276, AN279,AN280)/AN$158</f>
        <v>#DIV/0!</v>
      </c>
      <c r="AO283" s="195"/>
      <c r="AP283" s="195"/>
      <c r="AQ283" s="195"/>
      <c r="AR283" s="195"/>
      <c r="AS283" s="578"/>
      <c r="AT283" s="194"/>
      <c r="AU283" s="194"/>
      <c r="AV283" s="194"/>
      <c r="AW283" s="194"/>
      <c r="AX283" s="578"/>
      <c r="AY283" s="194"/>
      <c r="AZ283" s="194"/>
      <c r="BA283" s="194"/>
      <c r="BB283" s="194"/>
      <c r="BC283" s="578"/>
      <c r="BD283" s="194"/>
      <c r="BE283" s="194"/>
      <c r="BF283" s="194"/>
      <c r="BG283" s="194"/>
      <c r="BH283" s="578"/>
      <c r="BI283" s="194"/>
      <c r="BJ283" s="194"/>
      <c r="BK283" s="194"/>
      <c r="BL283" s="194"/>
      <c r="BM283" s="578"/>
      <c r="BN283" s="194"/>
      <c r="BO283" s="194"/>
      <c r="BP283" s="194"/>
      <c r="BQ283" s="194"/>
      <c r="BR283" s="578"/>
      <c r="BS283" s="194"/>
      <c r="BT283" s="194"/>
      <c r="BU283" s="194"/>
      <c r="BV283" s="194"/>
      <c r="BW283" s="578"/>
      <c r="BX283" s="194"/>
      <c r="BY283" s="194"/>
      <c r="BZ283" s="194"/>
      <c r="CA283" s="194"/>
      <c r="CB283" s="578"/>
      <c r="CC283" s="194"/>
      <c r="CD283" s="194"/>
      <c r="CE283" s="194"/>
      <c r="CF283" s="194"/>
      <c r="CG283" s="578"/>
      <c r="CH283" s="194"/>
      <c r="CI283" s="194"/>
      <c r="CJ283" s="194"/>
      <c r="CK283" s="194"/>
      <c r="CL283" s="578"/>
      <c r="CM283" s="194"/>
      <c r="CN283" s="194"/>
      <c r="CO283" s="194"/>
      <c r="CP283" s="194"/>
      <c r="CQ283" s="578"/>
    </row>
    <row r="284" spans="5:95" ht="13.5" hidden="1" x14ac:dyDescent="0.25">
      <c r="E284" s="194" t="s">
        <v>284</v>
      </c>
      <c r="F284" s="578"/>
      <c r="G284" s="578"/>
      <c r="H284" s="578"/>
      <c r="I284" s="578"/>
      <c r="J284" s="578"/>
      <c r="K284" s="192"/>
      <c r="L284" s="192"/>
      <c r="M284" s="192"/>
      <c r="N284" s="192"/>
      <c r="O284" s="578"/>
      <c r="P284" s="192"/>
      <c r="Q284" s="192"/>
      <c r="R284" s="192"/>
      <c r="S284" s="192"/>
      <c r="T284" s="578"/>
      <c r="U284" s="192"/>
      <c r="V284" s="192"/>
      <c r="W284" s="192"/>
      <c r="X284" s="192"/>
      <c r="Y284" s="578"/>
      <c r="Z284" s="195"/>
      <c r="AA284" s="195"/>
      <c r="AB284" s="195"/>
      <c r="AC284" s="195"/>
      <c r="AD284" s="578"/>
      <c r="AE284" s="195"/>
      <c r="AF284" s="195"/>
      <c r="AG284" s="195"/>
      <c r="AH284" s="195"/>
      <c r="AI284" s="587" t="e">
        <f>AI277/AI$158</f>
        <v>#DIV/0!</v>
      </c>
      <c r="AJ284" s="195"/>
      <c r="AK284" s="195"/>
      <c r="AL284" s="195"/>
      <c r="AM284" s="195"/>
      <c r="AN284" s="587" t="e">
        <f>AN277/AN$158</f>
        <v>#DIV/0!</v>
      </c>
      <c r="AO284" s="412"/>
      <c r="AP284" s="195"/>
      <c r="AQ284" s="195"/>
      <c r="AR284" s="195"/>
      <c r="AS284" s="578"/>
      <c r="AT284" s="194"/>
      <c r="AU284" s="194"/>
      <c r="AV284" s="194"/>
      <c r="AW284" s="194"/>
      <c r="AX284" s="578"/>
      <c r="AY284" s="194"/>
      <c r="AZ284" s="194"/>
      <c r="BA284" s="194"/>
      <c r="BB284" s="194"/>
      <c r="BC284" s="578"/>
      <c r="BD284" s="194"/>
      <c r="BE284" s="194"/>
      <c r="BF284" s="194"/>
      <c r="BG284" s="194"/>
      <c r="BH284" s="578"/>
      <c r="BI284" s="194"/>
      <c r="BJ284" s="194"/>
      <c r="BK284" s="194"/>
      <c r="BL284" s="194"/>
      <c r="BM284" s="578"/>
      <c r="BN284" s="194"/>
      <c r="BO284" s="194"/>
      <c r="BP284" s="194"/>
      <c r="BQ284" s="194"/>
      <c r="BR284" s="578"/>
      <c r="BS284" s="194"/>
      <c r="BT284" s="194"/>
      <c r="BU284" s="194"/>
      <c r="BV284" s="194"/>
      <c r="BW284" s="578"/>
      <c r="BX284" s="194"/>
      <c r="BY284" s="194"/>
      <c r="BZ284" s="194"/>
      <c r="CA284" s="194"/>
      <c r="CB284" s="578"/>
      <c r="CC284" s="194"/>
      <c r="CD284" s="194"/>
      <c r="CE284" s="194"/>
      <c r="CF284" s="194"/>
      <c r="CG284" s="578"/>
      <c r="CH284" s="194"/>
      <c r="CI284" s="194"/>
      <c r="CJ284" s="194"/>
      <c r="CK284" s="194"/>
      <c r="CL284" s="578"/>
      <c r="CM284" s="194"/>
      <c r="CN284" s="194"/>
      <c r="CO284" s="194"/>
      <c r="CP284" s="194"/>
      <c r="CQ284" s="578"/>
    </row>
    <row r="285" spans="5:95" ht="13.5" hidden="1" x14ac:dyDescent="0.25">
      <c r="E285" s="194" t="s">
        <v>285</v>
      </c>
      <c r="F285" s="578"/>
      <c r="G285" s="578"/>
      <c r="H285" s="578"/>
      <c r="I285" s="578"/>
      <c r="J285" s="578"/>
      <c r="K285" s="192"/>
      <c r="L285" s="192"/>
      <c r="M285" s="192"/>
      <c r="N285" s="192"/>
      <c r="O285" s="578"/>
      <c r="P285" s="192"/>
      <c r="Q285" s="192"/>
      <c r="R285" s="192"/>
      <c r="S285" s="192"/>
      <c r="T285" s="578"/>
      <c r="U285" s="192"/>
      <c r="V285" s="192"/>
      <c r="W285" s="192"/>
      <c r="X285" s="192"/>
      <c r="Y285" s="578"/>
      <c r="Z285" s="195"/>
      <c r="AA285" s="195"/>
      <c r="AB285" s="195"/>
      <c r="AC285" s="195"/>
      <c r="AD285" s="578"/>
      <c r="AE285" s="195"/>
      <c r="AF285" s="195"/>
      <c r="AG285" s="195"/>
      <c r="AH285" s="195"/>
      <c r="AI285" s="587" t="e">
        <f>AI278/AI$158</f>
        <v>#DIV/0!</v>
      </c>
      <c r="AJ285" s="195"/>
      <c r="AK285" s="195"/>
      <c r="AL285" s="195"/>
      <c r="AM285" s="195"/>
      <c r="AN285" s="587" t="e">
        <f>AN278/AN$158</f>
        <v>#DIV/0!</v>
      </c>
      <c r="AO285" s="195"/>
      <c r="AP285" s="195"/>
      <c r="AQ285" s="195"/>
      <c r="AR285" s="195"/>
      <c r="AS285" s="578"/>
      <c r="AT285" s="194"/>
      <c r="AU285" s="194"/>
      <c r="AV285" s="194"/>
      <c r="AW285" s="194"/>
      <c r="AX285" s="578"/>
      <c r="AY285" s="194"/>
      <c r="AZ285" s="194"/>
      <c r="BA285" s="194"/>
      <c r="BB285" s="194"/>
      <c r="BC285" s="578"/>
      <c r="BD285" s="194"/>
      <c r="BE285" s="194"/>
      <c r="BF285" s="194"/>
      <c r="BG285" s="194"/>
      <c r="BH285" s="578"/>
      <c r="BI285" s="194"/>
      <c r="BJ285" s="194"/>
      <c r="BK285" s="194"/>
      <c r="BL285" s="194"/>
      <c r="BM285" s="578"/>
      <c r="BN285" s="194"/>
      <c r="BO285" s="194"/>
      <c r="BP285" s="194"/>
      <c r="BQ285" s="194"/>
      <c r="BR285" s="578"/>
      <c r="BS285" s="194"/>
      <c r="BT285" s="194"/>
      <c r="BU285" s="194"/>
      <c r="BV285" s="194"/>
      <c r="BW285" s="578"/>
      <c r="BX285" s="194"/>
      <c r="BY285" s="194"/>
      <c r="BZ285" s="194"/>
      <c r="CA285" s="194"/>
      <c r="CB285" s="578"/>
      <c r="CC285" s="194"/>
      <c r="CD285" s="194"/>
      <c r="CE285" s="194"/>
      <c r="CF285" s="194"/>
      <c r="CG285" s="578"/>
      <c r="CH285" s="194"/>
      <c r="CI285" s="194"/>
      <c r="CJ285" s="194"/>
      <c r="CK285" s="194"/>
      <c r="CL285" s="578"/>
      <c r="CM285" s="194"/>
      <c r="CN285" s="194"/>
      <c r="CO285" s="194"/>
      <c r="CP285" s="194"/>
      <c r="CQ285" s="578"/>
    </row>
    <row r="286" spans="5:95" hidden="1" x14ac:dyDescent="0.25">
      <c r="E286" s="59"/>
      <c r="F286" s="542"/>
      <c r="G286" s="542"/>
      <c r="H286" s="542"/>
      <c r="I286" s="542"/>
      <c r="J286" s="542"/>
      <c r="O286" s="542"/>
      <c r="T286" s="542"/>
      <c r="Y286" s="542"/>
      <c r="Z286" s="59"/>
      <c r="AA286" s="59"/>
      <c r="AB286" s="59"/>
      <c r="AC286" s="59"/>
      <c r="AD286" s="542"/>
      <c r="AE286" s="59"/>
      <c r="AF286" s="59"/>
      <c r="AG286" s="59"/>
      <c r="AH286" s="59"/>
      <c r="AI286" s="542"/>
      <c r="AJ286" s="59"/>
      <c r="AK286" s="59"/>
      <c r="AL286" s="59"/>
      <c r="AM286" s="59"/>
      <c r="AN286" s="542"/>
      <c r="AO286" s="59"/>
      <c r="AP286" s="59"/>
      <c r="AQ286" s="59"/>
      <c r="AR286" s="59"/>
      <c r="AS286" s="542"/>
      <c r="AT286" s="59"/>
      <c r="AU286" s="59"/>
      <c r="AV286" s="59"/>
      <c r="AW286" s="59"/>
      <c r="AX286" s="542"/>
      <c r="BC286" s="542"/>
      <c r="BD286" s="59"/>
      <c r="BE286" s="59"/>
      <c r="BF286" s="59"/>
      <c r="BG286" s="59"/>
      <c r="BH286" s="542"/>
      <c r="BM286" s="542"/>
      <c r="BR286" s="574"/>
      <c r="BW286" s="574"/>
      <c r="CB286" s="574"/>
      <c r="CG286" s="574"/>
      <c r="CL286" s="574"/>
      <c r="CQ286" s="574"/>
    </row>
    <row r="287" spans="5:95" ht="13.5" hidden="1" x14ac:dyDescent="0.25">
      <c r="E287" s="462"/>
      <c r="F287" s="542"/>
      <c r="G287" s="542"/>
      <c r="H287" s="542"/>
      <c r="I287" s="542"/>
      <c r="J287" s="542"/>
      <c r="O287" s="542"/>
      <c r="T287" s="542"/>
      <c r="Y287" s="542"/>
      <c r="Z287" s="59"/>
      <c r="AA287" s="59"/>
      <c r="AB287" s="59"/>
      <c r="AC287" s="59"/>
      <c r="AD287" s="542"/>
      <c r="AE287" s="59"/>
      <c r="AF287" s="59"/>
      <c r="AG287" s="59"/>
      <c r="AH287" s="59"/>
      <c r="AI287" s="542"/>
      <c r="AJ287" s="59"/>
      <c r="AK287" s="59"/>
      <c r="AL287" s="59"/>
      <c r="AM287" s="59"/>
      <c r="AN287" s="542"/>
      <c r="AO287" s="59"/>
      <c r="AP287" s="59"/>
      <c r="AQ287" s="59"/>
      <c r="AR287" s="59"/>
      <c r="AS287" s="542"/>
      <c r="AT287" s="59"/>
      <c r="AU287" s="59"/>
      <c r="AV287" s="59"/>
      <c r="AW287" s="59"/>
      <c r="AX287" s="542"/>
      <c r="BC287" s="542"/>
      <c r="BD287" s="59"/>
      <c r="BE287" s="59"/>
      <c r="BF287" s="59"/>
      <c r="BG287" s="59"/>
      <c r="BH287" s="542"/>
      <c r="BM287" s="542"/>
      <c r="BN287" s="463"/>
      <c r="BO287" s="463"/>
      <c r="BP287" s="463"/>
      <c r="BQ287" s="463"/>
      <c r="BR287" s="562"/>
      <c r="BS287" s="463"/>
      <c r="BT287" s="463"/>
      <c r="BU287" s="463"/>
      <c r="BV287" s="463"/>
      <c r="BW287" s="562"/>
      <c r="BX287" s="463"/>
      <c r="BY287" s="463"/>
      <c r="BZ287" s="463"/>
      <c r="CA287" s="463"/>
      <c r="CB287" s="562"/>
      <c r="CC287" s="463"/>
      <c r="CD287" s="463"/>
      <c r="CE287" s="463"/>
      <c r="CF287" s="463"/>
      <c r="CG287" s="562"/>
      <c r="CH287" s="463"/>
      <c r="CI287" s="463"/>
      <c r="CJ287" s="463"/>
      <c r="CK287" s="463"/>
      <c r="CL287" s="562"/>
      <c r="CM287" s="463"/>
      <c r="CN287" s="463"/>
      <c r="CO287" s="463"/>
      <c r="CP287" s="463"/>
      <c r="CQ287" s="644"/>
    </row>
    <row r="288" spans="5:95" ht="13.5" hidden="1" x14ac:dyDescent="0.25">
      <c r="E288" s="365" t="s">
        <v>580</v>
      </c>
      <c r="F288" s="542"/>
      <c r="G288" s="542"/>
      <c r="H288" s="542"/>
      <c r="I288" s="542"/>
      <c r="J288" s="542"/>
      <c r="O288" s="542"/>
      <c r="T288" s="542"/>
      <c r="Y288" s="542"/>
      <c r="Z288" s="59"/>
      <c r="AA288" s="59"/>
      <c r="AB288" s="59"/>
      <c r="AC288" s="59"/>
      <c r="AD288" s="542"/>
      <c r="AE288" s="59"/>
      <c r="AF288" s="59"/>
      <c r="AG288" s="59"/>
      <c r="AH288" s="59"/>
      <c r="AI288" s="542"/>
      <c r="AJ288" s="59"/>
      <c r="AK288" s="59"/>
      <c r="AL288" s="59"/>
      <c r="AM288" s="59"/>
      <c r="AN288" s="542"/>
      <c r="AO288" s="59"/>
      <c r="AP288" s="59"/>
      <c r="AQ288" s="59"/>
      <c r="AR288" s="59"/>
      <c r="AS288" s="542"/>
      <c r="AT288" s="59"/>
      <c r="AU288" s="59"/>
      <c r="AV288" s="59"/>
      <c r="AW288" s="59"/>
      <c r="AX288" s="542"/>
      <c r="BC288" s="542"/>
      <c r="BD288" s="59"/>
      <c r="BE288" s="59"/>
      <c r="BF288" s="59"/>
      <c r="BG288" s="59"/>
      <c r="BH288" s="542"/>
      <c r="BM288" s="542"/>
      <c r="BN288" s="463"/>
      <c r="BO288" s="463"/>
      <c r="BP288" s="463"/>
      <c r="BQ288" s="463"/>
      <c r="BR288" s="562"/>
      <c r="BS288" s="463"/>
      <c r="BT288" s="463"/>
      <c r="BU288" s="463"/>
      <c r="BW288" s="574"/>
      <c r="BY288" s="21"/>
      <c r="CB288" s="574"/>
      <c r="CG288" s="574"/>
      <c r="CL288" s="574"/>
      <c r="CQ288" s="574"/>
    </row>
    <row r="289" spans="5:95" ht="13.5" hidden="1" x14ac:dyDescent="0.25">
      <c r="E289" s="365"/>
      <c r="F289" s="542"/>
      <c r="G289" s="542"/>
      <c r="H289" s="542"/>
      <c r="I289" s="542"/>
      <c r="J289" s="542"/>
      <c r="O289" s="542"/>
      <c r="T289" s="542"/>
      <c r="Y289" s="542"/>
      <c r="Z289" s="59"/>
      <c r="AA289" s="59"/>
      <c r="AB289" s="59"/>
      <c r="AC289" s="59"/>
      <c r="AD289" s="542"/>
      <c r="AE289" s="59"/>
      <c r="AF289" s="59"/>
      <c r="AG289" s="59"/>
      <c r="AH289" s="59"/>
      <c r="AI289" s="542"/>
      <c r="AJ289" s="59"/>
      <c r="AK289" s="59"/>
      <c r="AL289" s="59"/>
      <c r="AM289" s="59"/>
      <c r="AN289" s="542"/>
      <c r="AO289" s="59"/>
      <c r="AP289" s="59"/>
      <c r="AQ289" s="59"/>
      <c r="AR289" s="59"/>
      <c r="AS289" s="542"/>
      <c r="AT289" s="59"/>
      <c r="AU289" s="59"/>
      <c r="AV289" s="59"/>
      <c r="AW289" s="59"/>
      <c r="AX289" s="542"/>
      <c r="BC289" s="542"/>
      <c r="BD289" s="59"/>
      <c r="BE289" s="59"/>
      <c r="BF289" s="59"/>
      <c r="BG289" s="59"/>
      <c r="BH289" s="542"/>
      <c r="BM289" s="542"/>
      <c r="BN289" s="463"/>
      <c r="BO289" s="463"/>
      <c r="BP289" s="463"/>
      <c r="BQ289" s="463"/>
      <c r="BR289" s="644"/>
      <c r="BS289" s="463"/>
      <c r="BT289" s="463"/>
      <c r="BU289" s="463"/>
      <c r="BW289" s="574"/>
      <c r="BY289" s="21"/>
      <c r="CB289" s="574"/>
      <c r="CG289" s="574"/>
      <c r="CL289" s="574"/>
      <c r="CQ289" s="574"/>
    </row>
  </sheetData>
  <dataConsolidate/>
  <pageMargins left="0.15" right="0.15" top="0.3" bottom="0.3" header="0.25" footer="0.25"/>
  <pageSetup scale="16" pageOrder="overThenDown" orientation="portrait" horizontalDpi="1200" verticalDpi="1200" r:id="rId1"/>
  <headerFooter alignWithMargins="0">
    <oddFooter>&amp;R&amp;"Book Antiqua,Regular"&amp;8Daniel Salmon
BMO Capital Markets
 (212) 885-4029</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IG61"/>
  <sheetViews>
    <sheetView showGridLines="0" zoomScaleNormal="100" workbookViewId="0">
      <pane xSplit="5" ySplit="6" topLeftCell="BT7" activePane="bottomRight" state="frozen"/>
      <selection activeCell="E1" sqref="E1"/>
      <selection pane="topRight" activeCell="F1" sqref="F1"/>
      <selection pane="bottomLeft" activeCell="E7" sqref="E7"/>
      <selection pane="bottomRight" activeCell="CO31" sqref="CO31"/>
    </sheetView>
  </sheetViews>
  <sheetFormatPr defaultColWidth="9" defaultRowHeight="12.75" outlineLevelCol="1" x14ac:dyDescent="0.25"/>
  <cols>
    <col min="1" max="4" width="9.33203125" style="2" hidden="1" customWidth="1" outlineLevel="1"/>
    <col min="5" max="5" width="42.33203125" style="6" customWidth="1" collapsed="1"/>
    <col min="6" max="10" width="9.33203125" style="2" customWidth="1"/>
    <col min="11" max="11" width="10.33203125" style="2" customWidth="1"/>
    <col min="12" max="12" width="9.83203125" style="2" customWidth="1"/>
    <col min="13" max="13" width="9.6640625" style="2" customWidth="1"/>
    <col min="14" max="14" width="9.33203125" style="2" customWidth="1"/>
    <col min="15" max="15" width="9.33203125" style="6" customWidth="1"/>
    <col min="16" max="19" width="9.33203125" style="2" customWidth="1"/>
    <col min="20" max="20" width="9.33203125" style="6" customWidth="1"/>
    <col min="21" max="24" width="9.33203125" style="2" customWidth="1"/>
    <col min="25" max="29" width="9.33203125" style="6" customWidth="1"/>
    <col min="30" max="30" width="9.33203125" style="20" customWidth="1"/>
    <col min="31" max="31" width="7.1640625" style="6" customWidth="1"/>
    <col min="32" max="32" width="7.5" style="6" customWidth="1"/>
    <col min="33" max="33" width="7" style="6" customWidth="1"/>
    <col min="34" max="34" width="7.33203125" style="6" customWidth="1"/>
    <col min="35" max="35" width="9.33203125" style="20" customWidth="1"/>
    <col min="36" max="36" width="7.1640625" style="6" customWidth="1"/>
    <col min="37" max="37" width="7.5" style="6" customWidth="1"/>
    <col min="38" max="38" width="7" style="6" customWidth="1"/>
    <col min="39" max="39" width="7.33203125" style="6" customWidth="1"/>
    <col min="40" max="40" width="9.33203125" style="20" customWidth="1"/>
    <col min="41" max="41" width="7.1640625" style="6" customWidth="1"/>
    <col min="42" max="42" width="7.5" style="6" customWidth="1"/>
    <col min="43" max="43" width="7" style="6" customWidth="1"/>
    <col min="44" max="44" width="8.33203125" style="6" customWidth="1"/>
    <col min="45" max="45" width="9.33203125" style="20" customWidth="1"/>
    <col min="46" max="49" width="9.33203125" style="6" customWidth="1"/>
    <col min="50" max="50" width="9.33203125" style="20" customWidth="1"/>
    <col min="51" max="54" width="9.33203125" style="6" customWidth="1"/>
    <col min="55" max="55" width="9.33203125" style="20" customWidth="1"/>
    <col min="56" max="59" width="9.33203125" style="6" customWidth="1"/>
    <col min="60" max="60" width="9.33203125" style="20" customWidth="1"/>
    <col min="61" max="64" width="9.33203125" style="6" customWidth="1"/>
    <col min="65" max="74" width="9.33203125" style="20" customWidth="1"/>
    <col min="75" max="75" width="9.83203125" style="20" customWidth="1"/>
    <col min="76" max="76" width="9.6640625" style="20" customWidth="1"/>
    <col min="77" max="90" width="9.33203125" style="20" customWidth="1"/>
    <col min="91" max="94" width="9" style="20" customWidth="1"/>
    <col min="95" max="16384" width="9" style="20"/>
  </cols>
  <sheetData>
    <row r="1" spans="1:241" s="159" customFormat="1" ht="12.75"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E1" s="2"/>
      <c r="AF1" s="2"/>
      <c r="AG1" s="2"/>
      <c r="AH1" s="2"/>
      <c r="AJ1" s="6"/>
      <c r="AK1" s="2"/>
      <c r="AL1" s="2"/>
      <c r="AM1" s="2"/>
      <c r="AO1" s="2"/>
      <c r="AP1" s="2"/>
      <c r="AQ1" s="2"/>
      <c r="AR1" s="2"/>
      <c r="AT1" s="2"/>
      <c r="AU1" s="2"/>
      <c r="AV1" s="2"/>
      <c r="AW1" s="2"/>
      <c r="AY1" s="2"/>
      <c r="AZ1" s="2"/>
      <c r="BA1" s="2"/>
      <c r="BB1" s="2"/>
      <c r="BD1" s="2"/>
      <c r="BE1" s="2"/>
      <c r="BF1" s="2"/>
      <c r="BG1" s="2"/>
      <c r="BI1" s="2"/>
      <c r="BJ1" s="2"/>
      <c r="BK1" s="2"/>
      <c r="BL1" s="2"/>
      <c r="BZ1" s="678"/>
    </row>
    <row r="2" spans="1:241" ht="12.75" customHeight="1" x14ac:dyDescent="0.25">
      <c r="E2" s="13" t="str">
        <f>Income!E2</f>
        <v>LiveRamp</v>
      </c>
      <c r="BS2" s="114"/>
      <c r="BT2" s="114"/>
      <c r="BU2" s="114"/>
      <c r="BV2" s="114"/>
      <c r="BW2" s="355"/>
      <c r="BX2" s="114"/>
      <c r="BY2" s="114"/>
      <c r="BZ2" s="114"/>
      <c r="CA2" s="114"/>
      <c r="CC2" s="355"/>
      <c r="CD2" s="355"/>
      <c r="CE2" s="355"/>
      <c r="CF2" s="355"/>
      <c r="CH2" s="355"/>
      <c r="CI2" s="355"/>
      <c r="CJ2" s="355"/>
      <c r="CK2" s="355"/>
      <c r="CM2" s="355"/>
      <c r="CN2" s="355"/>
      <c r="CO2" s="355"/>
      <c r="CP2" s="355"/>
      <c r="CQ2" s="114"/>
    </row>
    <row r="3" spans="1:241" ht="13.5" x14ac:dyDescent="0.25">
      <c r="E3" s="13" t="s">
        <v>729</v>
      </c>
      <c r="BM3" s="85"/>
      <c r="BN3" s="21"/>
      <c r="BO3" s="511"/>
      <c r="BS3" s="530"/>
      <c r="BT3" s="530"/>
      <c r="BU3" s="530"/>
      <c r="BV3" s="530"/>
    </row>
    <row r="4" spans="1:241"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row>
    <row r="5" spans="1:241"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c r="EC5" s="20"/>
      <c r="ED5" s="20"/>
      <c r="EE5" s="20"/>
      <c r="EF5" s="20"/>
      <c r="EG5" s="20"/>
      <c r="EH5" s="20"/>
      <c r="EI5" s="20"/>
      <c r="EJ5" s="20"/>
      <c r="EK5" s="20"/>
      <c r="EL5" s="20"/>
      <c r="EM5" s="20"/>
      <c r="EN5" s="20"/>
      <c r="EO5" s="20"/>
      <c r="EP5" s="20"/>
      <c r="EQ5" s="20"/>
      <c r="ER5" s="20"/>
      <c r="ES5" s="20"/>
      <c r="ET5" s="20"/>
      <c r="EU5" s="20"/>
      <c r="EV5" s="20"/>
      <c r="EW5" s="20"/>
      <c r="EX5" s="20"/>
      <c r="EY5" s="20"/>
      <c r="EZ5" s="20"/>
      <c r="FA5" s="20"/>
      <c r="FB5" s="20"/>
      <c r="FC5" s="20"/>
      <c r="FD5" s="20"/>
      <c r="FE5" s="20"/>
      <c r="FF5" s="20"/>
      <c r="FG5" s="20"/>
      <c r="FH5" s="20"/>
      <c r="FI5" s="20"/>
      <c r="FJ5" s="20"/>
      <c r="FK5" s="20"/>
      <c r="FL5" s="20"/>
      <c r="FM5" s="20"/>
      <c r="FN5" s="20"/>
      <c r="FO5" s="20"/>
      <c r="FP5" s="20"/>
      <c r="FQ5" s="20"/>
      <c r="FR5" s="20"/>
      <c r="FS5" s="20"/>
      <c r="FT5" s="20"/>
      <c r="FU5" s="20"/>
      <c r="FV5" s="20"/>
      <c r="FW5" s="20"/>
      <c r="FX5" s="20"/>
      <c r="FY5" s="20"/>
      <c r="FZ5" s="20"/>
      <c r="GA5" s="20"/>
      <c r="GB5" s="20"/>
      <c r="GC5" s="20"/>
      <c r="GD5" s="20"/>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0"/>
      <c r="HJ5" s="20"/>
      <c r="HK5" s="20"/>
      <c r="HL5" s="20"/>
      <c r="HM5" s="20"/>
      <c r="HN5" s="20"/>
      <c r="HO5" s="20"/>
      <c r="HP5" s="20"/>
      <c r="HQ5" s="20"/>
      <c r="HR5" s="20"/>
      <c r="HS5" s="20"/>
      <c r="HT5" s="20"/>
      <c r="HU5" s="20"/>
      <c r="HV5" s="20"/>
      <c r="HW5" s="20"/>
      <c r="HX5" s="20"/>
      <c r="HY5" s="20"/>
      <c r="HZ5" s="20"/>
      <c r="IA5" s="20"/>
      <c r="IB5" s="20"/>
      <c r="IC5" s="20"/>
      <c r="ID5" s="20"/>
      <c r="IE5" s="20"/>
      <c r="IF5" s="20"/>
      <c r="IG5" s="20"/>
    </row>
    <row r="6" spans="1:241" s="113" customFormat="1" ht="12" customHeight="1" x14ac:dyDescent="0.25">
      <c r="A6" s="2"/>
      <c r="B6" s="2"/>
      <c r="C6" s="2"/>
      <c r="D6" s="2"/>
      <c r="E6" s="112" t="str">
        <f>Income!E6</f>
        <v>Calendar quarter</v>
      </c>
      <c r="F6" s="88"/>
      <c r="G6" s="88"/>
      <c r="H6" s="88"/>
      <c r="I6" s="88"/>
      <c r="J6" s="88"/>
      <c r="K6" s="88"/>
      <c r="L6" s="88"/>
      <c r="M6" s="88"/>
      <c r="N6" s="88"/>
      <c r="O6" s="88"/>
      <c r="P6" s="88"/>
      <c r="Q6" s="88"/>
      <c r="R6" s="88"/>
      <c r="S6" s="88"/>
      <c r="T6" s="88"/>
      <c r="U6" s="88"/>
      <c r="V6" s="88"/>
      <c r="W6" s="88"/>
      <c r="X6" s="88"/>
      <c r="Y6" s="88"/>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c r="EC6" s="20"/>
      <c r="ED6" s="20"/>
      <c r="EE6" s="20"/>
      <c r="EF6" s="20"/>
      <c r="EG6" s="20"/>
      <c r="EH6" s="20"/>
      <c r="EI6" s="20"/>
      <c r="EJ6" s="20"/>
      <c r="EK6" s="20"/>
      <c r="EL6" s="20"/>
      <c r="EM6" s="20"/>
      <c r="EN6" s="20"/>
      <c r="EO6" s="20"/>
      <c r="EP6" s="20"/>
      <c r="EQ6" s="20"/>
      <c r="ER6" s="20"/>
      <c r="ES6" s="20"/>
      <c r="ET6" s="20"/>
      <c r="EU6" s="20"/>
      <c r="EV6" s="20"/>
      <c r="EW6" s="20"/>
      <c r="EX6" s="20"/>
      <c r="EY6" s="20"/>
      <c r="EZ6" s="20"/>
      <c r="FA6" s="20"/>
      <c r="FB6" s="20"/>
      <c r="FC6" s="20"/>
      <c r="FD6" s="20"/>
      <c r="FE6" s="20"/>
      <c r="FF6" s="20"/>
      <c r="FG6" s="20"/>
      <c r="FH6" s="20"/>
      <c r="FI6" s="20"/>
      <c r="FJ6" s="20"/>
      <c r="FK6" s="20"/>
      <c r="FL6" s="20"/>
      <c r="FM6" s="20"/>
      <c r="FN6" s="20"/>
      <c r="FO6" s="20"/>
      <c r="FP6" s="20"/>
      <c r="FQ6" s="20"/>
      <c r="FR6" s="20"/>
      <c r="FS6" s="20"/>
      <c r="FT6" s="20"/>
      <c r="FU6" s="20"/>
      <c r="FV6" s="20"/>
      <c r="FW6" s="20"/>
      <c r="FX6" s="20"/>
      <c r="FY6" s="20"/>
      <c r="FZ6" s="20"/>
      <c r="GA6" s="20"/>
      <c r="GB6" s="20"/>
      <c r="GC6" s="20"/>
      <c r="GD6" s="20"/>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0"/>
      <c r="HJ6" s="20"/>
      <c r="HK6" s="20"/>
      <c r="HL6" s="20"/>
      <c r="HM6" s="20"/>
      <c r="HN6" s="20"/>
      <c r="HO6" s="20"/>
      <c r="HP6" s="20"/>
      <c r="HQ6" s="20"/>
      <c r="HR6" s="20"/>
      <c r="HS6" s="20"/>
      <c r="HT6" s="20"/>
      <c r="HU6" s="20"/>
      <c r="HV6" s="20"/>
      <c r="HW6" s="20"/>
      <c r="HX6" s="20"/>
      <c r="HY6" s="20"/>
      <c r="HZ6" s="20"/>
      <c r="IA6" s="20"/>
      <c r="IB6" s="20"/>
      <c r="IC6" s="20"/>
      <c r="ID6" s="20"/>
      <c r="IE6" s="20"/>
      <c r="IF6" s="20"/>
      <c r="IG6" s="20"/>
    </row>
    <row r="7" spans="1:241" s="113" customFormat="1" ht="3.75" customHeight="1" x14ac:dyDescent="0.25">
      <c r="A7" s="2"/>
      <c r="B7" s="2"/>
      <c r="C7" s="2"/>
      <c r="D7" s="2"/>
      <c r="E7" s="40"/>
      <c r="F7" s="106"/>
      <c r="G7" s="106"/>
      <c r="H7" s="106"/>
      <c r="I7" s="106"/>
      <c r="J7" s="106"/>
      <c r="K7" s="41"/>
      <c r="L7" s="41"/>
      <c r="M7" s="41"/>
      <c r="N7" s="41"/>
      <c r="O7" s="106"/>
      <c r="P7" s="41"/>
      <c r="Q7" s="41"/>
      <c r="R7" s="41"/>
      <c r="S7" s="41"/>
      <c r="T7" s="106"/>
      <c r="U7" s="41"/>
      <c r="V7" s="41"/>
      <c r="W7" s="41"/>
      <c r="X7" s="41"/>
      <c r="Y7" s="106"/>
      <c r="Z7" s="41"/>
      <c r="AA7" s="41"/>
      <c r="AB7" s="41"/>
      <c r="AC7" s="41"/>
      <c r="AD7" s="106"/>
      <c r="AE7" s="41"/>
      <c r="AF7" s="41"/>
      <c r="AG7" s="41"/>
      <c r="AH7" s="41"/>
      <c r="AI7" s="106"/>
      <c r="AJ7" s="41"/>
      <c r="AK7" s="41"/>
      <c r="AL7" s="41"/>
      <c r="AM7" s="41"/>
      <c r="AN7" s="106"/>
      <c r="AO7" s="41"/>
      <c r="AP7" s="41"/>
      <c r="AQ7" s="41"/>
      <c r="AR7" s="41"/>
      <c r="AS7" s="106"/>
      <c r="AT7" s="41"/>
      <c r="AU7" s="41"/>
      <c r="AV7" s="41"/>
      <c r="AW7" s="41"/>
      <c r="AX7" s="106"/>
      <c r="AY7" s="41"/>
      <c r="AZ7" s="41"/>
      <c r="BA7" s="41"/>
      <c r="BB7" s="41"/>
      <c r="BC7" s="106"/>
      <c r="BD7" s="41"/>
      <c r="BE7" s="41"/>
      <c r="BF7" s="41"/>
      <c r="BG7" s="41"/>
      <c r="BH7" s="106"/>
      <c r="BI7" s="41"/>
      <c r="BJ7" s="41"/>
      <c r="BK7" s="41"/>
      <c r="BL7" s="41"/>
      <c r="BM7" s="106"/>
      <c r="BN7" s="41"/>
      <c r="BO7" s="41"/>
      <c r="BP7" s="41"/>
      <c r="BQ7" s="41"/>
      <c r="BR7" s="106"/>
      <c r="BS7" s="41"/>
      <c r="BT7" s="41"/>
      <c r="BU7" s="41"/>
      <c r="BV7" s="41"/>
      <c r="BW7" s="106"/>
      <c r="BX7" s="41"/>
      <c r="BY7" s="41"/>
      <c r="BZ7" s="41"/>
      <c r="CA7" s="41"/>
      <c r="CB7" s="106"/>
      <c r="CC7" s="19"/>
      <c r="CD7" s="19"/>
      <c r="CE7" s="19"/>
      <c r="CF7" s="19"/>
      <c r="CG7" s="88"/>
      <c r="CH7" s="19"/>
      <c r="CI7" s="19"/>
      <c r="CJ7" s="19"/>
      <c r="CK7" s="19"/>
      <c r="CL7" s="88"/>
      <c r="CM7" s="19"/>
      <c r="CN7" s="19"/>
      <c r="CO7" s="19"/>
      <c r="CP7" s="19"/>
      <c r="CQ7" s="88"/>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0"/>
      <c r="HJ7" s="20"/>
      <c r="HK7" s="20"/>
      <c r="HL7" s="20"/>
      <c r="HM7" s="20"/>
      <c r="HN7" s="20"/>
      <c r="HO7" s="20"/>
      <c r="HP7" s="20"/>
      <c r="HQ7" s="20"/>
      <c r="HR7" s="20"/>
      <c r="HS7" s="20"/>
      <c r="HT7" s="20"/>
      <c r="HU7" s="20"/>
      <c r="HV7" s="20"/>
      <c r="HW7" s="20"/>
      <c r="HX7" s="20"/>
      <c r="HY7" s="20"/>
      <c r="HZ7" s="20"/>
      <c r="IA7" s="20"/>
      <c r="IB7" s="20"/>
      <c r="IC7" s="20"/>
      <c r="ID7" s="20"/>
      <c r="IE7" s="20"/>
      <c r="IF7" s="20"/>
      <c r="IG7" s="20"/>
    </row>
    <row r="8" spans="1:241" ht="13.5" x14ac:dyDescent="0.25">
      <c r="E8" s="54" t="s">
        <v>632</v>
      </c>
      <c r="F8" s="185"/>
      <c r="G8" s="185"/>
      <c r="H8" s="185"/>
      <c r="I8" s="185"/>
      <c r="J8" s="185"/>
      <c r="K8" s="122"/>
      <c r="L8" s="122"/>
      <c r="M8" s="122"/>
      <c r="N8" s="122"/>
      <c r="O8" s="161"/>
      <c r="P8" s="122"/>
      <c r="Q8" s="122"/>
      <c r="R8" s="122"/>
      <c r="S8" s="122"/>
      <c r="T8" s="161"/>
      <c r="U8" s="122"/>
      <c r="V8" s="122"/>
      <c r="W8" s="122"/>
      <c r="X8" s="122"/>
      <c r="Y8" s="161"/>
      <c r="Z8" s="128"/>
      <c r="AA8" s="128"/>
      <c r="AB8" s="128"/>
      <c r="AC8" s="128"/>
      <c r="AD8" s="161"/>
      <c r="AE8" s="128"/>
      <c r="AF8" s="128"/>
      <c r="AG8" s="128"/>
      <c r="AH8" s="128"/>
      <c r="AI8" s="140"/>
      <c r="AJ8" s="85"/>
      <c r="AK8" s="85"/>
      <c r="AL8" s="85"/>
      <c r="AM8" s="85"/>
      <c r="AN8" s="140"/>
      <c r="AO8" s="85"/>
      <c r="AP8" s="85"/>
      <c r="AQ8" s="85"/>
      <c r="AR8" s="364"/>
      <c r="AS8" s="161"/>
      <c r="AT8" s="197"/>
      <c r="AU8" s="197"/>
      <c r="AV8" s="197"/>
      <c r="AW8" s="197"/>
      <c r="AX8" s="161"/>
      <c r="AY8" s="157"/>
      <c r="AZ8" s="197"/>
      <c r="BA8" s="197"/>
      <c r="BB8" s="157"/>
      <c r="BC8" s="161"/>
      <c r="BD8" s="157"/>
      <c r="BE8" s="157"/>
      <c r="BF8" s="157"/>
      <c r="BG8" s="157"/>
      <c r="BH8" s="161"/>
      <c r="BI8" s="157"/>
      <c r="BJ8" s="157"/>
      <c r="BK8" s="157"/>
      <c r="BL8" s="157"/>
      <c r="BM8" s="545">
        <v>418</v>
      </c>
      <c r="BN8" s="417">
        <v>98.088999999999999</v>
      </c>
      <c r="BO8" s="417">
        <v>98.802000000000007</v>
      </c>
      <c r="BP8" s="417">
        <v>103.145</v>
      </c>
      <c r="BQ8" s="417">
        <v>100.352</v>
      </c>
      <c r="BR8" s="161">
        <f>SUM(BN8:BQ8)</f>
        <v>400.38800000000003</v>
      </c>
      <c r="BS8" s="417">
        <v>98.513999999999996</v>
      </c>
      <c r="BT8" s="417">
        <v>103.045</v>
      </c>
      <c r="BU8" s="417">
        <v>105.738</v>
      </c>
      <c r="BV8" s="417">
        <v>104.355</v>
      </c>
      <c r="BW8" s="161">
        <f>SUM(BS8:BV8)</f>
        <v>411.65200000000004</v>
      </c>
      <c r="BX8" s="417">
        <v>102.35599999999999</v>
      </c>
      <c r="BY8" s="417">
        <v>97.789000000000001</v>
      </c>
      <c r="BZ8" s="417">
        <v>92.837999999999994</v>
      </c>
      <c r="CA8" s="417">
        <v>87.382999999999996</v>
      </c>
      <c r="CB8" s="161">
        <f>SUM(BX8:CA8)</f>
        <v>380.36599999999993</v>
      </c>
      <c r="CC8" s="417">
        <v>84.671000000000006</v>
      </c>
      <c r="CD8" s="417">
        <v>87.004999999999995</v>
      </c>
      <c r="CE8" s="417">
        <v>87.563000000000002</v>
      </c>
      <c r="CF8" s="417">
        <v>90.6</v>
      </c>
      <c r="CG8" s="161">
        <f>SUM(CC8:CF8)</f>
        <v>349.83899999999994</v>
      </c>
      <c r="CH8" s="439"/>
      <c r="CI8" s="439"/>
      <c r="CJ8" s="439"/>
      <c r="CK8" s="439"/>
      <c r="CL8" s="161"/>
      <c r="CM8" s="439"/>
      <c r="CN8" s="439"/>
      <c r="CO8" s="439"/>
      <c r="CP8" s="439"/>
      <c r="CQ8" s="161"/>
    </row>
    <row r="9" spans="1:241" ht="13.5" x14ac:dyDescent="0.25">
      <c r="E9" s="91" t="s">
        <v>2</v>
      </c>
      <c r="F9" s="448"/>
      <c r="G9" s="448"/>
      <c r="H9" s="448"/>
      <c r="I9" s="448"/>
      <c r="J9" s="448"/>
      <c r="K9" s="126"/>
      <c r="L9" s="126"/>
      <c r="M9" s="126"/>
      <c r="N9" s="126"/>
      <c r="O9" s="449"/>
      <c r="P9" s="126"/>
      <c r="Q9" s="126"/>
      <c r="R9" s="126"/>
      <c r="S9" s="126"/>
      <c r="T9" s="449"/>
      <c r="U9" s="126"/>
      <c r="V9" s="126"/>
      <c r="W9" s="126"/>
      <c r="X9" s="126"/>
      <c r="Y9" s="449"/>
      <c r="Z9" s="450"/>
      <c r="AA9" s="450"/>
      <c r="AB9" s="450"/>
      <c r="AC9" s="450"/>
      <c r="AD9" s="449"/>
      <c r="AE9" s="450"/>
      <c r="AF9" s="450"/>
      <c r="AG9" s="450"/>
      <c r="AH9" s="450"/>
      <c r="AI9" s="370"/>
      <c r="AJ9" s="91"/>
      <c r="AK9" s="91"/>
      <c r="AL9" s="91"/>
      <c r="AM9" s="91"/>
      <c r="AN9" s="370"/>
      <c r="AO9" s="91"/>
      <c r="AP9" s="91"/>
      <c r="AQ9" s="91"/>
      <c r="AR9" s="451"/>
      <c r="AS9" s="449"/>
      <c r="AT9" s="454"/>
      <c r="AU9" s="454"/>
      <c r="AV9" s="454"/>
      <c r="AW9" s="454"/>
      <c r="AX9" s="449"/>
      <c r="AY9" s="559"/>
      <c r="AZ9" s="454"/>
      <c r="BA9" s="454"/>
      <c r="BB9" s="559"/>
      <c r="BC9" s="449"/>
      <c r="BD9" s="559"/>
      <c r="BE9" s="559"/>
      <c r="BF9" s="559"/>
      <c r="BG9" s="559"/>
      <c r="BH9" s="449"/>
      <c r="BI9" s="559"/>
      <c r="BJ9" s="559"/>
      <c r="BK9" s="559"/>
      <c r="BL9" s="559"/>
      <c r="BM9" s="449"/>
      <c r="BN9" s="517" t="s">
        <v>490</v>
      </c>
      <c r="BO9" s="517" t="s">
        <v>490</v>
      </c>
      <c r="BP9" s="517" t="s">
        <v>490</v>
      </c>
      <c r="BQ9" s="517" t="s">
        <v>490</v>
      </c>
      <c r="BR9" s="356">
        <f t="shared" ref="BR9:CC9" si="0">BR8/BM8-1</f>
        <v>-4.2133971291865913E-2</v>
      </c>
      <c r="BS9" s="183">
        <f t="shared" si="0"/>
        <v>4.3327998042592686E-3</v>
      </c>
      <c r="BT9" s="183">
        <f t="shared" si="0"/>
        <v>4.2944474808202182E-2</v>
      </c>
      <c r="BU9" s="183">
        <f t="shared" si="0"/>
        <v>2.5139366910659877E-2</v>
      </c>
      <c r="BV9" s="183">
        <f t="shared" si="0"/>
        <v>3.9889588647959107E-2</v>
      </c>
      <c r="BW9" s="356">
        <f t="shared" si="0"/>
        <v>2.8132711270068E-2</v>
      </c>
      <c r="BX9" s="183">
        <f t="shared" si="0"/>
        <v>3.899953306129067E-2</v>
      </c>
      <c r="BY9" s="183">
        <f t="shared" si="0"/>
        <v>-5.1006841671114578E-2</v>
      </c>
      <c r="BZ9" s="183">
        <f t="shared" si="0"/>
        <v>-0.12199965953583392</v>
      </c>
      <c r="CA9" s="183">
        <f t="shared" si="0"/>
        <v>-0.16263715202913143</v>
      </c>
      <c r="CB9" s="356">
        <f t="shared" si="0"/>
        <v>-7.600108829788299E-2</v>
      </c>
      <c r="CC9" s="183">
        <f t="shared" si="0"/>
        <v>-0.17277931923873524</v>
      </c>
      <c r="CD9" s="183">
        <f>CD8/BY8-1</f>
        <v>-0.11027825215515041</v>
      </c>
      <c r="CE9" s="183">
        <f>CE8/BZ8-1</f>
        <v>-5.681940584674372E-2</v>
      </c>
      <c r="CF9" s="183">
        <f>CF8/CA8-1</f>
        <v>3.6814941121270817E-2</v>
      </c>
      <c r="CG9" s="356">
        <f>CG8/CB8-1</f>
        <v>-8.0256910449409191E-2</v>
      </c>
      <c r="CH9" s="453"/>
      <c r="CI9" s="453"/>
      <c r="CJ9" s="453"/>
      <c r="CK9" s="453"/>
      <c r="CL9" s="356"/>
      <c r="CM9" s="727"/>
      <c r="CN9" s="727"/>
      <c r="CO9" s="727"/>
      <c r="CP9" s="727"/>
      <c r="CQ9" s="356"/>
    </row>
    <row r="10" spans="1:241" ht="3.75" customHeight="1" x14ac:dyDescent="0.25">
      <c r="E10" s="91"/>
      <c r="F10" s="185"/>
      <c r="G10" s="185"/>
      <c r="H10" s="185"/>
      <c r="I10" s="185"/>
      <c r="J10" s="185"/>
      <c r="K10" s="122"/>
      <c r="L10" s="122"/>
      <c r="M10" s="122"/>
      <c r="N10" s="122"/>
      <c r="O10" s="161"/>
      <c r="P10" s="122"/>
      <c r="Q10" s="122"/>
      <c r="R10" s="122"/>
      <c r="S10" s="122"/>
      <c r="T10" s="161"/>
      <c r="U10" s="122"/>
      <c r="V10" s="122"/>
      <c r="W10" s="122"/>
      <c r="X10" s="122"/>
      <c r="Y10" s="161"/>
      <c r="Z10" s="128"/>
      <c r="AA10" s="128"/>
      <c r="AB10" s="128"/>
      <c r="AC10" s="128"/>
      <c r="AD10" s="161"/>
      <c r="AE10" s="128"/>
      <c r="AF10" s="128"/>
      <c r="AG10" s="128"/>
      <c r="AH10" s="128"/>
      <c r="AI10" s="140"/>
      <c r="AJ10" s="85"/>
      <c r="AK10" s="85"/>
      <c r="AL10" s="85"/>
      <c r="AM10" s="85"/>
      <c r="AN10" s="140"/>
      <c r="AO10" s="85"/>
      <c r="AP10" s="85"/>
      <c r="AQ10" s="85"/>
      <c r="AR10" s="364"/>
      <c r="AS10" s="161"/>
      <c r="AT10" s="197"/>
      <c r="AU10" s="197"/>
      <c r="AV10" s="197"/>
      <c r="AW10" s="197"/>
      <c r="AX10" s="161"/>
      <c r="AY10" s="157"/>
      <c r="AZ10" s="197"/>
      <c r="BA10" s="197"/>
      <c r="BB10" s="157"/>
      <c r="BC10" s="161"/>
      <c r="BD10" s="157"/>
      <c r="BE10" s="157"/>
      <c r="BF10" s="157"/>
      <c r="BG10" s="157"/>
      <c r="BH10" s="161"/>
      <c r="BI10" s="157"/>
      <c r="BJ10" s="157"/>
      <c r="BK10" s="157"/>
      <c r="BL10" s="157"/>
      <c r="BM10" s="161"/>
      <c r="BN10" s="157"/>
      <c r="BO10" s="157"/>
      <c r="BP10" s="157"/>
      <c r="BQ10" s="157"/>
      <c r="BR10" s="161"/>
      <c r="BS10" s="157"/>
      <c r="BT10" s="157"/>
      <c r="BU10" s="157"/>
      <c r="BV10" s="157"/>
      <c r="BW10" s="161"/>
      <c r="BX10" s="157"/>
      <c r="BY10" s="157"/>
      <c r="BZ10" s="157"/>
      <c r="CA10" s="157"/>
      <c r="CB10" s="161"/>
      <c r="CC10" s="157"/>
      <c r="CD10" s="157"/>
      <c r="CE10" s="157"/>
      <c r="CF10" s="157"/>
      <c r="CG10" s="161"/>
      <c r="CH10" s="157"/>
      <c r="CI10" s="157"/>
      <c r="CJ10" s="157"/>
      <c r="CK10" s="157"/>
      <c r="CL10" s="161"/>
      <c r="CM10" s="157"/>
      <c r="CN10" s="157"/>
      <c r="CO10" s="157"/>
      <c r="CP10" s="157"/>
      <c r="CQ10" s="161"/>
    </row>
    <row r="11" spans="1:241" ht="13.5" x14ac:dyDescent="0.25">
      <c r="E11" s="54" t="s">
        <v>631</v>
      </c>
      <c r="F11" s="185"/>
      <c r="G11" s="185"/>
      <c r="H11" s="185"/>
      <c r="I11" s="185"/>
      <c r="J11" s="185"/>
      <c r="K11" s="122"/>
      <c r="L11" s="122"/>
      <c r="M11" s="122"/>
      <c r="N11" s="122"/>
      <c r="O11" s="161"/>
      <c r="P11" s="122"/>
      <c r="Q11" s="122"/>
      <c r="R11" s="122"/>
      <c r="S11" s="122"/>
      <c r="T11" s="161"/>
      <c r="U11" s="122"/>
      <c r="V11" s="122"/>
      <c r="W11" s="122"/>
      <c r="X11" s="122"/>
      <c r="Y11" s="161"/>
      <c r="Z11" s="128"/>
      <c r="AA11" s="128"/>
      <c r="AB11" s="128"/>
      <c r="AC11" s="128"/>
      <c r="AD11" s="161"/>
      <c r="AE11" s="128"/>
      <c r="AF11" s="128"/>
      <c r="AG11" s="128"/>
      <c r="AH11" s="128"/>
      <c r="AI11" s="140"/>
      <c r="AJ11" s="85"/>
      <c r="AK11" s="85"/>
      <c r="AL11" s="85"/>
      <c r="AM11" s="85"/>
      <c r="AN11" s="140"/>
      <c r="AO11" s="85"/>
      <c r="AP11" s="85"/>
      <c r="AQ11" s="85"/>
      <c r="AR11" s="364"/>
      <c r="AS11" s="161"/>
      <c r="AT11" s="197"/>
      <c r="AU11" s="197"/>
      <c r="AV11" s="197"/>
      <c r="AW11" s="197"/>
      <c r="AX11" s="161"/>
      <c r="AY11" s="157"/>
      <c r="AZ11" s="197"/>
      <c r="BA11" s="197"/>
      <c r="BB11" s="157"/>
      <c r="BC11" s="161"/>
      <c r="BD11" s="157"/>
      <c r="BE11" s="157"/>
      <c r="BF11" s="157"/>
      <c r="BG11" s="157"/>
      <c r="BH11" s="161"/>
      <c r="BI11" s="157"/>
      <c r="BJ11" s="157"/>
      <c r="BK11" s="157"/>
      <c r="BL11" s="157"/>
      <c r="BM11" s="545">
        <v>48</v>
      </c>
      <c r="BN11" s="417">
        <v>11.199</v>
      </c>
      <c r="BO11" s="417">
        <v>13.948</v>
      </c>
      <c r="BP11" s="417">
        <v>11.257999999999999</v>
      </c>
      <c r="BQ11" s="417">
        <v>9.31</v>
      </c>
      <c r="BR11" s="161">
        <f>SUM(BN11:BQ11)</f>
        <v>45.715000000000003</v>
      </c>
      <c r="BS11" s="417">
        <v>9.2119999999999997</v>
      </c>
      <c r="BT11" s="417">
        <v>9.9350000000000005</v>
      </c>
      <c r="BU11" s="417">
        <v>9.9870000000000001</v>
      </c>
      <c r="BV11" s="417">
        <v>8.9870000000000001</v>
      </c>
      <c r="BW11" s="161">
        <f>SUM(BS11:BV11)</f>
        <v>38.121000000000002</v>
      </c>
      <c r="BX11" s="439">
        <f>BX14-BX8</f>
        <v>7.3590000000000089</v>
      </c>
      <c r="BY11" s="439">
        <f>BY14-BY8</f>
        <v>7.8900000000000006</v>
      </c>
      <c r="BZ11" s="439">
        <f>BZ14-BZ8</f>
        <v>8.3390000000000128</v>
      </c>
      <c r="CA11" s="439">
        <f>CA14-CA8</f>
        <v>6.8860000000000099</v>
      </c>
      <c r="CB11" s="161">
        <f>SUM(BX11:CA11)</f>
        <v>30.474000000000032</v>
      </c>
      <c r="CC11" s="439">
        <f>CC14-CC8</f>
        <v>6.9229999999999876</v>
      </c>
      <c r="CD11" s="439">
        <f>CD14-CD8</f>
        <v>7.0370000000000061</v>
      </c>
      <c r="CE11" s="439">
        <f>CE14-CE8</f>
        <v>6.8939999999999912</v>
      </c>
      <c r="CF11" s="439">
        <f>CF14-CF8</f>
        <v>8.3539999999999992</v>
      </c>
      <c r="CG11" s="161">
        <f>SUM(CC11:CF11)</f>
        <v>29.207999999999984</v>
      </c>
      <c r="CH11" s="439"/>
      <c r="CI11" s="439"/>
      <c r="CJ11" s="439"/>
      <c r="CK11" s="439"/>
      <c r="CL11" s="161"/>
      <c r="CM11" s="439"/>
      <c r="CN11" s="439"/>
      <c r="CO11" s="439"/>
      <c r="CP11" s="439"/>
      <c r="CQ11" s="161"/>
    </row>
    <row r="12" spans="1:241" ht="13.5" x14ac:dyDescent="0.25">
      <c r="E12" s="91" t="s">
        <v>2</v>
      </c>
      <c r="F12" s="448"/>
      <c r="G12" s="448"/>
      <c r="H12" s="448"/>
      <c r="I12" s="448"/>
      <c r="J12" s="448"/>
      <c r="K12" s="126"/>
      <c r="L12" s="126"/>
      <c r="M12" s="126"/>
      <c r="N12" s="126"/>
      <c r="O12" s="449"/>
      <c r="P12" s="126"/>
      <c r="Q12" s="126"/>
      <c r="R12" s="126"/>
      <c r="S12" s="126"/>
      <c r="T12" s="449"/>
      <c r="U12" s="126"/>
      <c r="V12" s="126"/>
      <c r="W12" s="126"/>
      <c r="X12" s="126"/>
      <c r="Y12" s="449"/>
      <c r="Z12" s="450"/>
      <c r="AA12" s="450"/>
      <c r="AB12" s="450"/>
      <c r="AC12" s="450"/>
      <c r="AD12" s="449"/>
      <c r="AE12" s="450"/>
      <c r="AF12" s="450"/>
      <c r="AG12" s="450"/>
      <c r="AH12" s="450"/>
      <c r="AI12" s="370"/>
      <c r="AJ12" s="91"/>
      <c r="AK12" s="91"/>
      <c r="AL12" s="91"/>
      <c r="AM12" s="91"/>
      <c r="AN12" s="370"/>
      <c r="AO12" s="91"/>
      <c r="AP12" s="91"/>
      <c r="AQ12" s="91"/>
      <c r="AR12" s="451"/>
      <c r="AS12" s="449"/>
      <c r="AT12" s="454"/>
      <c r="AU12" s="454"/>
      <c r="AV12" s="454"/>
      <c r="AW12" s="454"/>
      <c r="AX12" s="449"/>
      <c r="AY12" s="559"/>
      <c r="AZ12" s="454"/>
      <c r="BA12" s="454"/>
      <c r="BB12" s="559"/>
      <c r="BC12" s="449"/>
      <c r="BD12" s="559"/>
      <c r="BE12" s="559"/>
      <c r="BF12" s="559"/>
      <c r="BG12" s="559"/>
      <c r="BH12" s="449"/>
      <c r="BI12" s="559"/>
      <c r="BJ12" s="559"/>
      <c r="BK12" s="559"/>
      <c r="BL12" s="559"/>
      <c r="BM12" s="449"/>
      <c r="BN12" s="517" t="s">
        <v>490</v>
      </c>
      <c r="BO12" s="517" t="s">
        <v>490</v>
      </c>
      <c r="BP12" s="517" t="s">
        <v>490</v>
      </c>
      <c r="BQ12" s="517" t="s">
        <v>490</v>
      </c>
      <c r="BR12" s="356">
        <f t="shared" ref="BR12:CC12" si="1">BR11/BM11-1</f>
        <v>-4.7604166666666559E-2</v>
      </c>
      <c r="BS12" s="183">
        <f t="shared" si="1"/>
        <v>-0.1774265559424949</v>
      </c>
      <c r="BT12" s="183">
        <f t="shared" si="1"/>
        <v>-0.28771149985661026</v>
      </c>
      <c r="BU12" s="183">
        <f t="shared" si="1"/>
        <v>-0.11289749511458513</v>
      </c>
      <c r="BV12" s="183">
        <f t="shared" si="1"/>
        <v>-3.4693877551020491E-2</v>
      </c>
      <c r="BW12" s="356">
        <f t="shared" si="1"/>
        <v>-0.16611615443508698</v>
      </c>
      <c r="BX12" s="183">
        <f t="shared" si="1"/>
        <v>-0.20115067303517054</v>
      </c>
      <c r="BY12" s="183">
        <f t="shared" si="1"/>
        <v>-0.20583794665324606</v>
      </c>
      <c r="BZ12" s="183">
        <f t="shared" si="1"/>
        <v>-0.16501451887453567</v>
      </c>
      <c r="CA12" s="183">
        <f t="shared" si="1"/>
        <v>-0.23378212974296098</v>
      </c>
      <c r="CB12" s="356">
        <f t="shared" si="1"/>
        <v>-0.20059809553789165</v>
      </c>
      <c r="CC12" s="183">
        <f t="shared" si="1"/>
        <v>-5.924718032341636E-2</v>
      </c>
      <c r="CD12" s="183">
        <f>CD11/BY11-1</f>
        <v>-0.10811153358681802</v>
      </c>
      <c r="CE12" s="183">
        <f>CE11/BZ11-1</f>
        <v>-0.17328216812567687</v>
      </c>
      <c r="CF12" s="183">
        <f>CF11/CA11-1</f>
        <v>0.21318617484751479</v>
      </c>
      <c r="CG12" s="356">
        <f>CG11/CB11-1</f>
        <v>-4.1543610947038401E-2</v>
      </c>
      <c r="CH12" s="453"/>
      <c r="CI12" s="453"/>
      <c r="CJ12" s="453"/>
      <c r="CK12" s="453"/>
      <c r="CL12" s="356"/>
      <c r="CM12" s="453"/>
      <c r="CN12" s="453"/>
      <c r="CO12" s="453"/>
      <c r="CP12" s="453"/>
      <c r="CQ12" s="356"/>
    </row>
    <row r="13" spans="1:241" ht="3.75" customHeight="1" x14ac:dyDescent="0.25">
      <c r="E13" s="91"/>
      <c r="F13" s="185"/>
      <c r="G13" s="185"/>
      <c r="H13" s="185"/>
      <c r="I13" s="185"/>
      <c r="J13" s="185"/>
      <c r="K13" s="122"/>
      <c r="L13" s="122"/>
      <c r="M13" s="122"/>
      <c r="N13" s="122"/>
      <c r="O13" s="161"/>
      <c r="P13" s="122"/>
      <c r="Q13" s="122"/>
      <c r="R13" s="122"/>
      <c r="S13" s="122"/>
      <c r="T13" s="161"/>
      <c r="U13" s="122"/>
      <c r="V13" s="122"/>
      <c r="W13" s="122"/>
      <c r="X13" s="122"/>
      <c r="Y13" s="161"/>
      <c r="Z13" s="128"/>
      <c r="AA13" s="128"/>
      <c r="AB13" s="128"/>
      <c r="AC13" s="128"/>
      <c r="AD13" s="161"/>
      <c r="AE13" s="128"/>
      <c r="AF13" s="128"/>
      <c r="AG13" s="128"/>
      <c r="AH13" s="128"/>
      <c r="AI13" s="140"/>
      <c r="AJ13" s="85"/>
      <c r="AK13" s="85"/>
      <c r="AL13" s="85"/>
      <c r="AM13" s="85"/>
      <c r="AN13" s="140"/>
      <c r="AO13" s="85"/>
      <c r="AP13" s="85"/>
      <c r="AQ13" s="85"/>
      <c r="AR13" s="364"/>
      <c r="AS13" s="161"/>
      <c r="AT13" s="197"/>
      <c r="AU13" s="197"/>
      <c r="AV13" s="197"/>
      <c r="AW13" s="197"/>
      <c r="AX13" s="161"/>
      <c r="AY13" s="157"/>
      <c r="AZ13" s="197"/>
      <c r="BA13" s="197"/>
      <c r="BB13" s="157"/>
      <c r="BC13" s="161"/>
      <c r="BD13" s="157"/>
      <c r="BE13" s="157"/>
      <c r="BF13" s="157"/>
      <c r="BG13" s="157"/>
      <c r="BH13" s="161"/>
      <c r="BI13" s="157"/>
      <c r="BJ13" s="157"/>
      <c r="BK13" s="157"/>
      <c r="BL13" s="157"/>
      <c r="BM13" s="161"/>
      <c r="BN13" s="157"/>
      <c r="BO13" s="157"/>
      <c r="BP13" s="157"/>
      <c r="BQ13" s="157"/>
      <c r="BR13" s="161"/>
      <c r="BS13" s="157"/>
      <c r="BT13" s="157"/>
      <c r="BU13" s="157"/>
      <c r="BV13" s="157"/>
      <c r="BW13" s="161"/>
      <c r="BX13" s="157"/>
      <c r="BY13" s="157"/>
      <c r="BZ13" s="157"/>
      <c r="CA13" s="157"/>
      <c r="CB13" s="161"/>
      <c r="CC13" s="157"/>
      <c r="CD13" s="157"/>
      <c r="CE13" s="157"/>
      <c r="CF13" s="157"/>
      <c r="CG13" s="161"/>
      <c r="CH13" s="157"/>
      <c r="CI13" s="157"/>
      <c r="CJ13" s="157"/>
      <c r="CK13" s="157"/>
      <c r="CL13" s="161"/>
      <c r="CM13" s="157"/>
      <c r="CN13" s="157"/>
      <c r="CO13" s="157"/>
      <c r="CP13" s="157"/>
      <c r="CQ13" s="161"/>
    </row>
    <row r="14" spans="1:241" ht="13.5" x14ac:dyDescent="0.25">
      <c r="E14" s="536" t="s">
        <v>640</v>
      </c>
      <c r="F14" s="537"/>
      <c r="G14" s="537"/>
      <c r="H14" s="537"/>
      <c r="I14" s="537"/>
      <c r="J14" s="537"/>
      <c r="K14" s="537"/>
      <c r="L14" s="537"/>
      <c r="M14" s="537"/>
      <c r="N14" s="537"/>
      <c r="O14" s="538"/>
      <c r="P14" s="537"/>
      <c r="Q14" s="537"/>
      <c r="R14" s="537"/>
      <c r="S14" s="539"/>
      <c r="T14" s="538"/>
      <c r="U14" s="537"/>
      <c r="V14" s="537"/>
      <c r="W14" s="537"/>
      <c r="X14" s="537"/>
      <c r="Y14" s="538"/>
      <c r="Z14" s="538"/>
      <c r="AA14" s="538"/>
      <c r="AB14" s="538"/>
      <c r="AC14" s="538"/>
      <c r="AD14" s="538"/>
      <c r="AE14" s="538"/>
      <c r="AF14" s="538"/>
      <c r="AG14" s="538"/>
      <c r="AH14" s="538"/>
      <c r="AI14" s="538"/>
      <c r="AJ14" s="538"/>
      <c r="AK14" s="538"/>
      <c r="AL14" s="538"/>
      <c r="AM14" s="538"/>
      <c r="AN14" s="538"/>
      <c r="AO14" s="538"/>
      <c r="AP14" s="538"/>
      <c r="AQ14" s="538"/>
      <c r="AR14" s="538"/>
      <c r="AS14" s="538"/>
      <c r="AT14" s="538"/>
      <c r="AU14" s="538"/>
      <c r="AV14" s="538"/>
      <c r="AW14" s="538"/>
      <c r="AX14" s="538"/>
      <c r="AY14" s="538"/>
      <c r="AZ14" s="538"/>
      <c r="BA14" s="538"/>
      <c r="BB14" s="538"/>
      <c r="BC14" s="538"/>
      <c r="BD14" s="538"/>
      <c r="BE14" s="538"/>
      <c r="BF14" s="538"/>
      <c r="BG14" s="538"/>
      <c r="BH14" s="538"/>
      <c r="BI14" s="545">
        <v>111.3</v>
      </c>
      <c r="BJ14" s="545">
        <v>114.3</v>
      </c>
      <c r="BK14" s="545">
        <v>118.2</v>
      </c>
      <c r="BL14" s="545">
        <v>119.2</v>
      </c>
      <c r="BM14" s="540">
        <f>BM8+BM11</f>
        <v>466</v>
      </c>
      <c r="BN14" s="540">
        <f>BN8+BN11</f>
        <v>109.288</v>
      </c>
      <c r="BO14" s="540">
        <f>BO8+BO11</f>
        <v>112.75</v>
      </c>
      <c r="BP14" s="540">
        <f>BP8+BP11</f>
        <v>114.40299999999999</v>
      </c>
      <c r="BQ14" s="540">
        <f>BQ8+BQ11</f>
        <v>109.66200000000001</v>
      </c>
      <c r="BR14" s="540">
        <f>SUM(BN14:BQ14)</f>
        <v>446.10300000000007</v>
      </c>
      <c r="BS14" s="540">
        <f>BS8+BS11</f>
        <v>107.726</v>
      </c>
      <c r="BT14" s="540">
        <f>BT8+BT11</f>
        <v>112.98</v>
      </c>
      <c r="BU14" s="540">
        <f>BU8+BU11</f>
        <v>115.72499999999999</v>
      </c>
      <c r="BV14" s="540">
        <f>BV8+BV11</f>
        <v>113.342</v>
      </c>
      <c r="BW14" s="540">
        <f>SUM(BS14:BV14)</f>
        <v>449.77300000000002</v>
      </c>
      <c r="BX14" s="545">
        <v>109.715</v>
      </c>
      <c r="BY14" s="545">
        <v>105.679</v>
      </c>
      <c r="BZ14" s="545">
        <v>101.17700000000001</v>
      </c>
      <c r="CA14" s="545">
        <v>94.269000000000005</v>
      </c>
      <c r="CB14" s="540">
        <f>SUM(BX14:CA14)</f>
        <v>410.84000000000003</v>
      </c>
      <c r="CC14" s="545">
        <v>91.593999999999994</v>
      </c>
      <c r="CD14" s="545">
        <v>94.042000000000002</v>
      </c>
      <c r="CE14" s="545">
        <v>94.456999999999994</v>
      </c>
      <c r="CF14" s="545">
        <v>98.953999999999994</v>
      </c>
      <c r="CG14" s="540">
        <f>SUM(CC14:CF14)</f>
        <v>379.04699999999997</v>
      </c>
      <c r="CH14" s="540"/>
      <c r="CI14" s="540"/>
      <c r="CJ14" s="540"/>
      <c r="CK14" s="540"/>
      <c r="CL14" s="540"/>
      <c r="CM14" s="540"/>
      <c r="CN14" s="540"/>
      <c r="CO14" s="540"/>
      <c r="CP14" s="540"/>
      <c r="CQ14" s="540"/>
    </row>
    <row r="15" spans="1:241" ht="13.5" x14ac:dyDescent="0.25">
      <c r="E15" s="541" t="s">
        <v>2</v>
      </c>
      <c r="F15" s="542"/>
      <c r="G15" s="542"/>
      <c r="H15" s="542"/>
      <c r="I15" s="542"/>
      <c r="J15" s="542"/>
      <c r="K15" s="524"/>
      <c r="L15" s="524"/>
      <c r="M15" s="524"/>
      <c r="N15" s="524"/>
      <c r="O15" s="542"/>
      <c r="P15" s="524"/>
      <c r="Q15" s="524"/>
      <c r="R15" s="524"/>
      <c r="S15" s="539"/>
      <c r="T15" s="542"/>
      <c r="U15" s="524"/>
      <c r="V15" s="524"/>
      <c r="W15" s="524"/>
      <c r="X15" s="524"/>
      <c r="Y15" s="542"/>
      <c r="Z15" s="542"/>
      <c r="AA15" s="542"/>
      <c r="AB15" s="542"/>
      <c r="AC15" s="542"/>
      <c r="AD15" s="542"/>
      <c r="AE15" s="542"/>
      <c r="AF15" s="542"/>
      <c r="AG15" s="542"/>
      <c r="AH15" s="542"/>
      <c r="AI15" s="542"/>
      <c r="AJ15" s="542"/>
      <c r="AK15" s="542"/>
      <c r="AL15" s="542"/>
      <c r="AM15" s="542"/>
      <c r="AN15" s="542"/>
      <c r="AO15" s="542"/>
      <c r="AP15" s="542"/>
      <c r="AQ15" s="542"/>
      <c r="AR15" s="542"/>
      <c r="AS15" s="542"/>
      <c r="AT15" s="542"/>
      <c r="AU15" s="542"/>
      <c r="AV15" s="542"/>
      <c r="AW15" s="542"/>
      <c r="AX15" s="542"/>
      <c r="AY15" s="542"/>
      <c r="AZ15" s="542"/>
      <c r="BA15" s="542"/>
      <c r="BB15" s="542"/>
      <c r="BC15" s="542"/>
      <c r="BD15" s="542"/>
      <c r="BE15" s="542"/>
      <c r="BF15" s="542"/>
      <c r="BG15" s="542"/>
      <c r="BH15" s="542"/>
      <c r="BI15" s="525"/>
      <c r="BJ15" s="525"/>
      <c r="BK15" s="525"/>
      <c r="BL15" s="525"/>
      <c r="BM15" s="542"/>
      <c r="BN15" s="525">
        <f t="shared" ref="BN15:CG15" si="2">BN14/BI14-1</f>
        <v>-1.8077268643306388E-2</v>
      </c>
      <c r="BO15" s="525">
        <f t="shared" si="2"/>
        <v>-1.3560804899387602E-2</v>
      </c>
      <c r="BP15" s="525">
        <f t="shared" si="2"/>
        <v>-3.2123519458544969E-2</v>
      </c>
      <c r="BQ15" s="525">
        <f t="shared" si="2"/>
        <v>-8.0016778523489873E-2</v>
      </c>
      <c r="BR15" s="525">
        <f t="shared" si="2"/>
        <v>-4.2697424892703673E-2</v>
      </c>
      <c r="BS15" s="525">
        <f t="shared" si="2"/>
        <v>-1.4292511529170659E-2</v>
      </c>
      <c r="BT15" s="525">
        <f t="shared" si="2"/>
        <v>2.0399113082041342E-3</v>
      </c>
      <c r="BU15" s="525">
        <f t="shared" si="2"/>
        <v>1.1555641023399676E-2</v>
      </c>
      <c r="BV15" s="525">
        <f t="shared" si="2"/>
        <v>3.3557658988528249E-2</v>
      </c>
      <c r="BW15" s="525">
        <f t="shared" si="2"/>
        <v>8.2267996404417065E-3</v>
      </c>
      <c r="BX15" s="525">
        <f t="shared" si="2"/>
        <v>1.8463509273527245E-2</v>
      </c>
      <c r="BY15" s="525">
        <f t="shared" si="2"/>
        <v>-6.462205700123913E-2</v>
      </c>
      <c r="BZ15" s="525">
        <f t="shared" si="2"/>
        <v>-0.12571181680708565</v>
      </c>
      <c r="CA15" s="525">
        <f t="shared" si="2"/>
        <v>-0.16827830812937827</v>
      </c>
      <c r="CB15" s="525">
        <f t="shared" si="2"/>
        <v>-8.6561443216911615E-2</v>
      </c>
      <c r="CC15" s="525">
        <f t="shared" si="2"/>
        <v>-0.16516428929499161</v>
      </c>
      <c r="CD15" s="525">
        <f t="shared" si="2"/>
        <v>-0.11011648482669212</v>
      </c>
      <c r="CE15" s="525">
        <f t="shared" si="2"/>
        <v>-6.6418257113771029E-2</v>
      </c>
      <c r="CF15" s="525">
        <f t="shared" si="2"/>
        <v>4.9698204075570906E-2</v>
      </c>
      <c r="CG15" s="525">
        <f t="shared" si="2"/>
        <v>-7.7385356829909546E-2</v>
      </c>
      <c r="CH15" s="525"/>
      <c r="CI15" s="525"/>
      <c r="CJ15" s="525"/>
      <c r="CK15" s="525"/>
      <c r="CL15" s="525"/>
      <c r="CM15" s="641"/>
      <c r="CN15" s="641"/>
      <c r="CO15" s="641"/>
      <c r="CP15" s="641"/>
      <c r="CQ15" s="641"/>
    </row>
    <row r="16" spans="1:241" ht="3.75" customHeight="1" thickBot="1" x14ac:dyDescent="0.3">
      <c r="E16" s="174"/>
      <c r="F16" s="557"/>
      <c r="G16" s="557"/>
      <c r="H16" s="557"/>
      <c r="I16" s="557"/>
      <c r="J16" s="557"/>
      <c r="K16" s="174"/>
      <c r="L16" s="174"/>
      <c r="M16" s="174"/>
      <c r="N16" s="174"/>
      <c r="O16" s="557"/>
      <c r="P16" s="174"/>
      <c r="Q16" s="174"/>
      <c r="R16" s="477"/>
      <c r="S16" s="174"/>
      <c r="T16" s="557"/>
      <c r="U16" s="174"/>
      <c r="V16" s="174"/>
      <c r="W16" s="174"/>
      <c r="X16" s="174"/>
      <c r="Y16" s="557"/>
      <c r="Z16" s="174"/>
      <c r="AA16" s="174"/>
      <c r="AB16" s="174"/>
      <c r="AC16" s="174"/>
      <c r="AD16" s="557"/>
      <c r="AE16" s="174"/>
      <c r="AF16" s="174"/>
      <c r="AG16" s="174"/>
      <c r="AH16" s="174"/>
      <c r="AI16" s="557"/>
      <c r="AJ16" s="174"/>
      <c r="AK16" s="174"/>
      <c r="AL16" s="174"/>
      <c r="AM16" s="174"/>
      <c r="AN16" s="557"/>
      <c r="AO16" s="174"/>
      <c r="AP16" s="174"/>
      <c r="AQ16" s="174"/>
      <c r="AR16" s="174"/>
      <c r="AS16" s="557"/>
      <c r="AT16" s="174"/>
      <c r="AU16" s="174"/>
      <c r="AV16" s="174"/>
      <c r="AW16" s="174"/>
      <c r="AX16" s="557"/>
      <c r="AY16" s="174"/>
      <c r="AZ16" s="174"/>
      <c r="BA16" s="174"/>
      <c r="BB16" s="174"/>
      <c r="BC16" s="557"/>
      <c r="BD16" s="174"/>
      <c r="BE16" s="174"/>
      <c r="BF16" s="174"/>
      <c r="BG16" s="174"/>
      <c r="BH16" s="557"/>
      <c r="BI16" s="174"/>
      <c r="BJ16" s="174"/>
      <c r="BK16" s="174"/>
      <c r="BL16" s="174"/>
      <c r="BM16" s="483"/>
      <c r="BN16" s="268"/>
      <c r="BO16" s="268"/>
      <c r="BP16" s="268"/>
      <c r="BQ16" s="268"/>
      <c r="BR16" s="664"/>
      <c r="BS16" s="268"/>
      <c r="BT16" s="268"/>
      <c r="BU16" s="268"/>
      <c r="BV16" s="268"/>
      <c r="BW16" s="664"/>
      <c r="BX16" s="268"/>
      <c r="BY16" s="268"/>
      <c r="BZ16" s="268"/>
      <c r="CA16" s="268"/>
      <c r="CB16" s="664"/>
      <c r="CC16" s="268"/>
      <c r="CD16" s="268"/>
      <c r="CE16" s="268"/>
      <c r="CF16" s="268"/>
      <c r="CG16" s="664"/>
      <c r="CH16" s="268"/>
      <c r="CI16" s="268"/>
      <c r="CJ16" s="268"/>
      <c r="CK16" s="268"/>
      <c r="CL16" s="664"/>
      <c r="CM16" s="268"/>
      <c r="CN16" s="268"/>
      <c r="CO16" s="268"/>
      <c r="CP16" s="268"/>
      <c r="CQ16" s="664"/>
    </row>
    <row r="17" spans="5:95" ht="13.5" x14ac:dyDescent="0.25">
      <c r="E17" s="658" t="s">
        <v>705</v>
      </c>
      <c r="F17" s="647"/>
      <c r="G17" s="647"/>
      <c r="H17" s="647"/>
      <c r="I17" s="647"/>
      <c r="J17" s="647"/>
      <c r="K17" s="647"/>
      <c r="L17" s="647"/>
      <c r="M17" s="647"/>
      <c r="N17" s="647"/>
      <c r="O17" s="648"/>
      <c r="P17" s="647"/>
      <c r="Q17" s="647"/>
      <c r="R17" s="647"/>
      <c r="S17" s="649"/>
      <c r="T17" s="648"/>
      <c r="U17" s="647"/>
      <c r="V17" s="647"/>
      <c r="W17" s="647"/>
      <c r="X17" s="647"/>
      <c r="Y17" s="648"/>
      <c r="Z17" s="648"/>
      <c r="AA17" s="648"/>
      <c r="AB17" s="648"/>
      <c r="AC17" s="648"/>
      <c r="AD17" s="648"/>
      <c r="AE17" s="648"/>
      <c r="AF17" s="648"/>
      <c r="AG17" s="648"/>
      <c r="AH17" s="648"/>
      <c r="AI17" s="648"/>
      <c r="AJ17" s="648"/>
      <c r="AK17" s="648"/>
      <c r="AL17" s="648"/>
      <c r="AM17" s="648"/>
      <c r="AN17" s="648"/>
      <c r="AO17" s="648"/>
      <c r="AP17" s="648"/>
      <c r="AQ17" s="648"/>
      <c r="AR17" s="648"/>
      <c r="AS17" s="648"/>
      <c r="AT17" s="648"/>
      <c r="AU17" s="648"/>
      <c r="AV17" s="648"/>
      <c r="AW17" s="648"/>
      <c r="AX17" s="648"/>
      <c r="AY17" s="648"/>
      <c r="AZ17" s="648"/>
      <c r="BA17" s="648"/>
      <c r="BB17" s="648"/>
      <c r="BC17" s="648"/>
      <c r="BD17" s="648"/>
      <c r="BE17" s="648"/>
      <c r="BF17" s="648"/>
      <c r="BG17" s="648"/>
      <c r="BH17" s="648"/>
      <c r="BI17" s="650"/>
      <c r="BJ17" s="650"/>
      <c r="BK17" s="650"/>
      <c r="BL17" s="650"/>
      <c r="BM17" s="648"/>
      <c r="BN17" s="540">
        <f>BN14-BN21</f>
        <v>16.287999999999997</v>
      </c>
      <c r="BO17" s="540">
        <f>BO14-BO21</f>
        <v>15.75</v>
      </c>
      <c r="BP17" s="540">
        <f>BP14-BP21</f>
        <v>17.402999999999992</v>
      </c>
      <c r="BQ17" s="540">
        <f>BQ14-BQ21</f>
        <v>15.662000000000006</v>
      </c>
      <c r="BR17" s="35">
        <f>SUM(BN17:BQ17)</f>
        <v>65.102999999999994</v>
      </c>
      <c r="BS17" s="540">
        <f>BS14-BS21</f>
        <v>15.725999999999999</v>
      </c>
      <c r="BT17" s="540">
        <f>BT14-BT21</f>
        <v>15.980000000000004</v>
      </c>
      <c r="BU17" s="540">
        <f>BU14-BU21</f>
        <v>14.724999999999994</v>
      </c>
      <c r="BV17" s="540">
        <f>BV14-BV21</f>
        <v>13.341999999999999</v>
      </c>
      <c r="BW17" s="35">
        <f>SUM(BS17:BV17)</f>
        <v>59.772999999999996</v>
      </c>
      <c r="BX17" s="540">
        <f>BX14-BX21</f>
        <v>12.319000000000003</v>
      </c>
      <c r="BY17" s="681">
        <f>BY14-BY21</f>
        <v>8.0559999999999974</v>
      </c>
      <c r="BZ17" s="545">
        <v>0</v>
      </c>
      <c r="CA17" s="629">
        <v>0</v>
      </c>
      <c r="CB17" s="35">
        <f>SUM(BX17:CA17)</f>
        <v>20.375</v>
      </c>
      <c r="CC17" s="629">
        <v>0</v>
      </c>
      <c r="CD17" s="629">
        <v>0</v>
      </c>
      <c r="CE17" s="629">
        <v>0</v>
      </c>
      <c r="CF17" s="629">
        <v>0</v>
      </c>
      <c r="CG17" s="35">
        <f>SUM(CC17:CF17)</f>
        <v>0</v>
      </c>
      <c r="CH17" s="629"/>
      <c r="CI17" s="629"/>
      <c r="CJ17" s="629"/>
      <c r="CK17" s="629"/>
      <c r="CL17" s="610"/>
      <c r="CM17" s="629"/>
      <c r="CN17" s="629"/>
      <c r="CO17" s="629"/>
      <c r="CP17" s="629"/>
      <c r="CQ17" s="662"/>
    </row>
    <row r="18" spans="5:95" ht="13.5" x14ac:dyDescent="0.3">
      <c r="E18" s="651" t="s">
        <v>2</v>
      </c>
      <c r="F18" s="524"/>
      <c r="G18" s="524"/>
      <c r="H18" s="524"/>
      <c r="I18" s="524"/>
      <c r="J18" s="524"/>
      <c r="K18" s="524"/>
      <c r="L18" s="524"/>
      <c r="M18" s="524"/>
      <c r="N18" s="524"/>
      <c r="O18" s="542"/>
      <c r="P18" s="524"/>
      <c r="Q18" s="524"/>
      <c r="R18" s="524"/>
      <c r="S18" s="539"/>
      <c r="T18" s="542"/>
      <c r="U18" s="524"/>
      <c r="V18" s="524"/>
      <c r="W18" s="524"/>
      <c r="X18" s="524"/>
      <c r="Y18" s="542"/>
      <c r="Z18" s="542"/>
      <c r="AA18" s="542"/>
      <c r="AB18" s="542"/>
      <c r="AC18" s="542"/>
      <c r="AD18" s="542"/>
      <c r="AE18" s="542"/>
      <c r="AF18" s="542"/>
      <c r="AG18" s="542"/>
      <c r="AH18" s="542"/>
      <c r="AI18" s="542"/>
      <c r="AJ18" s="542"/>
      <c r="AK18" s="542"/>
      <c r="AL18" s="542"/>
      <c r="AM18" s="542"/>
      <c r="AN18" s="542"/>
      <c r="AO18" s="542"/>
      <c r="AP18" s="542"/>
      <c r="AQ18" s="542"/>
      <c r="AR18" s="542"/>
      <c r="AS18" s="542"/>
      <c r="AT18" s="542"/>
      <c r="AU18" s="542"/>
      <c r="AV18" s="542"/>
      <c r="AW18" s="542"/>
      <c r="AX18" s="542"/>
      <c r="AY18" s="542"/>
      <c r="AZ18" s="542"/>
      <c r="BA18" s="542"/>
      <c r="BB18" s="542"/>
      <c r="BC18" s="542"/>
      <c r="BD18" s="542"/>
      <c r="BE18" s="542"/>
      <c r="BF18" s="542"/>
      <c r="BG18" s="542"/>
      <c r="BH18" s="542"/>
      <c r="BI18" s="641"/>
      <c r="BJ18" s="641"/>
      <c r="BK18" s="641"/>
      <c r="BL18" s="641"/>
      <c r="BM18" s="542"/>
      <c r="BN18" s="641"/>
      <c r="BO18" s="641"/>
      <c r="BP18" s="641"/>
      <c r="BQ18" s="641"/>
      <c r="BR18" s="641"/>
      <c r="BS18" s="641"/>
      <c r="BT18" s="641"/>
      <c r="BU18" s="641"/>
      <c r="BV18" s="641"/>
      <c r="BW18" s="641"/>
      <c r="BX18" s="641">
        <f>BX17/BS17-1</f>
        <v>-0.21664758997837952</v>
      </c>
      <c r="BY18" s="641">
        <f>BY17/BT17-1</f>
        <v>-0.49586983729662104</v>
      </c>
      <c r="BZ18" s="641">
        <f>BZ17/BU17-1</f>
        <v>-1</v>
      </c>
      <c r="CA18" s="659"/>
      <c r="CB18" s="641"/>
      <c r="CC18" s="659"/>
      <c r="CD18" s="659"/>
      <c r="CE18" s="659"/>
      <c r="CF18" s="659"/>
      <c r="CG18" s="641"/>
      <c r="CH18" s="659"/>
      <c r="CI18" s="659"/>
      <c r="CJ18" s="659"/>
      <c r="CK18" s="659"/>
      <c r="CL18" s="641"/>
      <c r="CM18" s="659"/>
      <c r="CN18" s="659"/>
      <c r="CO18" s="659"/>
      <c r="CP18" s="659"/>
      <c r="CQ18" s="627"/>
    </row>
    <row r="19" spans="5:95" ht="13.5" x14ac:dyDescent="0.25">
      <c r="E19" s="651" t="s">
        <v>516</v>
      </c>
      <c r="F19" s="524"/>
      <c r="G19" s="524"/>
      <c r="H19" s="524"/>
      <c r="I19" s="524"/>
      <c r="J19" s="524"/>
      <c r="K19" s="524"/>
      <c r="L19" s="524"/>
      <c r="M19" s="524"/>
      <c r="N19" s="524"/>
      <c r="O19" s="542"/>
      <c r="P19" s="524"/>
      <c r="Q19" s="524"/>
      <c r="R19" s="524"/>
      <c r="S19" s="539"/>
      <c r="T19" s="542"/>
      <c r="U19" s="524"/>
      <c r="V19" s="524"/>
      <c r="W19" s="524"/>
      <c r="X19" s="524"/>
      <c r="Y19" s="542"/>
      <c r="Z19" s="542"/>
      <c r="AA19" s="542"/>
      <c r="AB19" s="542"/>
      <c r="AC19" s="542"/>
      <c r="AD19" s="542"/>
      <c r="AE19" s="542"/>
      <c r="AF19" s="542"/>
      <c r="AG19" s="542"/>
      <c r="AH19" s="542"/>
      <c r="AI19" s="542"/>
      <c r="AJ19" s="542"/>
      <c r="AK19" s="542"/>
      <c r="AL19" s="542"/>
      <c r="AM19" s="542"/>
      <c r="AN19" s="542"/>
      <c r="AO19" s="542"/>
      <c r="AP19" s="542"/>
      <c r="AQ19" s="542"/>
      <c r="AR19" s="542"/>
      <c r="AS19" s="542"/>
      <c r="AT19" s="542"/>
      <c r="AU19" s="542"/>
      <c r="AV19" s="542"/>
      <c r="AW19" s="542"/>
      <c r="AX19" s="542"/>
      <c r="AY19" s="542"/>
      <c r="AZ19" s="542"/>
      <c r="BA19" s="542"/>
      <c r="BB19" s="542"/>
      <c r="BC19" s="542"/>
      <c r="BD19" s="542"/>
      <c r="BE19" s="542"/>
      <c r="BF19" s="542"/>
      <c r="BG19" s="542"/>
      <c r="BH19" s="542"/>
      <c r="BI19" s="641"/>
      <c r="BJ19" s="641"/>
      <c r="BK19" s="641"/>
      <c r="BL19" s="641"/>
      <c r="BM19" s="542"/>
      <c r="BN19" s="641"/>
      <c r="BO19" s="641">
        <f>BO17/BN17-1</f>
        <v>-3.303045186640452E-2</v>
      </c>
      <c r="BP19" s="641">
        <f>BP17/BO17-1</f>
        <v>0.10495238095238046</v>
      </c>
      <c r="BQ19" s="641">
        <f>BQ17/BP17-1</f>
        <v>-0.10004022295006532</v>
      </c>
      <c r="BR19" s="641"/>
      <c r="BS19" s="641">
        <f>BS17/BQ17-1</f>
        <v>4.0863235857484526E-3</v>
      </c>
      <c r="BT19" s="641">
        <f>BT17/BS17-1</f>
        <v>1.6151596082920383E-2</v>
      </c>
      <c r="BU19" s="641">
        <f>BU17/BT17-1</f>
        <v>-7.8535669586984325E-2</v>
      </c>
      <c r="BV19" s="641">
        <f>BV17/BU17-1</f>
        <v>-9.3921901528013274E-2</v>
      </c>
      <c r="BW19" s="641"/>
      <c r="BX19" s="641">
        <f>BX17/BV17-1</f>
        <v>-7.6675161145255299E-2</v>
      </c>
      <c r="BY19" s="641">
        <f>BY17/BX17-1</f>
        <v>-0.34605081581297215</v>
      </c>
      <c r="BZ19" s="641">
        <f>BZ17/BY17-1</f>
        <v>-1</v>
      </c>
      <c r="CA19" s="641"/>
      <c r="CB19" s="641"/>
      <c r="CC19" s="641"/>
      <c r="CD19" s="641"/>
      <c r="CE19" s="641"/>
      <c r="CF19" s="641"/>
      <c r="CG19" s="641"/>
      <c r="CH19" s="641"/>
      <c r="CI19" s="641"/>
      <c r="CJ19" s="641"/>
      <c r="CK19" s="641"/>
      <c r="CL19" s="641"/>
      <c r="CM19" s="641"/>
      <c r="CN19" s="641"/>
      <c r="CO19" s="641"/>
      <c r="CP19" s="641"/>
      <c r="CQ19" s="627"/>
    </row>
    <row r="20" spans="5:95" ht="13.5" x14ac:dyDescent="0.25">
      <c r="E20" s="651" t="s">
        <v>706</v>
      </c>
      <c r="F20" s="524"/>
      <c r="G20" s="524"/>
      <c r="H20" s="524"/>
      <c r="I20" s="524"/>
      <c r="J20" s="524"/>
      <c r="K20" s="524"/>
      <c r="L20" s="524"/>
      <c r="M20" s="524"/>
      <c r="N20" s="524"/>
      <c r="O20" s="542"/>
      <c r="P20" s="524"/>
      <c r="Q20" s="524"/>
      <c r="R20" s="524"/>
      <c r="S20" s="539"/>
      <c r="T20" s="542"/>
      <c r="U20" s="524"/>
      <c r="V20" s="524"/>
      <c r="W20" s="524"/>
      <c r="X20" s="524"/>
      <c r="Y20" s="542"/>
      <c r="Z20" s="542"/>
      <c r="AA20" s="542"/>
      <c r="AB20" s="542"/>
      <c r="AC20" s="542"/>
      <c r="AD20" s="542"/>
      <c r="AE20" s="542"/>
      <c r="AF20" s="542"/>
      <c r="AG20" s="542"/>
      <c r="AH20" s="542"/>
      <c r="AI20" s="542"/>
      <c r="AJ20" s="542"/>
      <c r="AK20" s="542"/>
      <c r="AL20" s="542"/>
      <c r="AM20" s="542"/>
      <c r="AN20" s="542"/>
      <c r="AO20" s="542"/>
      <c r="AP20" s="542"/>
      <c r="AQ20" s="542"/>
      <c r="AR20" s="542"/>
      <c r="AS20" s="542"/>
      <c r="AT20" s="542"/>
      <c r="AU20" s="542"/>
      <c r="AV20" s="542"/>
      <c r="AW20" s="542"/>
      <c r="AX20" s="542"/>
      <c r="AY20" s="542"/>
      <c r="AZ20" s="542"/>
      <c r="BA20" s="542"/>
      <c r="BB20" s="542"/>
      <c r="BC20" s="542"/>
      <c r="BD20" s="542"/>
      <c r="BE20" s="542"/>
      <c r="BF20" s="542"/>
      <c r="BG20" s="542"/>
      <c r="BH20" s="542"/>
      <c r="BI20" s="641"/>
      <c r="BJ20" s="641"/>
      <c r="BK20" s="641"/>
      <c r="BL20" s="641"/>
      <c r="BM20" s="542"/>
      <c r="BN20" s="641">
        <f t="shared" ref="BN20:CG20" si="3">BN17/BN14</f>
        <v>0.14903740575360513</v>
      </c>
      <c r="BO20" s="641">
        <f t="shared" si="3"/>
        <v>0.13968957871396895</v>
      </c>
      <c r="BP20" s="641">
        <f t="shared" si="3"/>
        <v>0.15212013670970162</v>
      </c>
      <c r="BQ20" s="641">
        <f t="shared" si="3"/>
        <v>0.14282066714085104</v>
      </c>
      <c r="BR20" s="641">
        <f t="shared" si="3"/>
        <v>0.1459371490440548</v>
      </c>
      <c r="BS20" s="641">
        <f t="shared" si="3"/>
        <v>0.14598147151105581</v>
      </c>
      <c r="BT20" s="641">
        <f t="shared" si="3"/>
        <v>0.14144096300230133</v>
      </c>
      <c r="BU20" s="641">
        <f t="shared" si="3"/>
        <v>0.12724130481745513</v>
      </c>
      <c r="BV20" s="641">
        <f t="shared" si="3"/>
        <v>0.11771452771258667</v>
      </c>
      <c r="BW20" s="641">
        <f t="shared" si="3"/>
        <v>0.13289592750120616</v>
      </c>
      <c r="BX20" s="641">
        <f t="shared" si="3"/>
        <v>0.11228182108189402</v>
      </c>
      <c r="BY20" s="641">
        <f t="shared" si="3"/>
        <v>7.623085002696843E-2</v>
      </c>
      <c r="BZ20" s="641">
        <f t="shared" si="3"/>
        <v>0</v>
      </c>
      <c r="CA20" s="641">
        <f t="shared" si="3"/>
        <v>0</v>
      </c>
      <c r="CB20" s="641">
        <f t="shared" si="3"/>
        <v>4.9593515723882771E-2</v>
      </c>
      <c r="CC20" s="641">
        <f t="shared" si="3"/>
        <v>0</v>
      </c>
      <c r="CD20" s="641">
        <f t="shared" si="3"/>
        <v>0</v>
      </c>
      <c r="CE20" s="641">
        <f t="shared" si="3"/>
        <v>0</v>
      </c>
      <c r="CF20" s="641">
        <f t="shared" si="3"/>
        <v>0</v>
      </c>
      <c r="CG20" s="641">
        <f t="shared" si="3"/>
        <v>0</v>
      </c>
      <c r="CH20" s="641"/>
      <c r="CI20" s="641"/>
      <c r="CJ20" s="641"/>
      <c r="CK20" s="641"/>
      <c r="CL20" s="641"/>
      <c r="CM20" s="641"/>
      <c r="CN20" s="641"/>
      <c r="CO20" s="641"/>
      <c r="CP20" s="641"/>
      <c r="CQ20" s="627"/>
    </row>
    <row r="21" spans="5:95" ht="13.5" x14ac:dyDescent="0.25">
      <c r="E21" s="646" t="s">
        <v>702</v>
      </c>
      <c r="F21" s="524"/>
      <c r="G21" s="524"/>
      <c r="H21" s="524"/>
      <c r="I21" s="524"/>
      <c r="J21" s="524"/>
      <c r="K21" s="524"/>
      <c r="L21" s="524"/>
      <c r="M21" s="524"/>
      <c r="N21" s="524"/>
      <c r="O21" s="542"/>
      <c r="P21" s="524"/>
      <c r="Q21" s="524"/>
      <c r="R21" s="524"/>
      <c r="S21" s="539"/>
      <c r="T21" s="542"/>
      <c r="U21" s="524"/>
      <c r="V21" s="524"/>
      <c r="W21" s="524"/>
      <c r="X21" s="524"/>
      <c r="Y21" s="542"/>
      <c r="Z21" s="542"/>
      <c r="AA21" s="542"/>
      <c r="AB21" s="542"/>
      <c r="AC21" s="542"/>
      <c r="AD21" s="542"/>
      <c r="AE21" s="542"/>
      <c r="AF21" s="542"/>
      <c r="AG21" s="542"/>
      <c r="AH21" s="542"/>
      <c r="AI21" s="542"/>
      <c r="AJ21" s="542"/>
      <c r="AK21" s="542"/>
      <c r="AL21" s="542"/>
      <c r="AM21" s="542"/>
      <c r="AN21" s="542"/>
      <c r="AO21" s="542"/>
      <c r="AP21" s="542"/>
      <c r="AQ21" s="542"/>
      <c r="AR21" s="542"/>
      <c r="AS21" s="542"/>
      <c r="AT21" s="542"/>
      <c r="AU21" s="542"/>
      <c r="AV21" s="542"/>
      <c r="AW21" s="542"/>
      <c r="AX21" s="542"/>
      <c r="AY21" s="542"/>
      <c r="AZ21" s="542"/>
      <c r="BA21" s="542"/>
      <c r="BB21" s="542"/>
      <c r="BC21" s="542"/>
      <c r="BD21" s="542"/>
      <c r="BE21" s="542"/>
      <c r="BF21" s="542"/>
      <c r="BG21" s="542"/>
      <c r="BH21" s="542"/>
      <c r="BI21" s="641"/>
      <c r="BJ21" s="641"/>
      <c r="BK21" s="641"/>
      <c r="BL21" s="641"/>
      <c r="BM21" s="542"/>
      <c r="BN21" s="545">
        <v>93</v>
      </c>
      <c r="BO21" s="545">
        <v>97</v>
      </c>
      <c r="BP21" s="545">
        <v>97</v>
      </c>
      <c r="BQ21" s="545">
        <v>94</v>
      </c>
      <c r="BR21" s="35">
        <f>SUM(BN21:BQ21)</f>
        <v>381</v>
      </c>
      <c r="BS21" s="545">
        <v>92</v>
      </c>
      <c r="BT21" s="545">
        <v>97</v>
      </c>
      <c r="BU21" s="545">
        <v>101</v>
      </c>
      <c r="BV21" s="545">
        <v>100</v>
      </c>
      <c r="BW21" s="35">
        <f>SUM(BS21:BV21)</f>
        <v>390</v>
      </c>
      <c r="BX21" s="545">
        <v>97.396000000000001</v>
      </c>
      <c r="BY21" s="545">
        <v>97.623000000000005</v>
      </c>
      <c r="BZ21" s="540">
        <f>BZ14-BZ17</f>
        <v>101.17700000000001</v>
      </c>
      <c r="CA21" s="540">
        <f>CA14-CA17</f>
        <v>94.269000000000005</v>
      </c>
      <c r="CB21" s="35">
        <f>SUM(BX21:CA21)</f>
        <v>390.46500000000003</v>
      </c>
      <c r="CC21" s="540">
        <f>CC14-CC17</f>
        <v>91.593999999999994</v>
      </c>
      <c r="CD21" s="540">
        <f>CD14-CD17</f>
        <v>94.042000000000002</v>
      </c>
      <c r="CE21" s="540">
        <f>CE14-CE17</f>
        <v>94.456999999999994</v>
      </c>
      <c r="CF21" s="540">
        <f>CF14-CF17</f>
        <v>98.953999999999994</v>
      </c>
      <c r="CG21" s="35">
        <f>SUM(CC21:CF21)</f>
        <v>379.04699999999997</v>
      </c>
      <c r="CH21" s="540"/>
      <c r="CI21" s="540"/>
      <c r="CJ21" s="540"/>
      <c r="CK21" s="540"/>
      <c r="CL21" s="35"/>
      <c r="CM21" s="540"/>
      <c r="CN21" s="540"/>
      <c r="CO21" s="540"/>
      <c r="CP21" s="540"/>
      <c r="CQ21" s="663"/>
    </row>
    <row r="22" spans="5:95" ht="13.5" x14ac:dyDescent="0.25">
      <c r="E22" s="651" t="s">
        <v>2</v>
      </c>
      <c r="F22" s="524"/>
      <c r="G22" s="524"/>
      <c r="H22" s="524"/>
      <c r="I22" s="524"/>
      <c r="J22" s="524"/>
      <c r="K22" s="524"/>
      <c r="L22" s="524"/>
      <c r="M22" s="524"/>
      <c r="N22" s="524"/>
      <c r="O22" s="542"/>
      <c r="P22" s="524"/>
      <c r="Q22" s="524"/>
      <c r="R22" s="524"/>
      <c r="S22" s="539"/>
      <c r="T22" s="542"/>
      <c r="U22" s="524"/>
      <c r="V22" s="524"/>
      <c r="W22" s="524"/>
      <c r="X22" s="524"/>
      <c r="Y22" s="542"/>
      <c r="Z22" s="542"/>
      <c r="AA22" s="542"/>
      <c r="AB22" s="542"/>
      <c r="AC22" s="542"/>
      <c r="AD22" s="542"/>
      <c r="AE22" s="542"/>
      <c r="AF22" s="542"/>
      <c r="AG22" s="542"/>
      <c r="AH22" s="542"/>
      <c r="AI22" s="542"/>
      <c r="AJ22" s="542"/>
      <c r="AK22" s="542"/>
      <c r="AL22" s="542"/>
      <c r="AM22" s="542"/>
      <c r="AN22" s="542"/>
      <c r="AO22" s="542"/>
      <c r="AP22" s="542"/>
      <c r="AQ22" s="542"/>
      <c r="AR22" s="542"/>
      <c r="AS22" s="542"/>
      <c r="AT22" s="542"/>
      <c r="AU22" s="542"/>
      <c r="AV22" s="542"/>
      <c r="AW22" s="542"/>
      <c r="AX22" s="542"/>
      <c r="AY22" s="542"/>
      <c r="AZ22" s="542"/>
      <c r="BA22" s="542"/>
      <c r="BB22" s="542"/>
      <c r="BC22" s="542"/>
      <c r="BD22" s="542"/>
      <c r="BE22" s="542"/>
      <c r="BF22" s="542"/>
      <c r="BG22" s="542"/>
      <c r="BH22" s="542"/>
      <c r="BI22" s="641"/>
      <c r="BJ22" s="641"/>
      <c r="BK22" s="641"/>
      <c r="BL22" s="641"/>
      <c r="BM22" s="542"/>
      <c r="BN22" s="641"/>
      <c r="BO22" s="641"/>
      <c r="BP22" s="641"/>
      <c r="BQ22" s="641"/>
      <c r="BR22" s="641"/>
      <c r="BS22" s="641">
        <f t="shared" ref="BS22:CB22" si="4">BS21/BN21-1</f>
        <v>-1.0752688172043001E-2</v>
      </c>
      <c r="BT22" s="641">
        <f t="shared" si="4"/>
        <v>0</v>
      </c>
      <c r="BU22" s="641">
        <f t="shared" si="4"/>
        <v>4.1237113402061931E-2</v>
      </c>
      <c r="BV22" s="641">
        <f t="shared" si="4"/>
        <v>6.3829787234042534E-2</v>
      </c>
      <c r="BW22" s="641">
        <f t="shared" si="4"/>
        <v>2.3622047244094446E-2</v>
      </c>
      <c r="BX22" s="641">
        <f t="shared" si="4"/>
        <v>5.8652173913043448E-2</v>
      </c>
      <c r="BY22" s="641">
        <f t="shared" si="4"/>
        <v>6.4226804123712622E-3</v>
      </c>
      <c r="BZ22" s="641">
        <f t="shared" si="4"/>
        <v>1.7524752475248651E-3</v>
      </c>
      <c r="CA22" s="641">
        <f t="shared" si="4"/>
        <v>-5.7309999999999972E-2</v>
      </c>
      <c r="CB22" s="641">
        <f t="shared" si="4"/>
        <v>1.1923076923077147E-3</v>
      </c>
      <c r="CC22" s="641">
        <f t="shared" ref="CC22:CG22" si="5">CC21/BX21-1</f>
        <v>-5.9571234958314623E-2</v>
      </c>
      <c r="CD22" s="641">
        <f t="shared" si="5"/>
        <v>-3.6681929463343699E-2</v>
      </c>
      <c r="CE22" s="641">
        <f t="shared" si="5"/>
        <v>-6.6418257113771029E-2</v>
      </c>
      <c r="CF22" s="641">
        <f t="shared" si="5"/>
        <v>4.9698204075570906E-2</v>
      </c>
      <c r="CG22" s="641">
        <f t="shared" si="5"/>
        <v>-2.9242057546771338E-2</v>
      </c>
      <c r="CH22" s="641"/>
      <c r="CI22" s="641"/>
      <c r="CJ22" s="641"/>
      <c r="CK22" s="641"/>
      <c r="CL22" s="641"/>
      <c r="CM22" s="641"/>
      <c r="CN22" s="641"/>
      <c r="CO22" s="641"/>
      <c r="CP22" s="641"/>
      <c r="CQ22" s="627"/>
    </row>
    <row r="23" spans="5:95" ht="13.5" x14ac:dyDescent="0.25">
      <c r="E23" s="651" t="s">
        <v>516</v>
      </c>
      <c r="F23" s="524"/>
      <c r="G23" s="524"/>
      <c r="H23" s="524"/>
      <c r="I23" s="524"/>
      <c r="J23" s="524"/>
      <c r="K23" s="524"/>
      <c r="L23" s="524"/>
      <c r="M23" s="524"/>
      <c r="N23" s="524"/>
      <c r="O23" s="542"/>
      <c r="P23" s="524"/>
      <c r="Q23" s="524"/>
      <c r="R23" s="524"/>
      <c r="S23" s="539"/>
      <c r="T23" s="542"/>
      <c r="U23" s="524"/>
      <c r="V23" s="524"/>
      <c r="W23" s="524"/>
      <c r="X23" s="524"/>
      <c r="Y23" s="542"/>
      <c r="Z23" s="542"/>
      <c r="AA23" s="542"/>
      <c r="AB23" s="542"/>
      <c r="AC23" s="542"/>
      <c r="AD23" s="542"/>
      <c r="AE23" s="542"/>
      <c r="AF23" s="542"/>
      <c r="AG23" s="542"/>
      <c r="AH23" s="542"/>
      <c r="AI23" s="542"/>
      <c r="AJ23" s="542"/>
      <c r="AK23" s="542"/>
      <c r="AL23" s="542"/>
      <c r="AM23" s="542"/>
      <c r="AN23" s="542"/>
      <c r="AO23" s="542"/>
      <c r="AP23" s="542"/>
      <c r="AQ23" s="542"/>
      <c r="AR23" s="542"/>
      <c r="AS23" s="542"/>
      <c r="AT23" s="542"/>
      <c r="AU23" s="542"/>
      <c r="AV23" s="542"/>
      <c r="AW23" s="542"/>
      <c r="AX23" s="542"/>
      <c r="AY23" s="542"/>
      <c r="AZ23" s="542"/>
      <c r="BA23" s="542"/>
      <c r="BB23" s="542"/>
      <c r="BC23" s="542"/>
      <c r="BD23" s="542"/>
      <c r="BE23" s="542"/>
      <c r="BF23" s="542"/>
      <c r="BG23" s="542"/>
      <c r="BH23" s="542"/>
      <c r="BI23" s="641"/>
      <c r="BJ23" s="641"/>
      <c r="BK23" s="641"/>
      <c r="BL23" s="641"/>
      <c r="BM23" s="542"/>
      <c r="BN23" s="641"/>
      <c r="BO23" s="641">
        <f>BO21/BN21-1</f>
        <v>4.3010752688172005E-2</v>
      </c>
      <c r="BP23" s="641">
        <f>BP21/BO21-1</f>
        <v>0</v>
      </c>
      <c r="BQ23" s="641">
        <f>BQ21/BP21-1</f>
        <v>-3.0927835051546393E-2</v>
      </c>
      <c r="BR23" s="641"/>
      <c r="BS23" s="641">
        <f>BS21/BQ21-1</f>
        <v>-2.1276595744680882E-2</v>
      </c>
      <c r="BT23" s="641">
        <f>BT21/BS21-1</f>
        <v>5.4347826086956541E-2</v>
      </c>
      <c r="BU23" s="641">
        <f>BU21/BT21-1</f>
        <v>4.1237113402061931E-2</v>
      </c>
      <c r="BV23" s="641">
        <f>BV21/BU21-1</f>
        <v>-9.9009900990099098E-3</v>
      </c>
      <c r="BW23" s="641"/>
      <c r="BX23" s="641">
        <f>BX21/BV21-1</f>
        <v>-2.6039999999999952E-2</v>
      </c>
      <c r="BY23" s="641">
        <f>BY21/BX21-1</f>
        <v>2.3306911988172363E-3</v>
      </c>
      <c r="BZ23" s="641">
        <f>BZ21/BY21-1</f>
        <v>3.6405355295370923E-2</v>
      </c>
      <c r="CA23" s="641">
        <f>CA21/BZ21-1</f>
        <v>-6.8276386925882337E-2</v>
      </c>
      <c r="CB23" s="641"/>
      <c r="CC23" s="641">
        <f>CC21/CA21-1</f>
        <v>-2.8376242455102063E-2</v>
      </c>
      <c r="CD23" s="641">
        <f>CD21/CC21-1</f>
        <v>2.6726641483066693E-2</v>
      </c>
      <c r="CE23" s="641">
        <f>CE21/CD21-1</f>
        <v>4.4129218859658703E-3</v>
      </c>
      <c r="CF23" s="641">
        <f>CF21/CE21-1</f>
        <v>4.7608964925839325E-2</v>
      </c>
      <c r="CG23" s="641"/>
      <c r="CH23" s="641"/>
      <c r="CI23" s="641"/>
      <c r="CJ23" s="641"/>
      <c r="CK23" s="641"/>
      <c r="CL23" s="641"/>
      <c r="CM23" s="641"/>
      <c r="CN23" s="641"/>
      <c r="CO23" s="641"/>
      <c r="CP23" s="641"/>
      <c r="CQ23" s="627"/>
    </row>
    <row r="24" spans="5:95" ht="14.25" thickBot="1" x14ac:dyDescent="0.3">
      <c r="E24" s="652" t="s">
        <v>706</v>
      </c>
      <c r="F24" s="653"/>
      <c r="G24" s="653"/>
      <c r="H24" s="653"/>
      <c r="I24" s="653"/>
      <c r="J24" s="653"/>
      <c r="K24" s="653"/>
      <c r="L24" s="653"/>
      <c r="M24" s="653"/>
      <c r="N24" s="653"/>
      <c r="O24" s="654"/>
      <c r="P24" s="653"/>
      <c r="Q24" s="653"/>
      <c r="R24" s="653"/>
      <c r="S24" s="655"/>
      <c r="T24" s="654"/>
      <c r="U24" s="653"/>
      <c r="V24" s="653"/>
      <c r="W24" s="653"/>
      <c r="X24" s="653"/>
      <c r="Y24" s="654"/>
      <c r="Z24" s="654"/>
      <c r="AA24" s="654"/>
      <c r="AB24" s="654"/>
      <c r="AC24" s="654"/>
      <c r="AD24" s="654"/>
      <c r="AE24" s="654"/>
      <c r="AF24" s="654"/>
      <c r="AG24" s="654"/>
      <c r="AH24" s="654"/>
      <c r="AI24" s="654"/>
      <c r="AJ24" s="654"/>
      <c r="AK24" s="654"/>
      <c r="AL24" s="654"/>
      <c r="AM24" s="654"/>
      <c r="AN24" s="654"/>
      <c r="AO24" s="654"/>
      <c r="AP24" s="654"/>
      <c r="AQ24" s="654"/>
      <c r="AR24" s="654"/>
      <c r="AS24" s="654"/>
      <c r="AT24" s="654"/>
      <c r="AU24" s="654"/>
      <c r="AV24" s="654"/>
      <c r="AW24" s="654"/>
      <c r="AX24" s="654"/>
      <c r="AY24" s="654"/>
      <c r="AZ24" s="654"/>
      <c r="BA24" s="654"/>
      <c r="BB24" s="654"/>
      <c r="BC24" s="654"/>
      <c r="BD24" s="654"/>
      <c r="BE24" s="654"/>
      <c r="BF24" s="654"/>
      <c r="BG24" s="654"/>
      <c r="BH24" s="654"/>
      <c r="BI24" s="656"/>
      <c r="BJ24" s="656"/>
      <c r="BK24" s="656"/>
      <c r="BL24" s="656"/>
      <c r="BM24" s="654"/>
      <c r="BN24" s="656">
        <f t="shared" ref="BN24:CB24" si="6">BN21/BN14</f>
        <v>0.85096259424639487</v>
      </c>
      <c r="BO24" s="656">
        <f t="shared" si="6"/>
        <v>0.86031042128603108</v>
      </c>
      <c r="BP24" s="656">
        <f t="shared" si="6"/>
        <v>0.84787986329029841</v>
      </c>
      <c r="BQ24" s="656">
        <f t="shared" si="6"/>
        <v>0.85717933285914893</v>
      </c>
      <c r="BR24" s="656">
        <f t="shared" si="6"/>
        <v>0.85406285095594503</v>
      </c>
      <c r="BS24" s="656">
        <f t="shared" si="6"/>
        <v>0.85401852848894422</v>
      </c>
      <c r="BT24" s="656">
        <f t="shared" si="6"/>
        <v>0.85855903699769864</v>
      </c>
      <c r="BU24" s="656">
        <f t="shared" si="6"/>
        <v>0.8727586951825449</v>
      </c>
      <c r="BV24" s="656">
        <f t="shared" si="6"/>
        <v>0.88228547228741327</v>
      </c>
      <c r="BW24" s="656">
        <f t="shared" si="6"/>
        <v>0.86710407249879384</v>
      </c>
      <c r="BX24" s="656">
        <f t="shared" si="6"/>
        <v>0.887718178918106</v>
      </c>
      <c r="BY24" s="656">
        <f t="shared" si="6"/>
        <v>0.92376914997303161</v>
      </c>
      <c r="BZ24" s="656">
        <f t="shared" si="6"/>
        <v>1</v>
      </c>
      <c r="CA24" s="656">
        <f t="shared" si="6"/>
        <v>1</v>
      </c>
      <c r="CB24" s="656">
        <f t="shared" si="6"/>
        <v>0.95040648427611718</v>
      </c>
      <c r="CC24" s="656">
        <f t="shared" ref="CC24:CG24" si="7">CC21/CC14</f>
        <v>1</v>
      </c>
      <c r="CD24" s="656">
        <f t="shared" si="7"/>
        <v>1</v>
      </c>
      <c r="CE24" s="656">
        <f t="shared" si="7"/>
        <v>1</v>
      </c>
      <c r="CF24" s="656">
        <f t="shared" si="7"/>
        <v>1</v>
      </c>
      <c r="CG24" s="656">
        <f t="shared" si="7"/>
        <v>1</v>
      </c>
      <c r="CH24" s="656"/>
      <c r="CI24" s="656"/>
      <c r="CJ24" s="656"/>
      <c r="CK24" s="656"/>
      <c r="CL24" s="656"/>
      <c r="CM24" s="656"/>
      <c r="CN24" s="656"/>
      <c r="CO24" s="656"/>
      <c r="CP24" s="656"/>
      <c r="CQ24" s="657"/>
    </row>
    <row r="25" spans="5:95" ht="3.75" customHeight="1" x14ac:dyDescent="0.25">
      <c r="E25" s="59"/>
      <c r="F25" s="161"/>
      <c r="G25" s="161"/>
      <c r="H25" s="161"/>
      <c r="I25" s="161"/>
      <c r="J25" s="161"/>
      <c r="O25" s="161"/>
      <c r="T25" s="161"/>
      <c r="Y25" s="161"/>
      <c r="Z25" s="59"/>
      <c r="AA25" s="59"/>
      <c r="AB25" s="59"/>
      <c r="AC25" s="59"/>
      <c r="AD25" s="161"/>
      <c r="AE25" s="59"/>
      <c r="AF25" s="59"/>
      <c r="AG25" s="59"/>
      <c r="AH25" s="59"/>
      <c r="AI25" s="161"/>
      <c r="AJ25" s="59"/>
      <c r="AK25" s="59"/>
      <c r="AL25" s="59"/>
      <c r="AM25" s="59"/>
      <c r="AN25" s="161"/>
      <c r="AO25" s="59"/>
      <c r="AP25" s="59"/>
      <c r="AQ25" s="59"/>
      <c r="AR25" s="59"/>
      <c r="AS25" s="161"/>
      <c r="AT25" s="59"/>
      <c r="AU25" s="59"/>
      <c r="AV25" s="59"/>
      <c r="AW25" s="59"/>
      <c r="AX25" s="161"/>
      <c r="BC25" s="161"/>
      <c r="BD25" s="59"/>
      <c r="BE25" s="59"/>
      <c r="BF25" s="59"/>
      <c r="BG25" s="59"/>
      <c r="BH25" s="161"/>
      <c r="BM25" s="161"/>
      <c r="BR25" s="161"/>
      <c r="BW25" s="161"/>
      <c r="CB25" s="161"/>
      <c r="CG25" s="161"/>
      <c r="CL25" s="161"/>
      <c r="CQ25" s="161"/>
    </row>
    <row r="26" spans="5:95" ht="13.5" x14ac:dyDescent="0.25">
      <c r="E26" s="365" t="s">
        <v>643</v>
      </c>
      <c r="F26" s="161"/>
      <c r="G26" s="161"/>
      <c r="H26" s="161"/>
      <c r="I26" s="161"/>
      <c r="J26" s="161"/>
      <c r="O26" s="161"/>
      <c r="T26" s="161"/>
      <c r="Y26" s="161"/>
      <c r="Z26" s="59"/>
      <c r="AA26" s="59"/>
      <c r="AB26" s="59"/>
      <c r="AC26" s="59"/>
      <c r="AD26" s="161"/>
      <c r="AE26" s="59"/>
      <c r="AF26" s="59"/>
      <c r="AG26" s="59"/>
      <c r="AH26" s="59"/>
      <c r="AI26" s="161"/>
      <c r="AJ26" s="59"/>
      <c r="AK26" s="59"/>
      <c r="AL26" s="59"/>
      <c r="AM26" s="59"/>
      <c r="AN26" s="161"/>
      <c r="AO26" s="59"/>
      <c r="AP26" s="59"/>
      <c r="AQ26" s="59"/>
      <c r="AR26" s="59"/>
      <c r="AS26" s="161"/>
      <c r="AT26" s="59"/>
      <c r="AU26" s="59"/>
      <c r="AV26" s="59"/>
      <c r="AW26" s="59"/>
      <c r="AX26" s="161"/>
      <c r="BC26" s="161"/>
      <c r="BD26" s="59"/>
      <c r="BE26" s="59"/>
      <c r="BF26" s="59"/>
      <c r="BG26" s="59"/>
      <c r="BH26" s="161"/>
      <c r="BM26" s="161"/>
      <c r="BR26" s="161"/>
      <c r="BW26" s="161"/>
      <c r="CB26" s="161"/>
      <c r="CG26" s="161"/>
      <c r="CL26" s="161"/>
      <c r="CQ26" s="161"/>
    </row>
    <row r="27" spans="5:95" ht="3.75" customHeight="1" x14ac:dyDescent="0.25">
      <c r="E27" s="59"/>
      <c r="F27" s="161"/>
      <c r="G27" s="161"/>
      <c r="H27" s="161"/>
      <c r="I27" s="161"/>
      <c r="J27" s="161"/>
      <c r="O27" s="161"/>
      <c r="T27" s="161"/>
      <c r="Y27" s="161"/>
      <c r="Z27" s="59"/>
      <c r="AA27" s="59"/>
      <c r="AB27" s="59"/>
      <c r="AC27" s="59"/>
      <c r="AD27" s="161"/>
      <c r="AE27" s="59"/>
      <c r="AF27" s="59"/>
      <c r="AG27" s="59"/>
      <c r="AH27" s="59"/>
      <c r="AI27" s="161"/>
      <c r="AJ27" s="59"/>
      <c r="AK27" s="59"/>
      <c r="AL27" s="59"/>
      <c r="AM27" s="59"/>
      <c r="AN27" s="161"/>
      <c r="AO27" s="59"/>
      <c r="AP27" s="59"/>
      <c r="AQ27" s="59"/>
      <c r="AR27" s="59"/>
      <c r="AS27" s="161"/>
      <c r="AT27" s="59"/>
      <c r="AU27" s="59"/>
      <c r="AV27" s="59"/>
      <c r="AW27" s="59"/>
      <c r="AX27" s="161"/>
      <c r="BC27" s="161"/>
      <c r="BD27" s="59"/>
      <c r="BE27" s="59"/>
      <c r="BF27" s="59"/>
      <c r="BG27" s="59"/>
      <c r="BH27" s="161"/>
      <c r="BM27" s="161"/>
      <c r="BR27" s="161"/>
      <c r="BW27" s="161"/>
      <c r="CB27" s="161"/>
      <c r="CG27" s="161"/>
      <c r="CL27" s="161"/>
      <c r="CQ27" s="161"/>
    </row>
    <row r="28" spans="5:95" ht="13.5" x14ac:dyDescent="0.25">
      <c r="E28" s="54" t="s">
        <v>655</v>
      </c>
      <c r="F28" s="185"/>
      <c r="G28" s="185"/>
      <c r="H28" s="185"/>
      <c r="I28" s="185"/>
      <c r="J28" s="185"/>
      <c r="K28" s="122"/>
      <c r="L28" s="122"/>
      <c r="M28" s="122"/>
      <c r="N28" s="122"/>
      <c r="O28" s="161"/>
      <c r="P28" s="122"/>
      <c r="Q28" s="122"/>
      <c r="R28" s="122"/>
      <c r="S28" s="122"/>
      <c r="T28" s="161"/>
      <c r="U28" s="122"/>
      <c r="V28" s="122"/>
      <c r="W28" s="122"/>
      <c r="X28" s="122"/>
      <c r="Y28" s="161"/>
      <c r="Z28" s="128"/>
      <c r="AA28" s="128"/>
      <c r="AB28" s="128"/>
      <c r="AC28" s="128"/>
      <c r="AD28" s="161"/>
      <c r="AE28" s="128"/>
      <c r="AF28" s="128"/>
      <c r="AG28" s="128"/>
      <c r="AH28" s="128"/>
      <c r="AI28" s="140"/>
      <c r="AJ28" s="85"/>
      <c r="AK28" s="85"/>
      <c r="AL28" s="85"/>
      <c r="AM28" s="85"/>
      <c r="AN28" s="140"/>
      <c r="AO28" s="85"/>
      <c r="AP28" s="85"/>
      <c r="AQ28" s="85"/>
      <c r="AR28" s="364"/>
      <c r="AS28" s="161"/>
      <c r="AT28" s="439"/>
      <c r="AU28" s="439"/>
      <c r="AV28" s="439"/>
      <c r="AW28" s="439"/>
      <c r="AX28" s="161"/>
      <c r="AY28" s="439"/>
      <c r="AZ28" s="439"/>
      <c r="BA28" s="439"/>
      <c r="BB28" s="439"/>
      <c r="BC28" s="161"/>
      <c r="BD28" s="439"/>
      <c r="BE28" s="439"/>
      <c r="BF28" s="439"/>
      <c r="BG28" s="439"/>
      <c r="BH28" s="161"/>
      <c r="BI28" s="439"/>
      <c r="BJ28" s="439"/>
      <c r="BK28" s="439"/>
      <c r="BL28" s="439"/>
      <c r="BM28" s="161"/>
      <c r="BN28" s="417">
        <v>34.887</v>
      </c>
      <c r="BO28" s="417">
        <v>32.389000000000003</v>
      </c>
      <c r="BP28" s="417">
        <v>37.634</v>
      </c>
      <c r="BQ28" s="417">
        <v>34.197000000000003</v>
      </c>
      <c r="BR28" s="540">
        <f>SUM(BN28:BQ28)</f>
        <v>139.10700000000003</v>
      </c>
      <c r="BS28" s="417">
        <v>33.588999999999999</v>
      </c>
      <c r="BT28" s="417">
        <v>33.774999999999999</v>
      </c>
      <c r="BU28" s="417">
        <v>35.067999999999998</v>
      </c>
      <c r="BV28" s="417">
        <v>37.677999999999997</v>
      </c>
      <c r="BW28" s="540">
        <f>SUM(BS28:BV28)</f>
        <v>140.11000000000001</v>
      </c>
      <c r="BX28" s="417">
        <v>34.64</v>
      </c>
      <c r="BY28" s="417">
        <v>32.1</v>
      </c>
      <c r="BZ28" s="417">
        <v>34.747999999999998</v>
      </c>
      <c r="CA28" s="417">
        <v>30.143000000000001</v>
      </c>
      <c r="CB28" s="540">
        <f>SUM(BX28:CA28)</f>
        <v>131.631</v>
      </c>
      <c r="CC28" s="417">
        <v>29.6</v>
      </c>
      <c r="CD28" s="417">
        <v>32.517000000000003</v>
      </c>
      <c r="CE28" s="417">
        <v>33.652000000000001</v>
      </c>
      <c r="CF28" s="417">
        <v>34.4</v>
      </c>
      <c r="CG28" s="540">
        <f>SUM(CC28:CF28)</f>
        <v>130.16900000000001</v>
      </c>
      <c r="CH28" s="157"/>
      <c r="CI28" s="157"/>
      <c r="CJ28" s="157"/>
      <c r="CK28" s="157"/>
      <c r="CL28" s="540"/>
      <c r="CM28" s="157"/>
      <c r="CN28" s="157"/>
      <c r="CO28" s="157"/>
      <c r="CP28" s="157"/>
      <c r="CQ28" s="540"/>
    </row>
    <row r="29" spans="5:95" ht="13.5" x14ac:dyDescent="0.25">
      <c r="E29" s="365" t="s">
        <v>2</v>
      </c>
      <c r="F29" s="185"/>
      <c r="G29" s="185"/>
      <c r="H29" s="185"/>
      <c r="I29" s="185"/>
      <c r="J29" s="185"/>
      <c r="K29" s="122"/>
      <c r="L29" s="122"/>
      <c r="M29" s="122"/>
      <c r="N29" s="122"/>
      <c r="O29" s="161"/>
      <c r="P29" s="122"/>
      <c r="Q29" s="122"/>
      <c r="R29" s="122"/>
      <c r="S29" s="122"/>
      <c r="T29" s="161"/>
      <c r="U29" s="122"/>
      <c r="V29" s="122"/>
      <c r="W29" s="122"/>
      <c r="X29" s="122"/>
      <c r="Y29" s="161"/>
      <c r="Z29" s="128"/>
      <c r="AA29" s="128"/>
      <c r="AB29" s="128"/>
      <c r="AC29" s="128"/>
      <c r="AD29" s="161"/>
      <c r="AE29" s="128"/>
      <c r="AF29" s="128"/>
      <c r="AG29" s="128"/>
      <c r="AH29" s="128"/>
      <c r="AI29" s="140"/>
      <c r="AJ29" s="85"/>
      <c r="AK29" s="85"/>
      <c r="AL29" s="85"/>
      <c r="AM29" s="85"/>
      <c r="AN29" s="140"/>
      <c r="AO29" s="85"/>
      <c r="AP29" s="85"/>
      <c r="AQ29" s="85"/>
      <c r="AR29" s="364"/>
      <c r="AS29" s="161"/>
      <c r="AT29" s="439"/>
      <c r="AU29" s="439"/>
      <c r="AV29" s="439"/>
      <c r="AW29" s="439"/>
      <c r="AX29" s="161"/>
      <c r="AY29" s="439"/>
      <c r="AZ29" s="439"/>
      <c r="BA29" s="439"/>
      <c r="BB29" s="439"/>
      <c r="BC29" s="161"/>
      <c r="BD29" s="439"/>
      <c r="BE29" s="439"/>
      <c r="BF29" s="439"/>
      <c r="BG29" s="439"/>
      <c r="BH29" s="161"/>
      <c r="BI29" s="439"/>
      <c r="BJ29" s="439"/>
      <c r="BK29" s="439"/>
      <c r="BL29" s="439"/>
      <c r="BM29" s="161"/>
      <c r="BN29" s="363"/>
      <c r="BO29" s="363"/>
      <c r="BP29" s="363"/>
      <c r="BQ29" s="363"/>
      <c r="BR29" s="525"/>
      <c r="BS29" s="363">
        <f t="shared" ref="BS29:CG29" si="8">(BS28-BN28)/ABS(BN28)</f>
        <v>-3.7205835984750815E-2</v>
      </c>
      <c r="BT29" s="363">
        <f t="shared" si="8"/>
        <v>4.2792306029824805E-2</v>
      </c>
      <c r="BU29" s="363">
        <f t="shared" si="8"/>
        <v>-6.8183025987139351E-2</v>
      </c>
      <c r="BV29" s="363">
        <f t="shared" si="8"/>
        <v>0.10179255490247666</v>
      </c>
      <c r="BW29" s="525">
        <f t="shared" si="8"/>
        <v>7.210276981028889E-3</v>
      </c>
      <c r="BX29" s="363">
        <f t="shared" si="8"/>
        <v>3.1290005656613828E-2</v>
      </c>
      <c r="BY29" s="363">
        <f t="shared" si="8"/>
        <v>-4.9592894152479562E-2</v>
      </c>
      <c r="BZ29" s="363">
        <f t="shared" si="8"/>
        <v>-9.1251283221170376E-3</v>
      </c>
      <c r="CA29" s="363">
        <f t="shared" si="8"/>
        <v>-0.19998407558787615</v>
      </c>
      <c r="CB29" s="525">
        <f t="shared" si="8"/>
        <v>-6.0516736849618245E-2</v>
      </c>
      <c r="CC29" s="363">
        <f t="shared" si="8"/>
        <v>-0.14549653579676672</v>
      </c>
      <c r="CD29" s="363">
        <f t="shared" si="8"/>
        <v>1.2990654205607525E-2</v>
      </c>
      <c r="CE29" s="363">
        <f t="shared" si="8"/>
        <v>-3.1541383676758274E-2</v>
      </c>
      <c r="CF29" s="363">
        <f t="shared" si="8"/>
        <v>0.14122681883024243</v>
      </c>
      <c r="CG29" s="525">
        <f t="shared" si="8"/>
        <v>-1.110680614748797E-2</v>
      </c>
      <c r="CH29" s="363"/>
      <c r="CI29" s="363"/>
      <c r="CJ29" s="363"/>
      <c r="CK29" s="363"/>
      <c r="CL29" s="525"/>
      <c r="CM29" s="363"/>
      <c r="CN29" s="363"/>
      <c r="CO29" s="363"/>
      <c r="CP29" s="363"/>
      <c r="CQ29" s="641"/>
    </row>
    <row r="30" spans="5:95" ht="13.5" x14ac:dyDescent="0.25">
      <c r="E30" s="365" t="s">
        <v>91</v>
      </c>
      <c r="F30" s="185"/>
      <c r="G30" s="185"/>
      <c r="H30" s="185"/>
      <c r="I30" s="185"/>
      <c r="J30" s="185"/>
      <c r="K30" s="122"/>
      <c r="L30" s="122"/>
      <c r="M30" s="122"/>
      <c r="N30" s="122"/>
      <c r="O30" s="161"/>
      <c r="P30" s="122"/>
      <c r="Q30" s="122"/>
      <c r="R30" s="122"/>
      <c r="S30" s="122"/>
      <c r="T30" s="161"/>
      <c r="U30" s="122"/>
      <c r="V30" s="122"/>
      <c r="W30" s="122"/>
      <c r="X30" s="122"/>
      <c r="Y30" s="161"/>
      <c r="Z30" s="128"/>
      <c r="AA30" s="128"/>
      <c r="AB30" s="128"/>
      <c r="AC30" s="128"/>
      <c r="AD30" s="161"/>
      <c r="AE30" s="128"/>
      <c r="AF30" s="128"/>
      <c r="AG30" s="128"/>
      <c r="AH30" s="128"/>
      <c r="AI30" s="140"/>
      <c r="AJ30" s="85"/>
      <c r="AK30" s="85"/>
      <c r="AL30" s="85"/>
      <c r="AM30" s="85"/>
      <c r="AN30" s="140"/>
      <c r="AO30" s="85"/>
      <c r="AP30" s="85"/>
      <c r="AQ30" s="85"/>
      <c r="AR30" s="364"/>
      <c r="AS30" s="161"/>
      <c r="AT30" s="439"/>
      <c r="AU30" s="439"/>
      <c r="AV30" s="439"/>
      <c r="AW30" s="439"/>
      <c r="AX30" s="161"/>
      <c r="AY30" s="439"/>
      <c r="AZ30" s="439"/>
      <c r="BA30" s="439"/>
      <c r="BB30" s="439"/>
      <c r="BC30" s="161"/>
      <c r="BD30" s="439"/>
      <c r="BE30" s="439"/>
      <c r="BF30" s="439"/>
      <c r="BG30" s="439"/>
      <c r="BH30" s="161"/>
      <c r="BI30" s="439"/>
      <c r="BJ30" s="439"/>
      <c r="BK30" s="439"/>
      <c r="BL30" s="439"/>
      <c r="BM30" s="161"/>
      <c r="BN30" s="363">
        <f>BN28/'Marketing Services'!BN8</f>
        <v>0.35566679240281784</v>
      </c>
      <c r="BO30" s="363">
        <f>BO28/'Marketing Services'!BO8</f>
        <v>0.32781725066294204</v>
      </c>
      <c r="BP30" s="363">
        <f>BP28/'Marketing Services'!BP8</f>
        <v>0.36486499587958698</v>
      </c>
      <c r="BQ30" s="363">
        <f>BQ28/'Marketing Services'!BQ8</f>
        <v>0.34077048788265307</v>
      </c>
      <c r="BR30" s="525">
        <f>BR28/'Marketing Services'!BR8</f>
        <v>0.34743049242235036</v>
      </c>
      <c r="BS30" s="363">
        <f>BS28/'Marketing Services'!BS8</f>
        <v>0.34095661530340865</v>
      </c>
      <c r="BT30" s="363">
        <f>BT28/'Marketing Services'!BT8</f>
        <v>0.32776942112669222</v>
      </c>
      <c r="BU30" s="363">
        <f>BU28/'Marketing Services'!BU8</f>
        <v>0.33164992717849778</v>
      </c>
      <c r="BV30" s="363">
        <f>BV28/'Marketing Services'!BV8</f>
        <v>0.36105601073259541</v>
      </c>
      <c r="BW30" s="525">
        <f>BW28/'Marketing Services'!BW8</f>
        <v>0.34036030433472936</v>
      </c>
      <c r="BX30" s="363">
        <f>BX28/'Marketing Services'!BX8</f>
        <v>0.33842666770878116</v>
      </c>
      <c r="BY30" s="363">
        <f>BY28/'Marketing Services'!BY8</f>
        <v>0.3282577795048523</v>
      </c>
      <c r="BZ30" s="363">
        <f>BZ28/'Marketing Services'!BZ8</f>
        <v>0.37428639134837027</v>
      </c>
      <c r="CA30" s="363">
        <f>CA28/'Marketing Services'!CA8</f>
        <v>0.34495267958298526</v>
      </c>
      <c r="CB30" s="525">
        <f>CB28/'Marketing Services'!CB8</f>
        <v>0.34606405409526619</v>
      </c>
      <c r="CC30" s="363">
        <f>CC28/'Marketing Services'!CC8</f>
        <v>0.3495884068925606</v>
      </c>
      <c r="CD30" s="363">
        <f>CD28/'Marketing Services'!CD8</f>
        <v>0.3737371415435895</v>
      </c>
      <c r="CE30" s="363">
        <f>CE28/'Marketing Services'!CE8</f>
        <v>0.38431757705880337</v>
      </c>
      <c r="CF30" s="363">
        <f>CF28/'Marketing Services'!CF8</f>
        <v>0.37969094922737306</v>
      </c>
      <c r="CG30" s="525">
        <f>CG28/'Marketing Services'!CG8</f>
        <v>0.37208258656124682</v>
      </c>
      <c r="CH30" s="453"/>
      <c r="CI30" s="453"/>
      <c r="CJ30" s="453"/>
      <c r="CK30" s="453"/>
      <c r="CL30" s="525"/>
      <c r="CM30" s="453"/>
      <c r="CN30" s="727"/>
      <c r="CO30" s="727"/>
      <c r="CP30" s="727"/>
      <c r="CQ30" s="641"/>
    </row>
    <row r="31" spans="5:95" ht="3.75" customHeight="1" x14ac:dyDescent="0.25">
      <c r="E31" s="365"/>
      <c r="F31" s="185"/>
      <c r="G31" s="185"/>
      <c r="H31" s="185"/>
      <c r="I31" s="185"/>
      <c r="J31" s="185"/>
      <c r="K31" s="122"/>
      <c r="L31" s="122"/>
      <c r="M31" s="122"/>
      <c r="N31" s="122"/>
      <c r="O31" s="161"/>
      <c r="P31" s="122"/>
      <c r="Q31" s="122"/>
      <c r="R31" s="122"/>
      <c r="S31" s="122"/>
      <c r="T31" s="161"/>
      <c r="U31" s="122"/>
      <c r="V31" s="122"/>
      <c r="W31" s="122"/>
      <c r="X31" s="122"/>
      <c r="Y31" s="161"/>
      <c r="Z31" s="128"/>
      <c r="AA31" s="128"/>
      <c r="AB31" s="128"/>
      <c r="AC31" s="128"/>
      <c r="AD31" s="161"/>
      <c r="AE31" s="128"/>
      <c r="AF31" s="128"/>
      <c r="AG31" s="128"/>
      <c r="AH31" s="128"/>
      <c r="AI31" s="140"/>
      <c r="AJ31" s="85"/>
      <c r="AK31" s="85"/>
      <c r="AL31" s="85"/>
      <c r="AM31" s="85"/>
      <c r="AN31" s="140"/>
      <c r="AO31" s="85"/>
      <c r="AP31" s="85"/>
      <c r="AQ31" s="85"/>
      <c r="AR31" s="364"/>
      <c r="AS31" s="161"/>
      <c r="AT31" s="439"/>
      <c r="AU31" s="439"/>
      <c r="AV31" s="439"/>
      <c r="AW31" s="439"/>
      <c r="AX31" s="161"/>
      <c r="AY31" s="439"/>
      <c r="AZ31" s="439"/>
      <c r="BA31" s="439"/>
      <c r="BB31" s="439"/>
      <c r="BC31" s="161"/>
      <c r="BD31" s="439"/>
      <c r="BE31" s="439"/>
      <c r="BF31" s="439"/>
      <c r="BG31" s="439"/>
      <c r="BH31" s="161"/>
      <c r="BI31" s="439"/>
      <c r="BJ31" s="439"/>
      <c r="BK31" s="439"/>
      <c r="BL31" s="439"/>
      <c r="BM31" s="161"/>
      <c r="BN31" s="363"/>
      <c r="BO31" s="363"/>
      <c r="BP31" s="363"/>
      <c r="BQ31" s="363"/>
      <c r="BR31" s="641"/>
      <c r="BS31" s="363"/>
      <c r="BT31" s="363"/>
      <c r="BU31" s="363"/>
      <c r="BV31" s="363"/>
      <c r="BW31" s="641"/>
      <c r="BX31" s="363"/>
      <c r="BY31" s="363"/>
      <c r="BZ31" s="363"/>
      <c r="CA31" s="363"/>
      <c r="CB31" s="641"/>
      <c r="CC31" s="363"/>
      <c r="CD31" s="363"/>
      <c r="CE31" s="453"/>
      <c r="CF31" s="453"/>
      <c r="CG31" s="641"/>
      <c r="CH31" s="453"/>
      <c r="CI31" s="453"/>
      <c r="CJ31" s="453"/>
      <c r="CK31" s="453"/>
      <c r="CL31" s="641"/>
      <c r="CM31" s="453"/>
      <c r="CN31" s="453"/>
      <c r="CO31" s="453"/>
      <c r="CP31" s="453"/>
      <c r="CQ31" s="641"/>
    </row>
    <row r="32" spans="5:95" ht="13.5" x14ac:dyDescent="0.25">
      <c r="E32" s="54" t="s">
        <v>656</v>
      </c>
      <c r="F32" s="185"/>
      <c r="G32" s="185"/>
      <c r="H32" s="185"/>
      <c r="I32" s="185"/>
      <c r="J32" s="185"/>
      <c r="K32" s="122"/>
      <c r="L32" s="122"/>
      <c r="M32" s="122"/>
      <c r="N32" s="122"/>
      <c r="O32" s="161"/>
      <c r="P32" s="122"/>
      <c r="Q32" s="122"/>
      <c r="R32" s="122"/>
      <c r="S32" s="122"/>
      <c r="T32" s="161"/>
      <c r="U32" s="122"/>
      <c r="V32" s="122"/>
      <c r="W32" s="122"/>
      <c r="X32" s="122"/>
      <c r="Y32" s="161"/>
      <c r="Z32" s="128"/>
      <c r="AA32" s="128"/>
      <c r="AB32" s="128"/>
      <c r="AC32" s="128"/>
      <c r="AD32" s="161"/>
      <c r="AE32" s="128"/>
      <c r="AF32" s="128"/>
      <c r="AG32" s="128"/>
      <c r="AH32" s="128"/>
      <c r="AI32" s="140"/>
      <c r="AJ32" s="85"/>
      <c r="AK32" s="85"/>
      <c r="AL32" s="85"/>
      <c r="AM32" s="85"/>
      <c r="AN32" s="140"/>
      <c r="AO32" s="85"/>
      <c r="AP32" s="85"/>
      <c r="AQ32" s="85"/>
      <c r="AR32" s="364"/>
      <c r="AS32" s="161"/>
      <c r="AT32" s="439"/>
      <c r="AU32" s="439"/>
      <c r="AV32" s="439"/>
      <c r="AW32" s="439"/>
      <c r="AX32" s="161"/>
      <c r="AY32" s="439"/>
      <c r="AZ32" s="439"/>
      <c r="BA32" s="439"/>
      <c r="BB32" s="439"/>
      <c r="BC32" s="161"/>
      <c r="BD32" s="439"/>
      <c r="BE32" s="439"/>
      <c r="BF32" s="439"/>
      <c r="BG32" s="439"/>
      <c r="BH32" s="161"/>
      <c r="BI32" s="439"/>
      <c r="BJ32" s="439"/>
      <c r="BK32" s="439"/>
      <c r="BL32" s="439"/>
      <c r="BM32" s="161"/>
      <c r="BN32" s="417">
        <v>4.5650000000000004</v>
      </c>
      <c r="BO32" s="417">
        <v>6.8620000000000001</v>
      </c>
      <c r="BP32" s="417">
        <v>3.9380000000000002</v>
      </c>
      <c r="BQ32" s="417">
        <v>1.972</v>
      </c>
      <c r="BR32" s="540">
        <f>SUM(BN32:BQ32)</f>
        <v>17.337</v>
      </c>
      <c r="BS32" s="417">
        <v>2.444</v>
      </c>
      <c r="BT32" s="417">
        <v>3.77</v>
      </c>
      <c r="BU32" s="417">
        <v>3.4929999999999999</v>
      </c>
      <c r="BV32" s="417">
        <v>2.4390000000000001</v>
      </c>
      <c r="BW32" s="540">
        <f>SUM(BS32:BV32)</f>
        <v>12.146000000000001</v>
      </c>
      <c r="BX32" s="157">
        <f>BX35-BX28</f>
        <v>2.8260000000000005</v>
      </c>
      <c r="BY32" s="157">
        <f>BY35-BY28</f>
        <v>2.3799999999999955</v>
      </c>
      <c r="BZ32" s="157">
        <f>BZ35-BZ28</f>
        <v>2.7460000000000022</v>
      </c>
      <c r="CA32" s="157">
        <f>CA35-CA28</f>
        <v>1.0644999999999989</v>
      </c>
      <c r="CB32" s="540">
        <f>SUM(BX32:CA32)</f>
        <v>9.0164999999999971</v>
      </c>
      <c r="CC32" s="157">
        <f>CC35-CC28</f>
        <v>1.7579999999999991</v>
      </c>
      <c r="CD32" s="157">
        <f>CD35-CD28</f>
        <v>1.8029999999999973</v>
      </c>
      <c r="CE32" s="157">
        <f>CE35-CE28</f>
        <v>2.1460000000000008</v>
      </c>
      <c r="CF32" s="157">
        <f>CF35-CF28</f>
        <v>3.3079999999999998</v>
      </c>
      <c r="CG32" s="540">
        <f>SUM(CC32:CF32)</f>
        <v>9.014999999999997</v>
      </c>
      <c r="CH32" s="157"/>
      <c r="CI32" s="157"/>
      <c r="CJ32" s="157"/>
      <c r="CK32" s="157"/>
      <c r="CL32" s="540"/>
      <c r="CM32" s="157"/>
      <c r="CN32" s="157"/>
      <c r="CO32" s="157"/>
      <c r="CP32" s="157"/>
      <c r="CQ32" s="540"/>
    </row>
    <row r="33" spans="5:95" ht="13.5" x14ac:dyDescent="0.25">
      <c r="E33" s="365" t="s">
        <v>2</v>
      </c>
      <c r="F33" s="185"/>
      <c r="G33" s="185"/>
      <c r="H33" s="185"/>
      <c r="I33" s="185"/>
      <c r="J33" s="185"/>
      <c r="K33" s="122"/>
      <c r="L33" s="122"/>
      <c r="M33" s="122"/>
      <c r="N33" s="122"/>
      <c r="O33" s="161"/>
      <c r="P33" s="122"/>
      <c r="Q33" s="122"/>
      <c r="R33" s="122"/>
      <c r="S33" s="122"/>
      <c r="T33" s="161"/>
      <c r="U33" s="122"/>
      <c r="V33" s="122"/>
      <c r="W33" s="122"/>
      <c r="X33" s="122"/>
      <c r="Y33" s="161"/>
      <c r="Z33" s="128"/>
      <c r="AA33" s="128"/>
      <c r="AB33" s="128"/>
      <c r="AC33" s="128"/>
      <c r="AD33" s="161"/>
      <c r="AE33" s="128"/>
      <c r="AF33" s="128"/>
      <c r="AG33" s="128"/>
      <c r="AH33" s="128"/>
      <c r="AI33" s="140"/>
      <c r="AJ33" s="85"/>
      <c r="AK33" s="85"/>
      <c r="AL33" s="85"/>
      <c r="AM33" s="85"/>
      <c r="AN33" s="140"/>
      <c r="AO33" s="85"/>
      <c r="AP33" s="85"/>
      <c r="AQ33" s="85"/>
      <c r="AR33" s="364"/>
      <c r="AS33" s="161"/>
      <c r="AT33" s="439"/>
      <c r="AU33" s="439"/>
      <c r="AV33" s="439"/>
      <c r="AW33" s="439"/>
      <c r="AX33" s="161"/>
      <c r="AY33" s="439"/>
      <c r="AZ33" s="439"/>
      <c r="BA33" s="439"/>
      <c r="BB33" s="439"/>
      <c r="BC33" s="161"/>
      <c r="BD33" s="439"/>
      <c r="BE33" s="439"/>
      <c r="BF33" s="439"/>
      <c r="BG33" s="439"/>
      <c r="BH33" s="161"/>
      <c r="BI33" s="439"/>
      <c r="BJ33" s="439"/>
      <c r="BK33" s="439"/>
      <c r="BL33" s="439"/>
      <c r="BM33" s="161"/>
      <c r="BN33" s="157"/>
      <c r="BO33" s="157"/>
      <c r="BP33" s="157"/>
      <c r="BQ33" s="157"/>
      <c r="BR33" s="161"/>
      <c r="BS33" s="363">
        <f t="shared" ref="BS33:CG33" si="9">(BS32-BN32)/ABS(BN32)</f>
        <v>-0.46462212486308879</v>
      </c>
      <c r="BT33" s="363">
        <f t="shared" si="9"/>
        <v>-0.45059749344214517</v>
      </c>
      <c r="BU33" s="363">
        <f t="shared" si="9"/>
        <v>-0.11300152361604883</v>
      </c>
      <c r="BV33" s="363">
        <f t="shared" si="9"/>
        <v>0.23681541582150106</v>
      </c>
      <c r="BW33" s="525">
        <f t="shared" si="9"/>
        <v>-0.29941743092807283</v>
      </c>
      <c r="BX33" s="363">
        <f t="shared" si="9"/>
        <v>0.15630114566284803</v>
      </c>
      <c r="BY33" s="363">
        <f t="shared" si="9"/>
        <v>-0.36870026525199062</v>
      </c>
      <c r="BZ33" s="363">
        <f t="shared" si="9"/>
        <v>-0.2138562839965639</v>
      </c>
      <c r="CA33" s="363">
        <f t="shared" si="9"/>
        <v>-0.56355063550635554</v>
      </c>
      <c r="CB33" s="525">
        <f t="shared" si="9"/>
        <v>-0.25765684175860393</v>
      </c>
      <c r="CC33" s="363">
        <f t="shared" si="9"/>
        <v>-0.37791932059448025</v>
      </c>
      <c r="CD33" s="363">
        <f t="shared" si="9"/>
        <v>-0.24243697478991566</v>
      </c>
      <c r="CE33" s="363">
        <f>(CE32-BZ32)/ABS(BZ32)</f>
        <v>-0.21849963583394061</v>
      </c>
      <c r="CF33" s="363">
        <f>(CF32-CA32)/ABS(CA32)</f>
        <v>2.1075622357914545</v>
      </c>
      <c r="CG33" s="525">
        <f t="shared" si="9"/>
        <v>-1.6636167027117587E-4</v>
      </c>
      <c r="CH33" s="363"/>
      <c r="CI33" s="363"/>
      <c r="CJ33" s="363"/>
      <c r="CK33" s="363"/>
      <c r="CL33" s="525"/>
      <c r="CM33" s="363"/>
      <c r="CN33" s="363"/>
      <c r="CO33" s="363"/>
      <c r="CP33" s="363"/>
      <c r="CQ33" s="641"/>
    </row>
    <row r="34" spans="5:95" ht="13.5" x14ac:dyDescent="0.25">
      <c r="E34" s="365" t="s">
        <v>91</v>
      </c>
      <c r="F34" s="185"/>
      <c r="G34" s="185"/>
      <c r="H34" s="185"/>
      <c r="I34" s="185"/>
      <c r="J34" s="185"/>
      <c r="K34" s="122"/>
      <c r="L34" s="122"/>
      <c r="M34" s="122"/>
      <c r="N34" s="122"/>
      <c r="O34" s="161"/>
      <c r="P34" s="122"/>
      <c r="Q34" s="122"/>
      <c r="R34" s="122"/>
      <c r="S34" s="122"/>
      <c r="T34" s="161"/>
      <c r="U34" s="122"/>
      <c r="V34" s="122"/>
      <c r="W34" s="122"/>
      <c r="X34" s="122"/>
      <c r="Y34" s="161"/>
      <c r="Z34" s="128"/>
      <c r="AA34" s="128"/>
      <c r="AB34" s="128"/>
      <c r="AC34" s="128"/>
      <c r="AD34" s="161"/>
      <c r="AE34" s="128"/>
      <c r="AF34" s="128"/>
      <c r="AG34" s="128"/>
      <c r="AH34" s="128"/>
      <c r="AI34" s="140"/>
      <c r="AJ34" s="85"/>
      <c r="AK34" s="85"/>
      <c r="AL34" s="85"/>
      <c r="AM34" s="85"/>
      <c r="AN34" s="140"/>
      <c r="AO34" s="85"/>
      <c r="AP34" s="85"/>
      <c r="AQ34" s="85"/>
      <c r="AR34" s="364"/>
      <c r="AS34" s="161"/>
      <c r="AT34" s="439"/>
      <c r="AU34" s="439"/>
      <c r="AV34" s="439"/>
      <c r="AW34" s="439"/>
      <c r="AX34" s="161"/>
      <c r="AY34" s="439"/>
      <c r="AZ34" s="439"/>
      <c r="BA34" s="439"/>
      <c r="BB34" s="439"/>
      <c r="BC34" s="161"/>
      <c r="BD34" s="439"/>
      <c r="BE34" s="439"/>
      <c r="BF34" s="439"/>
      <c r="BG34" s="439"/>
      <c r="BH34" s="161"/>
      <c r="BI34" s="439"/>
      <c r="BJ34" s="439"/>
      <c r="BK34" s="439"/>
      <c r="BL34" s="439"/>
      <c r="BM34" s="161"/>
      <c r="BN34" s="363">
        <f>BN32/'Marketing Services'!BN11</f>
        <v>0.4076256808643629</v>
      </c>
      <c r="BO34" s="363">
        <f>BO32/'Marketing Services'!BO11</f>
        <v>0.49197017493547462</v>
      </c>
      <c r="BP34" s="363">
        <f>BP32/'Marketing Services'!BP11</f>
        <v>0.34979570083496186</v>
      </c>
      <c r="BQ34" s="363">
        <f>BQ32/'Marketing Services'!BQ11</f>
        <v>0.21181525241675617</v>
      </c>
      <c r="BR34" s="525">
        <f>BR32/'Marketing Services'!BR11</f>
        <v>0.37924094936016622</v>
      </c>
      <c r="BS34" s="363">
        <f>BS32/'Marketing Services'!BS11</f>
        <v>0.26530612244897961</v>
      </c>
      <c r="BT34" s="363">
        <f>BT32/'Marketing Services'!BT11</f>
        <v>0.37946653246099649</v>
      </c>
      <c r="BU34" s="363">
        <f>BU32/'Marketing Services'!BU11</f>
        <v>0.34975468108541102</v>
      </c>
      <c r="BV34" s="363">
        <f>BV32/'Marketing Services'!BV11</f>
        <v>0.27139201068209634</v>
      </c>
      <c r="BW34" s="525">
        <f>BW32/'Marketing Services'!BW11</f>
        <v>0.31861703522992574</v>
      </c>
      <c r="BX34" s="363">
        <f>BX32/'Marketing Services'!BX11</f>
        <v>0.38401956787606972</v>
      </c>
      <c r="BY34" s="363">
        <f>BY32/'Marketing Services'!BY11</f>
        <v>0.30164765525982196</v>
      </c>
      <c r="BZ34" s="363">
        <f>BZ32/'Marketing Services'!BZ11</f>
        <v>0.32929607866650651</v>
      </c>
      <c r="CA34" s="363">
        <f>CA32/'Marketing Services'!CA11</f>
        <v>0.15458902120243934</v>
      </c>
      <c r="CB34" s="525">
        <f>CB32/'Marketing Services'!CB11</f>
        <v>0.29587517227800708</v>
      </c>
      <c r="CC34" s="363">
        <f>CC32/'Marketing Services'!CC11</f>
        <v>0.25393615484616527</v>
      </c>
      <c r="CD34" s="363">
        <f>CD32/'Marketing Services'!CD11</f>
        <v>0.25621713798493617</v>
      </c>
      <c r="CE34" s="363">
        <f>CE32/'Marketing Services'!CE11</f>
        <v>0.31128517551494106</v>
      </c>
      <c r="CF34" s="363">
        <f>CF32/'Marketing Services'!CF11</f>
        <v>0.39597797462293516</v>
      </c>
      <c r="CG34" s="525">
        <f>CG32/'Marketing Services'!CG11</f>
        <v>0.30864831552999183</v>
      </c>
      <c r="CH34" s="453"/>
      <c r="CI34" s="453"/>
      <c r="CJ34" s="453"/>
      <c r="CK34" s="453"/>
      <c r="CL34" s="525"/>
      <c r="CM34" s="453"/>
      <c r="CN34" s="453"/>
      <c r="CO34" s="453"/>
      <c r="CP34" s="453"/>
      <c r="CQ34" s="641"/>
    </row>
    <row r="35" spans="5:95" ht="13.5" x14ac:dyDescent="0.25">
      <c r="E35" s="564" t="s">
        <v>693</v>
      </c>
      <c r="F35" s="565"/>
      <c r="G35" s="565"/>
      <c r="H35" s="565"/>
      <c r="I35" s="565"/>
      <c r="J35" s="565"/>
      <c r="K35" s="565"/>
      <c r="L35" s="565"/>
      <c r="M35" s="565"/>
      <c r="N35" s="565"/>
      <c r="O35" s="566"/>
      <c r="P35" s="565"/>
      <c r="Q35" s="565"/>
      <c r="R35" s="565"/>
      <c r="S35" s="565"/>
      <c r="T35" s="566"/>
      <c r="U35" s="565"/>
      <c r="V35" s="565"/>
      <c r="W35" s="565"/>
      <c r="X35" s="565"/>
      <c r="Y35" s="566"/>
      <c r="Z35" s="567"/>
      <c r="AA35" s="567"/>
      <c r="AB35" s="567"/>
      <c r="AC35" s="567"/>
      <c r="AD35" s="566"/>
      <c r="AE35" s="567"/>
      <c r="AF35" s="567"/>
      <c r="AG35" s="567"/>
      <c r="AH35" s="567"/>
      <c r="AI35" s="513"/>
      <c r="AJ35" s="568"/>
      <c r="AK35" s="568"/>
      <c r="AL35" s="568"/>
      <c r="AM35" s="568"/>
      <c r="AN35" s="513"/>
      <c r="AO35" s="568"/>
      <c r="AP35" s="568"/>
      <c r="AQ35" s="568"/>
      <c r="AR35" s="565"/>
      <c r="AS35" s="566"/>
      <c r="AT35" s="566"/>
      <c r="AU35" s="566"/>
      <c r="AV35" s="566"/>
      <c r="AW35" s="566"/>
      <c r="AX35" s="566"/>
      <c r="AY35" s="566"/>
      <c r="AZ35" s="566"/>
      <c r="BA35" s="566"/>
      <c r="BB35" s="566"/>
      <c r="BC35" s="566"/>
      <c r="BD35" s="566"/>
      <c r="BE35" s="566"/>
      <c r="BF35" s="566"/>
      <c r="BG35" s="566"/>
      <c r="BH35" s="566"/>
      <c r="BI35" s="566"/>
      <c r="BJ35" s="566"/>
      <c r="BK35" s="566"/>
      <c r="BL35" s="566"/>
      <c r="BM35" s="566"/>
      <c r="BN35" s="545">
        <v>39.408000000000001</v>
      </c>
      <c r="BO35" s="545">
        <v>39.295000000000002</v>
      </c>
      <c r="BP35" s="545">
        <v>41.572000000000003</v>
      </c>
      <c r="BQ35" s="545">
        <v>36.119999999999997</v>
      </c>
      <c r="BR35" s="540">
        <f>SUM(BN35:BQ35)</f>
        <v>156.39500000000001</v>
      </c>
      <c r="BS35" s="545">
        <v>36.033999999999999</v>
      </c>
      <c r="BT35" s="545">
        <v>37.545000000000002</v>
      </c>
      <c r="BU35" s="545">
        <v>38.561</v>
      </c>
      <c r="BV35" s="545">
        <v>40.116999999999997</v>
      </c>
      <c r="BW35" s="540">
        <f>SUM(BS35:BV35)</f>
        <v>152.25700000000001</v>
      </c>
      <c r="BX35" s="545">
        <v>37.466000000000001</v>
      </c>
      <c r="BY35" s="545">
        <v>34.479999999999997</v>
      </c>
      <c r="BZ35" s="545">
        <v>37.494</v>
      </c>
      <c r="CA35" s="545">
        <v>31.2075</v>
      </c>
      <c r="CB35" s="540">
        <f>SUM(BX35:CA35)</f>
        <v>140.64750000000001</v>
      </c>
      <c r="CC35" s="545">
        <v>31.358000000000001</v>
      </c>
      <c r="CD35" s="545">
        <v>34.32</v>
      </c>
      <c r="CE35" s="545">
        <v>35.798000000000002</v>
      </c>
      <c r="CF35" s="545">
        <v>37.707999999999998</v>
      </c>
      <c r="CG35" s="540">
        <f>SUM(CC35:CF35)</f>
        <v>139.184</v>
      </c>
      <c r="CH35" s="536"/>
      <c r="CI35" s="536"/>
      <c r="CJ35" s="536"/>
      <c r="CK35" s="536"/>
      <c r="CL35" s="540"/>
      <c r="CM35" s="642"/>
      <c r="CN35" s="642"/>
      <c r="CO35" s="642"/>
      <c r="CP35" s="642"/>
      <c r="CQ35" s="540"/>
    </row>
    <row r="36" spans="5:95" ht="13.5" x14ac:dyDescent="0.25">
      <c r="E36" s="560" t="s">
        <v>2</v>
      </c>
      <c r="F36" s="565"/>
      <c r="G36" s="565"/>
      <c r="H36" s="565"/>
      <c r="I36" s="565"/>
      <c r="J36" s="565"/>
      <c r="K36" s="565"/>
      <c r="L36" s="565"/>
      <c r="M36" s="565"/>
      <c r="N36" s="565"/>
      <c r="O36" s="566"/>
      <c r="P36" s="565"/>
      <c r="Q36" s="565"/>
      <c r="R36" s="565"/>
      <c r="S36" s="565"/>
      <c r="T36" s="566"/>
      <c r="U36" s="565"/>
      <c r="V36" s="565"/>
      <c r="W36" s="565"/>
      <c r="X36" s="565"/>
      <c r="Y36" s="566"/>
      <c r="Z36" s="567"/>
      <c r="AA36" s="567"/>
      <c r="AB36" s="567"/>
      <c r="AC36" s="567"/>
      <c r="AD36" s="566"/>
      <c r="AE36" s="567"/>
      <c r="AF36" s="567"/>
      <c r="AG36" s="567"/>
      <c r="AH36" s="567"/>
      <c r="AI36" s="513"/>
      <c r="AJ36" s="568"/>
      <c r="AK36" s="568"/>
      <c r="AL36" s="568"/>
      <c r="AM36" s="568"/>
      <c r="AN36" s="513"/>
      <c r="AO36" s="568"/>
      <c r="AP36" s="568"/>
      <c r="AQ36" s="568"/>
      <c r="AR36" s="565"/>
      <c r="AS36" s="566"/>
      <c r="AT36" s="566"/>
      <c r="AU36" s="566"/>
      <c r="AV36" s="566"/>
      <c r="AW36" s="566"/>
      <c r="AX36" s="566"/>
      <c r="AY36" s="566"/>
      <c r="AZ36" s="566"/>
      <c r="BA36" s="566"/>
      <c r="BB36" s="566"/>
      <c r="BC36" s="566"/>
      <c r="BD36" s="566"/>
      <c r="BE36" s="566"/>
      <c r="BF36" s="566"/>
      <c r="BG36" s="566"/>
      <c r="BH36" s="566"/>
      <c r="BI36" s="566"/>
      <c r="BJ36" s="566"/>
      <c r="BK36" s="566"/>
      <c r="BL36" s="566"/>
      <c r="BM36" s="566"/>
      <c r="BN36" s="525"/>
      <c r="BO36" s="560"/>
      <c r="BP36" s="560"/>
      <c r="BQ36" s="560"/>
      <c r="BR36" s="525"/>
      <c r="BS36" s="525">
        <f>(BS35-BN35)/ABS(BN35)</f>
        <v>-8.5617133576938745E-2</v>
      </c>
      <c r="BT36" s="560">
        <f t="shared" ref="BT36:CG36" si="10">BT35/BO35-1</f>
        <v>-4.4534928107901717E-2</v>
      </c>
      <c r="BU36" s="560">
        <f t="shared" si="10"/>
        <v>-7.2428557683056005E-2</v>
      </c>
      <c r="BV36" s="560">
        <f t="shared" si="10"/>
        <v>0.11065891472868228</v>
      </c>
      <c r="BW36" s="525">
        <f t="shared" si="10"/>
        <v>-2.6458646376162909E-2</v>
      </c>
      <c r="BX36" s="560">
        <f t="shared" si="10"/>
        <v>3.974024532386089E-2</v>
      </c>
      <c r="BY36" s="560">
        <f t="shared" si="10"/>
        <v>-8.1635370888267556E-2</v>
      </c>
      <c r="BZ36" s="560">
        <f t="shared" si="10"/>
        <v>-2.7670444231218116E-2</v>
      </c>
      <c r="CA36" s="560">
        <f t="shared" si="10"/>
        <v>-0.22208789291322872</v>
      </c>
      <c r="CB36" s="525">
        <f t="shared" si="10"/>
        <v>-7.6249367845156568E-2</v>
      </c>
      <c r="CC36" s="560">
        <f t="shared" si="10"/>
        <v>-0.16302781188277371</v>
      </c>
      <c r="CD36" s="560">
        <f t="shared" si="10"/>
        <v>-4.6403712296982924E-3</v>
      </c>
      <c r="CE36" s="560">
        <f t="shared" si="10"/>
        <v>-4.523390409132122E-2</v>
      </c>
      <c r="CF36" s="560">
        <f t="shared" si="10"/>
        <v>0.20829928703036127</v>
      </c>
      <c r="CG36" s="525">
        <f t="shared" si="10"/>
        <v>-1.0405446239712846E-2</v>
      </c>
      <c r="CH36" s="560"/>
      <c r="CI36" s="560"/>
      <c r="CJ36" s="560"/>
      <c r="CK36" s="560"/>
      <c r="CL36" s="525"/>
      <c r="CM36" s="643"/>
      <c r="CN36" s="643"/>
      <c r="CO36" s="643"/>
      <c r="CP36" s="643"/>
      <c r="CQ36" s="641"/>
    </row>
    <row r="37" spans="5:95" ht="13.5" x14ac:dyDescent="0.25">
      <c r="E37" s="560" t="s">
        <v>91</v>
      </c>
      <c r="F37" s="565"/>
      <c r="G37" s="565"/>
      <c r="H37" s="565"/>
      <c r="I37" s="565"/>
      <c r="J37" s="565"/>
      <c r="K37" s="565"/>
      <c r="L37" s="565"/>
      <c r="M37" s="565"/>
      <c r="N37" s="565"/>
      <c r="O37" s="566"/>
      <c r="P37" s="565"/>
      <c r="Q37" s="565"/>
      <c r="R37" s="565"/>
      <c r="S37" s="565"/>
      <c r="T37" s="566"/>
      <c r="U37" s="565"/>
      <c r="V37" s="565"/>
      <c r="W37" s="565"/>
      <c r="X37" s="565"/>
      <c r="Y37" s="566"/>
      <c r="Z37" s="567"/>
      <c r="AA37" s="567"/>
      <c r="AB37" s="567"/>
      <c r="AC37" s="567"/>
      <c r="AD37" s="566"/>
      <c r="AE37" s="567"/>
      <c r="AF37" s="567"/>
      <c r="AG37" s="567"/>
      <c r="AH37" s="567"/>
      <c r="AI37" s="513"/>
      <c r="AJ37" s="568"/>
      <c r="AK37" s="568"/>
      <c r="AL37" s="568"/>
      <c r="AM37" s="568"/>
      <c r="AN37" s="513"/>
      <c r="AO37" s="568"/>
      <c r="AP37" s="568"/>
      <c r="AQ37" s="568"/>
      <c r="AR37" s="565"/>
      <c r="AS37" s="566"/>
      <c r="AT37" s="566"/>
      <c r="AU37" s="566"/>
      <c r="AV37" s="566"/>
      <c r="AW37" s="566"/>
      <c r="AX37" s="566"/>
      <c r="AY37" s="566"/>
      <c r="AZ37" s="566"/>
      <c r="BA37" s="566"/>
      <c r="BB37" s="566"/>
      <c r="BC37" s="566"/>
      <c r="BD37" s="566"/>
      <c r="BE37" s="566"/>
      <c r="BF37" s="566"/>
      <c r="BG37" s="566"/>
      <c r="BH37" s="566"/>
      <c r="BI37" s="566"/>
      <c r="BJ37" s="566"/>
      <c r="BK37" s="566"/>
      <c r="BL37" s="566"/>
      <c r="BM37" s="566"/>
      <c r="BN37" s="560">
        <f>BN35/'Marketing Services'!BN14</f>
        <v>0.36058853671034335</v>
      </c>
      <c r="BO37" s="560">
        <f>BO35/'Marketing Services'!BO14</f>
        <v>0.34851441241685144</v>
      </c>
      <c r="BP37" s="560">
        <f>BP35/'Marketing Services'!BP14</f>
        <v>0.36338207914128129</v>
      </c>
      <c r="BQ37" s="560">
        <f>BQ35/'Marketing Services'!BQ14</f>
        <v>0.32937571811566446</v>
      </c>
      <c r="BR37" s="560">
        <f>BR35/'Marketing Services'!BR14</f>
        <v>0.35058047132612868</v>
      </c>
      <c r="BS37" s="560">
        <f>BS35/'Marketing Services'!BS14</f>
        <v>0.33449677886489798</v>
      </c>
      <c r="BT37" s="560">
        <f>BT35/'Marketing Services'!BT14</f>
        <v>0.33231545406266594</v>
      </c>
      <c r="BU37" s="560">
        <f>BU35/'Marketing Services'!BU14</f>
        <v>0.33321235688053574</v>
      </c>
      <c r="BV37" s="560">
        <f>BV35/'Marketing Services'!BV14</f>
        <v>0.35394646291754156</v>
      </c>
      <c r="BW37" s="560">
        <f>BW35/'Marketing Services'!BW14</f>
        <v>0.33851965324730476</v>
      </c>
      <c r="BX37" s="560">
        <f>BX35/'Marketing Services'!BX14</f>
        <v>0.34148475595862005</v>
      </c>
      <c r="BY37" s="560">
        <f>BY35/'Marketing Services'!BY14</f>
        <v>0.32627106615316187</v>
      </c>
      <c r="BZ37" s="560">
        <f>BZ35/'Marketing Services'!BZ14</f>
        <v>0.37057829348567362</v>
      </c>
      <c r="CA37" s="560">
        <f>CA35/'Marketing Services'!CA14</f>
        <v>0.3310473220252681</v>
      </c>
      <c r="CB37" s="560">
        <f>CB35/'Marketing Services'!CB14</f>
        <v>0.34234130074968355</v>
      </c>
      <c r="CC37" s="560">
        <f>CC35/'Marketing Services'!CC14</f>
        <v>0.34235866978186347</v>
      </c>
      <c r="CD37" s="560">
        <f>CD35/'Marketing Services'!CD14</f>
        <v>0.3649433231960188</v>
      </c>
      <c r="CE37" s="560">
        <f>CE35/'Marketing Services'!CE14</f>
        <v>0.37898726404607391</v>
      </c>
      <c r="CF37" s="560">
        <f>CF35/'Marketing Services'!CF14</f>
        <v>0.38106594983527703</v>
      </c>
      <c r="CG37" s="560">
        <f>CG35/'Marketing Services'!CG14</f>
        <v>0.36719456953886986</v>
      </c>
      <c r="CH37" s="560"/>
      <c r="CI37" s="560"/>
      <c r="CJ37" s="560"/>
      <c r="CK37" s="560"/>
      <c r="CL37" s="560"/>
      <c r="CM37" s="643"/>
      <c r="CN37" s="643"/>
      <c r="CO37" s="643"/>
      <c r="CP37" s="643"/>
      <c r="CQ37" s="643"/>
    </row>
    <row r="38" spans="5:95" ht="3.75" customHeight="1" x14ac:dyDescent="0.25">
      <c r="E38" s="365"/>
      <c r="F38" s="185"/>
      <c r="G38" s="185"/>
      <c r="H38" s="185"/>
      <c r="I38" s="185"/>
      <c r="J38" s="185"/>
      <c r="K38" s="122"/>
      <c r="L38" s="122"/>
      <c r="M38" s="122"/>
      <c r="N38" s="122"/>
      <c r="O38" s="161"/>
      <c r="P38" s="122"/>
      <c r="Q38" s="122"/>
      <c r="R38" s="122"/>
      <c r="S38" s="122"/>
      <c r="T38" s="161"/>
      <c r="U38" s="122"/>
      <c r="V38" s="122"/>
      <c r="W38" s="122"/>
      <c r="X38" s="122"/>
      <c r="Y38" s="161"/>
      <c r="Z38" s="128"/>
      <c r="AA38" s="128"/>
      <c r="AB38" s="128"/>
      <c r="AC38" s="128"/>
      <c r="AD38" s="161"/>
      <c r="AE38" s="128"/>
      <c r="AF38" s="128"/>
      <c r="AG38" s="128"/>
      <c r="AH38" s="128"/>
      <c r="AI38" s="140"/>
      <c r="AJ38" s="85"/>
      <c r="AK38" s="85"/>
      <c r="AL38" s="85"/>
      <c r="AM38" s="85"/>
      <c r="AN38" s="140"/>
      <c r="AO38" s="85"/>
      <c r="AP38" s="85"/>
      <c r="AQ38" s="85"/>
      <c r="AR38" s="364"/>
      <c r="AS38" s="161"/>
      <c r="AT38" s="439"/>
      <c r="AU38" s="439"/>
      <c r="AV38" s="439"/>
      <c r="AW38" s="439"/>
      <c r="AX38" s="161"/>
      <c r="AY38" s="439"/>
      <c r="AZ38" s="439"/>
      <c r="BA38" s="439"/>
      <c r="BB38" s="439"/>
      <c r="BC38" s="161"/>
      <c r="BD38" s="439"/>
      <c r="BE38" s="439"/>
      <c r="BF38" s="439"/>
      <c r="BG38" s="439"/>
      <c r="BH38" s="161"/>
      <c r="BI38" s="439"/>
      <c r="BJ38" s="439"/>
      <c r="BK38" s="439"/>
      <c r="BL38" s="439"/>
      <c r="BM38" s="161"/>
      <c r="BN38" s="352"/>
      <c r="BO38" s="352"/>
      <c r="BP38" s="352"/>
      <c r="BQ38" s="352"/>
      <c r="BR38" s="560"/>
      <c r="BS38" s="352"/>
      <c r="BT38" s="352"/>
      <c r="BU38" s="352"/>
      <c r="BV38" s="352"/>
      <c r="BW38" s="560"/>
      <c r="BX38" s="352"/>
      <c r="BY38" s="453"/>
      <c r="BZ38" s="453"/>
      <c r="CA38" s="453"/>
      <c r="CB38" s="560"/>
      <c r="CC38" s="453"/>
      <c r="CD38" s="453"/>
      <c r="CE38" s="453"/>
      <c r="CF38" s="453"/>
      <c r="CG38" s="560"/>
      <c r="CH38" s="453"/>
      <c r="CI38" s="453"/>
      <c r="CJ38" s="453"/>
      <c r="CK38" s="453"/>
      <c r="CL38" s="560"/>
      <c r="CM38" s="453"/>
      <c r="CN38" s="453"/>
      <c r="CO38" s="453"/>
      <c r="CP38" s="453"/>
      <c r="CQ38" s="643"/>
    </row>
    <row r="39" spans="5:95" ht="13.5" x14ac:dyDescent="0.25">
      <c r="E39" s="365" t="s">
        <v>299</v>
      </c>
      <c r="F39" s="185"/>
      <c r="G39" s="185"/>
      <c r="H39" s="185"/>
      <c r="I39" s="185"/>
      <c r="J39" s="185"/>
      <c r="K39" s="122"/>
      <c r="L39" s="122"/>
      <c r="M39" s="122"/>
      <c r="N39" s="122"/>
      <c r="O39" s="161"/>
      <c r="P39" s="122"/>
      <c r="Q39" s="122"/>
      <c r="R39" s="122"/>
      <c r="S39" s="122"/>
      <c r="T39" s="161"/>
      <c r="U39" s="122"/>
      <c r="V39" s="122"/>
      <c r="W39" s="122"/>
      <c r="X39" s="122"/>
      <c r="Y39" s="161"/>
      <c r="Z39" s="128"/>
      <c r="AA39" s="128"/>
      <c r="AB39" s="128"/>
      <c r="AC39" s="128"/>
      <c r="AD39" s="161"/>
      <c r="AE39" s="128"/>
      <c r="AF39" s="128"/>
      <c r="AG39" s="128"/>
      <c r="AH39" s="128"/>
      <c r="AI39" s="140"/>
      <c r="AJ39" s="85"/>
      <c r="AK39" s="85"/>
      <c r="AL39" s="85"/>
      <c r="AM39" s="85"/>
      <c r="AN39" s="140"/>
      <c r="AO39" s="85"/>
      <c r="AP39" s="85"/>
      <c r="AQ39" s="85"/>
      <c r="AR39" s="364"/>
      <c r="AS39" s="161"/>
      <c r="AT39" s="439"/>
      <c r="AU39" s="439"/>
      <c r="AV39" s="439"/>
      <c r="AW39" s="439"/>
      <c r="AX39" s="161"/>
      <c r="AY39" s="439"/>
      <c r="AZ39" s="439"/>
      <c r="BA39" s="439"/>
      <c r="BB39" s="439"/>
      <c r="BC39" s="161"/>
      <c r="BD39" s="439"/>
      <c r="BE39" s="439"/>
      <c r="BF39" s="439"/>
      <c r="BG39" s="439"/>
      <c r="BH39" s="161"/>
      <c r="BI39" s="439"/>
      <c r="BJ39" s="439"/>
      <c r="BK39" s="439"/>
      <c r="BL39" s="439"/>
      <c r="BM39" s="161"/>
      <c r="BN39" s="352"/>
      <c r="BO39" s="352"/>
      <c r="BP39" s="352"/>
      <c r="BQ39" s="352"/>
      <c r="BR39" s="643"/>
      <c r="BS39" s="352"/>
      <c r="BT39" s="352"/>
      <c r="BU39" s="352"/>
      <c r="BV39" s="352"/>
      <c r="BW39" s="643"/>
      <c r="BX39" s="352"/>
      <c r="BY39" s="453"/>
      <c r="BZ39" s="453"/>
      <c r="CA39" s="453"/>
      <c r="CB39" s="643"/>
      <c r="CC39" s="453"/>
      <c r="CD39" s="453"/>
      <c r="CE39" s="453"/>
      <c r="CF39" s="453"/>
      <c r="CG39" s="643"/>
      <c r="CH39" s="453"/>
      <c r="CI39" s="453"/>
      <c r="CJ39" s="453"/>
      <c r="CK39" s="453"/>
      <c r="CL39" s="643"/>
      <c r="CM39" s="453"/>
      <c r="CN39" s="453"/>
      <c r="CO39" s="453"/>
      <c r="CP39" s="453"/>
      <c r="CQ39" s="643"/>
    </row>
    <row r="40" spans="5:95" ht="3.75" customHeight="1" x14ac:dyDescent="0.25">
      <c r="E40" s="365"/>
      <c r="F40" s="185"/>
      <c r="G40" s="185"/>
      <c r="H40" s="185"/>
      <c r="I40" s="185"/>
      <c r="J40" s="185"/>
      <c r="K40" s="122"/>
      <c r="L40" s="122"/>
      <c r="M40" s="122"/>
      <c r="N40" s="122"/>
      <c r="O40" s="161"/>
      <c r="P40" s="122"/>
      <c r="Q40" s="122"/>
      <c r="R40" s="122"/>
      <c r="S40" s="122"/>
      <c r="T40" s="161"/>
      <c r="U40" s="122"/>
      <c r="V40" s="122"/>
      <c r="W40" s="122"/>
      <c r="X40" s="122"/>
      <c r="Y40" s="161"/>
      <c r="Z40" s="128"/>
      <c r="AA40" s="128"/>
      <c r="AB40" s="128"/>
      <c r="AC40" s="128"/>
      <c r="AD40" s="161"/>
      <c r="AE40" s="128"/>
      <c r="AF40" s="128"/>
      <c r="AG40" s="128"/>
      <c r="AH40" s="128"/>
      <c r="AI40" s="140"/>
      <c r="AJ40" s="85"/>
      <c r="AK40" s="85"/>
      <c r="AL40" s="85"/>
      <c r="AM40" s="85"/>
      <c r="AN40" s="140"/>
      <c r="AO40" s="85"/>
      <c r="AP40" s="85"/>
      <c r="AQ40" s="85"/>
      <c r="AR40" s="364"/>
      <c r="AS40" s="161"/>
      <c r="AT40" s="439"/>
      <c r="AU40" s="439"/>
      <c r="AV40" s="439"/>
      <c r="AW40" s="439"/>
      <c r="AX40" s="161"/>
      <c r="AY40" s="439"/>
      <c r="AZ40" s="439"/>
      <c r="BA40" s="439"/>
      <c r="BB40" s="439"/>
      <c r="BC40" s="161"/>
      <c r="BD40" s="439"/>
      <c r="BE40" s="439"/>
      <c r="BF40" s="439"/>
      <c r="BG40" s="439"/>
      <c r="BH40" s="161"/>
      <c r="BI40" s="439"/>
      <c r="BJ40" s="439"/>
      <c r="BK40" s="439"/>
      <c r="BL40" s="439"/>
      <c r="BM40" s="161"/>
      <c r="BN40" s="352"/>
      <c r="BO40" s="352"/>
      <c r="BP40" s="352"/>
      <c r="BQ40" s="352"/>
      <c r="BR40" s="643"/>
      <c r="BS40" s="352"/>
      <c r="BT40" s="352"/>
      <c r="BU40" s="352"/>
      <c r="BV40" s="352"/>
      <c r="BW40" s="643"/>
      <c r="BX40" s="352"/>
      <c r="BY40" s="453"/>
      <c r="BZ40" s="453"/>
      <c r="CA40" s="453"/>
      <c r="CB40" s="643"/>
      <c r="CC40" s="453"/>
      <c r="CD40" s="453"/>
      <c r="CE40" s="453"/>
      <c r="CF40" s="453"/>
      <c r="CG40" s="643"/>
      <c r="CH40" s="453"/>
      <c r="CI40" s="453"/>
      <c r="CJ40" s="453"/>
      <c r="CK40" s="453"/>
      <c r="CL40" s="643"/>
      <c r="CM40" s="453"/>
      <c r="CN40" s="453"/>
      <c r="CO40" s="453"/>
      <c r="CP40" s="453"/>
      <c r="CQ40" s="643"/>
    </row>
    <row r="41" spans="5:95" ht="13.5" x14ac:dyDescent="0.25">
      <c r="E41" s="54" t="s">
        <v>655</v>
      </c>
      <c r="F41" s="185"/>
      <c r="G41" s="185"/>
      <c r="H41" s="185"/>
      <c r="I41" s="185"/>
      <c r="J41" s="185"/>
      <c r="K41" s="122"/>
      <c r="L41" s="122"/>
      <c r="M41" s="122"/>
      <c r="N41" s="122"/>
      <c r="O41" s="161"/>
      <c r="P41" s="122"/>
      <c r="Q41" s="122"/>
      <c r="R41" s="122"/>
      <c r="S41" s="122"/>
      <c r="T41" s="161"/>
      <c r="U41" s="122"/>
      <c r="V41" s="122"/>
      <c r="W41" s="122"/>
      <c r="X41" s="122"/>
      <c r="Y41" s="161"/>
      <c r="Z41" s="128"/>
      <c r="AA41" s="128"/>
      <c r="AB41" s="128"/>
      <c r="AC41" s="128"/>
      <c r="AD41" s="161"/>
      <c r="AE41" s="128"/>
      <c r="AF41" s="128"/>
      <c r="AG41" s="128"/>
      <c r="AH41" s="128"/>
      <c r="AI41" s="140"/>
      <c r="AJ41" s="85"/>
      <c r="AK41" s="85"/>
      <c r="AL41" s="85"/>
      <c r="AM41" s="85"/>
      <c r="AN41" s="140"/>
      <c r="AO41" s="85"/>
      <c r="AP41" s="85"/>
      <c r="AQ41" s="85"/>
      <c r="AR41" s="364"/>
      <c r="AS41" s="161"/>
      <c r="AT41" s="439"/>
      <c r="AU41" s="439"/>
      <c r="AV41" s="439"/>
      <c r="AW41" s="439"/>
      <c r="AX41" s="161"/>
      <c r="AY41" s="439"/>
      <c r="AZ41" s="439"/>
      <c r="BA41" s="439"/>
      <c r="BB41" s="439"/>
      <c r="BC41" s="161"/>
      <c r="BD41" s="439"/>
      <c r="BE41" s="439"/>
      <c r="BF41" s="439"/>
      <c r="BG41" s="439"/>
      <c r="BH41" s="161"/>
      <c r="BI41" s="439"/>
      <c r="BJ41" s="439"/>
      <c r="BK41" s="439"/>
      <c r="BL41" s="439"/>
      <c r="BM41" s="161"/>
      <c r="BN41" s="417">
        <v>19.431999999999999</v>
      </c>
      <c r="BO41" s="417">
        <v>17.765000000000001</v>
      </c>
      <c r="BP41" s="417">
        <v>21.097000000000001</v>
      </c>
      <c r="BQ41" s="417">
        <v>18.587</v>
      </c>
      <c r="BR41" s="540">
        <f>SUM(BN41:BQ41)</f>
        <v>76.881</v>
      </c>
      <c r="BS41" s="417">
        <v>17.384</v>
      </c>
      <c r="BT41" s="417">
        <v>16.454000000000001</v>
      </c>
      <c r="BU41" s="417">
        <v>19.117999999999999</v>
      </c>
      <c r="BV41" s="417">
        <v>19.995000000000001</v>
      </c>
      <c r="BW41" s="540">
        <f>SUM(BS41:BV41)</f>
        <v>72.951000000000008</v>
      </c>
      <c r="BX41" s="417">
        <v>19.442</v>
      </c>
      <c r="BY41" s="417">
        <v>19.135999999999999</v>
      </c>
      <c r="BZ41" s="417">
        <v>20.584</v>
      </c>
      <c r="CA41" s="417">
        <v>20.414999999999999</v>
      </c>
      <c r="CB41" s="540">
        <f>SUM(BX41:CA41)</f>
        <v>79.576999999999998</v>
      </c>
      <c r="CC41" s="417">
        <v>20.027000000000001</v>
      </c>
      <c r="CD41" s="417">
        <v>21.986000000000001</v>
      </c>
      <c r="CE41" s="417">
        <v>22.581</v>
      </c>
      <c r="CF41" s="417">
        <v>17.899999999999999</v>
      </c>
      <c r="CG41" s="540">
        <f>SUM(CC41:CF41)</f>
        <v>82.494</v>
      </c>
      <c r="CH41" s="85"/>
      <c r="CI41" s="85"/>
      <c r="CJ41" s="85"/>
      <c r="CK41" s="85"/>
      <c r="CL41" s="540"/>
      <c r="CM41" s="85"/>
      <c r="CN41" s="85"/>
      <c r="CO41" s="85"/>
      <c r="CP41" s="85"/>
      <c r="CQ41" s="540"/>
    </row>
    <row r="42" spans="5:95" ht="13.5" x14ac:dyDescent="0.25">
      <c r="E42" s="365" t="s">
        <v>2</v>
      </c>
      <c r="F42" s="185"/>
      <c r="G42" s="185"/>
      <c r="H42" s="185"/>
      <c r="I42" s="185"/>
      <c r="J42" s="185"/>
      <c r="K42" s="122"/>
      <c r="L42" s="122"/>
      <c r="M42" s="122"/>
      <c r="N42" s="122"/>
      <c r="O42" s="161"/>
      <c r="P42" s="122"/>
      <c r="Q42" s="122"/>
      <c r="R42" s="122"/>
      <c r="S42" s="122"/>
      <c r="T42" s="161"/>
      <c r="U42" s="122"/>
      <c r="V42" s="122"/>
      <c r="W42" s="122"/>
      <c r="X42" s="122"/>
      <c r="Y42" s="161"/>
      <c r="Z42" s="128"/>
      <c r="AA42" s="128"/>
      <c r="AB42" s="128"/>
      <c r="AC42" s="128"/>
      <c r="AD42" s="161"/>
      <c r="AE42" s="128"/>
      <c r="AF42" s="128"/>
      <c r="AG42" s="128"/>
      <c r="AH42" s="128"/>
      <c r="AI42" s="140"/>
      <c r="AJ42" s="85"/>
      <c r="AK42" s="85"/>
      <c r="AL42" s="85"/>
      <c r="AM42" s="85"/>
      <c r="AN42" s="140"/>
      <c r="AO42" s="85"/>
      <c r="AP42" s="85"/>
      <c r="AQ42" s="85"/>
      <c r="AR42" s="364"/>
      <c r="AS42" s="161"/>
      <c r="AT42" s="439"/>
      <c r="AU42" s="439"/>
      <c r="AV42" s="439"/>
      <c r="AW42" s="439"/>
      <c r="AX42" s="161"/>
      <c r="AY42" s="439"/>
      <c r="AZ42" s="439"/>
      <c r="BA42" s="439"/>
      <c r="BB42" s="439"/>
      <c r="BC42" s="161"/>
      <c r="BD42" s="439"/>
      <c r="BE42" s="439"/>
      <c r="BF42" s="439"/>
      <c r="BG42" s="439"/>
      <c r="BH42" s="161"/>
      <c r="BI42" s="439"/>
      <c r="BJ42" s="439"/>
      <c r="BK42" s="439"/>
      <c r="BL42" s="439"/>
      <c r="BM42" s="161"/>
      <c r="BN42" s="463"/>
      <c r="BO42" s="463"/>
      <c r="BP42" s="463"/>
      <c r="BQ42" s="463"/>
      <c r="BR42" s="562"/>
      <c r="BS42" s="363">
        <f t="shared" ref="BS42:CG42" si="11">(BS41-BN41)/ABS(BN41)</f>
        <v>-0.10539316591189782</v>
      </c>
      <c r="BT42" s="363">
        <f t="shared" si="11"/>
        <v>-7.3796791443850263E-2</v>
      </c>
      <c r="BU42" s="363">
        <f t="shared" si="11"/>
        <v>-9.3804806370574145E-2</v>
      </c>
      <c r="BV42" s="363">
        <f t="shared" si="11"/>
        <v>7.5751869586270046E-2</v>
      </c>
      <c r="BW42" s="525">
        <f t="shared" si="11"/>
        <v>-5.1117961524954056E-2</v>
      </c>
      <c r="BX42" s="363">
        <f t="shared" si="11"/>
        <v>0.11838472158306487</v>
      </c>
      <c r="BY42" s="363">
        <f t="shared" si="11"/>
        <v>0.16299987844900926</v>
      </c>
      <c r="BZ42" s="363">
        <f t="shared" si="11"/>
        <v>7.6681661261638306E-2</v>
      </c>
      <c r="CA42" s="363">
        <f t="shared" si="11"/>
        <v>2.1005251312828113E-2</v>
      </c>
      <c r="CB42" s="525">
        <f t="shared" si="11"/>
        <v>9.0828090087867061E-2</v>
      </c>
      <c r="CC42" s="363">
        <f t="shared" si="11"/>
        <v>3.0089496965332828E-2</v>
      </c>
      <c r="CD42" s="363">
        <f t="shared" si="11"/>
        <v>0.14893394648829439</v>
      </c>
      <c r="CE42" s="363">
        <f>(CE41-BZ41)/ABS(BZ41)</f>
        <v>9.7017100660707345E-2</v>
      </c>
      <c r="CF42" s="363">
        <f t="shared" si="11"/>
        <v>-0.1231937301004164</v>
      </c>
      <c r="CG42" s="525">
        <f t="shared" si="11"/>
        <v>3.6656320293552175E-2</v>
      </c>
      <c r="CH42" s="363"/>
      <c r="CI42" s="363"/>
      <c r="CJ42" s="363"/>
      <c r="CK42" s="363"/>
      <c r="CL42" s="525"/>
      <c r="CM42" s="363"/>
      <c r="CN42" s="363"/>
      <c r="CO42" s="363"/>
      <c r="CP42" s="363"/>
      <c r="CQ42" s="641"/>
    </row>
    <row r="43" spans="5:95" ht="13.5" x14ac:dyDescent="0.25">
      <c r="E43" s="365" t="s">
        <v>91</v>
      </c>
      <c r="F43" s="185"/>
      <c r="G43" s="185"/>
      <c r="H43" s="185"/>
      <c r="I43" s="185"/>
      <c r="J43" s="185"/>
      <c r="K43" s="122"/>
      <c r="L43" s="122"/>
      <c r="M43" s="122"/>
      <c r="N43" s="122"/>
      <c r="O43" s="161"/>
      <c r="P43" s="122"/>
      <c r="Q43" s="122"/>
      <c r="R43" s="122"/>
      <c r="S43" s="122"/>
      <c r="T43" s="161"/>
      <c r="U43" s="122"/>
      <c r="V43" s="122"/>
      <c r="W43" s="122"/>
      <c r="X43" s="122"/>
      <c r="Y43" s="161"/>
      <c r="Z43" s="128"/>
      <c r="AA43" s="128"/>
      <c r="AB43" s="128"/>
      <c r="AC43" s="128"/>
      <c r="AD43" s="161"/>
      <c r="AE43" s="128"/>
      <c r="AF43" s="128"/>
      <c r="AG43" s="128"/>
      <c r="AH43" s="128"/>
      <c r="AI43" s="140"/>
      <c r="AJ43" s="85"/>
      <c r="AK43" s="85"/>
      <c r="AL43" s="85"/>
      <c r="AM43" s="85"/>
      <c r="AN43" s="140"/>
      <c r="AO43" s="85"/>
      <c r="AP43" s="85"/>
      <c r="AQ43" s="85"/>
      <c r="AR43" s="364"/>
      <c r="AS43" s="161"/>
      <c r="AT43" s="439"/>
      <c r="AU43" s="439"/>
      <c r="AV43" s="439"/>
      <c r="AW43" s="439"/>
      <c r="AX43" s="161"/>
      <c r="AY43" s="439"/>
      <c r="AZ43" s="439"/>
      <c r="BA43" s="439"/>
      <c r="BB43" s="439"/>
      <c r="BC43" s="161"/>
      <c r="BD43" s="439"/>
      <c r="BE43" s="439"/>
      <c r="BF43" s="439"/>
      <c r="BG43" s="439"/>
      <c r="BH43" s="161"/>
      <c r="BI43" s="439"/>
      <c r="BJ43" s="439"/>
      <c r="BK43" s="439"/>
      <c r="BL43" s="439"/>
      <c r="BM43" s="161"/>
      <c r="BN43" s="363">
        <f>BN41/'Marketing Services'!BN8</f>
        <v>0.19810580187380847</v>
      </c>
      <c r="BO43" s="363">
        <f>BO41/'Marketing Services'!BO8</f>
        <v>0.17980405254954351</v>
      </c>
      <c r="BP43" s="363">
        <f>BP41/'Marketing Services'!BP8</f>
        <v>0.20453730185660965</v>
      </c>
      <c r="BQ43" s="363">
        <f>BQ41/'Marketing Services'!BQ8</f>
        <v>0.1852180325255102</v>
      </c>
      <c r="BR43" s="525">
        <f>BR41/'Marketing Services'!BR8</f>
        <v>0.19201624424308419</v>
      </c>
      <c r="BS43" s="363">
        <f>BS41/'Marketing Services'!BS8</f>
        <v>0.1764622287187608</v>
      </c>
      <c r="BT43" s="363">
        <f>BT41/'Marketing Services'!BT8</f>
        <v>0.15967781066524334</v>
      </c>
      <c r="BU43" s="363">
        <f>BU41/'Marketing Services'!BU8</f>
        <v>0.18080538689969547</v>
      </c>
      <c r="BV43" s="363">
        <f>BV41/'Marketing Services'!BV8</f>
        <v>0.19160557711657325</v>
      </c>
      <c r="BW43" s="525">
        <f>BW41/'Marketing Services'!BW8</f>
        <v>0.17721522062324488</v>
      </c>
      <c r="BX43" s="363">
        <f>BX41/'Marketing Services'!BX8</f>
        <v>0.18994489819844465</v>
      </c>
      <c r="BY43" s="363">
        <f>BY41/'Marketing Services'!BY8</f>
        <v>0.19568663142071194</v>
      </c>
      <c r="BZ43" s="363">
        <f>BZ41/'Marketing Services'!BZ8</f>
        <v>0.22171955449277236</v>
      </c>
      <c r="CA43" s="363">
        <f>CA41/'Marketing Services'!CA8</f>
        <v>0.23362667795795522</v>
      </c>
      <c r="CB43" s="525">
        <f>CB41/'Marketing Services'!CB8</f>
        <v>0.20921165403847877</v>
      </c>
      <c r="CC43" s="363">
        <f>CC41/'Marketing Services'!CC8</f>
        <v>0.23652726435261187</v>
      </c>
      <c r="CD43" s="363">
        <f>CD41/'Marketing Services'!CD8</f>
        <v>0.2526981207976553</v>
      </c>
      <c r="CE43" s="363">
        <f>CE41/'Marketing Services'!CE8</f>
        <v>0.25788289574363599</v>
      </c>
      <c r="CF43" s="363">
        <f>CF41/'Marketing Services'!CF8</f>
        <v>0.19757174392935983</v>
      </c>
      <c r="CG43" s="525">
        <f>CG41/'Marketing Services'!CG8</f>
        <v>0.23580561343932499</v>
      </c>
      <c r="CH43" s="453"/>
      <c r="CI43" s="453"/>
      <c r="CJ43" s="453"/>
      <c r="CK43" s="453"/>
      <c r="CL43" s="525"/>
      <c r="CM43" s="453"/>
      <c r="CN43" s="453"/>
      <c r="CO43" s="453"/>
      <c r="CP43" s="453"/>
      <c r="CQ43" s="641"/>
    </row>
    <row r="44" spans="5:95" ht="3.75" customHeight="1" x14ac:dyDescent="0.25">
      <c r="E44" s="365"/>
      <c r="F44" s="185"/>
      <c r="G44" s="185"/>
      <c r="H44" s="185"/>
      <c r="I44" s="185"/>
      <c r="J44" s="185"/>
      <c r="K44" s="122"/>
      <c r="L44" s="122"/>
      <c r="M44" s="122"/>
      <c r="N44" s="122"/>
      <c r="O44" s="161"/>
      <c r="P44" s="122"/>
      <c r="Q44" s="122"/>
      <c r="R44" s="122"/>
      <c r="S44" s="122"/>
      <c r="T44" s="161"/>
      <c r="U44" s="122"/>
      <c r="V44" s="122"/>
      <c r="W44" s="122"/>
      <c r="X44" s="122"/>
      <c r="Y44" s="161"/>
      <c r="Z44" s="128"/>
      <c r="AA44" s="128"/>
      <c r="AB44" s="128"/>
      <c r="AC44" s="128"/>
      <c r="AD44" s="161"/>
      <c r="AE44" s="128"/>
      <c r="AF44" s="128"/>
      <c r="AG44" s="128"/>
      <c r="AH44" s="128"/>
      <c r="AI44" s="140"/>
      <c r="AJ44" s="85"/>
      <c r="AK44" s="85"/>
      <c r="AL44" s="85"/>
      <c r="AM44" s="85"/>
      <c r="AN44" s="140"/>
      <c r="AO44" s="85"/>
      <c r="AP44" s="85"/>
      <c r="AQ44" s="85"/>
      <c r="AR44" s="364"/>
      <c r="AS44" s="161"/>
      <c r="AT44" s="439"/>
      <c r="AU44" s="439"/>
      <c r="AV44" s="439"/>
      <c r="AW44" s="439"/>
      <c r="AX44" s="161"/>
      <c r="AY44" s="439"/>
      <c r="AZ44" s="439"/>
      <c r="BA44" s="439"/>
      <c r="BB44" s="439"/>
      <c r="BC44" s="161"/>
      <c r="BD44" s="439"/>
      <c r="BE44" s="439"/>
      <c r="BF44" s="439"/>
      <c r="BG44" s="439"/>
      <c r="BH44" s="161"/>
      <c r="BI44" s="439"/>
      <c r="BJ44" s="439"/>
      <c r="BK44" s="439"/>
      <c r="BL44" s="439"/>
      <c r="BM44" s="161"/>
      <c r="BN44" s="363"/>
      <c r="BO44" s="363"/>
      <c r="BP44" s="363"/>
      <c r="BQ44" s="363"/>
      <c r="BR44" s="641"/>
      <c r="BS44" s="363"/>
      <c r="BT44" s="363"/>
      <c r="BU44" s="363"/>
      <c r="BV44" s="363"/>
      <c r="BW44" s="641"/>
      <c r="BX44" s="363"/>
      <c r="BY44" s="363"/>
      <c r="BZ44" s="363"/>
      <c r="CA44" s="363"/>
      <c r="CB44" s="641"/>
      <c r="CC44" s="363"/>
      <c r="CD44" s="363"/>
      <c r="CE44" s="453"/>
      <c r="CF44" s="453"/>
      <c r="CG44" s="641"/>
      <c r="CH44" s="453"/>
      <c r="CI44" s="453"/>
      <c r="CJ44" s="453"/>
      <c r="CK44" s="453"/>
      <c r="CL44" s="641"/>
      <c r="CM44" s="453"/>
      <c r="CN44" s="453"/>
      <c r="CO44" s="453"/>
      <c r="CP44" s="453"/>
      <c r="CQ44" s="641"/>
    </row>
    <row r="45" spans="5:95" ht="13.5" x14ac:dyDescent="0.25">
      <c r="E45" s="54" t="s">
        <v>656</v>
      </c>
      <c r="F45" s="185"/>
      <c r="G45" s="185"/>
      <c r="H45" s="185"/>
      <c r="I45" s="185"/>
      <c r="J45" s="185"/>
      <c r="K45" s="122"/>
      <c r="L45" s="122"/>
      <c r="M45" s="122"/>
      <c r="N45" s="122"/>
      <c r="O45" s="161"/>
      <c r="P45" s="122"/>
      <c r="Q45" s="122"/>
      <c r="R45" s="122"/>
      <c r="S45" s="122"/>
      <c r="T45" s="161"/>
      <c r="U45" s="122"/>
      <c r="V45" s="122"/>
      <c r="W45" s="122"/>
      <c r="X45" s="122"/>
      <c r="Y45" s="161"/>
      <c r="Z45" s="128"/>
      <c r="AA45" s="128"/>
      <c r="AB45" s="128"/>
      <c r="AC45" s="128"/>
      <c r="AD45" s="161"/>
      <c r="AE45" s="128"/>
      <c r="AF45" s="128"/>
      <c r="AG45" s="128"/>
      <c r="AH45" s="128"/>
      <c r="AI45" s="140"/>
      <c r="AJ45" s="85"/>
      <c r="AK45" s="85"/>
      <c r="AL45" s="85"/>
      <c r="AM45" s="85"/>
      <c r="AN45" s="140"/>
      <c r="AO45" s="85"/>
      <c r="AP45" s="85"/>
      <c r="AQ45" s="85"/>
      <c r="AR45" s="364"/>
      <c r="AS45" s="161"/>
      <c r="AT45" s="439"/>
      <c r="AU45" s="439"/>
      <c r="AV45" s="439"/>
      <c r="AW45" s="439"/>
      <c r="AX45" s="161"/>
      <c r="AY45" s="439"/>
      <c r="AZ45" s="439"/>
      <c r="BA45" s="439"/>
      <c r="BB45" s="439"/>
      <c r="BC45" s="161"/>
      <c r="BD45" s="439"/>
      <c r="BE45" s="439"/>
      <c r="BF45" s="439"/>
      <c r="BG45" s="439"/>
      <c r="BH45" s="161"/>
      <c r="BI45" s="439"/>
      <c r="BJ45" s="439"/>
      <c r="BK45" s="439"/>
      <c r="BL45" s="439"/>
      <c r="BM45" s="161"/>
      <c r="BN45" s="417">
        <v>1.3959999999999999</v>
      </c>
      <c r="BO45" s="417">
        <v>2.8109999999999999</v>
      </c>
      <c r="BP45" s="417">
        <v>0.76200000000000001</v>
      </c>
      <c r="BQ45" s="417">
        <v>-0.60299999999999998</v>
      </c>
      <c r="BR45" s="540">
        <f>SUM(BN45:BQ45)</f>
        <v>4.3659999999999997</v>
      </c>
      <c r="BS45" s="417">
        <v>-0.53100000000000003</v>
      </c>
      <c r="BT45" s="417">
        <v>1.454</v>
      </c>
      <c r="BU45" s="417">
        <v>1.1910000000000001</v>
      </c>
      <c r="BV45" s="417">
        <v>-0.69399999999999995</v>
      </c>
      <c r="BW45" s="540">
        <f>SUM(BS45:BV45)</f>
        <v>1.42</v>
      </c>
      <c r="BX45" s="85">
        <f>BX48-BX41</f>
        <v>0.7029999999999994</v>
      </c>
      <c r="BY45" s="85">
        <f>BY48-BY41</f>
        <v>0.70100000000000051</v>
      </c>
      <c r="BZ45" s="85">
        <f>BZ48-BZ41</f>
        <v>0.54299999999999926</v>
      </c>
      <c r="CA45" s="85">
        <f>CA48-CA41</f>
        <v>-0.90199999999999747</v>
      </c>
      <c r="CB45" s="540">
        <f>SUM(BX45:CA45)</f>
        <v>1.0450000000000017</v>
      </c>
      <c r="CC45" s="85">
        <f>CC48-CC41</f>
        <v>-0.2430000000000021</v>
      </c>
      <c r="CD45" s="85">
        <f>CD48-CD41</f>
        <v>-0.11200000000000188</v>
      </c>
      <c r="CE45" s="85">
        <f>CE48-CE41</f>
        <v>-0.51800000000000068</v>
      </c>
      <c r="CF45" s="721">
        <f>CF48-CF41</f>
        <v>1.6829999999999998</v>
      </c>
      <c r="CG45" s="540">
        <f>SUM(CC45:CF45)</f>
        <v>0.80999999999999517</v>
      </c>
      <c r="CH45" s="85"/>
      <c r="CI45" s="85"/>
      <c r="CJ45" s="85"/>
      <c r="CK45" s="85"/>
      <c r="CL45" s="540"/>
      <c r="CM45" s="85"/>
      <c r="CN45" s="85"/>
      <c r="CO45" s="85"/>
      <c r="CP45" s="85"/>
      <c r="CQ45" s="540"/>
    </row>
    <row r="46" spans="5:95" ht="13.5" x14ac:dyDescent="0.25">
      <c r="E46" s="365" t="s">
        <v>2</v>
      </c>
      <c r="F46" s="185"/>
      <c r="G46" s="185"/>
      <c r="H46" s="185"/>
      <c r="I46" s="185"/>
      <c r="J46" s="185"/>
      <c r="K46" s="122"/>
      <c r="L46" s="122"/>
      <c r="M46" s="122"/>
      <c r="N46" s="122"/>
      <c r="O46" s="161"/>
      <c r="P46" s="122"/>
      <c r="Q46" s="122"/>
      <c r="R46" s="122"/>
      <c r="S46" s="122"/>
      <c r="T46" s="161"/>
      <c r="U46" s="122"/>
      <c r="V46" s="122"/>
      <c r="W46" s="122"/>
      <c r="X46" s="122"/>
      <c r="Y46" s="161"/>
      <c r="Z46" s="128"/>
      <c r="AA46" s="128"/>
      <c r="AB46" s="128"/>
      <c r="AC46" s="128"/>
      <c r="AD46" s="161"/>
      <c r="AE46" s="128"/>
      <c r="AF46" s="128"/>
      <c r="AG46" s="128"/>
      <c r="AH46" s="128"/>
      <c r="AI46" s="140"/>
      <c r="AJ46" s="85"/>
      <c r="AK46" s="85"/>
      <c r="AL46" s="85"/>
      <c r="AM46" s="85"/>
      <c r="AN46" s="140"/>
      <c r="AO46" s="85"/>
      <c r="AP46" s="85"/>
      <c r="AQ46" s="85"/>
      <c r="AR46" s="364"/>
      <c r="AS46" s="161"/>
      <c r="AT46" s="439"/>
      <c r="AU46" s="439"/>
      <c r="AV46" s="439"/>
      <c r="AW46" s="439"/>
      <c r="AX46" s="161"/>
      <c r="AY46" s="439"/>
      <c r="AZ46" s="439"/>
      <c r="BA46" s="439"/>
      <c r="BB46" s="439"/>
      <c r="BC46" s="161"/>
      <c r="BD46" s="439"/>
      <c r="BE46" s="439"/>
      <c r="BF46" s="439"/>
      <c r="BG46" s="439"/>
      <c r="BH46" s="161"/>
      <c r="BI46" s="439"/>
      <c r="BJ46" s="439"/>
      <c r="BK46" s="439"/>
      <c r="BL46" s="439"/>
      <c r="BM46" s="161"/>
      <c r="BN46" s="463"/>
      <c r="BO46" s="463"/>
      <c r="BP46" s="463"/>
      <c r="BQ46" s="463"/>
      <c r="BR46" s="562"/>
      <c r="BS46" s="363">
        <f t="shared" ref="BS46:CG46" si="12">(BS45-BN45)/ABS(BN45)</f>
        <v>-1.3803724928366763</v>
      </c>
      <c r="BT46" s="363">
        <f t="shared" si="12"/>
        <v>-0.48274635361081464</v>
      </c>
      <c r="BU46" s="363">
        <f t="shared" si="12"/>
        <v>0.56299212598425208</v>
      </c>
      <c r="BV46" s="363">
        <f t="shared" si="12"/>
        <v>-0.15091210613598668</v>
      </c>
      <c r="BW46" s="525">
        <f t="shared" si="12"/>
        <v>-0.67475950526797979</v>
      </c>
      <c r="BX46" s="363">
        <f t="shared" si="12"/>
        <v>2.3239171374764584</v>
      </c>
      <c r="BY46" s="363">
        <f t="shared" si="12"/>
        <v>-0.51788170563961444</v>
      </c>
      <c r="BZ46" s="363">
        <f t="shared" si="12"/>
        <v>-0.54408060453400564</v>
      </c>
      <c r="CA46" s="363">
        <f t="shared" si="12"/>
        <v>-0.29971181556195609</v>
      </c>
      <c r="CB46" s="525">
        <f t="shared" si="12"/>
        <v>-0.26408450704225228</v>
      </c>
      <c r="CC46" s="363">
        <f t="shared" si="12"/>
        <v>-1.3456614509246121</v>
      </c>
      <c r="CD46" s="363">
        <f t="shared" si="12"/>
        <v>-1.1597717546362365</v>
      </c>
      <c r="CE46" s="363">
        <f>(CE45-BZ45)/ABS(BZ45)</f>
        <v>-1.9539594843462271</v>
      </c>
      <c r="CF46" s="363">
        <f>(CF45-CA45)/ABS(CA45)</f>
        <v>2.8658536585365906</v>
      </c>
      <c r="CG46" s="525">
        <f t="shared" si="12"/>
        <v>-0.22488038277512551</v>
      </c>
      <c r="CH46" s="363"/>
      <c r="CI46" s="363"/>
      <c r="CJ46" s="363"/>
      <c r="CK46" s="363"/>
      <c r="CL46" s="641"/>
      <c r="CM46" s="363"/>
      <c r="CN46" s="363"/>
      <c r="CO46" s="363"/>
      <c r="CP46" s="363"/>
      <c r="CQ46" s="641"/>
    </row>
    <row r="47" spans="5:95" ht="13.5" x14ac:dyDescent="0.25">
      <c r="E47" s="365" t="s">
        <v>91</v>
      </c>
      <c r="F47" s="185"/>
      <c r="G47" s="185"/>
      <c r="H47" s="185"/>
      <c r="I47" s="185"/>
      <c r="J47" s="185"/>
      <c r="K47" s="122"/>
      <c r="L47" s="122"/>
      <c r="M47" s="122"/>
      <c r="N47" s="122"/>
      <c r="O47" s="161"/>
      <c r="P47" s="122"/>
      <c r="Q47" s="122"/>
      <c r="R47" s="122"/>
      <c r="S47" s="122"/>
      <c r="T47" s="161"/>
      <c r="U47" s="122"/>
      <c r="V47" s="122"/>
      <c r="W47" s="122"/>
      <c r="X47" s="122"/>
      <c r="Y47" s="161"/>
      <c r="Z47" s="128"/>
      <c r="AA47" s="128"/>
      <c r="AB47" s="128"/>
      <c r="AC47" s="128"/>
      <c r="AD47" s="161"/>
      <c r="AE47" s="128"/>
      <c r="AF47" s="128"/>
      <c r="AG47" s="128"/>
      <c r="AH47" s="128"/>
      <c r="AI47" s="140"/>
      <c r="AJ47" s="85"/>
      <c r="AK47" s="85"/>
      <c r="AL47" s="85"/>
      <c r="AM47" s="85"/>
      <c r="AN47" s="140"/>
      <c r="AO47" s="85"/>
      <c r="AP47" s="85"/>
      <c r="AQ47" s="85"/>
      <c r="AR47" s="364"/>
      <c r="AS47" s="161"/>
      <c r="AT47" s="439"/>
      <c r="AU47" s="439"/>
      <c r="AV47" s="439"/>
      <c r="AW47" s="439"/>
      <c r="AX47" s="161"/>
      <c r="AY47" s="439"/>
      <c r="AZ47" s="439"/>
      <c r="BA47" s="439"/>
      <c r="BB47" s="439"/>
      <c r="BC47" s="161"/>
      <c r="BD47" s="439"/>
      <c r="BE47" s="439"/>
      <c r="BF47" s="439"/>
      <c r="BG47" s="439"/>
      <c r="BH47" s="161"/>
      <c r="BI47" s="439"/>
      <c r="BJ47" s="439"/>
      <c r="BK47" s="439"/>
      <c r="BL47" s="439"/>
      <c r="BM47" s="161"/>
      <c r="BN47" s="363">
        <f>BN45/'Marketing Services'!BN11</f>
        <v>0.1246539869631217</v>
      </c>
      <c r="BO47" s="363">
        <f>BO45/'Marketing Services'!BO11</f>
        <v>0.20153427014625752</v>
      </c>
      <c r="BP47" s="363">
        <f>BP45/'Marketing Services'!BP11</f>
        <v>6.768520163439333E-2</v>
      </c>
      <c r="BQ47" s="363">
        <f>BQ45/'Marketing Services'!BQ11</f>
        <v>-6.4769065520945218E-2</v>
      </c>
      <c r="BR47" s="525">
        <f>BR45/'Marketing Services'!BR11</f>
        <v>9.550475773816032E-2</v>
      </c>
      <c r="BS47" s="363">
        <f>BS45/'Marketing Services'!BS11</f>
        <v>-5.7642205818497619E-2</v>
      </c>
      <c r="BT47" s="363">
        <f>BT45/'Marketing Services'!BT11</f>
        <v>0.14635128334172118</v>
      </c>
      <c r="BU47" s="363">
        <f>BU45/'Marketing Services'!BU11</f>
        <v>0.11925503154100331</v>
      </c>
      <c r="BV47" s="363">
        <f>BV45/'Marketing Services'!BV11</f>
        <v>-7.7222654946033156E-2</v>
      </c>
      <c r="BW47" s="525">
        <f>BW45/'Marketing Services'!BW11</f>
        <v>3.7249809816111853E-2</v>
      </c>
      <c r="BX47" s="363">
        <f>BX45/'Marketing Services'!BX11</f>
        <v>9.5529283870090853E-2</v>
      </c>
      <c r="BY47" s="363">
        <f>BY45/'Marketing Services'!BY11</f>
        <v>8.8846641318124267E-2</v>
      </c>
      <c r="BZ47" s="363">
        <f>BZ45/'Marketing Services'!BZ11</f>
        <v>6.511572130950935E-2</v>
      </c>
      <c r="CA47" s="363">
        <f>CA45/'Marketing Services'!CA11</f>
        <v>-0.13099041533546271</v>
      </c>
      <c r="CB47" s="641">
        <f>CB45/'Marketing Services'!CB11</f>
        <v>3.4291527203517774E-2</v>
      </c>
      <c r="CC47" s="363">
        <f>CC45/'Marketing Services'!CC11</f>
        <v>-3.5100390004333751E-2</v>
      </c>
      <c r="CD47" s="363">
        <f>CD45/'Marketing Services'!CD11</f>
        <v>-1.5915873241438366E-2</v>
      </c>
      <c r="CE47" s="363">
        <f>CE45/'Marketing Services'!CE11</f>
        <v>-7.5137800986365147E-2</v>
      </c>
      <c r="CF47" s="363">
        <f>CF45/'Marketing Services'!CF11</f>
        <v>0.20146037826191046</v>
      </c>
      <c r="CG47" s="641">
        <f>CG45/'Marketing Services'!CG11</f>
        <v>2.7732128184059013E-2</v>
      </c>
      <c r="CH47" s="453"/>
      <c r="CI47" s="453"/>
      <c r="CJ47" s="453"/>
      <c r="CK47" s="453"/>
      <c r="CL47" s="641"/>
      <c r="CM47" s="453"/>
      <c r="CN47" s="453"/>
      <c r="CO47" s="453"/>
      <c r="CP47" s="453"/>
      <c r="CQ47" s="641"/>
    </row>
    <row r="48" spans="5:95" ht="13.5" x14ac:dyDescent="0.25">
      <c r="E48" s="564" t="s">
        <v>696</v>
      </c>
      <c r="F48" s="565"/>
      <c r="G48" s="565"/>
      <c r="H48" s="565"/>
      <c r="I48" s="565"/>
      <c r="J48" s="565"/>
      <c r="K48" s="565"/>
      <c r="L48" s="565"/>
      <c r="M48" s="565"/>
      <c r="N48" s="565"/>
      <c r="O48" s="566"/>
      <c r="P48" s="565"/>
      <c r="Q48" s="565"/>
      <c r="R48" s="565"/>
      <c r="S48" s="565"/>
      <c r="T48" s="566"/>
      <c r="U48" s="565"/>
      <c r="V48" s="565"/>
      <c r="W48" s="565"/>
      <c r="X48" s="565"/>
      <c r="Y48" s="566"/>
      <c r="Z48" s="567"/>
      <c r="AA48" s="567"/>
      <c r="AB48" s="567"/>
      <c r="AC48" s="567"/>
      <c r="AD48" s="566"/>
      <c r="AE48" s="567"/>
      <c r="AF48" s="567"/>
      <c r="AG48" s="567"/>
      <c r="AH48" s="567"/>
      <c r="AI48" s="513"/>
      <c r="AJ48" s="568"/>
      <c r="AK48" s="568"/>
      <c r="AL48" s="568"/>
      <c r="AM48" s="568"/>
      <c r="AN48" s="513"/>
      <c r="AO48" s="568"/>
      <c r="AP48" s="568"/>
      <c r="AQ48" s="568"/>
      <c r="AR48" s="565"/>
      <c r="AS48" s="566"/>
      <c r="AT48" s="566"/>
      <c r="AU48" s="566"/>
      <c r="AV48" s="566"/>
      <c r="AW48" s="566"/>
      <c r="AX48" s="566"/>
      <c r="AY48" s="566"/>
      <c r="AZ48" s="566"/>
      <c r="BA48" s="566"/>
      <c r="BB48" s="566"/>
      <c r="BC48" s="566"/>
      <c r="BD48" s="566"/>
      <c r="BE48" s="566"/>
      <c r="BF48" s="566"/>
      <c r="BG48" s="566"/>
      <c r="BH48" s="566"/>
      <c r="BI48" s="566"/>
      <c r="BJ48" s="566"/>
      <c r="BK48" s="566"/>
      <c r="BL48" s="566"/>
      <c r="BM48" s="566"/>
      <c r="BN48" s="545">
        <v>20.827999999999999</v>
      </c>
      <c r="BO48" s="545">
        <v>20.576000000000001</v>
      </c>
      <c r="BP48" s="545">
        <v>21.859000000000002</v>
      </c>
      <c r="BQ48" s="545">
        <v>17.984000000000002</v>
      </c>
      <c r="BR48" s="540">
        <f>SUM(BN48:BQ48)</f>
        <v>81.247</v>
      </c>
      <c r="BS48" s="545">
        <v>16.853000000000002</v>
      </c>
      <c r="BT48" s="545">
        <v>17.908000000000001</v>
      </c>
      <c r="BU48" s="545">
        <v>20.309000000000001</v>
      </c>
      <c r="BV48" s="545">
        <v>19.300999999999998</v>
      </c>
      <c r="BW48" s="540">
        <f>SUM(BS48:BV48)</f>
        <v>74.371000000000009</v>
      </c>
      <c r="BX48" s="545">
        <v>20.145</v>
      </c>
      <c r="BY48" s="545">
        <v>19.837</v>
      </c>
      <c r="BZ48" s="545">
        <v>21.126999999999999</v>
      </c>
      <c r="CA48" s="545">
        <v>19.513000000000002</v>
      </c>
      <c r="CB48" s="540">
        <f>SUM(BX48:CA48)</f>
        <v>80.622</v>
      </c>
      <c r="CC48" s="545">
        <v>19.783999999999999</v>
      </c>
      <c r="CD48" s="545">
        <v>21.873999999999999</v>
      </c>
      <c r="CE48" s="545">
        <v>22.062999999999999</v>
      </c>
      <c r="CF48" s="545">
        <v>19.582999999999998</v>
      </c>
      <c r="CG48" s="540">
        <f>SUM(CC48:CF48)</f>
        <v>83.304000000000002</v>
      </c>
      <c r="CH48" s="536"/>
      <c r="CI48" s="536"/>
      <c r="CJ48" s="536"/>
      <c r="CK48" s="536"/>
      <c r="CL48" s="540"/>
      <c r="CM48" s="642"/>
      <c r="CN48" s="642"/>
      <c r="CO48" s="642"/>
      <c r="CP48" s="642"/>
      <c r="CQ48" s="540"/>
    </row>
    <row r="49" spans="5:95" ht="13.5" x14ac:dyDescent="0.25">
      <c r="E49" s="560" t="s">
        <v>2</v>
      </c>
      <c r="F49" s="565"/>
      <c r="G49" s="565"/>
      <c r="H49" s="565"/>
      <c r="I49" s="565"/>
      <c r="J49" s="565"/>
      <c r="K49" s="565"/>
      <c r="L49" s="565"/>
      <c r="M49" s="565"/>
      <c r="N49" s="565"/>
      <c r="O49" s="566"/>
      <c r="P49" s="565"/>
      <c r="Q49" s="565"/>
      <c r="R49" s="565"/>
      <c r="S49" s="565"/>
      <c r="T49" s="566"/>
      <c r="U49" s="565"/>
      <c r="V49" s="565"/>
      <c r="W49" s="565"/>
      <c r="X49" s="565"/>
      <c r="Y49" s="566"/>
      <c r="Z49" s="567"/>
      <c r="AA49" s="567"/>
      <c r="AB49" s="567"/>
      <c r="AC49" s="567"/>
      <c r="AD49" s="566"/>
      <c r="AE49" s="567"/>
      <c r="AF49" s="567"/>
      <c r="AG49" s="567"/>
      <c r="AH49" s="567"/>
      <c r="AI49" s="513"/>
      <c r="AJ49" s="568"/>
      <c r="AK49" s="568"/>
      <c r="AL49" s="568"/>
      <c r="AM49" s="568"/>
      <c r="AN49" s="513"/>
      <c r="AO49" s="568"/>
      <c r="AP49" s="568"/>
      <c r="AQ49" s="568"/>
      <c r="AR49" s="565"/>
      <c r="AS49" s="566"/>
      <c r="AT49" s="566"/>
      <c r="AU49" s="566"/>
      <c r="AV49" s="566"/>
      <c r="AW49" s="566"/>
      <c r="AX49" s="566"/>
      <c r="AY49" s="566"/>
      <c r="AZ49" s="566"/>
      <c r="BA49" s="566"/>
      <c r="BB49" s="566"/>
      <c r="BC49" s="566"/>
      <c r="BD49" s="566"/>
      <c r="BE49" s="566"/>
      <c r="BF49" s="566"/>
      <c r="BG49" s="566"/>
      <c r="BH49" s="566"/>
      <c r="BI49" s="566"/>
      <c r="BJ49" s="566"/>
      <c r="BK49" s="566"/>
      <c r="BL49" s="566"/>
      <c r="BM49" s="566"/>
      <c r="BN49" s="562"/>
      <c r="BO49" s="562"/>
      <c r="BP49" s="513"/>
      <c r="BQ49" s="562"/>
      <c r="BR49" s="562"/>
      <c r="BS49" s="525">
        <f t="shared" ref="BS49:CG49" si="13">(BS48-BN48)/ABS(BN48)</f>
        <v>-0.19084885730747062</v>
      </c>
      <c r="BT49" s="525">
        <f t="shared" si="13"/>
        <v>-0.12966562986003108</v>
      </c>
      <c r="BU49" s="525">
        <f t="shared" si="13"/>
        <v>-7.0909007731369253E-2</v>
      </c>
      <c r="BV49" s="525">
        <f t="shared" si="13"/>
        <v>7.3231761565836107E-2</v>
      </c>
      <c r="BW49" s="525">
        <f t="shared" si="13"/>
        <v>-8.463081713786344E-2</v>
      </c>
      <c r="BX49" s="525">
        <f t="shared" si="13"/>
        <v>0.19533614193318682</v>
      </c>
      <c r="BY49" s="525">
        <f t="shared" si="13"/>
        <v>0.1077172213535849</v>
      </c>
      <c r="BZ49" s="525">
        <f t="shared" si="13"/>
        <v>4.0277709389925538E-2</v>
      </c>
      <c r="CA49" s="525">
        <f t="shared" si="13"/>
        <v>1.0983886845241351E-2</v>
      </c>
      <c r="CB49" s="641">
        <f t="shared" si="13"/>
        <v>8.4051579244597885E-2</v>
      </c>
      <c r="CC49" s="525">
        <f t="shared" si="13"/>
        <v>-1.7920079424174767E-2</v>
      </c>
      <c r="CD49" s="525">
        <f>(CD48-BY48)/ABS(BY48)</f>
        <v>0.10268689822049701</v>
      </c>
      <c r="CE49" s="525">
        <f t="shared" si="13"/>
        <v>4.4303497893690535E-2</v>
      </c>
      <c r="CF49" s="525">
        <f>(CF48-CA48)/ABS(CA48)</f>
        <v>3.5873520217289357E-3</v>
      </c>
      <c r="CG49" s="525">
        <f t="shared" si="13"/>
        <v>3.3266354096896655E-2</v>
      </c>
      <c r="CH49" s="525"/>
      <c r="CI49" s="525"/>
      <c r="CJ49" s="525"/>
      <c r="CK49" s="525"/>
      <c r="CL49" s="641"/>
      <c r="CM49" s="641"/>
      <c r="CN49" s="641"/>
      <c r="CO49" s="641"/>
      <c r="CP49" s="641"/>
      <c r="CQ49" s="641"/>
    </row>
    <row r="50" spans="5:95" ht="13.5" x14ac:dyDescent="0.25">
      <c r="E50" s="560" t="s">
        <v>91</v>
      </c>
      <c r="F50" s="565"/>
      <c r="G50" s="565"/>
      <c r="H50" s="565"/>
      <c r="I50" s="565"/>
      <c r="J50" s="565"/>
      <c r="K50" s="565"/>
      <c r="L50" s="565"/>
      <c r="M50" s="565"/>
      <c r="N50" s="565"/>
      <c r="O50" s="566"/>
      <c r="P50" s="565"/>
      <c r="Q50" s="565"/>
      <c r="R50" s="565"/>
      <c r="S50" s="565"/>
      <c r="T50" s="566"/>
      <c r="U50" s="565"/>
      <c r="V50" s="565"/>
      <c r="W50" s="565"/>
      <c r="X50" s="565"/>
      <c r="Y50" s="566"/>
      <c r="Z50" s="567"/>
      <c r="AA50" s="567"/>
      <c r="AB50" s="567"/>
      <c r="AC50" s="567"/>
      <c r="AD50" s="566"/>
      <c r="AE50" s="567"/>
      <c r="AF50" s="567"/>
      <c r="AG50" s="567"/>
      <c r="AH50" s="567"/>
      <c r="AI50" s="513"/>
      <c r="AJ50" s="568"/>
      <c r="AK50" s="568"/>
      <c r="AL50" s="568"/>
      <c r="AM50" s="568"/>
      <c r="AN50" s="513"/>
      <c r="AO50" s="568"/>
      <c r="AP50" s="568"/>
      <c r="AQ50" s="568"/>
      <c r="AR50" s="565"/>
      <c r="AS50" s="566"/>
      <c r="AT50" s="566"/>
      <c r="AU50" s="566"/>
      <c r="AV50" s="566"/>
      <c r="AW50" s="566"/>
      <c r="AX50" s="566"/>
      <c r="AY50" s="566"/>
      <c r="AZ50" s="566"/>
      <c r="BA50" s="566"/>
      <c r="BB50" s="566"/>
      <c r="BC50" s="566"/>
      <c r="BD50" s="566"/>
      <c r="BE50" s="566"/>
      <c r="BF50" s="566"/>
      <c r="BG50" s="566"/>
      <c r="BH50" s="566"/>
      <c r="BI50" s="566"/>
      <c r="BJ50" s="566"/>
      <c r="BK50" s="566"/>
      <c r="BL50" s="566"/>
      <c r="BM50" s="566"/>
      <c r="BN50" s="560">
        <f>BN48/'Marketing Services'!BN14</f>
        <v>0.19057902056950443</v>
      </c>
      <c r="BO50" s="560">
        <f>BO48/'Marketing Services'!BO14</f>
        <v>0.18249223946784923</v>
      </c>
      <c r="BP50" s="560">
        <f>BP48/'Marketing Services'!BP14</f>
        <v>0.19107016424394468</v>
      </c>
      <c r="BQ50" s="560">
        <f>BQ48/'Marketing Services'!BQ14</f>
        <v>0.16399482044828656</v>
      </c>
      <c r="BR50" s="560">
        <f>BR48/'Marketing Services'!BR14</f>
        <v>0.18212610092288101</v>
      </c>
      <c r="BS50" s="560">
        <f>BS48/'Marketing Services'!BS14</f>
        <v>0.1564431984850454</v>
      </c>
      <c r="BT50" s="560">
        <f>BT48/'Marketing Services'!BT14</f>
        <v>0.15850593025314216</v>
      </c>
      <c r="BU50" s="560">
        <f>BU48/'Marketing Services'!BU14</f>
        <v>0.17549362713329014</v>
      </c>
      <c r="BV50" s="560">
        <f>BV48/'Marketing Services'!BV14</f>
        <v>0.17028991900619364</v>
      </c>
      <c r="BW50" s="560">
        <f>BW48/'Marketing Services'!BW14</f>
        <v>0.16535229993796871</v>
      </c>
      <c r="BX50" s="560">
        <f>BX48/'Marketing Services'!BX14</f>
        <v>0.18361208585881603</v>
      </c>
      <c r="BY50" s="560">
        <f>BY48/'Marketing Services'!BY14</f>
        <v>0.18770995183527475</v>
      </c>
      <c r="BZ50" s="560">
        <f>BZ48/'Marketing Services'!BZ14</f>
        <v>0.20881227947063066</v>
      </c>
      <c r="CA50" s="560">
        <f>CA48/'Marketing Services'!CA14</f>
        <v>0.2069927547762255</v>
      </c>
      <c r="CB50" s="643">
        <f>CB48/'Marketing Services'!CB14</f>
        <v>0.19623697789893874</v>
      </c>
      <c r="CC50" s="560">
        <f>CC48/'Marketing Services'!CC14</f>
        <v>0.21599668100530603</v>
      </c>
      <c r="CD50" s="560">
        <f>CD48/'Marketing Services'!CD14</f>
        <v>0.23259820080389612</v>
      </c>
      <c r="CE50" s="560">
        <f>CE48/'Marketing Services'!CE14</f>
        <v>0.23357718326857724</v>
      </c>
      <c r="CF50" s="560">
        <f>CF48/'Marketing Services'!CF14</f>
        <v>0.19790003435939932</v>
      </c>
      <c r="CG50" s="643">
        <f>CG48/'Marketing Services'!CG14</f>
        <v>0.21977221822095944</v>
      </c>
      <c r="CH50" s="560"/>
      <c r="CI50" s="560"/>
      <c r="CJ50" s="560"/>
      <c r="CK50" s="560"/>
      <c r="CL50" s="643"/>
      <c r="CM50" s="643"/>
      <c r="CN50" s="643"/>
      <c r="CO50" s="643"/>
      <c r="CP50" s="643"/>
      <c r="CQ50" s="643"/>
    </row>
    <row r="51" spans="5:95" ht="3.75" customHeight="1" x14ac:dyDescent="0.25">
      <c r="BM51" s="574"/>
      <c r="BR51" s="574"/>
      <c r="BW51" s="574"/>
      <c r="CB51" s="574"/>
      <c r="CG51" s="574"/>
      <c r="CL51" s="574"/>
      <c r="CQ51" s="574"/>
    </row>
    <row r="52" spans="5:95" hidden="1" x14ac:dyDescent="0.25">
      <c r="E52" s="54" t="s">
        <v>668</v>
      </c>
      <c r="F52" s="542"/>
      <c r="G52" s="542"/>
      <c r="H52" s="542"/>
      <c r="I52" s="542"/>
      <c r="J52" s="542"/>
      <c r="O52" s="542"/>
      <c r="T52" s="542"/>
      <c r="Y52" s="542"/>
      <c r="Z52" s="59"/>
      <c r="AA52" s="59"/>
      <c r="AB52" s="59"/>
      <c r="AC52" s="59"/>
      <c r="AD52" s="542"/>
      <c r="AE52" s="59"/>
      <c r="AF52" s="59"/>
      <c r="AG52" s="59"/>
      <c r="AH52" s="59"/>
      <c r="AI52" s="542"/>
      <c r="AJ52" s="59"/>
      <c r="AK52" s="59"/>
      <c r="AL52" s="59"/>
      <c r="AM52" s="59"/>
      <c r="AN52" s="542"/>
      <c r="AO52" s="59"/>
      <c r="AP52" s="59"/>
      <c r="AQ52" s="59"/>
      <c r="AR52" s="59"/>
      <c r="AS52" s="542"/>
      <c r="AT52" s="59"/>
      <c r="AU52" s="59"/>
      <c r="AV52" s="59"/>
      <c r="AW52" s="59"/>
      <c r="AX52" s="542"/>
      <c r="BC52" s="542"/>
      <c r="BD52" s="59"/>
      <c r="BE52" s="59"/>
      <c r="BF52" s="59"/>
      <c r="BG52" s="59"/>
      <c r="BH52" s="542"/>
      <c r="BM52" s="542"/>
      <c r="BN52" s="571">
        <f>'Marketing Services'!BN48</f>
        <v>20.827999999999999</v>
      </c>
      <c r="BO52" s="571">
        <f>'Marketing Services'!BO48</f>
        <v>20.576000000000001</v>
      </c>
      <c r="BP52" s="571">
        <f>'Marketing Services'!BP48</f>
        <v>21.859000000000002</v>
      </c>
      <c r="BQ52" s="571">
        <f>'Marketing Services'!BQ48</f>
        <v>17.984000000000002</v>
      </c>
      <c r="BR52" s="575">
        <f>SUM(BN52:BQ52)</f>
        <v>81.247</v>
      </c>
      <c r="BS52" s="571">
        <f>'Marketing Services'!BS48</f>
        <v>16.853000000000002</v>
      </c>
      <c r="BT52" s="571">
        <f>'Marketing Services'!BT48</f>
        <v>17.908000000000001</v>
      </c>
      <c r="BU52" s="571">
        <f>'Marketing Services'!BU48</f>
        <v>20.309000000000001</v>
      </c>
      <c r="BV52" s="571">
        <f>'Marketing Services'!BV48</f>
        <v>19.300999999999998</v>
      </c>
      <c r="BW52" s="575">
        <f>SUM(BS52:BV52)</f>
        <v>74.371000000000009</v>
      </c>
      <c r="BX52" s="571">
        <f>'Marketing Services'!BX48</f>
        <v>20.145</v>
      </c>
      <c r="BY52" s="571">
        <f>'Marketing Services'!BY48</f>
        <v>19.837</v>
      </c>
      <c r="BZ52" s="571">
        <f>'Marketing Services'!BZ48</f>
        <v>21.126999999999999</v>
      </c>
      <c r="CA52" s="571">
        <f>'Marketing Services'!CA48</f>
        <v>19.513000000000002</v>
      </c>
      <c r="CB52" s="575">
        <f>SUM(BX52:CA52)</f>
        <v>80.622</v>
      </c>
      <c r="CC52" s="571">
        <f>'Marketing Services'!CC48</f>
        <v>19.783999999999999</v>
      </c>
      <c r="CD52" s="571">
        <f>'Marketing Services'!CD48</f>
        <v>21.873999999999999</v>
      </c>
      <c r="CE52" s="571">
        <f>'Marketing Services'!CE48</f>
        <v>22.062999999999999</v>
      </c>
      <c r="CF52" s="571">
        <f>'Marketing Services'!CF48</f>
        <v>19.582999999999998</v>
      </c>
      <c r="CG52" s="575">
        <f>SUM(CC52:CF52)</f>
        <v>83.304000000000002</v>
      </c>
      <c r="CH52" s="571"/>
      <c r="CI52" s="571"/>
      <c r="CJ52" s="571"/>
      <c r="CK52" s="571"/>
      <c r="CL52" s="575"/>
      <c r="CM52" s="571"/>
      <c r="CN52" s="571"/>
      <c r="CO52" s="571"/>
      <c r="CP52" s="571"/>
      <c r="CQ52" s="575"/>
    </row>
    <row r="53" spans="5:95" ht="13.5" hidden="1" x14ac:dyDescent="0.25">
      <c r="E53" s="365" t="s">
        <v>2</v>
      </c>
      <c r="F53" s="542"/>
      <c r="G53" s="542"/>
      <c r="H53" s="542"/>
      <c r="I53" s="542"/>
      <c r="J53" s="542"/>
      <c r="O53" s="542"/>
      <c r="T53" s="542"/>
      <c r="Y53" s="542"/>
      <c r="Z53" s="59"/>
      <c r="AA53" s="59"/>
      <c r="AB53" s="59"/>
      <c r="AC53" s="59"/>
      <c r="AD53" s="542"/>
      <c r="AE53" s="59"/>
      <c r="AF53" s="59"/>
      <c r="AG53" s="59"/>
      <c r="AH53" s="59"/>
      <c r="AI53" s="542"/>
      <c r="AJ53" s="59"/>
      <c r="AK53" s="59"/>
      <c r="AL53" s="59"/>
      <c r="AM53" s="59"/>
      <c r="AN53" s="542"/>
      <c r="AO53" s="59"/>
      <c r="AP53" s="59"/>
      <c r="AQ53" s="59"/>
      <c r="AR53" s="59"/>
      <c r="AS53" s="542"/>
      <c r="AT53" s="59"/>
      <c r="AU53" s="59"/>
      <c r="AV53" s="59"/>
      <c r="AW53" s="59"/>
      <c r="AX53" s="542"/>
      <c r="BC53" s="542"/>
      <c r="BD53" s="59"/>
      <c r="BE53" s="59"/>
      <c r="BF53" s="59"/>
      <c r="BG53" s="59"/>
      <c r="BH53" s="542"/>
      <c r="BM53" s="542"/>
      <c r="BN53" s="571"/>
      <c r="BO53" s="571"/>
      <c r="BP53" s="571"/>
      <c r="BQ53" s="363"/>
      <c r="BR53" s="575"/>
      <c r="BS53" s="363">
        <f t="shared" ref="BS53:CG53" si="14">(BS52-BN52)/ABS(BN52)</f>
        <v>-0.19084885730747062</v>
      </c>
      <c r="BT53" s="363">
        <f t="shared" si="14"/>
        <v>-0.12966562986003108</v>
      </c>
      <c r="BU53" s="363">
        <f t="shared" si="14"/>
        <v>-7.0909007731369253E-2</v>
      </c>
      <c r="BV53" s="363">
        <f t="shared" si="14"/>
        <v>7.3231761565836107E-2</v>
      </c>
      <c r="BW53" s="525">
        <f t="shared" si="14"/>
        <v>-8.463081713786344E-2</v>
      </c>
      <c r="BX53" s="363">
        <f t="shared" si="14"/>
        <v>0.19533614193318682</v>
      </c>
      <c r="BY53" s="363">
        <f t="shared" si="14"/>
        <v>0.1077172213535849</v>
      </c>
      <c r="BZ53" s="363">
        <f t="shared" si="14"/>
        <v>4.0277709389925538E-2</v>
      </c>
      <c r="CA53" s="363">
        <f t="shared" si="14"/>
        <v>1.0983886845241351E-2</v>
      </c>
      <c r="CB53" s="641">
        <f t="shared" si="14"/>
        <v>8.4051579244597885E-2</v>
      </c>
      <c r="CC53" s="363">
        <f t="shared" si="14"/>
        <v>-1.7920079424174767E-2</v>
      </c>
      <c r="CD53" s="363">
        <f t="shared" si="14"/>
        <v>0.10268689822049701</v>
      </c>
      <c r="CE53" s="363">
        <f t="shared" si="14"/>
        <v>4.4303497893690535E-2</v>
      </c>
      <c r="CF53" s="363">
        <f t="shared" si="14"/>
        <v>3.5873520217289357E-3</v>
      </c>
      <c r="CG53" s="641">
        <f t="shared" si="14"/>
        <v>3.3266354096896655E-2</v>
      </c>
      <c r="CH53" s="363"/>
      <c r="CI53" s="363"/>
      <c r="CJ53" s="363"/>
      <c r="CK53" s="363"/>
      <c r="CL53" s="641"/>
      <c r="CM53" s="363"/>
      <c r="CN53" s="363"/>
      <c r="CO53" s="363"/>
      <c r="CP53" s="363"/>
      <c r="CQ53" s="641"/>
    </row>
    <row r="54" spans="5:95" ht="13.5" hidden="1" x14ac:dyDescent="0.25">
      <c r="E54" s="365" t="s">
        <v>91</v>
      </c>
      <c r="F54" s="542"/>
      <c r="G54" s="542"/>
      <c r="H54" s="542"/>
      <c r="I54" s="542"/>
      <c r="J54" s="542"/>
      <c r="O54" s="542"/>
      <c r="T54" s="542"/>
      <c r="Y54" s="542"/>
      <c r="Z54" s="59"/>
      <c r="AA54" s="59"/>
      <c r="AB54" s="59"/>
      <c r="AC54" s="59"/>
      <c r="AD54" s="542"/>
      <c r="AE54" s="59"/>
      <c r="AF54" s="59"/>
      <c r="AG54" s="59"/>
      <c r="AH54" s="59"/>
      <c r="AI54" s="542"/>
      <c r="AJ54" s="59"/>
      <c r="AK54" s="59"/>
      <c r="AL54" s="59"/>
      <c r="AM54" s="59"/>
      <c r="AN54" s="542"/>
      <c r="AO54" s="59"/>
      <c r="AP54" s="59"/>
      <c r="AQ54" s="59"/>
      <c r="AR54" s="59"/>
      <c r="AS54" s="542"/>
      <c r="AT54" s="59"/>
      <c r="AU54" s="59"/>
      <c r="AV54" s="59"/>
      <c r="AW54" s="59"/>
      <c r="AX54" s="542"/>
      <c r="BC54" s="542"/>
      <c r="BD54" s="59"/>
      <c r="BE54" s="59"/>
      <c r="BF54" s="59"/>
      <c r="BG54" s="59"/>
      <c r="BH54" s="542"/>
      <c r="BM54" s="542"/>
      <c r="BN54" s="183">
        <f>BN52/'Marketing Services'!BN14</f>
        <v>0.19057902056950443</v>
      </c>
      <c r="BO54" s="183">
        <f>BO52/'Marketing Services'!BO14</f>
        <v>0.18249223946784923</v>
      </c>
      <c r="BP54" s="183">
        <f>BP52/'Marketing Services'!BP14</f>
        <v>0.19107016424394468</v>
      </c>
      <c r="BQ54" s="183">
        <f>BQ52/'Marketing Services'!BQ14</f>
        <v>0.16399482044828656</v>
      </c>
      <c r="BR54" s="525">
        <f>BR52/'Marketing Services'!BR14</f>
        <v>0.18212610092288101</v>
      </c>
      <c r="BS54" s="183">
        <f>BS52/'Marketing Services'!BS14</f>
        <v>0.1564431984850454</v>
      </c>
      <c r="BT54" s="183">
        <f>BT52/'Marketing Services'!BT14</f>
        <v>0.15850593025314216</v>
      </c>
      <c r="BU54" s="183">
        <f>BU52/'Marketing Services'!BU14</f>
        <v>0.17549362713329014</v>
      </c>
      <c r="BV54" s="183">
        <f>BV52/'Marketing Services'!BV14</f>
        <v>0.17028991900619364</v>
      </c>
      <c r="BW54" s="525">
        <f>BW52/'Marketing Services'!BW14</f>
        <v>0.16535229993796871</v>
      </c>
      <c r="BX54" s="183">
        <f>BX52/'Marketing Services'!BX14</f>
        <v>0.18361208585881603</v>
      </c>
      <c r="BY54" s="183">
        <f>BY52/'Marketing Services'!BY14</f>
        <v>0.18770995183527475</v>
      </c>
      <c r="BZ54" s="183">
        <f>BZ52/'Marketing Services'!BZ14</f>
        <v>0.20881227947063066</v>
      </c>
      <c r="CA54" s="183">
        <f>CA52/'Marketing Services'!CA14</f>
        <v>0.2069927547762255</v>
      </c>
      <c r="CB54" s="641">
        <f>CB52/'Marketing Services'!CB14</f>
        <v>0.19623697789893874</v>
      </c>
      <c r="CC54" s="183">
        <f>CC52/'Marketing Services'!CC14</f>
        <v>0.21599668100530603</v>
      </c>
      <c r="CD54" s="183">
        <f>CD52/'Marketing Services'!CD14</f>
        <v>0.23259820080389612</v>
      </c>
      <c r="CE54" s="183">
        <f>CE52/'Marketing Services'!CE14</f>
        <v>0.23357718326857724</v>
      </c>
      <c r="CF54" s="183">
        <f>CF52/'Marketing Services'!CF14</f>
        <v>0.19790003435939932</v>
      </c>
      <c r="CG54" s="641">
        <f>CG52/'Marketing Services'!CG14</f>
        <v>0.21977221822095944</v>
      </c>
      <c r="CH54" s="183"/>
      <c r="CI54" s="183"/>
      <c r="CJ54" s="183"/>
      <c r="CK54" s="183"/>
      <c r="CL54" s="641"/>
      <c r="CM54" s="183"/>
      <c r="CN54" s="183"/>
      <c r="CO54" s="183"/>
      <c r="CP54" s="183"/>
      <c r="CQ54" s="641"/>
    </row>
    <row r="55" spans="5:95" x14ac:dyDescent="0.25">
      <c r="E55" s="27" t="s">
        <v>426</v>
      </c>
      <c r="F55" s="542"/>
      <c r="G55" s="542"/>
      <c r="H55" s="542"/>
      <c r="I55" s="542"/>
      <c r="J55" s="542"/>
      <c r="O55" s="542"/>
      <c r="T55" s="542"/>
      <c r="Y55" s="542"/>
      <c r="Z55" s="59"/>
      <c r="AA55" s="59"/>
      <c r="AB55" s="59"/>
      <c r="AC55" s="59"/>
      <c r="AD55" s="542"/>
      <c r="AE55" s="59"/>
      <c r="AF55" s="59"/>
      <c r="AG55" s="59"/>
      <c r="AH55" s="59"/>
      <c r="AI55" s="542"/>
      <c r="AJ55" s="59"/>
      <c r="AK55" s="59"/>
      <c r="AL55" s="59"/>
      <c r="AM55" s="59"/>
      <c r="AN55" s="542"/>
      <c r="AO55" s="59"/>
      <c r="AP55" s="59"/>
      <c r="AQ55" s="59"/>
      <c r="AR55" s="59"/>
      <c r="AS55" s="542"/>
      <c r="AT55" s="59"/>
      <c r="AU55" s="59"/>
      <c r="AV55" s="59"/>
      <c r="AW55" s="59"/>
      <c r="AX55" s="542"/>
      <c r="BC55" s="542"/>
      <c r="BD55" s="59"/>
      <c r="BE55" s="59"/>
      <c r="BF55" s="59"/>
      <c r="BG55" s="59"/>
      <c r="BH55" s="542"/>
      <c r="BM55" s="542"/>
      <c r="BN55" s="571">
        <f>BN56*(Income!BN130-Income!BN117-Income!BN121)</f>
        <v>7.9284999999999997</v>
      </c>
      <c r="BO55" s="571">
        <f>BO56*(Income!BO130-Income!BO117-Income!BO121)</f>
        <v>6.2049000000000003</v>
      </c>
      <c r="BP55" s="571">
        <f>BP56*(Income!BP130-Income!BP117-Income!BP121)</f>
        <v>8.1962299999999999</v>
      </c>
      <c r="BQ55" s="571">
        <f>BQ56*(Income!BQ130-Income!BQ117-Income!BQ121)</f>
        <v>7.9483500000000022</v>
      </c>
      <c r="BR55" s="575">
        <f>SUM(BN55:BQ55)</f>
        <v>30.277980000000003</v>
      </c>
      <c r="BS55" s="571">
        <f>BS56*(Income!BS130-Income!BS117-Income!BS121)</f>
        <v>8.2894999999999985</v>
      </c>
      <c r="BT55" s="571">
        <f>BT56*(Income!BT130-Income!BT117-Income!BT121)</f>
        <v>7.5613500000000009</v>
      </c>
      <c r="BU55" s="571">
        <f>BU56*(Income!BU130-Income!BU117-Income!BU121)</f>
        <v>7.9801299999999991</v>
      </c>
      <c r="BV55" s="571">
        <f>BV56*(Income!BV130-Income!BV117-Income!BV121)</f>
        <v>8.1815600000000011</v>
      </c>
      <c r="BW55" s="575">
        <f>SUM(BS55:BV55)</f>
        <v>32.012540000000001</v>
      </c>
      <c r="BX55" s="571">
        <f>BX56*(Income!BX130-Income!BX117-Income!BX121)</f>
        <v>7.5542760000000007</v>
      </c>
      <c r="BY55" s="571">
        <f>BY56*(Income!BY130-Income!BY117-Income!BY121)</f>
        <v>8.2679399999999994</v>
      </c>
      <c r="BZ55" s="571">
        <f>BZ56*(Income!BZ130-Income!BZ117-Income!BZ121)</f>
        <v>6.8660479999999993</v>
      </c>
      <c r="CA55" s="571">
        <f>CA56*(Income!CA130-Income!CA117-Income!CA121)</f>
        <v>7.4422229999999976</v>
      </c>
      <c r="CB55" s="575">
        <f>SUM(BX55:CA55)</f>
        <v>30.130486999999999</v>
      </c>
      <c r="CC55" s="571">
        <f>CC56*(Income!CC130-Income!CC117-Income!CC121)</f>
        <v>1.4061600000000007</v>
      </c>
      <c r="CD55" s="571">
        <f>CD56*(Income!CD130-Income!CD117-Income!CD121)</f>
        <v>1.5685739999999997</v>
      </c>
      <c r="CE55" s="571">
        <f>CE56*(Income!CE130-Income!CE117-Income!CE121)</f>
        <v>1.440833</v>
      </c>
      <c r="CF55" s="571">
        <f>CF56*(Income!CF130-Income!CF117-Income!CF121)</f>
        <v>1.8195799999999998</v>
      </c>
      <c r="CG55" s="575">
        <f>SUM(CC55:CF55)</f>
        <v>6.2351470000000013</v>
      </c>
      <c r="CH55" s="571"/>
      <c r="CI55" s="571"/>
      <c r="CJ55" s="571"/>
      <c r="CK55" s="571"/>
      <c r="CL55" s="575"/>
      <c r="CM55" s="571"/>
      <c r="CN55" s="571"/>
      <c r="CO55" s="571"/>
      <c r="CP55" s="571"/>
      <c r="CQ55" s="575"/>
    </row>
    <row r="56" spans="5:95" ht="13.5" x14ac:dyDescent="0.3">
      <c r="E56" s="365" t="s">
        <v>672</v>
      </c>
      <c r="F56" s="542"/>
      <c r="G56" s="542"/>
      <c r="H56" s="542"/>
      <c r="I56" s="542"/>
      <c r="J56" s="542"/>
      <c r="O56" s="542"/>
      <c r="T56" s="542"/>
      <c r="Y56" s="542"/>
      <c r="Z56" s="59"/>
      <c r="AA56" s="59"/>
      <c r="AB56" s="59"/>
      <c r="AC56" s="59"/>
      <c r="AD56" s="542"/>
      <c r="AE56" s="59"/>
      <c r="AF56" s="59"/>
      <c r="AG56" s="59"/>
      <c r="AH56" s="59"/>
      <c r="AI56" s="542"/>
      <c r="AJ56" s="59"/>
      <c r="AK56" s="59"/>
      <c r="AL56" s="59"/>
      <c r="AM56" s="59"/>
      <c r="AN56" s="542"/>
      <c r="AO56" s="59"/>
      <c r="AP56" s="59"/>
      <c r="AQ56" s="59"/>
      <c r="AR56" s="59"/>
      <c r="AS56" s="542"/>
      <c r="AT56" s="59"/>
      <c r="AU56" s="59"/>
      <c r="AV56" s="59"/>
      <c r="AW56" s="59"/>
      <c r="AX56" s="542"/>
      <c r="BC56" s="542"/>
      <c r="BD56" s="59"/>
      <c r="BE56" s="59"/>
      <c r="BF56" s="59"/>
      <c r="BG56" s="59"/>
      <c r="BH56" s="542"/>
      <c r="BM56" s="542"/>
      <c r="BN56" s="456">
        <v>0.5</v>
      </c>
      <c r="BO56" s="456">
        <v>0.43</v>
      </c>
      <c r="BP56" s="456">
        <v>0.49</v>
      </c>
      <c r="BQ56" s="456">
        <v>0.45</v>
      </c>
      <c r="BR56" s="641">
        <f>BR55/(Income!BR130-Income!BR117-Income!BR121)</f>
        <v>0.46814137947029094</v>
      </c>
      <c r="BS56" s="456">
        <v>0.5</v>
      </c>
      <c r="BT56" s="456">
        <v>0.45</v>
      </c>
      <c r="BU56" s="456">
        <v>0.47</v>
      </c>
      <c r="BV56" s="456">
        <v>0.46</v>
      </c>
      <c r="BW56" s="641">
        <f>BW55/(Income!BW130-Income!BW117-Income!BW121)</f>
        <v>0.46975714264751206</v>
      </c>
      <c r="BX56" s="456">
        <v>0.45200000000000001</v>
      </c>
      <c r="BY56" s="456">
        <v>0.502</v>
      </c>
      <c r="BZ56" s="481">
        <v>0.44800000000000001</v>
      </c>
      <c r="CA56" s="481">
        <v>0.47899999999999998</v>
      </c>
      <c r="CB56" s="641">
        <f>CB55/(Income!CB130-Income!CB117-Income!CB121)</f>
        <v>0.4704507229179028</v>
      </c>
      <c r="CC56" s="481">
        <v>0.434</v>
      </c>
      <c r="CD56" s="481">
        <v>0.42199999999999999</v>
      </c>
      <c r="CE56" s="481">
        <v>0.43099999999999999</v>
      </c>
      <c r="CF56" s="481">
        <v>0.41</v>
      </c>
      <c r="CG56" s="641">
        <f>CG55/(Income!CG130-Income!CG117-Income!CG121)</f>
        <v>0.42306601981272901</v>
      </c>
      <c r="CH56" s="453"/>
      <c r="CI56" s="453"/>
      <c r="CJ56" s="453"/>
      <c r="CK56" s="453"/>
      <c r="CL56" s="641"/>
      <c r="CM56" s="453"/>
      <c r="CN56" s="453"/>
      <c r="CO56" s="453"/>
      <c r="CP56" s="453"/>
      <c r="CQ56" s="641"/>
    </row>
    <row r="57" spans="5:95" ht="13.5" x14ac:dyDescent="0.25">
      <c r="E57" s="642" t="s">
        <v>671</v>
      </c>
      <c r="F57" s="542"/>
      <c r="G57" s="542"/>
      <c r="H57" s="542"/>
      <c r="I57" s="542"/>
      <c r="J57" s="542"/>
      <c r="K57" s="524"/>
      <c r="L57" s="524"/>
      <c r="M57" s="524"/>
      <c r="N57" s="524"/>
      <c r="O57" s="542"/>
      <c r="P57" s="524"/>
      <c r="Q57" s="524"/>
      <c r="R57" s="524"/>
      <c r="S57" s="524"/>
      <c r="T57" s="542"/>
      <c r="U57" s="524"/>
      <c r="V57" s="524"/>
      <c r="W57" s="524"/>
      <c r="X57" s="524"/>
      <c r="Y57" s="542"/>
      <c r="Z57" s="542"/>
      <c r="AA57" s="542"/>
      <c r="AB57" s="542"/>
      <c r="AC57" s="542"/>
      <c r="AD57" s="542"/>
      <c r="AE57" s="542"/>
      <c r="AF57" s="542"/>
      <c r="AG57" s="542"/>
      <c r="AH57" s="542"/>
      <c r="AI57" s="542"/>
      <c r="AJ57" s="542"/>
      <c r="AK57" s="542"/>
      <c r="AL57" s="542"/>
      <c r="AM57" s="542"/>
      <c r="AN57" s="542"/>
      <c r="AO57" s="542"/>
      <c r="AP57" s="542"/>
      <c r="AQ57" s="542"/>
      <c r="AR57" s="542"/>
      <c r="AS57" s="542"/>
      <c r="AT57" s="542"/>
      <c r="AU57" s="542"/>
      <c r="AV57" s="542"/>
      <c r="AW57" s="542"/>
      <c r="AX57" s="542"/>
      <c r="AY57" s="574"/>
      <c r="AZ57" s="574"/>
      <c r="BA57" s="574"/>
      <c r="BB57" s="574"/>
      <c r="BC57" s="542"/>
      <c r="BD57" s="542"/>
      <c r="BE57" s="542"/>
      <c r="BF57" s="542"/>
      <c r="BG57" s="542"/>
      <c r="BH57" s="542"/>
      <c r="BI57" s="574"/>
      <c r="BJ57" s="574"/>
      <c r="BK57" s="574"/>
      <c r="BL57" s="574"/>
      <c r="BM57" s="542"/>
      <c r="BN57" s="540">
        <f>BN48+BN55</f>
        <v>28.756499999999999</v>
      </c>
      <c r="BO57" s="540">
        <f>BO48+BO55</f>
        <v>26.780900000000003</v>
      </c>
      <c r="BP57" s="540">
        <f>BP48+BP55</f>
        <v>30.055230000000002</v>
      </c>
      <c r="BQ57" s="540">
        <f>BQ48+BQ55</f>
        <v>25.932350000000003</v>
      </c>
      <c r="BR57" s="540">
        <f>SUM(BN57:BQ57)</f>
        <v>111.52498000000001</v>
      </c>
      <c r="BS57" s="540">
        <f>BS48+BS55</f>
        <v>25.142499999999998</v>
      </c>
      <c r="BT57" s="540">
        <f>BT48+BT55</f>
        <v>25.469350000000002</v>
      </c>
      <c r="BU57" s="540">
        <f>BU48+BU55</f>
        <v>28.28913</v>
      </c>
      <c r="BV57" s="540">
        <f>BV48+BV55</f>
        <v>27.482559999999999</v>
      </c>
      <c r="BW57" s="540">
        <f>SUM(BS57:BV57)</f>
        <v>106.38354000000001</v>
      </c>
      <c r="BX57" s="540">
        <f>BX48+BX55</f>
        <v>27.699276000000001</v>
      </c>
      <c r="BY57" s="540">
        <f>BY48+BY55</f>
        <v>28.104939999999999</v>
      </c>
      <c r="BZ57" s="540">
        <f>BZ48+BZ55</f>
        <v>27.993047999999998</v>
      </c>
      <c r="CA57" s="540">
        <f>CA48+CA55</f>
        <v>26.955223</v>
      </c>
      <c r="CB57" s="540">
        <f>SUM(BX57:CA57)</f>
        <v>110.752487</v>
      </c>
      <c r="CC57" s="540">
        <f>CC48+CC55</f>
        <v>21.190159999999999</v>
      </c>
      <c r="CD57" s="540">
        <f>CD48+CD55</f>
        <v>23.442573999999997</v>
      </c>
      <c r="CE57" s="540">
        <f>CE48+CE55</f>
        <v>23.503833</v>
      </c>
      <c r="CF57" s="540">
        <f>CF48+CF55</f>
        <v>21.402579999999997</v>
      </c>
      <c r="CG57" s="540">
        <f>SUM(CC57:CF57)</f>
        <v>89.539147</v>
      </c>
      <c r="CH57" s="540"/>
      <c r="CI57" s="540"/>
      <c r="CJ57" s="540"/>
      <c r="CK57" s="540"/>
      <c r="CL57" s="540"/>
      <c r="CM57" s="540"/>
      <c r="CN57" s="540"/>
      <c r="CO57" s="540"/>
      <c r="CP57" s="540"/>
      <c r="CQ57" s="540"/>
    </row>
    <row r="58" spans="5:95" ht="13.5" x14ac:dyDescent="0.25">
      <c r="E58" s="643" t="s">
        <v>2</v>
      </c>
      <c r="F58" s="542"/>
      <c r="G58" s="542"/>
      <c r="H58" s="542"/>
      <c r="I58" s="542"/>
      <c r="J58" s="542"/>
      <c r="K58" s="524"/>
      <c r="L58" s="524"/>
      <c r="M58" s="524"/>
      <c r="N58" s="524"/>
      <c r="O58" s="542"/>
      <c r="P58" s="524"/>
      <c r="Q58" s="524"/>
      <c r="R58" s="524"/>
      <c r="S58" s="524"/>
      <c r="T58" s="542"/>
      <c r="U58" s="524"/>
      <c r="V58" s="524"/>
      <c r="W58" s="524"/>
      <c r="X58" s="524"/>
      <c r="Y58" s="542"/>
      <c r="Z58" s="542"/>
      <c r="AA58" s="542"/>
      <c r="AB58" s="542"/>
      <c r="AC58" s="542"/>
      <c r="AD58" s="542"/>
      <c r="AE58" s="542"/>
      <c r="AF58" s="542"/>
      <c r="AG58" s="542"/>
      <c r="AH58" s="542"/>
      <c r="AI58" s="542"/>
      <c r="AJ58" s="542"/>
      <c r="AK58" s="542"/>
      <c r="AL58" s="542"/>
      <c r="AM58" s="542"/>
      <c r="AN58" s="542"/>
      <c r="AO58" s="542"/>
      <c r="AP58" s="542"/>
      <c r="AQ58" s="542"/>
      <c r="AR58" s="542"/>
      <c r="AS58" s="542"/>
      <c r="AT58" s="542"/>
      <c r="AU58" s="542"/>
      <c r="AV58" s="542"/>
      <c r="AW58" s="542"/>
      <c r="AX58" s="542"/>
      <c r="AY58" s="574"/>
      <c r="AZ58" s="574"/>
      <c r="BA58" s="574"/>
      <c r="BB58" s="574"/>
      <c r="BC58" s="542"/>
      <c r="BD58" s="542"/>
      <c r="BE58" s="542"/>
      <c r="BF58" s="542"/>
      <c r="BG58" s="542"/>
      <c r="BH58" s="542"/>
      <c r="BI58" s="574"/>
      <c r="BJ58" s="574"/>
      <c r="BK58" s="574"/>
      <c r="BL58" s="574"/>
      <c r="BM58" s="542"/>
      <c r="BN58" s="540"/>
      <c r="BO58" s="540"/>
      <c r="BP58" s="540"/>
      <c r="BQ58" s="540"/>
      <c r="BR58" s="540"/>
      <c r="BS58" s="641">
        <f t="shared" ref="BS58:CG58" si="15">(BS57-BN57)/ABS(BN57)</f>
        <v>-0.12567593413663</v>
      </c>
      <c r="BT58" s="641">
        <f t="shared" si="15"/>
        <v>-4.897333547416257E-2</v>
      </c>
      <c r="BU58" s="641">
        <f t="shared" si="15"/>
        <v>-5.8761819490318369E-2</v>
      </c>
      <c r="BV58" s="641">
        <f t="shared" si="15"/>
        <v>5.977900190302831E-2</v>
      </c>
      <c r="BW58" s="641">
        <f t="shared" si="15"/>
        <v>-4.6101241174847124E-2</v>
      </c>
      <c r="BX58" s="641">
        <f t="shared" si="15"/>
        <v>0.10169139902555446</v>
      </c>
      <c r="BY58" s="641">
        <f t="shared" si="15"/>
        <v>0.1034808505124786</v>
      </c>
      <c r="BZ58" s="641">
        <f t="shared" si="15"/>
        <v>-1.0466281571755722E-2</v>
      </c>
      <c r="CA58" s="641">
        <f t="shared" si="15"/>
        <v>-1.9188059627632918E-2</v>
      </c>
      <c r="CB58" s="641">
        <f t="shared" si="15"/>
        <v>4.1067885125837991E-2</v>
      </c>
      <c r="CC58" s="641">
        <f t="shared" si="15"/>
        <v>-0.2349922792205833</v>
      </c>
      <c r="CD58" s="641">
        <f>(CD57-BY57)/ABS(BY57)</f>
        <v>-0.16589133440597995</v>
      </c>
      <c r="CE58" s="641">
        <f t="shared" si="15"/>
        <v>-0.16036892445581483</v>
      </c>
      <c r="CF58" s="641">
        <f t="shared" si="15"/>
        <v>-0.2059950681914226</v>
      </c>
      <c r="CG58" s="641">
        <f t="shared" si="15"/>
        <v>-0.19153827218344996</v>
      </c>
      <c r="CH58" s="641"/>
      <c r="CI58" s="641"/>
      <c r="CJ58" s="641"/>
      <c r="CK58" s="641"/>
      <c r="CL58" s="641"/>
      <c r="CM58" s="641"/>
      <c r="CN58" s="641"/>
      <c r="CO58" s="641"/>
      <c r="CP58" s="641"/>
      <c r="CQ58" s="641"/>
    </row>
    <row r="59" spans="5:95" ht="13.5" x14ac:dyDescent="0.25">
      <c r="E59" s="643" t="s">
        <v>91</v>
      </c>
      <c r="F59" s="542"/>
      <c r="G59" s="542"/>
      <c r="H59" s="542"/>
      <c r="I59" s="542"/>
      <c r="J59" s="542"/>
      <c r="K59" s="524"/>
      <c r="L59" s="524"/>
      <c r="M59" s="524"/>
      <c r="N59" s="524"/>
      <c r="O59" s="542"/>
      <c r="P59" s="524"/>
      <c r="Q59" s="524"/>
      <c r="R59" s="524"/>
      <c r="S59" s="524"/>
      <c r="T59" s="542"/>
      <c r="U59" s="524"/>
      <c r="V59" s="524"/>
      <c r="W59" s="524"/>
      <c r="X59" s="524"/>
      <c r="Y59" s="542"/>
      <c r="Z59" s="542"/>
      <c r="AA59" s="542"/>
      <c r="AB59" s="542"/>
      <c r="AC59" s="542"/>
      <c r="AD59" s="542"/>
      <c r="AE59" s="542"/>
      <c r="AF59" s="542"/>
      <c r="AG59" s="542"/>
      <c r="AH59" s="542"/>
      <c r="AI59" s="542"/>
      <c r="AJ59" s="542"/>
      <c r="AK59" s="542"/>
      <c r="AL59" s="542"/>
      <c r="AM59" s="542"/>
      <c r="AN59" s="542"/>
      <c r="AO59" s="542"/>
      <c r="AP59" s="542"/>
      <c r="AQ59" s="542"/>
      <c r="AR59" s="542"/>
      <c r="AS59" s="542"/>
      <c r="AT59" s="542"/>
      <c r="AU59" s="542"/>
      <c r="AV59" s="542"/>
      <c r="AW59" s="542"/>
      <c r="AX59" s="542"/>
      <c r="AY59" s="574"/>
      <c r="AZ59" s="574"/>
      <c r="BA59" s="574"/>
      <c r="BB59" s="574"/>
      <c r="BC59" s="542"/>
      <c r="BD59" s="542"/>
      <c r="BE59" s="542"/>
      <c r="BF59" s="542"/>
      <c r="BG59" s="542"/>
      <c r="BH59" s="542"/>
      <c r="BI59" s="574"/>
      <c r="BJ59" s="574"/>
      <c r="BK59" s="574"/>
      <c r="BL59" s="574"/>
      <c r="BM59" s="542"/>
      <c r="BN59" s="540"/>
      <c r="BO59" s="540"/>
      <c r="BP59" s="540"/>
      <c r="BQ59" s="540"/>
      <c r="BR59" s="641">
        <f>BR57/'Marketing Services'!BR14</f>
        <v>0.24999827394121985</v>
      </c>
      <c r="BS59" s="641">
        <f>BS57/'Marketing Services'!BS14</f>
        <v>0.23339305274492694</v>
      </c>
      <c r="BT59" s="641">
        <f>BT57/'Marketing Services'!BT14</f>
        <v>0.22543237741193134</v>
      </c>
      <c r="BU59" s="641">
        <f>BU57/'Marketing Services'!BU14</f>
        <v>0.24445132858068699</v>
      </c>
      <c r="BV59" s="641">
        <f>BV57/'Marketing Services'!BV14</f>
        <v>0.24247463429267174</v>
      </c>
      <c r="BW59" s="641">
        <f>BW57/'Marketing Services'!BW14</f>
        <v>0.23652718148932908</v>
      </c>
      <c r="BX59" s="641">
        <f>BX57/'Marketing Services'!BX14</f>
        <v>0.25246571571799664</v>
      </c>
      <c r="BY59" s="641">
        <f>BY57/'Marketing Services'!BY14</f>
        <v>0.26594630910587724</v>
      </c>
      <c r="BZ59" s="641">
        <f>BZ57/'Marketing Services'!BZ14</f>
        <v>0.2766740267056742</v>
      </c>
      <c r="CA59" s="641">
        <f>CA57/'Marketing Services'!CA14</f>
        <v>0.28593941804835099</v>
      </c>
      <c r="CB59" s="641">
        <f>CB57/'Marketing Services'!CB14</f>
        <v>0.26957571560704896</v>
      </c>
      <c r="CC59" s="641">
        <f>CC57/'Marketing Services'!CC14</f>
        <v>0.23134877830425574</v>
      </c>
      <c r="CD59" s="641">
        <f>CD57/'Marketing Services'!CD14</f>
        <v>0.24927770570596114</v>
      </c>
      <c r="CE59" s="641">
        <f>CE57/'Marketing Services'!CE14</f>
        <v>0.24883103422721453</v>
      </c>
      <c r="CF59" s="641">
        <f>CF57/'Marketing Services'!CF14</f>
        <v>0.21628817430321157</v>
      </c>
      <c r="CG59" s="641">
        <f>CG57/'Marketing Services'!CG14</f>
        <v>0.23622175350286378</v>
      </c>
      <c r="CH59" s="641"/>
      <c r="CI59" s="641"/>
      <c r="CJ59" s="641"/>
      <c r="CK59" s="641"/>
      <c r="CL59" s="641"/>
      <c r="CM59" s="641"/>
      <c r="CN59" s="641"/>
      <c r="CO59" s="641"/>
      <c r="CP59" s="641"/>
      <c r="CQ59" s="641"/>
    </row>
    <row r="60" spans="5:95" x14ac:dyDescent="0.25">
      <c r="BS60" s="21">
        <f>BS55+'Audience Solutions'!BS76+Connectivity!BS96+Income!BS177</f>
        <v>16.578999999999997</v>
      </c>
      <c r="BT60" s="21">
        <f>BT55+'Audience Solutions'!BT76+Connectivity!BT96+Income!BT177</f>
        <v>16.803000000000004</v>
      </c>
      <c r="BU60" s="21">
        <f>BU55+'Audience Solutions'!BU76+Connectivity!BU96+Income!BU177</f>
        <v>16.978999999999999</v>
      </c>
      <c r="BV60" s="21">
        <f>BV55+'Audience Solutions'!BV76+Connectivity!BV96+Income!BV177</f>
        <v>17.786000000000005</v>
      </c>
      <c r="BX60" s="21">
        <f>BX55+'Audience Solutions'!BX76+Connectivity!BX96+Income!BX177</f>
        <v>16.713000000000001</v>
      </c>
      <c r="BY60" s="21">
        <f>BY55+'Audience Solutions'!BY76+Connectivity!BY96+Income!BY177</f>
        <v>16.47</v>
      </c>
      <c r="BZ60" s="21">
        <f>BZ55+'Audience Solutions'!BZ76+Connectivity!BZ96+Income!BZ177</f>
        <v>15.326000000000001</v>
      </c>
    </row>
    <row r="61" spans="5:95" x14ac:dyDescent="0.25">
      <c r="E61" s="6" t="s">
        <v>19</v>
      </c>
    </row>
  </sheetData>
  <dataConsolidate/>
  <pageMargins left="0.15" right="0.15" top="0.3" bottom="0.3" header="0.25" footer="0.25"/>
  <pageSetup scale="16" pageOrder="overThenDown" orientation="portrait" horizontalDpi="1200" verticalDpi="1200" r:id="rId1"/>
  <headerFooter alignWithMargins="0">
    <oddFooter>&amp;R&amp;"Book Antiqua,Regular"&amp;8Daniel Salmon
BMO Capital Markets
 (212) 885-4029</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IV291"/>
  <sheetViews>
    <sheetView showGridLines="0" topLeftCell="E1" zoomScaleNormal="100" workbookViewId="0">
      <pane xSplit="1" ySplit="6" topLeftCell="CG7" activePane="bottomRight" state="frozen"/>
      <selection activeCell="E1" sqref="E1"/>
      <selection pane="topRight" activeCell="F1" sqref="F1"/>
      <selection pane="bottomLeft" activeCell="E7" sqref="E7"/>
      <selection pane="bottomRight" activeCell="CK70" sqref="CK70"/>
    </sheetView>
  </sheetViews>
  <sheetFormatPr defaultColWidth="9.33203125" defaultRowHeight="12.75" outlineLevelCol="1" x14ac:dyDescent="0.25"/>
  <cols>
    <col min="1" max="4" width="0" style="47" hidden="1" customWidth="1" outlineLevel="1"/>
    <col min="5" max="5" width="37.5" style="47" customWidth="1" collapsed="1"/>
    <col min="6" max="17" width="9.33203125" style="47" hidden="1" customWidth="1"/>
    <col min="18" max="18" width="5.33203125" style="47" hidden="1" customWidth="1"/>
    <col min="19" max="19" width="7.33203125" style="47" hidden="1" customWidth="1"/>
    <col min="20" max="20" width="9.33203125" style="47" hidden="1" customWidth="1"/>
    <col min="21" max="23" width="5.33203125" style="47" hidden="1" customWidth="1"/>
    <col min="24" max="24" width="8.83203125" style="47" hidden="1" customWidth="1"/>
    <col min="25" max="25" width="9.33203125" style="47" hidden="1" customWidth="1"/>
    <col min="26" max="26" width="7.1640625" style="47" hidden="1" customWidth="1"/>
    <col min="27" max="27" width="7.5" style="47" hidden="1" customWidth="1"/>
    <col min="28" max="28" width="7" style="47" hidden="1" customWidth="1"/>
    <col min="29" max="29" width="7.33203125" style="47" hidden="1" customWidth="1"/>
    <col min="30" max="35" width="9.33203125" style="47" hidden="1" customWidth="1"/>
    <col min="36" max="36" width="7.1640625" style="47" hidden="1" customWidth="1"/>
    <col min="37" max="37" width="7.5" style="47" hidden="1" customWidth="1"/>
    <col min="38" max="38" width="7" style="47" hidden="1" customWidth="1"/>
    <col min="39" max="39" width="7.33203125" style="47" hidden="1" customWidth="1"/>
    <col min="40" max="40" width="9.33203125" style="47" hidden="1" customWidth="1"/>
    <col min="41" max="41" width="7.1640625" style="47" hidden="1" customWidth="1"/>
    <col min="42" max="42" width="7.5" style="47" hidden="1" customWidth="1"/>
    <col min="43" max="43" width="7" style="47" hidden="1" customWidth="1"/>
    <col min="44" max="44" width="7.33203125" style="47" hidden="1" customWidth="1"/>
    <col min="45" max="45" width="9.33203125" style="47" hidden="1" customWidth="1"/>
    <col min="46" max="46" width="7.1640625" style="47" hidden="1" customWidth="1"/>
    <col min="47" max="47" width="7.5" style="47" hidden="1" customWidth="1"/>
    <col min="48" max="48" width="7" style="47" hidden="1" customWidth="1"/>
    <col min="49" max="49" width="7.33203125" style="47" hidden="1" customWidth="1"/>
    <col min="50" max="57" width="9.33203125" style="47" hidden="1" customWidth="1"/>
    <col min="58" max="58" width="7" style="47" hidden="1" customWidth="1"/>
    <col min="59" max="59" width="7.33203125" style="47" hidden="1" customWidth="1"/>
    <col min="60" max="60" width="9.33203125" style="47" hidden="1" customWidth="1"/>
    <col min="61" max="62" width="6.33203125" style="47" hidden="1" customWidth="1"/>
    <col min="63" max="63" width="6.1640625" style="47" hidden="1" customWidth="1"/>
    <col min="64" max="64" width="6.33203125" style="47" hidden="1" customWidth="1"/>
    <col min="65" max="65" width="8.1640625" style="47" hidden="1" customWidth="1"/>
    <col min="66" max="67" width="6.33203125" style="47" hidden="1" customWidth="1"/>
    <col min="68" max="68" width="6.1640625" style="47" hidden="1" customWidth="1"/>
    <col min="69" max="69" width="6.33203125" style="47" hidden="1" customWidth="1"/>
    <col min="70" max="83" width="9.33203125" style="47" hidden="1" customWidth="1"/>
    <col min="84" max="84" width="9.5" style="47" hidden="1" customWidth="1"/>
    <col min="85" max="94" width="9.33203125" style="47" customWidth="1"/>
    <col min="95" max="95" width="9.33203125" style="47"/>
    <col min="96" max="99" width="9.33203125" style="47" hidden="1" customWidth="1"/>
    <col min="100" max="16384" width="9.33203125" style="47"/>
  </cols>
  <sheetData>
    <row r="1" spans="1:256" s="2" customFormat="1" ht="12.75" customHeight="1" x14ac:dyDescent="0.25"/>
    <row r="2" spans="1:256" s="6" customFormat="1" ht="12.75" customHeight="1" x14ac:dyDescent="0.25">
      <c r="A2" s="2"/>
      <c r="B2" s="2"/>
      <c r="C2" s="2"/>
      <c r="D2" s="2"/>
      <c r="E2" s="13" t="str">
        <f>Income!E2</f>
        <v>LiveRamp</v>
      </c>
    </row>
    <row r="3" spans="1:256" s="6" customFormat="1" x14ac:dyDescent="0.25">
      <c r="A3" s="2"/>
      <c r="B3" s="2"/>
      <c r="C3" s="2"/>
      <c r="D3" s="2"/>
      <c r="E3" s="93" t="s">
        <v>70</v>
      </c>
    </row>
    <row r="4" spans="1:256" s="33" customFormat="1" ht="12" customHeight="1" x14ac:dyDescent="0.25">
      <c r="A4" s="150"/>
      <c r="B4" s="150"/>
      <c r="C4" s="150"/>
      <c r="D4" s="150"/>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102" t="str">
        <f>Income!CR4</f>
        <v>F2021E</v>
      </c>
      <c r="CS4" s="102"/>
      <c r="CT4" s="102"/>
      <c r="CU4" s="102"/>
      <c r="CV4" s="106" t="str">
        <f>Income!CV4</f>
        <v>Fiscal Year</v>
      </c>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row>
    <row r="5" spans="1:256" s="113" customFormat="1" ht="12" customHeight="1" x14ac:dyDescent="0.25">
      <c r="A5" s="151"/>
      <c r="B5" s="151"/>
      <c r="C5" s="151"/>
      <c r="D5" s="151"/>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
        <v>208</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88" t="str">
        <f>Income!CR5</f>
        <v>F1QE</v>
      </c>
      <c r="CS5" s="88" t="str">
        <f>Income!CS5</f>
        <v>F2QE</v>
      </c>
      <c r="CT5" s="88" t="str">
        <f>Income!CT5</f>
        <v>F3QE</v>
      </c>
      <c r="CU5" s="88" t="str">
        <f>Income!CU5</f>
        <v>F4QE</v>
      </c>
      <c r="CV5" s="88" t="str">
        <f>Income!CV5</f>
        <v>F2021E</v>
      </c>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c r="HO5" s="6"/>
      <c r="HP5" s="6"/>
      <c r="HQ5" s="6"/>
      <c r="HR5" s="6"/>
      <c r="HS5" s="6"/>
      <c r="HT5" s="6"/>
      <c r="HU5" s="6"/>
      <c r="HV5" s="6"/>
      <c r="HW5" s="6"/>
      <c r="HX5" s="6"/>
      <c r="HY5" s="6"/>
      <c r="HZ5" s="6"/>
      <c r="IA5" s="6"/>
      <c r="IB5" s="6"/>
      <c r="IC5" s="6"/>
      <c r="ID5" s="6"/>
      <c r="IE5" s="6"/>
      <c r="IF5" s="6"/>
      <c r="IG5" s="6"/>
      <c r="IH5" s="6"/>
      <c r="II5" s="6"/>
      <c r="IJ5" s="6"/>
      <c r="IK5" s="6"/>
      <c r="IL5" s="6"/>
      <c r="IM5" s="6"/>
      <c r="IN5" s="6"/>
      <c r="IO5" s="6"/>
      <c r="IP5" s="6"/>
      <c r="IQ5" s="6"/>
      <c r="IR5" s="6"/>
      <c r="IS5" s="6"/>
      <c r="IT5" s="6"/>
      <c r="IU5" s="6"/>
      <c r="IV5" s="6"/>
    </row>
    <row r="6" spans="1:256" s="113" customFormat="1" ht="12" customHeight="1" x14ac:dyDescent="0.25">
      <c r="A6" s="151"/>
      <c r="B6" s="151"/>
      <c r="C6" s="151"/>
      <c r="D6" s="151"/>
      <c r="E6" s="112"/>
      <c r="F6" s="88"/>
      <c r="G6" s="88"/>
      <c r="H6" s="88"/>
      <c r="I6" s="88"/>
      <c r="J6" s="88"/>
      <c r="K6" s="88"/>
      <c r="L6" s="88"/>
      <c r="M6" s="88"/>
      <c r="N6" s="88"/>
      <c r="O6" s="88"/>
      <c r="P6" s="88"/>
      <c r="Q6" s="88"/>
      <c r="R6" s="88"/>
      <c r="S6" s="88" t="str">
        <f>Income!S6</f>
        <v>Mar. '05</v>
      </c>
      <c r="T6" s="88">
        <f>Income!T6</f>
        <v>0</v>
      </c>
      <c r="U6" s="88" t="str">
        <f>Income!U6</f>
        <v>June '05</v>
      </c>
      <c r="V6" s="88" t="str">
        <f>Income!V6</f>
        <v>Sept. '05</v>
      </c>
      <c r="W6" s="88" t="str">
        <f>Income!W6</f>
        <v>Dec. '05</v>
      </c>
      <c r="X6" s="88" t="str">
        <f>Income!X6</f>
        <v>Mar. '06</v>
      </c>
      <c r="Y6" s="88">
        <f>Income!Y6</f>
        <v>0</v>
      </c>
      <c r="Z6" s="88" t="str">
        <f>Income!Z6</f>
        <v>June '06</v>
      </c>
      <c r="AA6" s="88" t="str">
        <f>Income!AA6</f>
        <v>Sept. '06</v>
      </c>
      <c r="AB6" s="88" t="str">
        <f>Income!AB6</f>
        <v>Dec. '06</v>
      </c>
      <c r="AC6" s="88" t="str">
        <f>Income!AC6</f>
        <v>Mar. '07</v>
      </c>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88" t="str">
        <f>Income!CR6</f>
        <v>June '20</v>
      </c>
      <c r="CS6" s="88" t="str">
        <f>Income!CS6</f>
        <v>Sept. '20</v>
      </c>
      <c r="CT6" s="88" t="str">
        <f>Income!CT6</f>
        <v>Dec. '20</v>
      </c>
      <c r="CU6" s="88" t="str">
        <f>Income!CU6</f>
        <v>Mar. '21</v>
      </c>
      <c r="CV6" s="88"/>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row>
    <row r="7" spans="1:256" ht="3.95" customHeight="1" x14ac:dyDescent="0.25">
      <c r="F7" s="71"/>
      <c r="G7" s="71"/>
      <c r="H7" s="71"/>
      <c r="I7" s="71"/>
      <c r="J7" s="71"/>
      <c r="O7" s="71"/>
      <c r="T7" s="71"/>
      <c r="Y7" s="71"/>
      <c r="AD7" s="71"/>
      <c r="AI7" s="71"/>
      <c r="AN7" s="71"/>
      <c r="AS7" s="71"/>
      <c r="AX7" s="71"/>
      <c r="BC7" s="71"/>
      <c r="BH7" s="71"/>
      <c r="BM7" s="71"/>
      <c r="BR7" s="71"/>
      <c r="BW7" s="71"/>
      <c r="CB7" s="71"/>
      <c r="CG7" s="71"/>
      <c r="CL7" s="71"/>
      <c r="CQ7" s="71"/>
      <c r="CR7" s="720"/>
      <c r="CS7" s="720"/>
      <c r="CT7" s="720"/>
      <c r="CU7" s="720"/>
      <c r="CV7" s="71"/>
    </row>
    <row r="8" spans="1:256" x14ac:dyDescent="0.25">
      <c r="E8" s="118" t="s">
        <v>71</v>
      </c>
      <c r="F8" s="71"/>
      <c r="G8" s="71"/>
      <c r="H8" s="71"/>
      <c r="I8" s="71"/>
      <c r="J8" s="71"/>
      <c r="O8" s="71"/>
      <c r="T8" s="71"/>
      <c r="Y8" s="71"/>
      <c r="AD8" s="71"/>
      <c r="AI8" s="71"/>
      <c r="AN8" s="71"/>
      <c r="AS8" s="71"/>
      <c r="AX8" s="71"/>
      <c r="BC8" s="71"/>
      <c r="BH8" s="71"/>
      <c r="BM8" s="71"/>
      <c r="BR8" s="71"/>
      <c r="BW8" s="71"/>
      <c r="CB8" s="71"/>
      <c r="CG8" s="71"/>
      <c r="CL8" s="71"/>
      <c r="CQ8" s="71"/>
      <c r="CR8" s="720"/>
      <c r="CS8" s="720"/>
      <c r="CT8" s="720"/>
      <c r="CU8" s="720"/>
      <c r="CV8" s="71"/>
    </row>
    <row r="9" spans="1:256" ht="3.95" customHeight="1" x14ac:dyDescent="0.25">
      <c r="E9" s="118"/>
      <c r="F9" s="71"/>
      <c r="G9" s="71"/>
      <c r="H9" s="71"/>
      <c r="I9" s="71"/>
      <c r="J9" s="71"/>
      <c r="O9" s="71"/>
      <c r="T9" s="71"/>
      <c r="Y9" s="71"/>
      <c r="AD9" s="71"/>
      <c r="AI9" s="71"/>
      <c r="AN9" s="71"/>
      <c r="AS9" s="71"/>
      <c r="AX9" s="71"/>
      <c r="BC9" s="71"/>
      <c r="BH9" s="71"/>
      <c r="BM9" s="71"/>
      <c r="BR9" s="71"/>
      <c r="BW9" s="71"/>
      <c r="CB9" s="71"/>
      <c r="CG9" s="71"/>
      <c r="CL9" s="71"/>
      <c r="CQ9" s="71"/>
      <c r="CR9" s="720"/>
      <c r="CS9" s="720"/>
      <c r="CT9" s="720"/>
      <c r="CU9" s="720"/>
      <c r="CV9" s="71"/>
    </row>
    <row r="10" spans="1:256" s="27" customFormat="1" ht="13.5" x14ac:dyDescent="0.25">
      <c r="E10" s="28" t="s">
        <v>73</v>
      </c>
      <c r="F10" s="35"/>
      <c r="G10" s="35"/>
      <c r="H10" s="35"/>
      <c r="I10" s="35"/>
      <c r="J10" s="35"/>
      <c r="K10" s="28"/>
      <c r="L10" s="28"/>
      <c r="M10" s="28"/>
      <c r="N10" s="28"/>
      <c r="O10" s="35"/>
      <c r="P10" s="28"/>
      <c r="Q10" s="28"/>
      <c r="R10" s="28"/>
      <c r="S10" s="371">
        <v>-83.004999999999995</v>
      </c>
      <c r="T10" s="35"/>
      <c r="U10" s="28"/>
      <c r="V10" s="28"/>
      <c r="W10" s="28"/>
      <c r="X10" s="371">
        <f>-68.301-25.217</f>
        <v>-93.518000000000001</v>
      </c>
      <c r="Y10" s="35">
        <f>X10</f>
        <v>-93.518000000000001</v>
      </c>
      <c r="Z10" s="28"/>
      <c r="AA10" s="28"/>
      <c r="AB10" s="28"/>
      <c r="AC10" s="371">
        <f>-80.001-26.92</f>
        <v>-106.92100000000001</v>
      </c>
      <c r="AD10" s="35">
        <f>AC10</f>
        <v>-106.92100000000001</v>
      </c>
      <c r="AE10" s="28"/>
      <c r="AF10" s="28"/>
      <c r="AG10" s="28"/>
      <c r="AH10" s="371">
        <v>-69.259</v>
      </c>
      <c r="AI10" s="35">
        <f>AH10</f>
        <v>-69.259</v>
      </c>
      <c r="AJ10" s="371">
        <v>-58.731999999999999</v>
      </c>
      <c r="AK10" s="371">
        <v>-49.243000000000002</v>
      </c>
      <c r="AL10" s="371">
        <v>-44.341000000000001</v>
      </c>
      <c r="AM10" s="371">
        <v>-40.966999999999999</v>
      </c>
      <c r="AN10" s="35">
        <f>AM10</f>
        <v>-40.966999999999999</v>
      </c>
      <c r="AO10" s="371">
        <v>-34.984999999999999</v>
      </c>
      <c r="AP10" s="371">
        <v>-43.636000000000003</v>
      </c>
      <c r="AQ10" s="371">
        <v>-41.484999999999999</v>
      </c>
      <c r="AR10" s="371">
        <v>-42.106000000000002</v>
      </c>
      <c r="AS10" s="35">
        <f>AR10</f>
        <v>-42.106000000000002</v>
      </c>
      <c r="AT10" s="371">
        <v>-42.168999999999997</v>
      </c>
      <c r="AU10" s="371">
        <v>-31.366</v>
      </c>
      <c r="AV10" s="371">
        <v>-30.763999999999999</v>
      </c>
      <c r="AW10" s="371">
        <v>-27.978000000000002</v>
      </c>
      <c r="AX10" s="35">
        <f>AW10</f>
        <v>-27.978000000000002</v>
      </c>
      <c r="AY10" s="371">
        <v>-28.111999999999998</v>
      </c>
      <c r="AZ10" s="371">
        <v>-27.826000000000001</v>
      </c>
      <c r="BA10" s="371">
        <v>-27.852</v>
      </c>
      <c r="BB10" s="371">
        <v>-26.366</v>
      </c>
      <c r="BC10" s="35">
        <f>BB10</f>
        <v>-26.366</v>
      </c>
      <c r="BD10" s="371">
        <v>-24.905000000000001</v>
      </c>
      <c r="BE10" s="371">
        <v>-22.492000000000001</v>
      </c>
      <c r="BF10" s="371">
        <v>-19.814</v>
      </c>
      <c r="BG10" s="371">
        <v>-16.105</v>
      </c>
      <c r="BH10" s="35">
        <f>BG10</f>
        <v>-16.105</v>
      </c>
      <c r="BI10" s="371">
        <v>-14.776999999999999</v>
      </c>
      <c r="BJ10" s="371">
        <v>-13.56</v>
      </c>
      <c r="BK10" s="371">
        <v>-25.635999999999999</v>
      </c>
      <c r="BL10" s="371">
        <v>-28.567</v>
      </c>
      <c r="BM10" s="35">
        <f>BL10</f>
        <v>-28.567</v>
      </c>
      <c r="BN10" s="371">
        <v>-31.367999999999999</v>
      </c>
      <c r="BO10" s="371">
        <v>-34.118000000000002</v>
      </c>
      <c r="BP10" s="371">
        <v>-33.268999999999998</v>
      </c>
      <c r="BQ10" s="371">
        <v>-32.884999999999998</v>
      </c>
      <c r="BR10" s="35">
        <f>BQ10</f>
        <v>-32.884999999999998</v>
      </c>
      <c r="BS10" s="371">
        <v>-87.186000000000007</v>
      </c>
      <c r="BT10" s="371">
        <v>-32.204999999999998</v>
      </c>
      <c r="BU10" s="371">
        <v>-32.222999999999999</v>
      </c>
      <c r="BV10" s="371">
        <v>-32.243000000000002</v>
      </c>
      <c r="BW10" s="35">
        <f>BV10</f>
        <v>-32.243000000000002</v>
      </c>
      <c r="BX10" s="371">
        <v>-32.262</v>
      </c>
      <c r="BY10" s="371">
        <v>-32.280999999999999</v>
      </c>
      <c r="BZ10" s="371">
        <v>-36.049999999999997</v>
      </c>
      <c r="CA10" s="371">
        <v>-39.819000000000003</v>
      </c>
      <c r="CB10" s="35">
        <f t="shared" ref="CB10:CG10" si="0">CA10</f>
        <v>-39.819000000000003</v>
      </c>
      <c r="CC10" s="371">
        <v>-2.339</v>
      </c>
      <c r="CD10" s="371">
        <v>-2.089</v>
      </c>
      <c r="CE10" s="371">
        <v>-1.837</v>
      </c>
      <c r="CF10" s="371">
        <v>-1.583</v>
      </c>
      <c r="CG10" s="35">
        <f t="shared" si="0"/>
        <v>-1.583</v>
      </c>
      <c r="CH10" s="371">
        <v>-1.327</v>
      </c>
      <c r="CI10" s="371">
        <v>0</v>
      </c>
      <c r="CJ10" s="128">
        <v>0</v>
      </c>
      <c r="CK10" s="28">
        <f t="shared" ref="CK10:CQ10" si="1">CJ10</f>
        <v>0</v>
      </c>
      <c r="CL10" s="35">
        <f t="shared" si="1"/>
        <v>0</v>
      </c>
      <c r="CM10" s="28">
        <f t="shared" si="1"/>
        <v>0</v>
      </c>
      <c r="CN10" s="28">
        <f t="shared" si="1"/>
        <v>0</v>
      </c>
      <c r="CO10" s="28">
        <f t="shared" si="1"/>
        <v>0</v>
      </c>
      <c r="CP10" s="28">
        <f t="shared" si="1"/>
        <v>0</v>
      </c>
      <c r="CQ10" s="35">
        <f t="shared" si="1"/>
        <v>0</v>
      </c>
      <c r="CR10" s="28">
        <f t="shared" ref="CR10" si="2">CQ10</f>
        <v>0</v>
      </c>
      <c r="CS10" s="28">
        <f t="shared" ref="CS10" si="3">CR10</f>
        <v>0</v>
      </c>
      <c r="CT10" s="28">
        <f t="shared" ref="CT10" si="4">CS10</f>
        <v>0</v>
      </c>
      <c r="CU10" s="28">
        <f t="shared" ref="CU10" si="5">CT10</f>
        <v>0</v>
      </c>
      <c r="CV10" s="35">
        <f t="shared" ref="CV10" si="6">CU10</f>
        <v>0</v>
      </c>
    </row>
    <row r="11" spans="1:256" s="27" customFormat="1" ht="3.95" customHeight="1" x14ac:dyDescent="0.25">
      <c r="F11" s="139"/>
      <c r="G11" s="139"/>
      <c r="H11" s="139"/>
      <c r="I11" s="139"/>
      <c r="J11" s="139"/>
      <c r="O11" s="139"/>
      <c r="T11" s="139"/>
      <c r="Y11" s="139"/>
      <c r="AD11" s="139"/>
      <c r="AI11" s="139"/>
      <c r="AN11" s="139"/>
      <c r="AS11" s="139"/>
      <c r="AX11" s="139"/>
      <c r="BC11" s="139"/>
      <c r="BH11" s="139"/>
      <c r="BM11" s="139"/>
      <c r="BR11" s="139"/>
      <c r="BW11" s="139"/>
      <c r="CB11" s="139"/>
      <c r="CG11" s="139"/>
      <c r="CJ11" s="128"/>
      <c r="CL11" s="139"/>
      <c r="CQ11" s="139"/>
      <c r="CV11" s="139"/>
    </row>
    <row r="12" spans="1:256" s="27" customFormat="1" x14ac:dyDescent="0.25">
      <c r="E12" s="27" t="s">
        <v>737</v>
      </c>
      <c r="F12" s="140"/>
      <c r="G12" s="140"/>
      <c r="H12" s="140"/>
      <c r="I12" s="140"/>
      <c r="J12" s="140"/>
      <c r="K12" s="124"/>
      <c r="L12" s="124"/>
      <c r="M12" s="124"/>
      <c r="N12" s="124"/>
      <c r="O12" s="139"/>
      <c r="P12" s="124"/>
      <c r="Q12" s="124"/>
      <c r="R12" s="124"/>
      <c r="S12" s="124"/>
      <c r="T12" s="139"/>
      <c r="U12" s="124"/>
      <c r="V12" s="124"/>
      <c r="W12" s="124"/>
      <c r="X12" s="124">
        <f>-252.272+68.301</f>
        <v>-183.971</v>
      </c>
      <c r="Y12" s="139">
        <f t="shared" ref="Y12:Y18" si="7">X12</f>
        <v>-183.971</v>
      </c>
      <c r="Z12" s="124"/>
      <c r="AA12" s="124"/>
      <c r="AB12" s="124"/>
      <c r="AC12" s="124">
        <f>-547+80.001</f>
        <v>-466.99900000000002</v>
      </c>
      <c r="AD12" s="139">
        <f t="shared" ref="AD12:AD18" si="8">AC12</f>
        <v>-466.99900000000002</v>
      </c>
      <c r="AE12" s="124"/>
      <c r="AF12" s="124"/>
      <c r="AG12" s="124"/>
      <c r="AH12" s="124">
        <f>-511-AH10</f>
        <v>-441.74099999999999</v>
      </c>
      <c r="AI12" s="139">
        <f t="shared" ref="AI12:AI18" si="9">AH12</f>
        <v>-441.74099999999999</v>
      </c>
      <c r="AJ12" s="124">
        <f>-509.5-AJ10</f>
        <v>-450.76800000000003</v>
      </c>
      <c r="AK12" s="124">
        <f>-493.5-AK10</f>
        <v>-444.25700000000001</v>
      </c>
      <c r="AL12" s="124">
        <f>-492-AL10</f>
        <v>-447.65899999999999</v>
      </c>
      <c r="AM12" s="124">
        <f>-490.5-AM10</f>
        <v>-449.53300000000002</v>
      </c>
      <c r="AN12" s="139">
        <f t="shared" ref="AN12:AN18" si="10">AM12</f>
        <v>-449.53300000000002</v>
      </c>
      <c r="AO12" s="124">
        <f>-489-AO10</f>
        <v>-454.01499999999999</v>
      </c>
      <c r="AP12" s="124">
        <f>-457.5-AP10</f>
        <v>-413.86399999999998</v>
      </c>
      <c r="AQ12" s="124">
        <f>-448.5-AQ10</f>
        <v>-407.01499999999999</v>
      </c>
      <c r="AR12" s="124">
        <f>-458.629-AR13-AR14-AR15-AR16-AR17</f>
        <v>-384.89400000000001</v>
      </c>
      <c r="AS12" s="139">
        <f t="shared" ref="AS12:AS17" si="11">AR12</f>
        <v>-384.89400000000001</v>
      </c>
      <c r="AT12" s="124">
        <f>-459.833-AT13-AT14-AT15-AT16-AT17</f>
        <v>-383.33100000000007</v>
      </c>
      <c r="AU12" s="124">
        <f>-450.452-AU13-AU14-AU15-AU16-AU17</f>
        <v>-372.63400000000001</v>
      </c>
      <c r="AV12" s="417">
        <f>-414.307-AV13-AV14-AV15-AV16-AV17</f>
        <v>-337.24900000000002</v>
      </c>
      <c r="AW12" s="417">
        <f>-394.26-AW13-AW14-AW15-AW16-AW17</f>
        <v>-317.202</v>
      </c>
      <c r="AX12" s="139">
        <f t="shared" ref="AX12:AX18" si="12">AW12</f>
        <v>-317.202</v>
      </c>
      <c r="AY12" s="124">
        <f>-365.565-AY13-AY14-AY15-AY16-AY17</f>
        <v>-288.50700000000001</v>
      </c>
      <c r="AZ12" s="124">
        <f>-284.957-AZ13-AZ14-AZ15-AZ16-AZ17</f>
        <v>-207.899</v>
      </c>
      <c r="BA12" s="124">
        <f>-256.975-BA13-BA14-BA15-BA16-BA17</f>
        <v>-197.64800000000002</v>
      </c>
      <c r="BB12" s="124">
        <f>-251.886-BB13-BB14-BB15-BB16-BB17</f>
        <v>-192.559</v>
      </c>
      <c r="BC12" s="139">
        <f t="shared" ref="BC12:BC18" si="13">BB12</f>
        <v>-192.559</v>
      </c>
      <c r="BD12" s="124">
        <f>-248.613-BD13-BD14-BD15-BD16-BD17</f>
        <v>-197.59700000000001</v>
      </c>
      <c r="BE12" s="124">
        <f>-244.347-BE13-BE14-BE15-BE16-BE17</f>
        <v>-198.47200000000004</v>
      </c>
      <c r="BF12" s="124">
        <f>-240.774-BF13-BF14-BF15-BF16-BF17</f>
        <v>-199.68600000000001</v>
      </c>
      <c r="BG12" s="124">
        <f>-237.4-BG13-BG14-BG15-BG16-BG17</f>
        <v>-201.89500000000001</v>
      </c>
      <c r="BH12" s="139">
        <f t="shared" ref="BH12:BH18" si="14">BG12</f>
        <v>-201.89500000000001</v>
      </c>
      <c r="BI12" s="124">
        <f>-233.838-BI13-BI14-BI15-BI16-BI17</f>
        <v>-201.72299999999998</v>
      </c>
      <c r="BJ12" s="124">
        <f>-230.713-BJ13-BJ14-BJ15-BJ16-BJ17</f>
        <v>-201.44</v>
      </c>
      <c r="BK12" s="124">
        <f>-297.703-BK13-BK14-BK15-BK16-BK17</f>
        <v>-270.61399999999998</v>
      </c>
      <c r="BL12" s="124">
        <f>-289.043-BL13-BL14-BL15-BL16-BL17</f>
        <v>-263.93299999999999</v>
      </c>
      <c r="BM12" s="139">
        <f t="shared" ref="BM12:BM18" si="15">BL12</f>
        <v>-263.93299999999999</v>
      </c>
      <c r="BN12" s="124">
        <f>-278.975-BN13-BN14-BN15-BN16-BN17</f>
        <v>-257.38200000000006</v>
      </c>
      <c r="BO12" s="124">
        <f>-270.869-BO13-BO14-BO15-BO16-BO17</f>
        <v>-250.88200000000006</v>
      </c>
      <c r="BP12" s="124">
        <f>-262.761-BP13-BP14-BP15-BP16-BP17</f>
        <v>-244.23100000000002</v>
      </c>
      <c r="BQ12" s="124">
        <f>-254.539-BQ13-BQ14-BQ15-BQ16-BQ17</f>
        <v>-237.11499999999998</v>
      </c>
      <c r="BR12" s="139">
        <f>BQ12</f>
        <v>-237.11499999999998</v>
      </c>
      <c r="BS12" s="124">
        <f>-184.802-BS13-BS14-BS15-BS16-BS17</f>
        <v>-175.31399999999999</v>
      </c>
      <c r="BT12" s="124">
        <f>-176.744-BT13-BT14-BT15-BT16-BT17</f>
        <v>-167.79499999999999</v>
      </c>
      <c r="BU12" s="124">
        <f>-168.681-BU13-BU14-BU15-BU16-BU17</f>
        <v>-160.27700000000002</v>
      </c>
      <c r="BV12" s="124">
        <f>-157.897-BV13-BV14-BV15-BV16-BV17</f>
        <v>-150.041</v>
      </c>
      <c r="BW12" s="139">
        <f t="shared" ref="BW12:BW18" si="16">BV12</f>
        <v>-150.041</v>
      </c>
      <c r="BX12" s="124">
        <f>-150.124-BX13-BX14-BX15-BX16-BX17</f>
        <v>-142.822</v>
      </c>
      <c r="BY12" s="124">
        <f>-142.341-BY13-BY14-BY15-BY16-BY17</f>
        <v>-135.59700000000001</v>
      </c>
      <c r="BZ12" s="124">
        <f>-200.798-BZ13-BZ14-BZ15-BZ16-BZ17</f>
        <v>-194.61600000000001</v>
      </c>
      <c r="CA12" s="124">
        <f>-189.241-CA13-CA14-CA15-CA16-CA17</f>
        <v>-183.62900000000002</v>
      </c>
      <c r="CB12" s="139">
        <f>CA12</f>
        <v>-183.62900000000002</v>
      </c>
      <c r="CC12" s="124">
        <f>-228.145-CC13-CC14-CC15-CC16-CC17</f>
        <v>-223.10400000000001</v>
      </c>
      <c r="CD12" s="124">
        <f>-228.045-CD13-CD14-CD15-CD16-CD17</f>
        <v>-223.58199999999999</v>
      </c>
      <c r="CE12" s="124">
        <f>-227.943-CE13-CE14-CE15-CE16-CE17</f>
        <v>-224.06200000000001</v>
      </c>
      <c r="CF12" s="124">
        <f>-227.837-CF13-CF14-CF15-CF16-CF17</f>
        <v>-224.54399999999998</v>
      </c>
      <c r="CG12" s="139">
        <f>CF12</f>
        <v>-224.54399999999998</v>
      </c>
      <c r="CH12" s="124">
        <f>-227.435-CH13-CH14-CH15-CH16-CH17</f>
        <v>-224.142</v>
      </c>
      <c r="CI12" s="124">
        <f>-226.307-CI13-CI14-CI15-CI16-CI17</f>
        <v>-223.01399999999998</v>
      </c>
      <c r="CJ12" s="128">
        <v>0</v>
      </c>
      <c r="CK12" s="27">
        <f>CJ12-'Cash Flow'!CK33</f>
        <v>0</v>
      </c>
      <c r="CL12" s="139">
        <f>CK12</f>
        <v>0</v>
      </c>
      <c r="CM12" s="27">
        <f>CL12-'Cash Flow'!CM33</f>
        <v>0</v>
      </c>
      <c r="CN12" s="27">
        <f>CM12-'Cash Flow'!CN33</f>
        <v>0</v>
      </c>
      <c r="CO12" s="27">
        <f>CN12-'Cash Flow'!CO33</f>
        <v>0</v>
      </c>
      <c r="CP12" s="27">
        <f>CO12-'Cash Flow'!CP33</f>
        <v>0</v>
      </c>
      <c r="CQ12" s="139">
        <f>CP12</f>
        <v>0</v>
      </c>
      <c r="CR12" s="27">
        <f>CQ12-'Cash Flow'!CR33</f>
        <v>0</v>
      </c>
      <c r="CS12" s="27">
        <f>CR12-'Cash Flow'!CS33</f>
        <v>0</v>
      </c>
      <c r="CT12" s="27">
        <f>CS12-'Cash Flow'!CT33</f>
        <v>0</v>
      </c>
      <c r="CU12" s="27">
        <f>CT12-'Cash Flow'!CU33</f>
        <v>0</v>
      </c>
      <c r="CV12" s="139">
        <f>CU12</f>
        <v>0</v>
      </c>
    </row>
    <row r="13" spans="1:256" s="27" customFormat="1" x14ac:dyDescent="0.25">
      <c r="E13" s="27" t="s">
        <v>339</v>
      </c>
      <c r="F13" s="140"/>
      <c r="G13" s="140"/>
      <c r="H13" s="140"/>
      <c r="I13" s="140"/>
      <c r="J13" s="140"/>
      <c r="K13" s="124"/>
      <c r="L13" s="124"/>
      <c r="M13" s="124"/>
      <c r="N13" s="124"/>
      <c r="O13" s="139"/>
      <c r="P13" s="124"/>
      <c r="Q13" s="124"/>
      <c r="R13" s="124"/>
      <c r="S13" s="124"/>
      <c r="T13" s="139"/>
      <c r="U13" s="124"/>
      <c r="V13" s="124"/>
      <c r="W13" s="124"/>
      <c r="X13" s="124">
        <v>-123.907</v>
      </c>
      <c r="Y13" s="139">
        <f t="shared" si="7"/>
        <v>-123.907</v>
      </c>
      <c r="Z13" s="124"/>
      <c r="AA13" s="124"/>
      <c r="AB13" s="124"/>
      <c r="AC13" s="124">
        <v>-121.399</v>
      </c>
      <c r="AD13" s="139">
        <f t="shared" si="8"/>
        <v>-121.399</v>
      </c>
      <c r="AE13" s="124"/>
      <c r="AF13" s="124"/>
      <c r="AG13" s="124"/>
      <c r="AH13" s="124">
        <v>-76.597999999999999</v>
      </c>
      <c r="AI13" s="139">
        <f t="shared" si="9"/>
        <v>-76.597999999999999</v>
      </c>
      <c r="AJ13" s="124">
        <v>-65.581999999999994</v>
      </c>
      <c r="AK13" s="124">
        <v>-58.104999999999997</v>
      </c>
      <c r="AL13" s="124">
        <v>-51.218000000000004</v>
      </c>
      <c r="AM13" s="124">
        <v>-46.646000000000001</v>
      </c>
      <c r="AN13" s="139">
        <f t="shared" si="10"/>
        <v>-46.646000000000001</v>
      </c>
      <c r="AO13" s="124">
        <v>-42.795000000000002</v>
      </c>
      <c r="AP13" s="124">
        <v>-41.862000000000002</v>
      </c>
      <c r="AQ13" s="124">
        <v>-42.957000000000001</v>
      </c>
      <c r="AR13" s="124">
        <v>-41.787999999999997</v>
      </c>
      <c r="AS13" s="139">
        <f t="shared" si="11"/>
        <v>-41.787999999999997</v>
      </c>
      <c r="AT13" s="124">
        <v>-46.051000000000002</v>
      </c>
      <c r="AU13" s="124">
        <v>-48.058</v>
      </c>
      <c r="AV13" s="85">
        <f>AU13</f>
        <v>-48.058</v>
      </c>
      <c r="AW13" s="27">
        <f>AV13</f>
        <v>-48.058</v>
      </c>
      <c r="AX13" s="139">
        <f t="shared" si="12"/>
        <v>-48.058</v>
      </c>
      <c r="AY13" s="27">
        <f t="shared" ref="AY13:AZ17" si="17">AX13</f>
        <v>-48.058</v>
      </c>
      <c r="AZ13" s="27">
        <f t="shared" si="17"/>
        <v>-48.058</v>
      </c>
      <c r="BA13" s="124">
        <v>-37.868000000000002</v>
      </c>
      <c r="BB13" s="27">
        <f>BA13</f>
        <v>-37.868000000000002</v>
      </c>
      <c r="BC13" s="139">
        <f t="shared" si="13"/>
        <v>-37.868000000000002</v>
      </c>
      <c r="BD13" s="124">
        <v>-33.316000000000003</v>
      </c>
      <c r="BE13" s="124">
        <v>-28.972999999999999</v>
      </c>
      <c r="BF13" s="124">
        <v>-24.934999999999999</v>
      </c>
      <c r="BG13" s="124">
        <v>-21.367999999999999</v>
      </c>
      <c r="BH13" s="139">
        <f t="shared" si="14"/>
        <v>-21.367999999999999</v>
      </c>
      <c r="BI13" s="124">
        <v>-18.466999999999999</v>
      </c>
      <c r="BJ13" s="124">
        <v>-16.13</v>
      </c>
      <c r="BK13" s="124">
        <v>-14.454000000000001</v>
      </c>
      <c r="BL13" s="124">
        <v>-12.99</v>
      </c>
      <c r="BM13" s="139">
        <f t="shared" si="15"/>
        <v>-12.99</v>
      </c>
      <c r="BN13" s="124">
        <v>-9.9890000000000008</v>
      </c>
      <c r="BO13" s="124">
        <v>-8.9049999999999994</v>
      </c>
      <c r="BP13" s="124">
        <v>-7.9749999999999996</v>
      </c>
      <c r="BQ13" s="124">
        <v>-7.4</v>
      </c>
      <c r="BR13" s="139">
        <f t="shared" ref="BR13:BR18" si="18">BQ13</f>
        <v>-7.4</v>
      </c>
      <c r="BS13" s="124">
        <v>0</v>
      </c>
      <c r="BT13" s="124">
        <v>0</v>
      </c>
      <c r="BU13" s="124">
        <v>0</v>
      </c>
      <c r="BV13" s="124">
        <v>0</v>
      </c>
      <c r="BW13" s="139">
        <f t="shared" si="16"/>
        <v>0</v>
      </c>
      <c r="BX13" s="124">
        <v>0</v>
      </c>
      <c r="BY13" s="124">
        <v>0</v>
      </c>
      <c r="BZ13" s="124">
        <v>0</v>
      </c>
      <c r="CA13" s="124">
        <v>0</v>
      </c>
      <c r="CB13" s="139">
        <f t="shared" ref="CB13:CB18" si="19">CA13</f>
        <v>0</v>
      </c>
      <c r="CC13" s="124">
        <v>0</v>
      </c>
      <c r="CD13" s="124">
        <v>0</v>
      </c>
      <c r="CE13" s="124">
        <v>0</v>
      </c>
      <c r="CF13" s="124">
        <v>0</v>
      </c>
      <c r="CG13" s="139">
        <f t="shared" ref="CG13:CG18" si="20">CF13</f>
        <v>0</v>
      </c>
      <c r="CH13" s="27">
        <f t="shared" ref="CH13:CK17" si="21">CG13</f>
        <v>0</v>
      </c>
      <c r="CI13" s="27">
        <f t="shared" si="21"/>
        <v>0</v>
      </c>
      <c r="CJ13" s="128">
        <v>0</v>
      </c>
      <c r="CK13" s="27">
        <f t="shared" si="21"/>
        <v>0</v>
      </c>
      <c r="CL13" s="139">
        <f t="shared" ref="CL13:CL18" si="22">CK13</f>
        <v>0</v>
      </c>
      <c r="CM13" s="27">
        <f t="shared" ref="CM13:CM17" si="23">CL13</f>
        <v>0</v>
      </c>
      <c r="CN13" s="27">
        <f t="shared" ref="CN13:CN17" si="24">CM13</f>
        <v>0</v>
      </c>
      <c r="CO13" s="27">
        <f t="shared" ref="CO13:CO17" si="25">CN13</f>
        <v>0</v>
      </c>
      <c r="CP13" s="27">
        <f t="shared" ref="CP13:CP17" si="26">CO13</f>
        <v>0</v>
      </c>
      <c r="CQ13" s="139">
        <f t="shared" ref="CQ13:CQ18" si="27">CP13</f>
        <v>0</v>
      </c>
      <c r="CR13" s="27">
        <f t="shared" ref="CR13:CR17" si="28">CQ13</f>
        <v>0</v>
      </c>
      <c r="CS13" s="27">
        <f t="shared" ref="CS13:CS17" si="29">CR13</f>
        <v>0</v>
      </c>
      <c r="CT13" s="27">
        <f t="shared" ref="CT13:CT17" si="30">CS13</f>
        <v>0</v>
      </c>
      <c r="CU13" s="27">
        <f t="shared" ref="CU13:CU17" si="31">CT13</f>
        <v>0</v>
      </c>
      <c r="CV13" s="139">
        <f t="shared" ref="CV13:CV18" si="32">CU13</f>
        <v>0</v>
      </c>
    </row>
    <row r="14" spans="1:256" s="27" customFormat="1" x14ac:dyDescent="0.25">
      <c r="E14" s="27" t="s">
        <v>340</v>
      </c>
      <c r="F14" s="140"/>
      <c r="G14" s="140"/>
      <c r="H14" s="140"/>
      <c r="I14" s="140"/>
      <c r="J14" s="140"/>
      <c r="K14" s="124"/>
      <c r="L14" s="124"/>
      <c r="M14" s="124"/>
      <c r="N14" s="124"/>
      <c r="O14" s="139"/>
      <c r="P14" s="124"/>
      <c r="Q14" s="124"/>
      <c r="R14" s="124"/>
      <c r="S14" s="124"/>
      <c r="T14" s="139"/>
      <c r="U14" s="124"/>
      <c r="V14" s="124"/>
      <c r="W14" s="124"/>
      <c r="X14" s="124">
        <v>-1.911</v>
      </c>
      <c r="Y14" s="139">
        <f t="shared" si="7"/>
        <v>-1.911</v>
      </c>
      <c r="Z14" s="124"/>
      <c r="AA14" s="124"/>
      <c r="AB14" s="124"/>
      <c r="AC14" s="124">
        <v>-1.651</v>
      </c>
      <c r="AD14" s="139">
        <f t="shared" si="8"/>
        <v>-1.651</v>
      </c>
      <c r="AE14" s="124"/>
      <c r="AF14" s="124"/>
      <c r="AG14" s="124"/>
      <c r="AH14" s="124">
        <v>-1.542</v>
      </c>
      <c r="AI14" s="139">
        <f t="shared" si="9"/>
        <v>-1.542</v>
      </c>
      <c r="AJ14" s="124">
        <v>-1.524</v>
      </c>
      <c r="AK14" s="124">
        <v>-1.5529999999999999</v>
      </c>
      <c r="AL14" s="124">
        <v>-1.488</v>
      </c>
      <c r="AM14" s="124">
        <v>-1.492</v>
      </c>
      <c r="AN14" s="139">
        <f t="shared" si="10"/>
        <v>-1.492</v>
      </c>
      <c r="AO14" s="124">
        <v>-1.49</v>
      </c>
      <c r="AP14" s="124">
        <v>-1.4990000000000001</v>
      </c>
      <c r="AQ14" s="124">
        <v>-1.4990000000000001</v>
      </c>
      <c r="AR14" s="124">
        <v>0</v>
      </c>
      <c r="AS14" s="139">
        <f t="shared" si="11"/>
        <v>0</v>
      </c>
      <c r="AT14" s="124">
        <v>0</v>
      </c>
      <c r="AU14" s="124">
        <v>0</v>
      </c>
      <c r="AV14" s="124">
        <v>0</v>
      </c>
      <c r="AW14" s="124">
        <v>0</v>
      </c>
      <c r="AX14" s="139">
        <f t="shared" si="12"/>
        <v>0</v>
      </c>
      <c r="AY14" s="27">
        <f t="shared" si="17"/>
        <v>0</v>
      </c>
      <c r="AZ14" s="27">
        <f t="shared" si="17"/>
        <v>0</v>
      </c>
      <c r="BA14" s="27">
        <f t="shared" ref="BA14:BB17" si="33">AZ14</f>
        <v>0</v>
      </c>
      <c r="BB14" s="27">
        <f t="shared" si="33"/>
        <v>0</v>
      </c>
      <c r="BC14" s="139">
        <f t="shared" si="13"/>
        <v>0</v>
      </c>
      <c r="BD14" s="124">
        <v>0</v>
      </c>
      <c r="BE14" s="124">
        <v>0</v>
      </c>
      <c r="BF14" s="124">
        <v>0</v>
      </c>
      <c r="BG14" s="124">
        <v>0</v>
      </c>
      <c r="BH14" s="139">
        <f t="shared" si="14"/>
        <v>0</v>
      </c>
      <c r="BI14" s="124">
        <v>0</v>
      </c>
      <c r="BJ14" s="124">
        <v>0</v>
      </c>
      <c r="BK14" s="124">
        <v>0</v>
      </c>
      <c r="BL14" s="124">
        <v>0</v>
      </c>
      <c r="BM14" s="139">
        <f t="shared" si="15"/>
        <v>0</v>
      </c>
      <c r="BN14" s="124">
        <v>0</v>
      </c>
      <c r="BO14" s="124">
        <v>0</v>
      </c>
      <c r="BP14" s="124">
        <v>0</v>
      </c>
      <c r="BQ14" s="124">
        <v>0</v>
      </c>
      <c r="BR14" s="139">
        <f t="shared" si="18"/>
        <v>0</v>
      </c>
      <c r="BS14" s="124">
        <v>0</v>
      </c>
      <c r="BT14" s="124">
        <v>0</v>
      </c>
      <c r="BU14" s="124">
        <v>0</v>
      </c>
      <c r="BV14" s="124">
        <v>0</v>
      </c>
      <c r="BW14" s="139">
        <f t="shared" si="16"/>
        <v>0</v>
      </c>
      <c r="BX14" s="124">
        <v>0</v>
      </c>
      <c r="BY14" s="124">
        <v>0</v>
      </c>
      <c r="BZ14" s="124">
        <v>0</v>
      </c>
      <c r="CA14" s="124">
        <v>0</v>
      </c>
      <c r="CB14" s="139">
        <f t="shared" si="19"/>
        <v>0</v>
      </c>
      <c r="CC14" s="124">
        <v>0</v>
      </c>
      <c r="CD14" s="124">
        <v>0</v>
      </c>
      <c r="CE14" s="124">
        <v>0</v>
      </c>
      <c r="CF14" s="124">
        <v>0</v>
      </c>
      <c r="CG14" s="139">
        <f t="shared" si="20"/>
        <v>0</v>
      </c>
      <c r="CH14" s="27">
        <f t="shared" si="21"/>
        <v>0</v>
      </c>
      <c r="CI14" s="27">
        <f t="shared" si="21"/>
        <v>0</v>
      </c>
      <c r="CJ14" s="128">
        <v>0</v>
      </c>
      <c r="CK14" s="27">
        <f t="shared" si="21"/>
        <v>0</v>
      </c>
      <c r="CL14" s="139">
        <f t="shared" si="22"/>
        <v>0</v>
      </c>
      <c r="CM14" s="27">
        <f t="shared" si="23"/>
        <v>0</v>
      </c>
      <c r="CN14" s="27">
        <f t="shared" si="24"/>
        <v>0</v>
      </c>
      <c r="CO14" s="27">
        <f t="shared" si="25"/>
        <v>0</v>
      </c>
      <c r="CP14" s="27">
        <f t="shared" si="26"/>
        <v>0</v>
      </c>
      <c r="CQ14" s="139">
        <f t="shared" si="27"/>
        <v>0</v>
      </c>
      <c r="CR14" s="27">
        <f t="shared" si="28"/>
        <v>0</v>
      </c>
      <c r="CS14" s="27">
        <f t="shared" si="29"/>
        <v>0</v>
      </c>
      <c r="CT14" s="27">
        <f t="shared" si="30"/>
        <v>0</v>
      </c>
      <c r="CU14" s="27">
        <f t="shared" si="31"/>
        <v>0</v>
      </c>
      <c r="CV14" s="139">
        <f t="shared" si="32"/>
        <v>0</v>
      </c>
    </row>
    <row r="15" spans="1:256" s="27" customFormat="1" x14ac:dyDescent="0.25">
      <c r="E15" s="27" t="s">
        <v>341</v>
      </c>
      <c r="F15" s="140"/>
      <c r="G15" s="140"/>
      <c r="H15" s="140"/>
      <c r="I15" s="140"/>
      <c r="J15" s="140"/>
      <c r="K15" s="124"/>
      <c r="L15" s="124"/>
      <c r="M15" s="124"/>
      <c r="N15" s="124"/>
      <c r="O15" s="139"/>
      <c r="P15" s="124"/>
      <c r="Q15" s="124"/>
      <c r="R15" s="124"/>
      <c r="S15" s="124"/>
      <c r="T15" s="139"/>
      <c r="U15" s="124"/>
      <c r="V15" s="124"/>
      <c r="W15" s="124"/>
      <c r="X15" s="124">
        <v>-22.722999999999999</v>
      </c>
      <c r="Y15" s="139">
        <f t="shared" si="7"/>
        <v>-22.722999999999999</v>
      </c>
      <c r="Z15" s="124"/>
      <c r="AA15" s="124"/>
      <c r="AB15" s="124"/>
      <c r="AC15" s="124">
        <v>-17.695</v>
      </c>
      <c r="AD15" s="139">
        <f t="shared" si="8"/>
        <v>-17.695</v>
      </c>
      <c r="AE15" s="124"/>
      <c r="AF15" s="124"/>
      <c r="AG15" s="124"/>
      <c r="AH15" s="124">
        <v>-18.117000000000001</v>
      </c>
      <c r="AI15" s="139">
        <f t="shared" si="9"/>
        <v>-18.117000000000001</v>
      </c>
      <c r="AJ15" s="124">
        <v>-12.092000000000001</v>
      </c>
      <c r="AK15" s="124">
        <v>-7.5949999999999998</v>
      </c>
      <c r="AL15" s="124">
        <v>-5.91</v>
      </c>
      <c r="AM15" s="124">
        <v>-12.423</v>
      </c>
      <c r="AN15" s="139">
        <f t="shared" si="10"/>
        <v>-12.423</v>
      </c>
      <c r="AO15" s="124">
        <v>-10</v>
      </c>
      <c r="AP15" s="124">
        <v>-10.249000000000001</v>
      </c>
      <c r="AQ15" s="124">
        <v>-9.8330000000000002</v>
      </c>
      <c r="AR15" s="124">
        <v>-10.000999999999999</v>
      </c>
      <c r="AS15" s="139">
        <f t="shared" si="11"/>
        <v>-10.000999999999999</v>
      </c>
      <c r="AT15" s="124">
        <v>-9.109</v>
      </c>
      <c r="AU15" s="124">
        <v>-8.9450000000000003</v>
      </c>
      <c r="AV15" s="124">
        <v>-8.8000000000000007</v>
      </c>
      <c r="AW15" s="27">
        <f>AV15</f>
        <v>-8.8000000000000007</v>
      </c>
      <c r="AX15" s="139">
        <f t="shared" si="12"/>
        <v>-8.8000000000000007</v>
      </c>
      <c r="AY15" s="27">
        <f t="shared" si="17"/>
        <v>-8.8000000000000007</v>
      </c>
      <c r="AZ15" s="27">
        <f t="shared" si="17"/>
        <v>-8.8000000000000007</v>
      </c>
      <c r="BA15" s="124">
        <v>-4.0679999999999996</v>
      </c>
      <c r="BB15" s="27">
        <f t="shared" si="33"/>
        <v>-4.0679999999999996</v>
      </c>
      <c r="BC15" s="139">
        <f t="shared" si="13"/>
        <v>-4.0679999999999996</v>
      </c>
      <c r="BD15" s="124">
        <v>0</v>
      </c>
      <c r="BE15" s="124">
        <v>0</v>
      </c>
      <c r="BF15" s="124">
        <v>0</v>
      </c>
      <c r="BG15" s="124">
        <v>0</v>
      </c>
      <c r="BH15" s="139">
        <f t="shared" si="14"/>
        <v>0</v>
      </c>
      <c r="BI15" s="124">
        <v>0</v>
      </c>
      <c r="BJ15" s="124">
        <v>0</v>
      </c>
      <c r="BK15" s="124">
        <v>0</v>
      </c>
      <c r="BL15" s="124">
        <v>0</v>
      </c>
      <c r="BM15" s="139">
        <f t="shared" si="15"/>
        <v>0</v>
      </c>
      <c r="BN15" s="124">
        <v>0</v>
      </c>
      <c r="BO15" s="124">
        <v>0</v>
      </c>
      <c r="BP15" s="124">
        <v>0</v>
      </c>
      <c r="BQ15" s="124">
        <v>0</v>
      </c>
      <c r="BR15" s="139">
        <f t="shared" si="18"/>
        <v>0</v>
      </c>
      <c r="BS15" s="124">
        <v>0</v>
      </c>
      <c r="BT15" s="124">
        <v>0</v>
      </c>
      <c r="BU15" s="124">
        <v>0</v>
      </c>
      <c r="BV15" s="124">
        <v>0</v>
      </c>
      <c r="BW15" s="139">
        <f t="shared" si="16"/>
        <v>0</v>
      </c>
      <c r="BX15" s="124">
        <v>0</v>
      </c>
      <c r="BY15" s="124">
        <v>0</v>
      </c>
      <c r="BZ15" s="124">
        <v>0</v>
      </c>
      <c r="CA15" s="124">
        <v>0</v>
      </c>
      <c r="CB15" s="139">
        <f t="shared" si="19"/>
        <v>0</v>
      </c>
      <c r="CC15" s="124">
        <v>0</v>
      </c>
      <c r="CD15" s="124">
        <v>0</v>
      </c>
      <c r="CE15" s="124">
        <v>0</v>
      </c>
      <c r="CF15" s="124">
        <v>0</v>
      </c>
      <c r="CG15" s="139">
        <f t="shared" si="20"/>
        <v>0</v>
      </c>
      <c r="CH15" s="27">
        <f t="shared" si="21"/>
        <v>0</v>
      </c>
      <c r="CI15" s="27">
        <f t="shared" si="21"/>
        <v>0</v>
      </c>
      <c r="CJ15" s="128">
        <v>0</v>
      </c>
      <c r="CK15" s="27">
        <f t="shared" si="21"/>
        <v>0</v>
      </c>
      <c r="CL15" s="139">
        <f t="shared" si="22"/>
        <v>0</v>
      </c>
      <c r="CM15" s="27">
        <f t="shared" si="23"/>
        <v>0</v>
      </c>
      <c r="CN15" s="27">
        <f t="shared" si="24"/>
        <v>0</v>
      </c>
      <c r="CO15" s="27">
        <f t="shared" si="25"/>
        <v>0</v>
      </c>
      <c r="CP15" s="27">
        <f t="shared" si="26"/>
        <v>0</v>
      </c>
      <c r="CQ15" s="139">
        <f t="shared" si="27"/>
        <v>0</v>
      </c>
      <c r="CR15" s="27">
        <f t="shared" si="28"/>
        <v>0</v>
      </c>
      <c r="CS15" s="27">
        <f t="shared" si="29"/>
        <v>0</v>
      </c>
      <c r="CT15" s="27">
        <f t="shared" si="30"/>
        <v>0</v>
      </c>
      <c r="CU15" s="27">
        <f t="shared" si="31"/>
        <v>0</v>
      </c>
      <c r="CV15" s="139">
        <f t="shared" si="32"/>
        <v>0</v>
      </c>
    </row>
    <row r="16" spans="1:256" s="27" customFormat="1" x14ac:dyDescent="0.25">
      <c r="E16" s="27" t="s">
        <v>342</v>
      </c>
      <c r="F16" s="140"/>
      <c r="G16" s="140"/>
      <c r="H16" s="140"/>
      <c r="I16" s="140"/>
      <c r="J16" s="140"/>
      <c r="K16" s="124"/>
      <c r="L16" s="124"/>
      <c r="M16" s="124"/>
      <c r="N16" s="124"/>
      <c r="O16" s="139"/>
      <c r="P16" s="124"/>
      <c r="Q16" s="124"/>
      <c r="R16" s="124"/>
      <c r="S16" s="124"/>
      <c r="T16" s="139"/>
      <c r="U16" s="124"/>
      <c r="V16" s="124"/>
      <c r="W16" s="124"/>
      <c r="X16" s="124">
        <v>0</v>
      </c>
      <c r="Y16" s="139">
        <f t="shared" si="7"/>
        <v>0</v>
      </c>
      <c r="Z16" s="124"/>
      <c r="AA16" s="124"/>
      <c r="AB16" s="124"/>
      <c r="AC16" s="124">
        <v>0</v>
      </c>
      <c r="AD16" s="139">
        <f t="shared" si="8"/>
        <v>0</v>
      </c>
      <c r="AE16" s="124"/>
      <c r="AF16" s="124"/>
      <c r="AG16" s="124"/>
      <c r="AH16" s="124">
        <v>-10.499000000000001</v>
      </c>
      <c r="AI16" s="139">
        <f t="shared" si="9"/>
        <v>-10.499000000000001</v>
      </c>
      <c r="AJ16" s="124">
        <v>-8.1579999999999995</v>
      </c>
      <c r="AK16" s="124">
        <v>-5.78</v>
      </c>
      <c r="AL16" s="124">
        <v>-4.3680000000000003</v>
      </c>
      <c r="AM16" s="124">
        <v>-2.9340000000000002</v>
      </c>
      <c r="AN16" s="139">
        <f t="shared" si="10"/>
        <v>-2.9340000000000002</v>
      </c>
      <c r="AO16" s="124">
        <v>-1.478</v>
      </c>
      <c r="AP16" s="124">
        <v>0</v>
      </c>
      <c r="AQ16" s="124">
        <v>0</v>
      </c>
      <c r="AR16" s="124">
        <v>0</v>
      </c>
      <c r="AS16" s="139">
        <f t="shared" si="11"/>
        <v>0</v>
      </c>
      <c r="AT16" s="124">
        <v>0</v>
      </c>
      <c r="AU16" s="124">
        <v>0</v>
      </c>
      <c r="AV16" s="124">
        <v>0</v>
      </c>
      <c r="AW16" s="124">
        <v>0</v>
      </c>
      <c r="AX16" s="139">
        <f t="shared" si="12"/>
        <v>0</v>
      </c>
      <c r="AY16" s="27">
        <f t="shared" si="17"/>
        <v>0</v>
      </c>
      <c r="AZ16" s="27">
        <f t="shared" si="17"/>
        <v>0</v>
      </c>
      <c r="BA16" s="27">
        <f t="shared" si="33"/>
        <v>0</v>
      </c>
      <c r="BB16" s="27">
        <f t="shared" si="33"/>
        <v>0</v>
      </c>
      <c r="BC16" s="139">
        <f t="shared" si="13"/>
        <v>0</v>
      </c>
      <c r="BD16" s="124">
        <v>0</v>
      </c>
      <c r="BE16" s="124">
        <v>0</v>
      </c>
      <c r="BF16" s="124">
        <v>0</v>
      </c>
      <c r="BG16" s="124">
        <v>0</v>
      </c>
      <c r="BH16" s="139">
        <f t="shared" si="14"/>
        <v>0</v>
      </c>
      <c r="BI16" s="124">
        <v>0</v>
      </c>
      <c r="BJ16" s="124">
        <v>0</v>
      </c>
      <c r="BK16" s="124">
        <v>0</v>
      </c>
      <c r="BL16" s="124">
        <v>0</v>
      </c>
      <c r="BM16" s="139">
        <f t="shared" si="15"/>
        <v>0</v>
      </c>
      <c r="BN16" s="124">
        <v>0</v>
      </c>
      <c r="BO16" s="124">
        <v>0</v>
      </c>
      <c r="BP16" s="124">
        <v>0</v>
      </c>
      <c r="BQ16" s="124">
        <v>0</v>
      </c>
      <c r="BR16" s="139">
        <f t="shared" si="18"/>
        <v>0</v>
      </c>
      <c r="BS16" s="124">
        <v>0</v>
      </c>
      <c r="BT16" s="124">
        <v>0</v>
      </c>
      <c r="BU16" s="124">
        <v>0</v>
      </c>
      <c r="BV16" s="124">
        <v>0</v>
      </c>
      <c r="BW16" s="139">
        <f t="shared" si="16"/>
        <v>0</v>
      </c>
      <c r="BX16" s="124">
        <v>0</v>
      </c>
      <c r="BY16" s="124">
        <v>0</v>
      </c>
      <c r="BZ16" s="124">
        <v>0</v>
      </c>
      <c r="CA16" s="124">
        <v>0</v>
      </c>
      <c r="CB16" s="139">
        <f t="shared" si="19"/>
        <v>0</v>
      </c>
      <c r="CC16" s="124">
        <v>0</v>
      </c>
      <c r="CD16" s="124">
        <v>0</v>
      </c>
      <c r="CE16" s="124">
        <v>0</v>
      </c>
      <c r="CF16" s="124">
        <v>0</v>
      </c>
      <c r="CG16" s="139">
        <f t="shared" si="20"/>
        <v>0</v>
      </c>
      <c r="CH16" s="27">
        <f t="shared" si="21"/>
        <v>0</v>
      </c>
      <c r="CI16" s="27">
        <f t="shared" si="21"/>
        <v>0</v>
      </c>
      <c r="CJ16" s="128">
        <v>0</v>
      </c>
      <c r="CK16" s="27">
        <f t="shared" si="21"/>
        <v>0</v>
      </c>
      <c r="CL16" s="139">
        <f t="shared" si="22"/>
        <v>0</v>
      </c>
      <c r="CM16" s="27">
        <f t="shared" si="23"/>
        <v>0</v>
      </c>
      <c r="CN16" s="27">
        <f t="shared" si="24"/>
        <v>0</v>
      </c>
      <c r="CO16" s="27">
        <f t="shared" si="25"/>
        <v>0</v>
      </c>
      <c r="CP16" s="27">
        <f t="shared" si="26"/>
        <v>0</v>
      </c>
      <c r="CQ16" s="139">
        <f t="shared" si="27"/>
        <v>0</v>
      </c>
      <c r="CR16" s="27">
        <f t="shared" si="28"/>
        <v>0</v>
      </c>
      <c r="CS16" s="27">
        <f t="shared" si="29"/>
        <v>0</v>
      </c>
      <c r="CT16" s="27">
        <f t="shared" si="30"/>
        <v>0</v>
      </c>
      <c r="CU16" s="27">
        <f t="shared" si="31"/>
        <v>0</v>
      </c>
      <c r="CV16" s="139">
        <f t="shared" si="32"/>
        <v>0</v>
      </c>
    </row>
    <row r="17" spans="5:100" s="27" customFormat="1" x14ac:dyDescent="0.25">
      <c r="E17" s="27" t="s">
        <v>343</v>
      </c>
      <c r="F17" s="140"/>
      <c r="G17" s="140"/>
      <c r="H17" s="140"/>
      <c r="I17" s="140"/>
      <c r="J17" s="140"/>
      <c r="K17" s="124"/>
      <c r="L17" s="124"/>
      <c r="M17" s="124"/>
      <c r="N17" s="124"/>
      <c r="O17" s="139"/>
      <c r="P17" s="124"/>
      <c r="Q17" s="124"/>
      <c r="R17" s="124"/>
      <c r="S17" s="124">
        <f>-141.704-S16-S15-S14-S13-S12-S20</f>
        <v>-141.70400000000001</v>
      </c>
      <c r="T17" s="139"/>
      <c r="U17" s="124"/>
      <c r="V17" s="124"/>
      <c r="W17" s="124"/>
      <c r="X17" s="124">
        <f>-353.692-22.723-X16-X15-X14-X13-X12-X20</f>
        <v>-43.90300000000002</v>
      </c>
      <c r="Y17" s="139">
        <f t="shared" si="7"/>
        <v>-43.90300000000002</v>
      </c>
      <c r="Z17" s="124"/>
      <c r="AA17" s="124"/>
      <c r="AB17" s="124"/>
      <c r="AC17" s="124">
        <f>-631.184-17.695-AC16-AC15-AC14-AC13-AC12-AC20</f>
        <v>-41.134999999999991</v>
      </c>
      <c r="AD17" s="139">
        <f t="shared" si="8"/>
        <v>-41.134999999999991</v>
      </c>
      <c r="AE17" s="124"/>
      <c r="AF17" s="124"/>
      <c r="AG17" s="124"/>
      <c r="AH17" s="124">
        <v>-26.811</v>
      </c>
      <c r="AI17" s="139">
        <f t="shared" si="9"/>
        <v>-26.811</v>
      </c>
      <c r="AJ17" s="124">
        <f>-564.377-AJ16-AJ15-AJ14-AJ13-AJ12-AJ20</f>
        <v>-26.252999999999929</v>
      </c>
      <c r="AK17" s="124">
        <f>-542.97-AK16-AK15-AK14-AK13-AK12-AK20</f>
        <v>-25.680000000000007</v>
      </c>
      <c r="AL17" s="124">
        <f>-535.759-AL16-AL15-AL14-AL13-AL12-AL20</f>
        <v>-25.115999999999929</v>
      </c>
      <c r="AM17" s="124">
        <v>-24.244</v>
      </c>
      <c r="AN17" s="139">
        <f t="shared" si="10"/>
        <v>-24.244</v>
      </c>
      <c r="AO17" s="124">
        <f>-533.47-AO16-AO15-AO14-AO13-AO12-AO20</f>
        <v>-23.692000000000064</v>
      </c>
      <c r="AP17" s="124">
        <f>-490.608-AP16-AP15-AP14-AP13-AP12-AP20</f>
        <v>-23.133999999999958</v>
      </c>
      <c r="AQ17" s="124">
        <v>-22.542000000000002</v>
      </c>
      <c r="AR17" s="124">
        <v>-21.946000000000002</v>
      </c>
      <c r="AS17" s="139">
        <f t="shared" si="11"/>
        <v>-21.946000000000002</v>
      </c>
      <c r="AT17" s="124">
        <v>-21.341999999999999</v>
      </c>
      <c r="AU17" s="124">
        <v>-20.815000000000001</v>
      </c>
      <c r="AV17" s="124">
        <v>-20.2</v>
      </c>
      <c r="AW17" s="27">
        <f>AV17</f>
        <v>-20.2</v>
      </c>
      <c r="AX17" s="139">
        <f t="shared" si="12"/>
        <v>-20.2</v>
      </c>
      <c r="AY17" s="27">
        <f t="shared" si="17"/>
        <v>-20.2</v>
      </c>
      <c r="AZ17" s="27">
        <f t="shared" si="17"/>
        <v>-20.2</v>
      </c>
      <c r="BA17" s="124">
        <v>-17.390999999999998</v>
      </c>
      <c r="BB17" s="27">
        <f t="shared" si="33"/>
        <v>-17.390999999999998</v>
      </c>
      <c r="BC17" s="139">
        <f t="shared" si="13"/>
        <v>-17.390999999999998</v>
      </c>
      <c r="BD17" s="124">
        <v>-17.7</v>
      </c>
      <c r="BE17" s="124">
        <v>-16.902000000000001</v>
      </c>
      <c r="BF17" s="124">
        <v>-16.152999999999999</v>
      </c>
      <c r="BG17" s="124">
        <v>-14.137</v>
      </c>
      <c r="BH17" s="139">
        <f t="shared" si="14"/>
        <v>-14.137</v>
      </c>
      <c r="BI17" s="124">
        <v>-13.648</v>
      </c>
      <c r="BJ17" s="124">
        <v>-13.143000000000001</v>
      </c>
      <c r="BK17" s="124">
        <v>-12.635</v>
      </c>
      <c r="BL17" s="124">
        <v>-12.12</v>
      </c>
      <c r="BM17" s="139">
        <f t="shared" si="15"/>
        <v>-12.12</v>
      </c>
      <c r="BN17" s="124">
        <v>-11.603999999999999</v>
      </c>
      <c r="BO17" s="124">
        <v>-11.082000000000001</v>
      </c>
      <c r="BP17" s="124">
        <v>-10.555</v>
      </c>
      <c r="BQ17" s="124">
        <v>-10.023999999999999</v>
      </c>
      <c r="BR17" s="139">
        <f>BQ17</f>
        <v>-10.023999999999999</v>
      </c>
      <c r="BS17" s="124">
        <v>-9.4879999999999995</v>
      </c>
      <c r="BT17" s="124">
        <v>-8.9489999999999998</v>
      </c>
      <c r="BU17" s="124">
        <v>-8.4039999999999999</v>
      </c>
      <c r="BV17" s="124">
        <v>-7.8559999999999999</v>
      </c>
      <c r="BW17" s="139">
        <f>BV17</f>
        <v>-7.8559999999999999</v>
      </c>
      <c r="BX17" s="124">
        <v>-7.3019999999999996</v>
      </c>
      <c r="BY17" s="124">
        <v>-6.7439999999999998</v>
      </c>
      <c r="BZ17" s="124">
        <v>-6.1820000000000004</v>
      </c>
      <c r="CA17" s="124">
        <v>-5.6120000000000001</v>
      </c>
      <c r="CB17" s="139">
        <f t="shared" si="19"/>
        <v>-5.6120000000000001</v>
      </c>
      <c r="CC17" s="124">
        <v>-5.0410000000000004</v>
      </c>
      <c r="CD17" s="124">
        <v>-4.4630000000000001</v>
      </c>
      <c r="CE17" s="124">
        <v>-3.8809999999999998</v>
      </c>
      <c r="CF17" s="124">
        <v>-3.2930000000000001</v>
      </c>
      <c r="CG17" s="139">
        <f>CF17</f>
        <v>-3.2930000000000001</v>
      </c>
      <c r="CH17" s="27">
        <f>CG17</f>
        <v>-3.2930000000000001</v>
      </c>
      <c r="CI17" s="27">
        <f>CH17</f>
        <v>-3.2930000000000001</v>
      </c>
      <c r="CJ17" s="128">
        <v>0</v>
      </c>
      <c r="CK17" s="27">
        <f t="shared" si="21"/>
        <v>0</v>
      </c>
      <c r="CL17" s="139">
        <f t="shared" si="22"/>
        <v>0</v>
      </c>
      <c r="CM17" s="27">
        <f t="shared" si="23"/>
        <v>0</v>
      </c>
      <c r="CN17" s="27">
        <f t="shared" si="24"/>
        <v>0</v>
      </c>
      <c r="CO17" s="27">
        <f t="shared" si="25"/>
        <v>0</v>
      </c>
      <c r="CP17" s="27">
        <f t="shared" si="26"/>
        <v>0</v>
      </c>
      <c r="CQ17" s="139">
        <f t="shared" si="27"/>
        <v>0</v>
      </c>
      <c r="CR17" s="27">
        <f t="shared" si="28"/>
        <v>0</v>
      </c>
      <c r="CS17" s="27">
        <f t="shared" si="29"/>
        <v>0</v>
      </c>
      <c r="CT17" s="27">
        <f t="shared" si="30"/>
        <v>0</v>
      </c>
      <c r="CU17" s="27">
        <f t="shared" si="31"/>
        <v>0</v>
      </c>
      <c r="CV17" s="139">
        <f t="shared" si="32"/>
        <v>0</v>
      </c>
    </row>
    <row r="18" spans="5:100" s="27" customFormat="1" ht="13.5" x14ac:dyDescent="0.25">
      <c r="E18" s="28" t="s">
        <v>74</v>
      </c>
      <c r="F18" s="35"/>
      <c r="G18" s="35"/>
      <c r="H18" s="35"/>
      <c r="I18" s="35"/>
      <c r="J18" s="35"/>
      <c r="K18" s="28"/>
      <c r="L18" s="28"/>
      <c r="M18" s="28"/>
      <c r="N18" s="28"/>
      <c r="O18" s="35"/>
      <c r="P18" s="28"/>
      <c r="Q18" s="28"/>
      <c r="R18" s="28"/>
      <c r="S18" s="28">
        <f>SUM(S12:S17)</f>
        <v>-141.70400000000001</v>
      </c>
      <c r="T18" s="35"/>
      <c r="U18" s="28"/>
      <c r="V18" s="28"/>
      <c r="W18" s="28"/>
      <c r="X18" s="28">
        <f>SUM(X12:X17)</f>
        <v>-376.41500000000002</v>
      </c>
      <c r="Y18" s="35">
        <f t="shared" si="7"/>
        <v>-376.41500000000002</v>
      </c>
      <c r="Z18" s="28"/>
      <c r="AA18" s="28"/>
      <c r="AB18" s="28"/>
      <c r="AC18" s="28">
        <f>SUM(AC12:AC17)</f>
        <v>-648.87900000000002</v>
      </c>
      <c r="AD18" s="35">
        <f t="shared" si="8"/>
        <v>-648.87900000000002</v>
      </c>
      <c r="AE18" s="28"/>
      <c r="AF18" s="28"/>
      <c r="AG18" s="28"/>
      <c r="AH18" s="28">
        <f>SUM(AH12:AH17)</f>
        <v>-575.30799999999999</v>
      </c>
      <c r="AI18" s="35">
        <f t="shared" si="9"/>
        <v>-575.30799999999999</v>
      </c>
      <c r="AJ18" s="28">
        <f>SUM(AJ12:AJ17)</f>
        <v>-564.37699999999995</v>
      </c>
      <c r="AK18" s="28">
        <f>SUM(AK12:AK17)</f>
        <v>-542.97</v>
      </c>
      <c r="AL18" s="28">
        <f>SUM(AL12:AL17)</f>
        <v>-535.75900000000001</v>
      </c>
      <c r="AM18" s="28">
        <f>SUM(AM12:AM17)</f>
        <v>-537.27200000000005</v>
      </c>
      <c r="AN18" s="35">
        <f t="shared" si="10"/>
        <v>-537.27200000000005</v>
      </c>
      <c r="AO18" s="28">
        <f>SUM(AO12:AO17)</f>
        <v>-533.47</v>
      </c>
      <c r="AP18" s="28">
        <f>SUM(AP12:AP17)</f>
        <v>-490.608</v>
      </c>
      <c r="AQ18" s="28">
        <f>SUM(AQ12:AQ17)</f>
        <v>-483.846</v>
      </c>
      <c r="AR18" s="28">
        <f>SUM(AR12:AR17)</f>
        <v>-458.62900000000002</v>
      </c>
      <c r="AS18" s="35">
        <f>AR18</f>
        <v>-458.62900000000002</v>
      </c>
      <c r="AT18" s="28">
        <f>SUM(AT12:AT17)</f>
        <v>-459.83300000000003</v>
      </c>
      <c r="AU18" s="28">
        <f>SUM(AU12:AU17)</f>
        <v>-450.452</v>
      </c>
      <c r="AV18" s="28">
        <f>SUM(AV12:AV17)</f>
        <v>-414.30700000000002</v>
      </c>
      <c r="AW18" s="28">
        <f>SUM(AW12:AW17)</f>
        <v>-394.26</v>
      </c>
      <c r="AX18" s="35">
        <f t="shared" si="12"/>
        <v>-394.26</v>
      </c>
      <c r="AY18" s="28">
        <f>SUM(AY12:AY17)</f>
        <v>-365.565</v>
      </c>
      <c r="AZ18" s="28">
        <f>SUM(AZ12:AZ17)</f>
        <v>-284.95699999999999</v>
      </c>
      <c r="BA18" s="28">
        <f>SUM(BA12:BA17)</f>
        <v>-256.97500000000002</v>
      </c>
      <c r="BB18" s="28">
        <f>SUM(BB12:BB17)</f>
        <v>-251.886</v>
      </c>
      <c r="BC18" s="35">
        <f t="shared" si="13"/>
        <v>-251.886</v>
      </c>
      <c r="BD18" s="28">
        <f>SUM(BD12:BD17)</f>
        <v>-248.613</v>
      </c>
      <c r="BE18" s="28">
        <f>SUM(BE12:BE17)</f>
        <v>-244.34700000000004</v>
      </c>
      <c r="BF18" s="28">
        <f>SUM(BF12:BF17)</f>
        <v>-240.774</v>
      </c>
      <c r="BG18" s="28">
        <f>SUM(BG12:BG17)</f>
        <v>-237.4</v>
      </c>
      <c r="BH18" s="35">
        <f t="shared" si="14"/>
        <v>-237.4</v>
      </c>
      <c r="BI18" s="28">
        <f>SUM(BI12:BI17)</f>
        <v>-233.83799999999999</v>
      </c>
      <c r="BJ18" s="28">
        <f>SUM(BJ12:BJ17)</f>
        <v>-230.71299999999999</v>
      </c>
      <c r="BK18" s="28">
        <f>SUM(BK12:BK17)</f>
        <v>-297.70299999999997</v>
      </c>
      <c r="BL18" s="28">
        <f>SUM(BL12:BL17)</f>
        <v>-289.04300000000001</v>
      </c>
      <c r="BM18" s="35">
        <f t="shared" si="15"/>
        <v>-289.04300000000001</v>
      </c>
      <c r="BN18" s="28">
        <f>SUM(BN12:BN17)</f>
        <v>-278.97500000000002</v>
      </c>
      <c r="BO18" s="28">
        <f>SUM(BO12:BO17)</f>
        <v>-270.86900000000003</v>
      </c>
      <c r="BP18" s="28">
        <f>SUM(BP12:BP17)</f>
        <v>-262.76100000000002</v>
      </c>
      <c r="BQ18" s="28">
        <f>SUM(BQ12:BQ17)</f>
        <v>-254.53899999999999</v>
      </c>
      <c r="BR18" s="35">
        <f t="shared" si="18"/>
        <v>-254.53899999999999</v>
      </c>
      <c r="BS18" s="28">
        <f>SUM(BS12:BS17)</f>
        <v>-184.80199999999999</v>
      </c>
      <c r="BT18" s="28">
        <f>SUM(BT12:BT17)</f>
        <v>-176.744</v>
      </c>
      <c r="BU18" s="28">
        <f>SUM(BU12:BU17)</f>
        <v>-168.68100000000001</v>
      </c>
      <c r="BV18" s="28">
        <f>SUM(BV12:BV17)</f>
        <v>-157.89699999999999</v>
      </c>
      <c r="BW18" s="35">
        <f t="shared" si="16"/>
        <v>-157.89699999999999</v>
      </c>
      <c r="BX18" s="28">
        <f>SUM(BX12:BX17)</f>
        <v>-150.124</v>
      </c>
      <c r="BY18" s="28">
        <f>SUM(BY12:BY17)</f>
        <v>-142.34100000000001</v>
      </c>
      <c r="BZ18" s="28">
        <f>SUM(BZ12:BZ17)</f>
        <v>-200.798</v>
      </c>
      <c r="CA18" s="28">
        <f>SUM(CA12:CA17)</f>
        <v>-189.24100000000001</v>
      </c>
      <c r="CB18" s="35">
        <f t="shared" si="19"/>
        <v>-189.24100000000001</v>
      </c>
      <c r="CC18" s="28">
        <f>SUM(CC12:CC17)</f>
        <v>-228.14500000000001</v>
      </c>
      <c r="CD18" s="28">
        <f>SUM(CD12:CD17)</f>
        <v>-228.04499999999999</v>
      </c>
      <c r="CE18" s="28">
        <f>SUM(CE12:CE17)</f>
        <v>-227.94300000000001</v>
      </c>
      <c r="CF18" s="28">
        <f>SUM(CF12:CF17)</f>
        <v>-227.83699999999999</v>
      </c>
      <c r="CG18" s="35">
        <f t="shared" si="20"/>
        <v>-227.83699999999999</v>
      </c>
      <c r="CH18" s="28">
        <f>SUM(CH12:CH17)</f>
        <v>-227.435</v>
      </c>
      <c r="CI18" s="28">
        <f>SUM(CI12:CI17)</f>
        <v>-226.30699999999999</v>
      </c>
      <c r="CJ18" s="28">
        <f>SUM(CJ12:CJ17)</f>
        <v>0</v>
      </c>
      <c r="CK18" s="28">
        <f>SUM(CK12:CK17)</f>
        <v>0</v>
      </c>
      <c r="CL18" s="35">
        <f t="shared" si="22"/>
        <v>0</v>
      </c>
      <c r="CM18" s="28">
        <f>SUM(CM12:CM17)</f>
        <v>0</v>
      </c>
      <c r="CN18" s="28">
        <f>SUM(CN12:CN17)</f>
        <v>0</v>
      </c>
      <c r="CO18" s="28">
        <f>SUM(CO12:CO17)</f>
        <v>0</v>
      </c>
      <c r="CP18" s="28">
        <f>SUM(CP12:CP17)</f>
        <v>0</v>
      </c>
      <c r="CQ18" s="35">
        <f t="shared" si="27"/>
        <v>0</v>
      </c>
      <c r="CR18" s="28">
        <f>SUM(CR12:CR17)</f>
        <v>0</v>
      </c>
      <c r="CS18" s="28">
        <f>SUM(CS12:CS17)</f>
        <v>0</v>
      </c>
      <c r="CT18" s="28">
        <f>SUM(CT12:CT17)</f>
        <v>0</v>
      </c>
      <c r="CU18" s="28">
        <f>SUM(CU12:CU17)</f>
        <v>0</v>
      </c>
      <c r="CV18" s="35">
        <f t="shared" si="32"/>
        <v>0</v>
      </c>
    </row>
    <row r="19" spans="5:100" s="27" customFormat="1" ht="3.95" customHeight="1" x14ac:dyDescent="0.25">
      <c r="F19" s="139"/>
      <c r="G19" s="139"/>
      <c r="H19" s="139"/>
      <c r="I19" s="139"/>
      <c r="J19" s="139"/>
      <c r="O19" s="139"/>
      <c r="T19" s="139"/>
      <c r="Y19" s="139"/>
      <c r="AD19" s="139"/>
      <c r="AI19" s="139"/>
      <c r="AN19" s="139"/>
      <c r="AS19" s="139"/>
      <c r="AX19" s="139"/>
      <c r="BC19" s="139"/>
      <c r="BH19" s="139"/>
      <c r="BM19" s="139"/>
      <c r="BR19" s="139"/>
      <c r="BW19" s="139"/>
      <c r="CB19" s="139"/>
      <c r="CG19" s="139"/>
      <c r="CL19" s="139"/>
      <c r="CQ19" s="139"/>
      <c r="CV19" s="139"/>
    </row>
    <row r="20" spans="5:100" s="27" customFormat="1" ht="13.5" x14ac:dyDescent="0.25">
      <c r="E20" s="28" t="s">
        <v>75</v>
      </c>
      <c r="F20" s="35"/>
      <c r="G20" s="35"/>
      <c r="H20" s="35"/>
      <c r="I20" s="35"/>
      <c r="J20" s="35"/>
      <c r="K20" s="28"/>
      <c r="L20" s="28"/>
      <c r="M20" s="28"/>
      <c r="N20" s="28"/>
      <c r="O20" s="35"/>
      <c r="P20" s="28"/>
      <c r="Q20" s="28"/>
      <c r="R20" s="28"/>
      <c r="S20" s="371">
        <v>0</v>
      </c>
      <c r="T20" s="35"/>
      <c r="U20" s="28"/>
      <c r="V20" s="28"/>
      <c r="W20" s="28"/>
      <c r="X20" s="371">
        <v>0</v>
      </c>
      <c r="Y20" s="35">
        <v>0</v>
      </c>
      <c r="Z20" s="28"/>
      <c r="AA20" s="28"/>
      <c r="AB20" s="28"/>
      <c r="AC20" s="371">
        <v>0</v>
      </c>
      <c r="AD20" s="35">
        <v>0</v>
      </c>
      <c r="AE20" s="28"/>
      <c r="AF20" s="28"/>
      <c r="AG20" s="28"/>
      <c r="AH20" s="371">
        <v>0</v>
      </c>
      <c r="AI20" s="35">
        <v>0</v>
      </c>
      <c r="AJ20" s="371">
        <v>0</v>
      </c>
      <c r="AK20" s="371">
        <v>0</v>
      </c>
      <c r="AL20" s="371">
        <v>0</v>
      </c>
      <c r="AM20" s="371">
        <v>0</v>
      </c>
      <c r="AN20" s="35">
        <v>0</v>
      </c>
      <c r="AO20" s="371">
        <v>0</v>
      </c>
      <c r="AP20" s="371">
        <v>0</v>
      </c>
      <c r="AQ20" s="371">
        <v>0</v>
      </c>
      <c r="AR20" s="371">
        <f>AQ20</f>
        <v>0</v>
      </c>
      <c r="AS20" s="35">
        <f>AR20</f>
        <v>0</v>
      </c>
      <c r="AT20" s="371">
        <f>AS20</f>
        <v>0</v>
      </c>
      <c r="AU20" s="371">
        <f>AT20</f>
        <v>0</v>
      </c>
      <c r="AV20" s="371">
        <f>AU20</f>
        <v>0</v>
      </c>
      <c r="AW20" s="28">
        <f t="shared" ref="AW20:BM20" si="34">AV20</f>
        <v>0</v>
      </c>
      <c r="AX20" s="35">
        <f t="shared" si="34"/>
        <v>0</v>
      </c>
      <c r="AY20" s="28">
        <f t="shared" si="34"/>
        <v>0</v>
      </c>
      <c r="AZ20" s="28">
        <f t="shared" si="34"/>
        <v>0</v>
      </c>
      <c r="BA20" s="28">
        <f t="shared" si="34"/>
        <v>0</v>
      </c>
      <c r="BB20" s="28">
        <f t="shared" si="34"/>
        <v>0</v>
      </c>
      <c r="BC20" s="35">
        <f t="shared" si="34"/>
        <v>0</v>
      </c>
      <c r="BD20" s="28">
        <f t="shared" si="34"/>
        <v>0</v>
      </c>
      <c r="BE20" s="28">
        <f t="shared" si="34"/>
        <v>0</v>
      </c>
      <c r="BF20" s="28">
        <f t="shared" si="34"/>
        <v>0</v>
      </c>
      <c r="BG20" s="28">
        <f t="shared" si="34"/>
        <v>0</v>
      </c>
      <c r="BH20" s="35">
        <f t="shared" si="34"/>
        <v>0</v>
      </c>
      <c r="BI20" s="28">
        <f t="shared" si="34"/>
        <v>0</v>
      </c>
      <c r="BJ20" s="28">
        <f t="shared" si="34"/>
        <v>0</v>
      </c>
      <c r="BK20" s="28">
        <f t="shared" si="34"/>
        <v>0</v>
      </c>
      <c r="BL20" s="28">
        <f t="shared" si="34"/>
        <v>0</v>
      </c>
      <c r="BM20" s="35">
        <f t="shared" si="34"/>
        <v>0</v>
      </c>
      <c r="BN20" s="28">
        <f t="shared" ref="BN20:BW20" si="35">BM20</f>
        <v>0</v>
      </c>
      <c r="BO20" s="28">
        <f t="shared" si="35"/>
        <v>0</v>
      </c>
      <c r="BP20" s="28">
        <f t="shared" si="35"/>
        <v>0</v>
      </c>
      <c r="BQ20" s="28">
        <f t="shared" si="35"/>
        <v>0</v>
      </c>
      <c r="BR20" s="35">
        <f t="shared" si="35"/>
        <v>0</v>
      </c>
      <c r="BS20" s="28">
        <f>BR20</f>
        <v>0</v>
      </c>
      <c r="BT20" s="28">
        <f>BS20</f>
        <v>0</v>
      </c>
      <c r="BU20" s="28">
        <f t="shared" si="35"/>
        <v>0</v>
      </c>
      <c r="BV20" s="28">
        <f>BU20</f>
        <v>0</v>
      </c>
      <c r="BW20" s="35">
        <f t="shared" si="35"/>
        <v>0</v>
      </c>
      <c r="BX20" s="28">
        <f t="shared" ref="BX20:CG20" si="36">BW20</f>
        <v>0</v>
      </c>
      <c r="BY20" s="28">
        <f t="shared" si="36"/>
        <v>0</v>
      </c>
      <c r="BZ20" s="28">
        <f t="shared" si="36"/>
        <v>0</v>
      </c>
      <c r="CA20" s="28">
        <f t="shared" si="36"/>
        <v>0</v>
      </c>
      <c r="CB20" s="35">
        <f>CA20</f>
        <v>0</v>
      </c>
      <c r="CC20" s="28">
        <f t="shared" si="36"/>
        <v>0</v>
      </c>
      <c r="CD20" s="28">
        <f t="shared" si="36"/>
        <v>0</v>
      </c>
      <c r="CE20" s="28">
        <f>CD20</f>
        <v>0</v>
      </c>
      <c r="CF20" s="28">
        <f>CE20</f>
        <v>0</v>
      </c>
      <c r="CG20" s="35">
        <f t="shared" si="36"/>
        <v>0</v>
      </c>
      <c r="CH20" s="28">
        <f t="shared" ref="CH20:CQ20" si="37">CG20</f>
        <v>0</v>
      </c>
      <c r="CI20" s="28">
        <f t="shared" si="37"/>
        <v>0</v>
      </c>
      <c r="CJ20" s="28">
        <f t="shared" si="37"/>
        <v>0</v>
      </c>
      <c r="CK20" s="28">
        <f t="shared" si="37"/>
        <v>0</v>
      </c>
      <c r="CL20" s="35">
        <f t="shared" si="37"/>
        <v>0</v>
      </c>
      <c r="CM20" s="28">
        <f t="shared" si="37"/>
        <v>0</v>
      </c>
      <c r="CN20" s="28">
        <f t="shared" si="37"/>
        <v>0</v>
      </c>
      <c r="CO20" s="28">
        <f t="shared" si="37"/>
        <v>0</v>
      </c>
      <c r="CP20" s="28">
        <f t="shared" si="37"/>
        <v>0</v>
      </c>
      <c r="CQ20" s="35">
        <f t="shared" si="37"/>
        <v>0</v>
      </c>
      <c r="CR20" s="28">
        <f t="shared" ref="CR20" si="38">CQ20</f>
        <v>0</v>
      </c>
      <c r="CS20" s="28">
        <f t="shared" ref="CS20" si="39">CR20</f>
        <v>0</v>
      </c>
      <c r="CT20" s="28">
        <f t="shared" ref="CT20" si="40">CS20</f>
        <v>0</v>
      </c>
      <c r="CU20" s="28">
        <f t="shared" ref="CU20" si="41">CT20</f>
        <v>0</v>
      </c>
      <c r="CV20" s="35">
        <f t="shared" ref="CV20" si="42">CU20</f>
        <v>0</v>
      </c>
    </row>
    <row r="21" spans="5:100" s="27" customFormat="1" ht="3.95" customHeight="1" x14ac:dyDescent="0.25">
      <c r="F21" s="139"/>
      <c r="G21" s="139"/>
      <c r="H21" s="139"/>
      <c r="I21" s="139"/>
      <c r="J21" s="139"/>
      <c r="O21" s="139"/>
      <c r="T21" s="139"/>
      <c r="Y21" s="139"/>
      <c r="AD21" s="139"/>
      <c r="AI21" s="139"/>
      <c r="AN21" s="139"/>
      <c r="AS21" s="139"/>
      <c r="AX21" s="139"/>
      <c r="BC21" s="139"/>
      <c r="BH21" s="139"/>
      <c r="BM21" s="139"/>
      <c r="BR21" s="139"/>
      <c r="BW21" s="139"/>
      <c r="CB21" s="139"/>
      <c r="CG21" s="139"/>
      <c r="CL21" s="139"/>
      <c r="CQ21" s="139"/>
      <c r="CV21" s="139"/>
    </row>
    <row r="22" spans="5:100" s="27" customFormat="1" ht="13.5" x14ac:dyDescent="0.25">
      <c r="E22" s="28" t="s">
        <v>76</v>
      </c>
      <c r="F22" s="35"/>
      <c r="G22" s="35"/>
      <c r="H22" s="35"/>
      <c r="I22" s="35"/>
      <c r="J22" s="35"/>
      <c r="K22" s="28"/>
      <c r="L22" s="28"/>
      <c r="M22" s="28"/>
      <c r="N22" s="28"/>
      <c r="O22" s="35"/>
      <c r="P22" s="28"/>
      <c r="Q22" s="28"/>
      <c r="R22" s="28"/>
      <c r="S22" s="28">
        <f>S20+S18+S10</f>
        <v>-224.709</v>
      </c>
      <c r="T22" s="35"/>
      <c r="U22" s="28"/>
      <c r="V22" s="28"/>
      <c r="W22" s="28"/>
      <c r="X22" s="28">
        <f>X20+X18+X10</f>
        <v>-469.93299999999999</v>
      </c>
      <c r="Y22" s="35">
        <f>Y20+Y18+Y10</f>
        <v>-469.93299999999999</v>
      </c>
      <c r="Z22" s="28"/>
      <c r="AA22" s="28"/>
      <c r="AB22" s="28"/>
      <c r="AC22" s="28">
        <f>AC20+AC18+AC10</f>
        <v>-755.80000000000007</v>
      </c>
      <c r="AD22" s="35">
        <f>AD20+AD18+AD10</f>
        <v>-755.80000000000007</v>
      </c>
      <c r="AE22" s="28"/>
      <c r="AF22" s="28"/>
      <c r="AG22" s="28"/>
      <c r="AH22" s="28">
        <f t="shared" ref="AH22:AP22" si="43">AH20+AH18+AH10</f>
        <v>-644.56700000000001</v>
      </c>
      <c r="AI22" s="35">
        <f t="shared" si="43"/>
        <v>-644.56700000000001</v>
      </c>
      <c r="AJ22" s="28">
        <f t="shared" si="43"/>
        <v>-623.10899999999992</v>
      </c>
      <c r="AK22" s="28">
        <f t="shared" si="43"/>
        <v>-592.21300000000008</v>
      </c>
      <c r="AL22" s="28">
        <f t="shared" si="43"/>
        <v>-580.1</v>
      </c>
      <c r="AM22" s="28">
        <f t="shared" si="43"/>
        <v>-578.23900000000003</v>
      </c>
      <c r="AN22" s="35">
        <f t="shared" si="43"/>
        <v>-578.23900000000003</v>
      </c>
      <c r="AO22" s="28">
        <f t="shared" si="43"/>
        <v>-568.45500000000004</v>
      </c>
      <c r="AP22" s="28">
        <f t="shared" si="43"/>
        <v>-534.24400000000003</v>
      </c>
      <c r="AQ22" s="28">
        <f>AQ20+AQ18+AQ10</f>
        <v>-525.33100000000002</v>
      </c>
      <c r="AR22" s="28">
        <f>AR20+AR18+AR10</f>
        <v>-500.73500000000001</v>
      </c>
      <c r="AS22" s="35">
        <f>AR22</f>
        <v>-500.73500000000001</v>
      </c>
      <c r="AT22" s="28">
        <f>AT20+AT18+AT10</f>
        <v>-502.00200000000001</v>
      </c>
      <c r="AU22" s="28">
        <f>AU20+AU18+AU10</f>
        <v>-481.81799999999998</v>
      </c>
      <c r="AV22" s="28">
        <f>AV20+AV18+AV10</f>
        <v>-445.07100000000003</v>
      </c>
      <c r="AW22" s="28">
        <f>AW20+AW18+AW10</f>
        <v>-422.238</v>
      </c>
      <c r="AX22" s="35">
        <f>AW22</f>
        <v>-422.238</v>
      </c>
      <c r="AY22" s="28">
        <f>AY20+AY18+AY10</f>
        <v>-393.67700000000002</v>
      </c>
      <c r="AZ22" s="28">
        <f>AZ20+AZ18+AZ10</f>
        <v>-312.78300000000002</v>
      </c>
      <c r="BA22" s="28">
        <f>BA20+BA18+BA10</f>
        <v>-284.827</v>
      </c>
      <c r="BB22" s="28">
        <f>BB20+BB18+BB10</f>
        <v>-278.25200000000001</v>
      </c>
      <c r="BC22" s="35">
        <f>BB22</f>
        <v>-278.25200000000001</v>
      </c>
      <c r="BD22" s="28">
        <f>BD20+BD18+BD10</f>
        <v>-273.51800000000003</v>
      </c>
      <c r="BE22" s="28">
        <f>BE20+BE18+BE10</f>
        <v>-266.83900000000006</v>
      </c>
      <c r="BF22" s="28">
        <f>BF20+BF18+BF10</f>
        <v>-260.58800000000002</v>
      </c>
      <c r="BG22" s="28">
        <f>BG20+BG18+BG10</f>
        <v>-253.505</v>
      </c>
      <c r="BH22" s="35">
        <f>BG22</f>
        <v>-253.505</v>
      </c>
      <c r="BI22" s="28">
        <f>BI20+BI18+BI10</f>
        <v>-248.61499999999998</v>
      </c>
      <c r="BJ22" s="28">
        <f>BJ20+BJ18+BJ10</f>
        <v>-244.273</v>
      </c>
      <c r="BK22" s="28">
        <f>BK20+BK18+BK10</f>
        <v>-323.339</v>
      </c>
      <c r="BL22" s="28">
        <f>BL20+BL18+BL10</f>
        <v>-317.61</v>
      </c>
      <c r="BM22" s="35">
        <f>BL22</f>
        <v>-317.61</v>
      </c>
      <c r="BN22" s="28">
        <f>BN20+BN18+BN10</f>
        <v>-310.34300000000002</v>
      </c>
      <c r="BO22" s="28">
        <f>BO20+BO18+BO10</f>
        <v>-304.98700000000002</v>
      </c>
      <c r="BP22" s="28">
        <f>BP20+BP18+BP10</f>
        <v>-296.03000000000003</v>
      </c>
      <c r="BQ22" s="28">
        <f>BQ20+BQ18+BQ10</f>
        <v>-287.42399999999998</v>
      </c>
      <c r="BR22" s="35">
        <f>BQ22</f>
        <v>-287.42399999999998</v>
      </c>
      <c r="BS22" s="28">
        <f>BS20+BS18+BS10</f>
        <v>-271.988</v>
      </c>
      <c r="BT22" s="28">
        <f>BT20+BT18+BT10</f>
        <v>-208.94900000000001</v>
      </c>
      <c r="BU22" s="28">
        <f>BU20+BU18+BU10</f>
        <v>-200.904</v>
      </c>
      <c r="BV22" s="28">
        <f>BV20+BV18+BV10</f>
        <v>-190.14</v>
      </c>
      <c r="BW22" s="35">
        <f>BV22</f>
        <v>-190.14</v>
      </c>
      <c r="BX22" s="28">
        <f>BX20+BX18+BX10</f>
        <v>-182.386</v>
      </c>
      <c r="BY22" s="28">
        <f>BY20+BY18+BY10</f>
        <v>-174.62200000000001</v>
      </c>
      <c r="BZ22" s="28">
        <f>BZ20+BZ18+BZ10</f>
        <v>-236.84800000000001</v>
      </c>
      <c r="CA22" s="28">
        <f>CA20+CA18+CA10</f>
        <v>-229.06</v>
      </c>
      <c r="CB22" s="35">
        <f>CA22</f>
        <v>-229.06</v>
      </c>
      <c r="CC22" s="28">
        <f>CC20+CC18+CC10</f>
        <v>-230.48400000000001</v>
      </c>
      <c r="CD22" s="28">
        <f>CD20+CD18+CD10</f>
        <v>-230.13399999999999</v>
      </c>
      <c r="CE22" s="28">
        <f>CE20+CE18+CE10</f>
        <v>-229.78</v>
      </c>
      <c r="CF22" s="28">
        <f>CF20+CF18+CF10</f>
        <v>-229.42</v>
      </c>
      <c r="CG22" s="35">
        <f>CF22</f>
        <v>-229.42</v>
      </c>
      <c r="CH22" s="28">
        <f>CH20+CH18+CH10</f>
        <v>-228.762</v>
      </c>
      <c r="CI22" s="28">
        <f>CI20+CI18+CI10</f>
        <v>-226.30699999999999</v>
      </c>
      <c r="CJ22" s="28">
        <f>CJ20+CJ18+CJ10</f>
        <v>0</v>
      </c>
      <c r="CK22" s="28">
        <f>CK20+CK18+CK10</f>
        <v>0</v>
      </c>
      <c r="CL22" s="35">
        <f>CK22</f>
        <v>0</v>
      </c>
      <c r="CM22" s="28">
        <f>CM20+CM18+CM10</f>
        <v>0</v>
      </c>
      <c r="CN22" s="28">
        <f>CN20+CN18+CN10</f>
        <v>0</v>
      </c>
      <c r="CO22" s="28">
        <f>CO20+CO18+CO10</f>
        <v>0</v>
      </c>
      <c r="CP22" s="28">
        <f>CP20+CP18+CP10</f>
        <v>0</v>
      </c>
      <c r="CQ22" s="35">
        <f>CP22</f>
        <v>0</v>
      </c>
      <c r="CR22" s="28">
        <f>CR20+CR18+CR10</f>
        <v>0</v>
      </c>
      <c r="CS22" s="28">
        <f>CS20+CS18+CS10</f>
        <v>0</v>
      </c>
      <c r="CT22" s="28">
        <f>CT20+CT18+CT10</f>
        <v>0</v>
      </c>
      <c r="CU22" s="28">
        <f>CU20+CU18+CU10</f>
        <v>0</v>
      </c>
      <c r="CV22" s="35">
        <f>CU22</f>
        <v>0</v>
      </c>
    </row>
    <row r="23" spans="5:100" s="27" customFormat="1" x14ac:dyDescent="0.25">
      <c r="E23" s="27" t="s">
        <v>133</v>
      </c>
      <c r="F23" s="139"/>
      <c r="G23" s="139"/>
      <c r="H23" s="139"/>
      <c r="I23" s="139"/>
      <c r="J23" s="139"/>
      <c r="O23" s="139"/>
      <c r="S23" s="27">
        <f>'Cash Flow'!S48</f>
        <v>4.23000000000002</v>
      </c>
      <c r="T23" s="139"/>
      <c r="X23" s="27">
        <f>'Cash Flow'!X48</f>
        <v>7.7500000000000213</v>
      </c>
      <c r="Y23" s="139">
        <f>'Cash Flow'!Y48</f>
        <v>7.7500000000000213</v>
      </c>
      <c r="AC23" s="27">
        <f>'Cash Flow'!AC48</f>
        <v>37.821000000000041</v>
      </c>
      <c r="AD23" s="139">
        <f>'Cash Flow'!AD48</f>
        <v>37.821000000000041</v>
      </c>
      <c r="AH23" s="27">
        <f>'Cash Flow'!AH48</f>
        <v>62.706000000000031</v>
      </c>
      <c r="AI23" s="139">
        <f>'Cash Flow'!AI48</f>
        <v>62.706000000000031</v>
      </c>
      <c r="AJ23" s="27">
        <f>'Cash Flow'!AJ48</f>
        <v>51.84400000000003</v>
      </c>
      <c r="AK23" s="27">
        <f>'Cash Flow'!AK48</f>
        <v>93.41500000000002</v>
      </c>
      <c r="AL23" s="27">
        <f>'Cash Flow'!AL48</f>
        <v>138.12</v>
      </c>
      <c r="AM23" s="27">
        <f>'Cash Flow'!AM48</f>
        <v>177.21100000000001</v>
      </c>
      <c r="AN23" s="139">
        <f>'Cash Flow'!AN48</f>
        <v>177.21100000000001</v>
      </c>
      <c r="AO23" s="27">
        <f>'Cash Flow'!AO48</f>
        <v>167.715</v>
      </c>
      <c r="AP23" s="27">
        <f>'Cash Flow'!AP48</f>
        <v>167.679</v>
      </c>
      <c r="AQ23" s="27">
        <f>'Cash Flow'!AQ48</f>
        <v>200.62700000000001</v>
      </c>
      <c r="AR23" s="27">
        <f>'Cash Flow'!AR48</f>
        <v>224.149</v>
      </c>
      <c r="AS23" s="139">
        <f>'Cash Flow'!AS48</f>
        <v>224.149</v>
      </c>
      <c r="AT23" s="27">
        <f>'Cash Flow'!AT48</f>
        <v>218.45700000000002</v>
      </c>
      <c r="AU23" s="27">
        <f>'Cash Flow'!AU48</f>
        <v>199.38400000000001</v>
      </c>
      <c r="AV23" s="27">
        <f>'Cash Flow'!AV48</f>
        <v>203.93600000000004</v>
      </c>
      <c r="AW23" s="27">
        <f>'Cash Flow'!AW48</f>
        <v>207.02300000000002</v>
      </c>
      <c r="AX23" s="139">
        <f>'Cash Flow'!AX48</f>
        <v>207.02300000000002</v>
      </c>
      <c r="AY23" s="27">
        <f>'Cash Flow'!AY48</f>
        <v>191.09400000000002</v>
      </c>
      <c r="AZ23" s="27">
        <f>'Cash Flow'!AZ48</f>
        <v>119.11300000000003</v>
      </c>
      <c r="BA23" s="27">
        <f>'Cash Flow'!BA48</f>
        <v>145.86300000000003</v>
      </c>
      <c r="BB23" s="27">
        <f>'Cash Flow'!BB48</f>
        <v>229.64800000000002</v>
      </c>
      <c r="BC23" s="139">
        <f>'Cash Flow'!BC48</f>
        <v>229.64800000000002</v>
      </c>
      <c r="BD23" s="27">
        <f>'Cash Flow'!BD48</f>
        <v>179.28200000000004</v>
      </c>
      <c r="BE23" s="27">
        <f>'Cash Flow'!BE48</f>
        <v>188.40400000000005</v>
      </c>
      <c r="BF23" s="27">
        <f>'Cash Flow'!BF48</f>
        <v>186.22000000000006</v>
      </c>
      <c r="BG23" s="27">
        <f>'Cash Flow'!BG48</f>
        <v>222.97400000000005</v>
      </c>
      <c r="BH23" s="139">
        <f>'Cash Flow'!BH48</f>
        <v>222.97400000000005</v>
      </c>
      <c r="BI23" s="27">
        <f>'Cash Flow'!BI48</f>
        <v>207.63000000000005</v>
      </c>
      <c r="BJ23" s="27">
        <f>'Cash Flow'!BJ48</f>
        <v>216.61600000000004</v>
      </c>
      <c r="BK23" s="27">
        <f>'Cash Flow'!BK48</f>
        <v>380.90800000000002</v>
      </c>
      <c r="BL23" s="27">
        <f>'Cash Flow'!BL48</f>
        <v>418.58600000000001</v>
      </c>
      <c r="BM23" s="139">
        <f>'Cash Flow'!BM48</f>
        <v>418.58600000000001</v>
      </c>
      <c r="BN23" s="27">
        <f>'Cash Flow'!BN48</f>
        <v>392.91840000000002</v>
      </c>
      <c r="BO23" s="27">
        <f>'Cash Flow'!BO48</f>
        <v>109.81040000000007</v>
      </c>
      <c r="BP23" s="27">
        <f>'Cash Flow'!BP48</f>
        <v>126.89140000000008</v>
      </c>
      <c r="BQ23" s="27">
        <f>'Cash Flow'!BQ48</f>
        <v>141.01040000000006</v>
      </c>
      <c r="BR23" s="139">
        <f>'Cash Flow'!BR48</f>
        <v>141.01040000000006</v>
      </c>
      <c r="BS23" s="27">
        <f>'Cash Flow'!BS48</f>
        <v>123.19240000000005</v>
      </c>
      <c r="BT23" s="27">
        <f>'Cash Flow'!BT48</f>
        <v>180.94540000000006</v>
      </c>
      <c r="BU23" s="27">
        <f>'Cash Flow'!BU48</f>
        <v>186.39040000000008</v>
      </c>
      <c r="BV23" s="27">
        <f>'Cash Flow'!BV48</f>
        <v>189.62940000000009</v>
      </c>
      <c r="BW23" s="139">
        <f>'Cash Flow'!BW48</f>
        <v>189.62940000000009</v>
      </c>
      <c r="BX23" s="27">
        <f>'Cash Flow'!BX48</f>
        <v>150.1604000000001</v>
      </c>
      <c r="BY23" s="27">
        <f>'Cash Flow'!BY48</f>
        <v>175.40940000000009</v>
      </c>
      <c r="BZ23" s="27">
        <f>'Cash Flow'!BZ48</f>
        <v>137.85040000000009</v>
      </c>
      <c r="CA23" s="27">
        <f>'Cash Flow'!CA48</f>
        <v>170.34340000000009</v>
      </c>
      <c r="CB23" s="139">
        <f>'Cash Flow'!CB48</f>
        <v>168.68</v>
      </c>
      <c r="CC23" s="27">
        <f>'Cash Flow'!CC48</f>
        <v>162.173</v>
      </c>
      <c r="CD23" s="27">
        <f>'Cash Flow'!CD48</f>
        <v>168.352</v>
      </c>
      <c r="CE23" s="27">
        <f>'Cash Flow'!CE48</f>
        <v>175.77100000000002</v>
      </c>
      <c r="CF23" s="27">
        <f>'Cash Flow'!CF48</f>
        <v>160.03700000000001</v>
      </c>
      <c r="CG23" s="139">
        <f>'Cash Flow'!CG48</f>
        <v>140.018</v>
      </c>
      <c r="CH23" s="27">
        <f>'Cash Flow'!CH48</f>
        <v>93.555000000000007</v>
      </c>
      <c r="CI23" s="27">
        <f>'Cash Flow'!CI48</f>
        <v>87.046999999999997</v>
      </c>
      <c r="CJ23" s="27">
        <f>'Cash Flow'!CJ48</f>
        <v>1603.7117380000002</v>
      </c>
      <c r="CK23" s="27">
        <f>'Cash Flow'!CK48</f>
        <v>1001.6681068537501</v>
      </c>
      <c r="CL23" s="139">
        <f>'Cash Flow'!CL48</f>
        <v>1001.6681068537501</v>
      </c>
      <c r="CM23" s="27">
        <f>'Cash Flow'!CM48</f>
        <v>907.99699378459206</v>
      </c>
      <c r="CN23" s="27">
        <f>'Cash Flow'!CN48</f>
        <v>810.9815750808458</v>
      </c>
      <c r="CO23" s="27">
        <f>'Cash Flow'!CO48</f>
        <v>732.10270019184986</v>
      </c>
      <c r="CP23" s="27">
        <f>'Cash Flow'!CP48</f>
        <v>661.05203097623507</v>
      </c>
      <c r="CQ23" s="139">
        <f>'Cash Flow'!CQ48</f>
        <v>661.05203097623507</v>
      </c>
      <c r="CR23" s="27">
        <f>'Cash Flow'!CR48</f>
        <v>636.84673735711624</v>
      </c>
      <c r="CS23" s="27">
        <f>'Cash Flow'!CS48</f>
        <v>611.37101318367149</v>
      </c>
      <c r="CT23" s="27">
        <f>'Cash Flow'!CT48</f>
        <v>593.47067663215239</v>
      </c>
      <c r="CU23" s="27">
        <f>'Cash Flow'!CU48</f>
        <v>578.00855648671825</v>
      </c>
      <c r="CV23" s="139">
        <f>'Cash Flow'!CV48</f>
        <v>578.00855648671825</v>
      </c>
    </row>
    <row r="24" spans="5:100" s="27" customFormat="1" ht="13.5" x14ac:dyDescent="0.25">
      <c r="E24" s="28" t="s">
        <v>154</v>
      </c>
      <c r="F24" s="35"/>
      <c r="G24" s="35"/>
      <c r="H24" s="35"/>
      <c r="I24" s="35"/>
      <c r="J24" s="35"/>
      <c r="K24" s="28"/>
      <c r="L24" s="28"/>
      <c r="M24" s="28"/>
      <c r="N24" s="28"/>
      <c r="O24" s="35"/>
      <c r="P24" s="28"/>
      <c r="Q24" s="28"/>
      <c r="R24" s="28"/>
      <c r="S24" s="28">
        <f>S22+S23</f>
        <v>-220.47899999999998</v>
      </c>
      <c r="T24" s="35"/>
      <c r="U24" s="28"/>
      <c r="V24" s="28"/>
      <c r="W24" s="28"/>
      <c r="X24" s="28">
        <f>X22+X23</f>
        <v>-462.18299999999999</v>
      </c>
      <c r="Y24" s="35">
        <f>Y22+Y23</f>
        <v>-462.18299999999999</v>
      </c>
      <c r="Z24" s="28"/>
      <c r="AA24" s="28"/>
      <c r="AB24" s="28"/>
      <c r="AC24" s="28">
        <f>AC22+AC23</f>
        <v>-717.97900000000004</v>
      </c>
      <c r="AD24" s="35">
        <f>AD22+AD23</f>
        <v>-717.97900000000004</v>
      </c>
      <c r="AE24" s="28"/>
      <c r="AF24" s="28"/>
      <c r="AG24" s="28"/>
      <c r="AH24" s="28">
        <f t="shared" ref="AH24:AP24" si="44">AH22+AH23</f>
        <v>-581.86099999999999</v>
      </c>
      <c r="AI24" s="35">
        <f t="shared" si="44"/>
        <v>-581.86099999999999</v>
      </c>
      <c r="AJ24" s="28">
        <f t="shared" si="44"/>
        <v>-571.26499999999987</v>
      </c>
      <c r="AK24" s="28">
        <f t="shared" si="44"/>
        <v>-498.79800000000006</v>
      </c>
      <c r="AL24" s="28">
        <f t="shared" si="44"/>
        <v>-441.98</v>
      </c>
      <c r="AM24" s="28">
        <f t="shared" si="44"/>
        <v>-401.02800000000002</v>
      </c>
      <c r="AN24" s="35">
        <f t="shared" si="44"/>
        <v>-401.02800000000002</v>
      </c>
      <c r="AO24" s="28">
        <f t="shared" si="44"/>
        <v>-400.74</v>
      </c>
      <c r="AP24" s="28">
        <f t="shared" si="44"/>
        <v>-366.56500000000005</v>
      </c>
      <c r="AQ24" s="28">
        <f>AQ22+AQ23</f>
        <v>-324.70400000000001</v>
      </c>
      <c r="AR24" s="28">
        <f>AR22+AR23</f>
        <v>-276.58600000000001</v>
      </c>
      <c r="AS24" s="35">
        <f t="shared" ref="AS24:BC24" si="45">AS22+AS23</f>
        <v>-276.58600000000001</v>
      </c>
      <c r="AT24" s="28">
        <f t="shared" si="45"/>
        <v>-283.54499999999996</v>
      </c>
      <c r="AU24" s="28">
        <f t="shared" si="45"/>
        <v>-282.43399999999997</v>
      </c>
      <c r="AV24" s="28">
        <f t="shared" si="45"/>
        <v>-241.13499999999999</v>
      </c>
      <c r="AW24" s="28">
        <f t="shared" si="45"/>
        <v>-215.21499999999997</v>
      </c>
      <c r="AX24" s="35">
        <f t="shared" si="45"/>
        <v>-215.21499999999997</v>
      </c>
      <c r="AY24" s="28">
        <f t="shared" si="45"/>
        <v>-202.583</v>
      </c>
      <c r="AZ24" s="28">
        <f t="shared" si="45"/>
        <v>-193.67</v>
      </c>
      <c r="BA24" s="28">
        <f t="shared" si="45"/>
        <v>-138.96399999999997</v>
      </c>
      <c r="BB24" s="28">
        <f t="shared" si="45"/>
        <v>-48.603999999999985</v>
      </c>
      <c r="BC24" s="35">
        <f t="shared" si="45"/>
        <v>-48.603999999999985</v>
      </c>
      <c r="BD24" s="28">
        <f t="shared" ref="BD24:BM24" si="46">BD22+BD23</f>
        <v>-94.23599999999999</v>
      </c>
      <c r="BE24" s="28">
        <f t="shared" si="46"/>
        <v>-78.435000000000002</v>
      </c>
      <c r="BF24" s="28">
        <f t="shared" si="46"/>
        <v>-74.367999999999967</v>
      </c>
      <c r="BG24" s="28">
        <f t="shared" si="46"/>
        <v>-30.530999999999949</v>
      </c>
      <c r="BH24" s="35">
        <f t="shared" si="46"/>
        <v>-30.530999999999949</v>
      </c>
      <c r="BI24" s="28">
        <f t="shared" si="46"/>
        <v>-40.984999999999928</v>
      </c>
      <c r="BJ24" s="28">
        <f t="shared" si="46"/>
        <v>-27.656999999999954</v>
      </c>
      <c r="BK24" s="28">
        <f t="shared" si="46"/>
        <v>57.569000000000017</v>
      </c>
      <c r="BL24" s="28">
        <f t="shared" si="46"/>
        <v>100.976</v>
      </c>
      <c r="BM24" s="35">
        <f t="shared" si="46"/>
        <v>100.976</v>
      </c>
      <c r="BN24" s="28">
        <f t="shared" ref="BN24:BW24" si="47">BN22+BN23</f>
        <v>82.575400000000002</v>
      </c>
      <c r="BO24" s="28">
        <f t="shared" si="47"/>
        <v>-195.17659999999995</v>
      </c>
      <c r="BP24" s="28">
        <f t="shared" si="47"/>
        <v>-169.13859999999994</v>
      </c>
      <c r="BQ24" s="28">
        <f t="shared" si="47"/>
        <v>-146.41359999999992</v>
      </c>
      <c r="BR24" s="35">
        <f t="shared" si="47"/>
        <v>-146.41359999999992</v>
      </c>
      <c r="BS24" s="28">
        <f t="shared" si="47"/>
        <v>-148.79559999999995</v>
      </c>
      <c r="BT24" s="28">
        <f t="shared" si="47"/>
        <v>-28.003599999999949</v>
      </c>
      <c r="BU24" s="28">
        <f t="shared" si="47"/>
        <v>-14.513599999999911</v>
      </c>
      <c r="BV24" s="28">
        <f>BV22+BV23</f>
        <v>-0.51059999999989714</v>
      </c>
      <c r="BW24" s="35">
        <f t="shared" si="47"/>
        <v>-0.51059999999989714</v>
      </c>
      <c r="BX24" s="28">
        <f t="shared" ref="BX24:CG24" si="48">BX22+BX23</f>
        <v>-32.225599999999901</v>
      </c>
      <c r="BY24" s="28">
        <f t="shared" si="48"/>
        <v>0.78740000000007626</v>
      </c>
      <c r="BZ24" s="28">
        <f t="shared" si="48"/>
        <v>-98.99759999999992</v>
      </c>
      <c r="CA24" s="28">
        <f t="shared" si="48"/>
        <v>-58.716599999999914</v>
      </c>
      <c r="CB24" s="35">
        <f t="shared" si="48"/>
        <v>-60.379999999999995</v>
      </c>
      <c r="CC24" s="28">
        <f t="shared" si="48"/>
        <v>-68.311000000000007</v>
      </c>
      <c r="CD24" s="28">
        <f t="shared" si="48"/>
        <v>-61.781999999999982</v>
      </c>
      <c r="CE24" s="28">
        <f t="shared" si="48"/>
        <v>-54.008999999999986</v>
      </c>
      <c r="CF24" s="28">
        <f>CF22+CF23</f>
        <v>-69.382999999999981</v>
      </c>
      <c r="CG24" s="35">
        <f t="shared" si="48"/>
        <v>-89.401999999999987</v>
      </c>
      <c r="CH24" s="28">
        <f t="shared" ref="CH24:CQ24" si="49">CH22+CH23</f>
        <v>-135.20699999999999</v>
      </c>
      <c r="CI24" s="28">
        <f t="shared" si="49"/>
        <v>-139.26</v>
      </c>
      <c r="CJ24" s="28">
        <f t="shared" si="49"/>
        <v>1603.7117380000002</v>
      </c>
      <c r="CK24" s="28">
        <f t="shared" si="49"/>
        <v>1001.6681068537501</v>
      </c>
      <c r="CL24" s="35">
        <f t="shared" si="49"/>
        <v>1001.6681068537501</v>
      </c>
      <c r="CM24" s="28">
        <f t="shared" si="49"/>
        <v>907.99699378459206</v>
      </c>
      <c r="CN24" s="28">
        <f t="shared" si="49"/>
        <v>810.9815750808458</v>
      </c>
      <c r="CO24" s="28">
        <f t="shared" si="49"/>
        <v>732.10270019184986</v>
      </c>
      <c r="CP24" s="28">
        <f t="shared" si="49"/>
        <v>661.05203097623507</v>
      </c>
      <c r="CQ24" s="35">
        <f t="shared" si="49"/>
        <v>661.05203097623507</v>
      </c>
      <c r="CR24" s="28">
        <f t="shared" ref="CR24:CV24" si="50">CR22+CR23</f>
        <v>636.84673735711624</v>
      </c>
      <c r="CS24" s="28">
        <f t="shared" si="50"/>
        <v>611.37101318367149</v>
      </c>
      <c r="CT24" s="28">
        <f t="shared" si="50"/>
        <v>593.47067663215239</v>
      </c>
      <c r="CU24" s="28">
        <f t="shared" si="50"/>
        <v>578.00855648671825</v>
      </c>
      <c r="CV24" s="35">
        <f t="shared" si="50"/>
        <v>578.00855648671825</v>
      </c>
    </row>
    <row r="25" spans="5:100" s="27" customFormat="1" ht="13.5" x14ac:dyDescent="0.25">
      <c r="E25" s="28" t="s">
        <v>155</v>
      </c>
      <c r="F25" s="35"/>
      <c r="G25" s="35"/>
      <c r="H25" s="35"/>
      <c r="I25" s="35"/>
      <c r="J25" s="35"/>
      <c r="K25" s="28"/>
      <c r="L25" s="28"/>
      <c r="M25" s="28"/>
      <c r="N25" s="28"/>
      <c r="O25" s="35"/>
      <c r="P25" s="28"/>
      <c r="Q25" s="28"/>
      <c r="R25" s="28"/>
      <c r="S25" s="28">
        <f>S22+S23</f>
        <v>-220.47899999999998</v>
      </c>
      <c r="T25" s="35"/>
      <c r="U25" s="28"/>
      <c r="V25" s="28"/>
      <c r="W25" s="28"/>
      <c r="X25" s="28">
        <f>X22+X23</f>
        <v>-462.18299999999999</v>
      </c>
      <c r="Y25" s="35">
        <f>Y18+Y23</f>
        <v>-368.66500000000002</v>
      </c>
      <c r="Z25" s="28"/>
      <c r="AA25" s="28"/>
      <c r="AB25" s="28"/>
      <c r="AC25" s="28">
        <f>AC22+AC23</f>
        <v>-717.97900000000004</v>
      </c>
      <c r="AD25" s="35">
        <f>AD18+AD23</f>
        <v>-611.05799999999999</v>
      </c>
      <c r="AE25" s="28"/>
      <c r="AF25" s="28"/>
      <c r="AG25" s="28"/>
      <c r="AH25" s="28">
        <f>AH22+AH23</f>
        <v>-581.86099999999999</v>
      </c>
      <c r="AI25" s="35">
        <f>AI18+AI23</f>
        <v>-512.60199999999998</v>
      </c>
      <c r="AJ25" s="28">
        <f>AJ22+AJ23</f>
        <v>-571.26499999999987</v>
      </c>
      <c r="AK25" s="28">
        <f>AK22+AK23</f>
        <v>-498.79800000000006</v>
      </c>
      <c r="AL25" s="28">
        <f>AL22+AL23</f>
        <v>-441.98</v>
      </c>
      <c r="AM25" s="28">
        <f>AM22+AM23</f>
        <v>-401.02800000000002</v>
      </c>
      <c r="AN25" s="35">
        <f>AN18+AN23</f>
        <v>-360.06100000000004</v>
      </c>
      <c r="AO25" s="28">
        <f>AO22+AO23</f>
        <v>-400.74</v>
      </c>
      <c r="AP25" s="28">
        <f>AP22+AP23</f>
        <v>-366.56500000000005</v>
      </c>
      <c r="AQ25" s="28">
        <f>AQ22+AQ23</f>
        <v>-324.70400000000001</v>
      </c>
      <c r="AR25" s="28">
        <f>AR22+AR23</f>
        <v>-276.58600000000001</v>
      </c>
      <c r="AS25" s="35">
        <f>AS18+AS23</f>
        <v>-234.48000000000002</v>
      </c>
      <c r="AT25" s="28">
        <f>AT22+AT23</f>
        <v>-283.54499999999996</v>
      </c>
      <c r="AU25" s="28">
        <f>AU22+AU23</f>
        <v>-282.43399999999997</v>
      </c>
      <c r="AV25" s="28">
        <f>AV22+AV23</f>
        <v>-241.13499999999999</v>
      </c>
      <c r="AW25" s="28">
        <f>AW22+AW23</f>
        <v>-215.21499999999997</v>
      </c>
      <c r="AX25" s="35">
        <f>AX18+AX23</f>
        <v>-187.23699999999997</v>
      </c>
      <c r="AY25" s="28">
        <f>AY22+AY23</f>
        <v>-202.583</v>
      </c>
      <c r="AZ25" s="28">
        <f>AZ22+AZ23</f>
        <v>-193.67</v>
      </c>
      <c r="BA25" s="28">
        <f>BA22+BA23</f>
        <v>-138.96399999999997</v>
      </c>
      <c r="BB25" s="28">
        <f>BB22+BB23</f>
        <v>-48.603999999999985</v>
      </c>
      <c r="BC25" s="35">
        <f>BC18+BC23</f>
        <v>-22.237999999999971</v>
      </c>
      <c r="BD25" s="28">
        <f>BD22+BD23</f>
        <v>-94.23599999999999</v>
      </c>
      <c r="BE25" s="28">
        <f>BE22+BE23</f>
        <v>-78.435000000000002</v>
      </c>
      <c r="BF25" s="28">
        <f>BF22+BF23</f>
        <v>-74.367999999999967</v>
      </c>
      <c r="BG25" s="28">
        <f>BG22+BG23</f>
        <v>-30.530999999999949</v>
      </c>
      <c r="BH25" s="35">
        <f>BH18+BH23</f>
        <v>-14.425999999999959</v>
      </c>
      <c r="BI25" s="28">
        <f>BI22+BI23</f>
        <v>-40.984999999999928</v>
      </c>
      <c r="BJ25" s="28">
        <f>BJ22+BJ23</f>
        <v>-27.656999999999954</v>
      </c>
      <c r="BK25" s="28">
        <f>BK22+BK23</f>
        <v>57.569000000000017</v>
      </c>
      <c r="BL25" s="28">
        <f>BL22+BL23</f>
        <v>100.976</v>
      </c>
      <c r="BM25" s="35">
        <f>BM18+BM23</f>
        <v>129.54300000000001</v>
      </c>
      <c r="BN25" s="28">
        <f>BN22+BN23</f>
        <v>82.575400000000002</v>
      </c>
      <c r="BO25" s="28">
        <f>BO22+BO23</f>
        <v>-195.17659999999995</v>
      </c>
      <c r="BP25" s="28">
        <f>BP22+BP23</f>
        <v>-169.13859999999994</v>
      </c>
      <c r="BQ25" s="28">
        <f>BQ22+BQ23</f>
        <v>-146.41359999999992</v>
      </c>
      <c r="BR25" s="35">
        <f>BR18+BR23</f>
        <v>-113.52859999999993</v>
      </c>
      <c r="BS25" s="28">
        <f>BS22+BS23</f>
        <v>-148.79559999999995</v>
      </c>
      <c r="BT25" s="28">
        <f>BT22+BT23</f>
        <v>-28.003599999999949</v>
      </c>
      <c r="BU25" s="28">
        <f>BU22+BU23</f>
        <v>-14.513599999999911</v>
      </c>
      <c r="BV25" s="28">
        <f>BV22+BV23</f>
        <v>-0.51059999999989714</v>
      </c>
      <c r="BW25" s="35">
        <f>BW18+BW23</f>
        <v>31.732400000000098</v>
      </c>
      <c r="BX25" s="28">
        <f>BX22+BX23</f>
        <v>-32.225599999999901</v>
      </c>
      <c r="BY25" s="28">
        <f>BY22+BY23</f>
        <v>0.78740000000007626</v>
      </c>
      <c r="BZ25" s="28">
        <f>BZ22+BZ23</f>
        <v>-98.99759999999992</v>
      </c>
      <c r="CA25" s="28">
        <f>CA22+CA23</f>
        <v>-58.716599999999914</v>
      </c>
      <c r="CB25" s="35">
        <f>CB18+CB23</f>
        <v>-20.561000000000007</v>
      </c>
      <c r="CC25" s="28">
        <f>CC22+CC23</f>
        <v>-68.311000000000007</v>
      </c>
      <c r="CD25" s="28">
        <f>CD22+CD23</f>
        <v>-61.781999999999982</v>
      </c>
      <c r="CE25" s="28">
        <f>CE22+CE23</f>
        <v>-54.008999999999986</v>
      </c>
      <c r="CF25" s="28">
        <f>CF22+CF23</f>
        <v>-69.382999999999981</v>
      </c>
      <c r="CG25" s="35">
        <f>CG18+CG23</f>
        <v>-87.818999999999988</v>
      </c>
      <c r="CH25" s="28">
        <f>CH22+CH23</f>
        <v>-135.20699999999999</v>
      </c>
      <c r="CI25" s="28">
        <f>CI22+CI23</f>
        <v>-139.26</v>
      </c>
      <c r="CJ25" s="28">
        <f>CJ22+CJ23</f>
        <v>1603.7117380000002</v>
      </c>
      <c r="CK25" s="28">
        <f>CK22+CK23</f>
        <v>1001.6681068537501</v>
      </c>
      <c r="CL25" s="35">
        <f>CL18+CL23</f>
        <v>1001.6681068537501</v>
      </c>
      <c r="CM25" s="28">
        <f>CM22+CM23</f>
        <v>907.99699378459206</v>
      </c>
      <c r="CN25" s="28">
        <f>CN22+CN23</f>
        <v>810.9815750808458</v>
      </c>
      <c r="CO25" s="28">
        <f>CO22+CO23</f>
        <v>732.10270019184986</v>
      </c>
      <c r="CP25" s="28">
        <f>CP22+CP23</f>
        <v>661.05203097623507</v>
      </c>
      <c r="CQ25" s="35">
        <f>CQ18+CQ23</f>
        <v>661.05203097623507</v>
      </c>
      <c r="CR25" s="28">
        <f>CR22+CR23</f>
        <v>636.84673735711624</v>
      </c>
      <c r="CS25" s="28">
        <f>CS22+CS23</f>
        <v>611.37101318367149</v>
      </c>
      <c r="CT25" s="28">
        <f>CT22+CT23</f>
        <v>593.47067663215239</v>
      </c>
      <c r="CU25" s="28">
        <f>CU22+CU23</f>
        <v>578.00855648671825</v>
      </c>
      <c r="CV25" s="35">
        <f>CV18+CV23</f>
        <v>578.00855648671825</v>
      </c>
    </row>
    <row r="26" spans="5:100" x14ac:dyDescent="0.25">
      <c r="F26" s="71"/>
      <c r="G26" s="71"/>
      <c r="H26" s="71"/>
      <c r="I26" s="71"/>
      <c r="J26" s="71"/>
      <c r="O26" s="71"/>
      <c r="T26" s="71"/>
      <c r="Y26" s="71"/>
      <c r="AD26" s="71"/>
      <c r="AI26" s="71"/>
      <c r="AN26" s="71"/>
      <c r="AS26" s="71"/>
      <c r="AX26" s="71"/>
      <c r="BC26" s="71"/>
      <c r="BH26" s="71"/>
      <c r="BM26" s="71"/>
      <c r="BR26" s="71"/>
      <c r="BW26" s="71"/>
      <c r="CB26" s="71"/>
      <c r="CG26" s="71"/>
      <c r="CL26" s="71"/>
      <c r="CQ26" s="71"/>
      <c r="CR26" s="720"/>
      <c r="CS26" s="720"/>
      <c r="CT26" s="720"/>
      <c r="CU26" s="720"/>
      <c r="CV26" s="71"/>
    </row>
    <row r="27" spans="5:100" x14ac:dyDescent="0.25">
      <c r="E27" s="118" t="s">
        <v>81</v>
      </c>
      <c r="F27" s="71"/>
      <c r="G27" s="71"/>
      <c r="H27" s="71"/>
      <c r="I27" s="71"/>
      <c r="J27" s="71"/>
      <c r="O27" s="71"/>
      <c r="T27" s="71"/>
      <c r="Y27" s="71"/>
      <c r="AD27" s="71"/>
      <c r="AI27" s="71"/>
      <c r="AN27" s="71"/>
      <c r="AS27" s="71"/>
      <c r="AX27" s="71"/>
      <c r="BC27" s="71"/>
      <c r="BH27" s="71"/>
      <c r="BM27" s="71"/>
      <c r="BR27" s="71"/>
      <c r="BW27" s="71"/>
      <c r="CB27" s="71"/>
      <c r="CG27" s="71"/>
      <c r="CL27" s="71"/>
      <c r="CQ27" s="71"/>
      <c r="CR27" s="720"/>
      <c r="CS27" s="720"/>
      <c r="CT27" s="720"/>
      <c r="CU27" s="720"/>
      <c r="CV27" s="71"/>
    </row>
    <row r="28" spans="5:100" ht="3.95" customHeight="1" x14ac:dyDescent="0.25">
      <c r="E28" s="118"/>
      <c r="F28" s="71"/>
      <c r="G28" s="71"/>
      <c r="H28" s="71"/>
      <c r="I28" s="71"/>
      <c r="J28" s="71"/>
      <c r="O28" s="71"/>
      <c r="T28" s="71"/>
      <c r="Y28" s="71"/>
      <c r="AD28" s="71"/>
      <c r="AI28" s="71"/>
      <c r="AN28" s="71"/>
      <c r="AS28" s="71"/>
      <c r="AX28" s="71"/>
      <c r="BC28" s="71"/>
      <c r="BH28" s="71"/>
      <c r="BM28" s="71"/>
      <c r="BR28" s="71"/>
      <c r="BW28" s="71"/>
      <c r="CB28" s="71"/>
      <c r="CG28" s="71"/>
      <c r="CL28" s="71"/>
      <c r="CQ28" s="71"/>
      <c r="CR28" s="720"/>
      <c r="CS28" s="720"/>
      <c r="CT28" s="720"/>
      <c r="CU28" s="720"/>
      <c r="CV28" s="71"/>
    </row>
    <row r="29" spans="5:100" x14ac:dyDescent="0.25">
      <c r="E29" s="47" t="s">
        <v>77</v>
      </c>
      <c r="F29" s="208"/>
      <c r="G29" s="208"/>
      <c r="H29" s="208"/>
      <c r="I29" s="208"/>
      <c r="J29" s="208"/>
      <c r="K29" s="205"/>
      <c r="L29" s="205"/>
      <c r="M29" s="205"/>
      <c r="N29" s="205"/>
      <c r="O29" s="210"/>
      <c r="P29" s="205"/>
      <c r="Q29" s="205"/>
      <c r="R29" s="205"/>
      <c r="S29" s="205"/>
      <c r="T29" s="210"/>
      <c r="U29" s="205"/>
      <c r="V29" s="205"/>
      <c r="W29" s="205"/>
      <c r="X29" s="205"/>
      <c r="Y29" s="210"/>
      <c r="Z29" s="205"/>
      <c r="AA29" s="205"/>
      <c r="AB29" s="205"/>
      <c r="AC29" s="205"/>
      <c r="AD29" s="210"/>
      <c r="AE29" s="205"/>
      <c r="AF29" s="205"/>
      <c r="AG29" s="205"/>
      <c r="AH29" s="205">
        <v>0.05</v>
      </c>
      <c r="AI29" s="210">
        <f>AH29</f>
        <v>0.05</v>
      </c>
      <c r="AJ29" s="406">
        <v>0.06</v>
      </c>
      <c r="AK29" s="406">
        <v>0.06</v>
      </c>
      <c r="AL29" s="406">
        <v>0.06</v>
      </c>
      <c r="AM29" s="406">
        <v>0.06</v>
      </c>
      <c r="AN29" s="210">
        <f>AM29</f>
        <v>0.06</v>
      </c>
      <c r="AO29" s="406">
        <v>0.06</v>
      </c>
      <c r="AP29" s="406">
        <v>0.06</v>
      </c>
      <c r="AQ29" s="406">
        <v>0.05</v>
      </c>
      <c r="AR29" s="406">
        <v>0.04</v>
      </c>
      <c r="AS29" s="210">
        <f>AR29</f>
        <v>0.04</v>
      </c>
      <c r="AT29" s="206">
        <f>AR29</f>
        <v>0.04</v>
      </c>
      <c r="AU29" s="206">
        <f t="shared" ref="AU29:AX38" si="51">AT29</f>
        <v>0.04</v>
      </c>
      <c r="AV29" s="206">
        <f t="shared" si="51"/>
        <v>0.04</v>
      </c>
      <c r="AW29" s="206">
        <f t="shared" si="51"/>
        <v>0.04</v>
      </c>
      <c r="AX29" s="210">
        <f t="shared" si="51"/>
        <v>0.04</v>
      </c>
      <c r="AY29" s="206">
        <f>AW29</f>
        <v>0.04</v>
      </c>
      <c r="AZ29" s="206">
        <f t="shared" ref="AZ29:BC38" si="52">AY29</f>
        <v>0.04</v>
      </c>
      <c r="BA29" s="206">
        <f t="shared" si="52"/>
        <v>0.04</v>
      </c>
      <c r="BB29" s="206">
        <f t="shared" si="52"/>
        <v>0.04</v>
      </c>
      <c r="BC29" s="210">
        <f t="shared" si="52"/>
        <v>0.04</v>
      </c>
      <c r="BD29" s="206">
        <f>BB29</f>
        <v>0.04</v>
      </c>
      <c r="BE29" s="206">
        <f>BD29</f>
        <v>0.04</v>
      </c>
      <c r="BF29" s="206">
        <f>BE29</f>
        <v>0.04</v>
      </c>
      <c r="BG29" s="206">
        <f>BF29</f>
        <v>0.04</v>
      </c>
      <c r="BH29" s="210">
        <f>BG29</f>
        <v>0.04</v>
      </c>
      <c r="BI29" s="206">
        <f>BG29</f>
        <v>0.04</v>
      </c>
      <c r="BJ29" s="206">
        <f>BI29</f>
        <v>0.04</v>
      </c>
      <c r="BK29" s="206">
        <f>BJ29</f>
        <v>0.04</v>
      </c>
      <c r="BL29" s="206">
        <f>BK29</f>
        <v>0.04</v>
      </c>
      <c r="BM29" s="210">
        <f>BL29</f>
        <v>0.04</v>
      </c>
      <c r="BN29" s="206">
        <f>BL29</f>
        <v>0.04</v>
      </c>
      <c r="BO29" s="206">
        <f>BN29</f>
        <v>0.04</v>
      </c>
      <c r="BP29" s="206">
        <f>BO29</f>
        <v>0.04</v>
      </c>
      <c r="BQ29" s="206">
        <f>BP29</f>
        <v>0.04</v>
      </c>
      <c r="BR29" s="210">
        <f>BQ29</f>
        <v>0.04</v>
      </c>
      <c r="BS29" s="206">
        <f>BQ29</f>
        <v>0.04</v>
      </c>
      <c r="BT29" s="206">
        <f>BS29</f>
        <v>0.04</v>
      </c>
      <c r="BU29" s="206">
        <f>BT29</f>
        <v>0.04</v>
      </c>
      <c r="BV29" s="206">
        <f>BU29</f>
        <v>0.04</v>
      </c>
      <c r="BW29" s="210">
        <f>BV29</f>
        <v>0.04</v>
      </c>
      <c r="BX29" s="206">
        <f>BV29</f>
        <v>0.04</v>
      </c>
      <c r="BY29" s="206">
        <f>BX29</f>
        <v>0.04</v>
      </c>
      <c r="BZ29" s="206">
        <f>BY29</f>
        <v>0.04</v>
      </c>
      <c r="CA29" s="206">
        <f>BZ29</f>
        <v>0.04</v>
      </c>
      <c r="CB29" s="210">
        <f>CA29</f>
        <v>0.04</v>
      </c>
      <c r="CC29" s="206">
        <f>CA29</f>
        <v>0.04</v>
      </c>
      <c r="CD29" s="206">
        <f>CC29</f>
        <v>0.04</v>
      </c>
      <c r="CE29" s="206">
        <f>CD29</f>
        <v>0.04</v>
      </c>
      <c r="CF29" s="206">
        <f>CE29</f>
        <v>0.04</v>
      </c>
      <c r="CG29" s="210">
        <f>CF29</f>
        <v>0.04</v>
      </c>
      <c r="CH29" s="206">
        <f>CF29</f>
        <v>0.04</v>
      </c>
      <c r="CI29" s="206">
        <f>CH29</f>
        <v>0.04</v>
      </c>
      <c r="CJ29" s="206">
        <f>CI29</f>
        <v>0.04</v>
      </c>
      <c r="CK29" s="206">
        <f>CJ29</f>
        <v>0.04</v>
      </c>
      <c r="CL29" s="210">
        <f>CK29</f>
        <v>0.04</v>
      </c>
      <c r="CM29" s="206">
        <f>CK29</f>
        <v>0.04</v>
      </c>
      <c r="CN29" s="206">
        <f>CM29</f>
        <v>0.04</v>
      </c>
      <c r="CO29" s="206">
        <f>CN29</f>
        <v>0.04</v>
      </c>
      <c r="CP29" s="206">
        <f>CO29</f>
        <v>0.04</v>
      </c>
      <c r="CQ29" s="210">
        <f>CP29</f>
        <v>0.04</v>
      </c>
      <c r="CR29" s="206">
        <f>CP29</f>
        <v>0.04</v>
      </c>
      <c r="CS29" s="206">
        <f>CR29</f>
        <v>0.04</v>
      </c>
      <c r="CT29" s="206">
        <f>CS29</f>
        <v>0.04</v>
      </c>
      <c r="CU29" s="206">
        <f>CT29</f>
        <v>0.04</v>
      </c>
      <c r="CV29" s="210">
        <f>CU29</f>
        <v>0.04</v>
      </c>
    </row>
    <row r="30" spans="5:100" ht="3.95" customHeight="1" x14ac:dyDescent="0.25">
      <c r="E30" s="118"/>
      <c r="F30" s="71"/>
      <c r="G30" s="71"/>
      <c r="H30" s="71"/>
      <c r="I30" s="71"/>
      <c r="J30" s="71"/>
      <c r="O30" s="71"/>
      <c r="T30" s="71"/>
      <c r="Y30" s="71"/>
      <c r="AD30" s="71"/>
      <c r="AI30" s="71"/>
      <c r="AJ30" s="57"/>
      <c r="AK30" s="57"/>
      <c r="AL30" s="57"/>
      <c r="AM30" s="57"/>
      <c r="AN30" s="71"/>
      <c r="AO30" s="57"/>
      <c r="AP30" s="57"/>
      <c r="AQ30" s="57"/>
      <c r="AR30" s="57"/>
      <c r="AS30" s="71"/>
      <c r="AX30" s="71"/>
      <c r="BC30" s="71"/>
      <c r="BH30" s="71"/>
      <c r="BM30" s="71"/>
      <c r="BR30" s="71"/>
      <c r="BW30" s="71"/>
      <c r="CB30" s="71"/>
      <c r="CG30" s="71"/>
      <c r="CL30" s="71"/>
      <c r="CQ30" s="71"/>
      <c r="CR30" s="720"/>
      <c r="CS30" s="720"/>
      <c r="CT30" s="720"/>
      <c r="CU30" s="720"/>
      <c r="CV30" s="71"/>
    </row>
    <row r="31" spans="5:100" x14ac:dyDescent="0.25">
      <c r="E31" s="27" t="s">
        <v>737</v>
      </c>
      <c r="F31" s="208"/>
      <c r="G31" s="208"/>
      <c r="H31" s="208"/>
      <c r="I31" s="208"/>
      <c r="J31" s="208"/>
      <c r="K31" s="205"/>
      <c r="L31" s="205"/>
      <c r="M31" s="205"/>
      <c r="N31" s="205"/>
      <c r="O31" s="210"/>
      <c r="P31" s="205"/>
      <c r="Q31" s="205"/>
      <c r="R31" s="205"/>
      <c r="S31" s="205"/>
      <c r="T31" s="210"/>
      <c r="U31" s="205"/>
      <c r="V31" s="205"/>
      <c r="W31" s="205"/>
      <c r="X31" s="205"/>
      <c r="Y31" s="210"/>
      <c r="Z31" s="205"/>
      <c r="AA31" s="205"/>
      <c r="AB31" s="205"/>
      <c r="AC31" s="205"/>
      <c r="AD31" s="210"/>
      <c r="AE31" s="205"/>
      <c r="AF31" s="205"/>
      <c r="AG31" s="205"/>
      <c r="AH31" s="205">
        <v>0.05</v>
      </c>
      <c r="AI31" s="210">
        <f t="shared" ref="AI31:AI36" si="53">AH31</f>
        <v>0.05</v>
      </c>
      <c r="AJ31" s="406">
        <v>0.06</v>
      </c>
      <c r="AK31" s="406">
        <v>0.06</v>
      </c>
      <c r="AL31" s="406">
        <v>0.06</v>
      </c>
      <c r="AM31" s="406">
        <v>0.06</v>
      </c>
      <c r="AN31" s="210">
        <f t="shared" ref="AN31:AN36" si="54">AM31</f>
        <v>0.06</v>
      </c>
      <c r="AO31" s="406">
        <v>0.06</v>
      </c>
      <c r="AP31" s="406">
        <v>0.06</v>
      </c>
      <c r="AQ31" s="406">
        <v>0.05</v>
      </c>
      <c r="AR31" s="406">
        <v>0.05</v>
      </c>
      <c r="AS31" s="210">
        <f t="shared" ref="AS31:AS36" si="55">AR31</f>
        <v>0.05</v>
      </c>
      <c r="AT31" s="206">
        <f t="shared" ref="AT31:AT36" si="56">AR31</f>
        <v>0.05</v>
      </c>
      <c r="AU31" s="206">
        <f t="shared" si="51"/>
        <v>0.05</v>
      </c>
      <c r="AV31" s="206">
        <f t="shared" si="51"/>
        <v>0.05</v>
      </c>
      <c r="AW31" s="206">
        <f t="shared" si="51"/>
        <v>0.05</v>
      </c>
      <c r="AX31" s="210">
        <f t="shared" si="51"/>
        <v>0.05</v>
      </c>
      <c r="AY31" s="206">
        <f t="shared" ref="AY31:AY36" si="57">AW31</f>
        <v>0.05</v>
      </c>
      <c r="AZ31" s="206">
        <f t="shared" si="52"/>
        <v>0.05</v>
      </c>
      <c r="BA31" s="206">
        <f t="shared" si="52"/>
        <v>0.05</v>
      </c>
      <c r="BB31" s="206">
        <f t="shared" si="52"/>
        <v>0.05</v>
      </c>
      <c r="BC31" s="210">
        <f t="shared" si="52"/>
        <v>0.05</v>
      </c>
      <c r="BD31" s="206">
        <f t="shared" ref="BD31:BD36" si="58">BB31</f>
        <v>0.05</v>
      </c>
      <c r="BE31" s="206">
        <f t="shared" ref="BE31:BH36" si="59">BD31</f>
        <v>0.05</v>
      </c>
      <c r="BF31" s="206">
        <f t="shared" si="59"/>
        <v>0.05</v>
      </c>
      <c r="BG31" s="206">
        <f t="shared" si="59"/>
        <v>0.05</v>
      </c>
      <c r="BH31" s="210">
        <f t="shared" si="59"/>
        <v>0.05</v>
      </c>
      <c r="BI31" s="206">
        <f t="shared" ref="BI31:BI36" si="60">BG31</f>
        <v>0.05</v>
      </c>
      <c r="BJ31" s="206">
        <f t="shared" ref="BJ31:BM36" si="61">BI31</f>
        <v>0.05</v>
      </c>
      <c r="BK31" s="206">
        <f t="shared" si="61"/>
        <v>0.05</v>
      </c>
      <c r="BL31" s="206">
        <f t="shared" si="61"/>
        <v>0.05</v>
      </c>
      <c r="BM31" s="210">
        <f t="shared" si="61"/>
        <v>0.05</v>
      </c>
      <c r="BN31" s="206">
        <f t="shared" ref="BN31:BN36" si="62">BL31</f>
        <v>0.05</v>
      </c>
      <c r="BO31" s="206">
        <f t="shared" ref="BO31:BR36" si="63">BN31</f>
        <v>0.05</v>
      </c>
      <c r="BP31" s="206">
        <f t="shared" si="63"/>
        <v>0.05</v>
      </c>
      <c r="BQ31" s="206">
        <f t="shared" si="63"/>
        <v>0.05</v>
      </c>
      <c r="BR31" s="210">
        <f t="shared" si="63"/>
        <v>0.05</v>
      </c>
      <c r="BS31" s="206">
        <f t="shared" ref="BS31:BS36" si="64">BQ31</f>
        <v>0.05</v>
      </c>
      <c r="BT31" s="206">
        <f t="shared" ref="BT31:BW36" si="65">BS31</f>
        <v>0.05</v>
      </c>
      <c r="BU31" s="206">
        <f t="shared" si="65"/>
        <v>0.05</v>
      </c>
      <c r="BV31" s="206">
        <f t="shared" si="65"/>
        <v>0.05</v>
      </c>
      <c r="BW31" s="210">
        <f t="shared" si="65"/>
        <v>0.05</v>
      </c>
      <c r="BX31" s="206">
        <f t="shared" ref="BX31:BX36" si="66">BV31</f>
        <v>0.05</v>
      </c>
      <c r="BY31" s="206">
        <f t="shared" ref="BY31:CB36" si="67">BX31</f>
        <v>0.05</v>
      </c>
      <c r="BZ31" s="206">
        <f t="shared" si="67"/>
        <v>0.05</v>
      </c>
      <c r="CA31" s="206">
        <f>BZ31</f>
        <v>0.05</v>
      </c>
      <c r="CB31" s="210">
        <f t="shared" si="67"/>
        <v>0.05</v>
      </c>
      <c r="CC31" s="206">
        <f t="shared" ref="CC31:CC36" si="68">CA31</f>
        <v>0.05</v>
      </c>
      <c r="CD31" s="206">
        <f t="shared" ref="CD31:CD36" si="69">CC31</f>
        <v>0.05</v>
      </c>
      <c r="CE31" s="206">
        <f t="shared" ref="CE31:CE36" si="70">CD31</f>
        <v>0.05</v>
      </c>
      <c r="CF31" s="206">
        <f t="shared" ref="CF31:CF36" si="71">CE31</f>
        <v>0.05</v>
      </c>
      <c r="CG31" s="210">
        <f t="shared" ref="CG31:CG36" si="72">CF31</f>
        <v>0.05</v>
      </c>
      <c r="CH31" s="206">
        <f t="shared" ref="CH31:CH36" si="73">CF31</f>
        <v>0.05</v>
      </c>
      <c r="CI31" s="206">
        <f t="shared" ref="CI31:CI36" si="74">CH31</f>
        <v>0.05</v>
      </c>
      <c r="CJ31" s="206">
        <f t="shared" ref="CJ31:CJ36" si="75">CI31</f>
        <v>0.05</v>
      </c>
      <c r="CK31" s="206">
        <f t="shared" ref="CK31:CK36" si="76">CJ31</f>
        <v>0.05</v>
      </c>
      <c r="CL31" s="210">
        <f t="shared" ref="CL31:CL36" si="77">CK31</f>
        <v>0.05</v>
      </c>
      <c r="CM31" s="206">
        <f t="shared" ref="CM31:CM36" si="78">CK31</f>
        <v>0.05</v>
      </c>
      <c r="CN31" s="206">
        <f t="shared" ref="CN31:CN36" si="79">CM31</f>
        <v>0.05</v>
      </c>
      <c r="CO31" s="206">
        <f t="shared" ref="CO31:CO36" si="80">CN31</f>
        <v>0.05</v>
      </c>
      <c r="CP31" s="206">
        <f t="shared" ref="CP31:CP36" si="81">CO31</f>
        <v>0.05</v>
      </c>
      <c r="CQ31" s="210">
        <f t="shared" ref="CQ31:CQ36" si="82">CP31</f>
        <v>0.05</v>
      </c>
      <c r="CR31" s="206">
        <f t="shared" ref="CR31:CR36" si="83">CP31</f>
        <v>0.05</v>
      </c>
      <c r="CS31" s="206">
        <f t="shared" ref="CS31:CS36" si="84">CR31</f>
        <v>0.05</v>
      </c>
      <c r="CT31" s="206">
        <f t="shared" ref="CT31:CT36" si="85">CS31</f>
        <v>0.05</v>
      </c>
      <c r="CU31" s="206">
        <f t="shared" ref="CU31:CU36" si="86">CT31</f>
        <v>0.05</v>
      </c>
      <c r="CV31" s="210">
        <f t="shared" ref="CV31:CV36" si="87">CU31</f>
        <v>0.05</v>
      </c>
    </row>
    <row r="32" spans="5:100" x14ac:dyDescent="0.25">
      <c r="E32" s="27" t="s">
        <v>339</v>
      </c>
      <c r="F32" s="208"/>
      <c r="G32" s="208"/>
      <c r="H32" s="208"/>
      <c r="I32" s="208"/>
      <c r="J32" s="208"/>
      <c r="K32" s="205"/>
      <c r="L32" s="205"/>
      <c r="M32" s="205"/>
      <c r="N32" s="205"/>
      <c r="O32" s="210"/>
      <c r="P32" s="205"/>
      <c r="Q32" s="205"/>
      <c r="R32" s="205"/>
      <c r="S32" s="205"/>
      <c r="T32" s="210"/>
      <c r="U32" s="205"/>
      <c r="V32" s="205"/>
      <c r="W32" s="205"/>
      <c r="X32" s="205"/>
      <c r="Y32" s="210"/>
      <c r="Z32" s="205"/>
      <c r="AA32" s="205"/>
      <c r="AB32" s="205"/>
      <c r="AC32" s="205"/>
      <c r="AD32" s="210"/>
      <c r="AE32" s="205"/>
      <c r="AF32" s="205"/>
      <c r="AG32" s="205"/>
      <c r="AH32" s="205">
        <v>0.05</v>
      </c>
      <c r="AI32" s="210">
        <f t="shared" si="53"/>
        <v>0.05</v>
      </c>
      <c r="AJ32" s="406">
        <v>0.06</v>
      </c>
      <c r="AK32" s="406">
        <v>0.06</v>
      </c>
      <c r="AL32" s="406">
        <v>0.06</v>
      </c>
      <c r="AM32" s="406">
        <v>0.06</v>
      </c>
      <c r="AN32" s="210">
        <f t="shared" si="54"/>
        <v>0.06</v>
      </c>
      <c r="AO32" s="406">
        <v>0.06</v>
      </c>
      <c r="AP32" s="406">
        <v>0.06</v>
      </c>
      <c r="AQ32" s="406">
        <v>0.05</v>
      </c>
      <c r="AR32" s="406">
        <v>0.05</v>
      </c>
      <c r="AS32" s="210">
        <f t="shared" si="55"/>
        <v>0.05</v>
      </c>
      <c r="AT32" s="206">
        <f t="shared" si="56"/>
        <v>0.05</v>
      </c>
      <c r="AU32" s="206">
        <f t="shared" si="51"/>
        <v>0.05</v>
      </c>
      <c r="AV32" s="206">
        <f t="shared" si="51"/>
        <v>0.05</v>
      </c>
      <c r="AW32" s="206">
        <f t="shared" si="51"/>
        <v>0.05</v>
      </c>
      <c r="AX32" s="210">
        <f t="shared" si="51"/>
        <v>0.05</v>
      </c>
      <c r="AY32" s="206">
        <f t="shared" si="57"/>
        <v>0.05</v>
      </c>
      <c r="AZ32" s="206">
        <f t="shared" si="52"/>
        <v>0.05</v>
      </c>
      <c r="BA32" s="206">
        <f t="shared" si="52"/>
        <v>0.05</v>
      </c>
      <c r="BB32" s="206">
        <f t="shared" si="52"/>
        <v>0.05</v>
      </c>
      <c r="BC32" s="210">
        <f t="shared" si="52"/>
        <v>0.05</v>
      </c>
      <c r="BD32" s="206">
        <f t="shared" si="58"/>
        <v>0.05</v>
      </c>
      <c r="BE32" s="206">
        <f t="shared" si="59"/>
        <v>0.05</v>
      </c>
      <c r="BF32" s="206">
        <f t="shared" si="59"/>
        <v>0.05</v>
      </c>
      <c r="BG32" s="206">
        <f t="shared" si="59"/>
        <v>0.05</v>
      </c>
      <c r="BH32" s="210">
        <f t="shared" si="59"/>
        <v>0.05</v>
      </c>
      <c r="BI32" s="206">
        <f t="shared" si="60"/>
        <v>0.05</v>
      </c>
      <c r="BJ32" s="206">
        <f t="shared" si="61"/>
        <v>0.05</v>
      </c>
      <c r="BK32" s="206">
        <f t="shared" si="61"/>
        <v>0.05</v>
      </c>
      <c r="BL32" s="206">
        <f t="shared" si="61"/>
        <v>0.05</v>
      </c>
      <c r="BM32" s="210">
        <f t="shared" si="61"/>
        <v>0.05</v>
      </c>
      <c r="BN32" s="206">
        <f t="shared" si="62"/>
        <v>0.05</v>
      </c>
      <c r="BO32" s="206">
        <f t="shared" si="63"/>
        <v>0.05</v>
      </c>
      <c r="BP32" s="206">
        <f t="shared" si="63"/>
        <v>0.05</v>
      </c>
      <c r="BQ32" s="206">
        <f t="shared" si="63"/>
        <v>0.05</v>
      </c>
      <c r="BR32" s="210">
        <f t="shared" si="63"/>
        <v>0.05</v>
      </c>
      <c r="BS32" s="206">
        <f t="shared" si="64"/>
        <v>0.05</v>
      </c>
      <c r="BT32" s="206">
        <f t="shared" si="65"/>
        <v>0.05</v>
      </c>
      <c r="BU32" s="206">
        <f t="shared" si="65"/>
        <v>0.05</v>
      </c>
      <c r="BV32" s="206">
        <f t="shared" si="65"/>
        <v>0.05</v>
      </c>
      <c r="BW32" s="210">
        <f t="shared" si="65"/>
        <v>0.05</v>
      </c>
      <c r="BX32" s="206">
        <f t="shared" si="66"/>
        <v>0.05</v>
      </c>
      <c r="BY32" s="206">
        <f t="shared" si="67"/>
        <v>0.05</v>
      </c>
      <c r="BZ32" s="206">
        <f t="shared" si="67"/>
        <v>0.05</v>
      </c>
      <c r="CA32" s="206">
        <f t="shared" si="67"/>
        <v>0.05</v>
      </c>
      <c r="CB32" s="210">
        <f t="shared" si="67"/>
        <v>0.05</v>
      </c>
      <c r="CC32" s="206">
        <f t="shared" si="68"/>
        <v>0.05</v>
      </c>
      <c r="CD32" s="206">
        <f t="shared" si="69"/>
        <v>0.05</v>
      </c>
      <c r="CE32" s="206">
        <f t="shared" si="70"/>
        <v>0.05</v>
      </c>
      <c r="CF32" s="206">
        <f t="shared" si="71"/>
        <v>0.05</v>
      </c>
      <c r="CG32" s="210">
        <f t="shared" si="72"/>
        <v>0.05</v>
      </c>
      <c r="CH32" s="206">
        <f t="shared" si="73"/>
        <v>0.05</v>
      </c>
      <c r="CI32" s="206">
        <f t="shared" si="74"/>
        <v>0.05</v>
      </c>
      <c r="CJ32" s="206">
        <f t="shared" si="75"/>
        <v>0.05</v>
      </c>
      <c r="CK32" s="206">
        <f t="shared" si="76"/>
        <v>0.05</v>
      </c>
      <c r="CL32" s="210">
        <f t="shared" si="77"/>
        <v>0.05</v>
      </c>
      <c r="CM32" s="206">
        <f t="shared" si="78"/>
        <v>0.05</v>
      </c>
      <c r="CN32" s="206">
        <f t="shared" si="79"/>
        <v>0.05</v>
      </c>
      <c r="CO32" s="206">
        <f t="shared" si="80"/>
        <v>0.05</v>
      </c>
      <c r="CP32" s="206">
        <f t="shared" si="81"/>
        <v>0.05</v>
      </c>
      <c r="CQ32" s="210">
        <f t="shared" si="82"/>
        <v>0.05</v>
      </c>
      <c r="CR32" s="206">
        <f t="shared" si="83"/>
        <v>0.05</v>
      </c>
      <c r="CS32" s="206">
        <f t="shared" si="84"/>
        <v>0.05</v>
      </c>
      <c r="CT32" s="206">
        <f t="shared" si="85"/>
        <v>0.05</v>
      </c>
      <c r="CU32" s="206">
        <f t="shared" si="86"/>
        <v>0.05</v>
      </c>
      <c r="CV32" s="210">
        <f t="shared" si="87"/>
        <v>0.05</v>
      </c>
    </row>
    <row r="33" spans="5:100" x14ac:dyDescent="0.25">
      <c r="E33" s="27" t="s">
        <v>340</v>
      </c>
      <c r="F33" s="208"/>
      <c r="G33" s="208"/>
      <c r="H33" s="208"/>
      <c r="I33" s="208"/>
      <c r="J33" s="208"/>
      <c r="K33" s="205"/>
      <c r="L33" s="205"/>
      <c r="M33" s="205"/>
      <c r="N33" s="205"/>
      <c r="O33" s="210"/>
      <c r="P33" s="205"/>
      <c r="Q33" s="205"/>
      <c r="R33" s="205"/>
      <c r="S33" s="205"/>
      <c r="T33" s="210"/>
      <c r="U33" s="205"/>
      <c r="V33" s="205"/>
      <c r="W33" s="205"/>
      <c r="X33" s="205"/>
      <c r="Y33" s="210"/>
      <c r="Z33" s="205"/>
      <c r="AA33" s="205"/>
      <c r="AB33" s="205"/>
      <c r="AC33" s="205"/>
      <c r="AD33" s="210"/>
      <c r="AE33" s="205"/>
      <c r="AF33" s="205"/>
      <c r="AG33" s="205"/>
      <c r="AH33" s="205">
        <v>0.05</v>
      </c>
      <c r="AI33" s="210">
        <f t="shared" si="53"/>
        <v>0.05</v>
      </c>
      <c r="AJ33" s="406">
        <v>0.06</v>
      </c>
      <c r="AK33" s="406">
        <v>0.06</v>
      </c>
      <c r="AL33" s="406">
        <v>0.06</v>
      </c>
      <c r="AM33" s="406">
        <v>0.06</v>
      </c>
      <c r="AN33" s="210">
        <f t="shared" si="54"/>
        <v>0.06</v>
      </c>
      <c r="AO33" s="406">
        <v>0.06</v>
      </c>
      <c r="AP33" s="406">
        <v>0.06</v>
      </c>
      <c r="AQ33" s="406">
        <v>0.05</v>
      </c>
      <c r="AR33" s="406">
        <v>0.05</v>
      </c>
      <c r="AS33" s="210">
        <f t="shared" si="55"/>
        <v>0.05</v>
      </c>
      <c r="AT33" s="206">
        <f t="shared" si="56"/>
        <v>0.05</v>
      </c>
      <c r="AU33" s="206">
        <f t="shared" si="51"/>
        <v>0.05</v>
      </c>
      <c r="AV33" s="206">
        <f t="shared" si="51"/>
        <v>0.05</v>
      </c>
      <c r="AW33" s="206">
        <f t="shared" si="51"/>
        <v>0.05</v>
      </c>
      <c r="AX33" s="210">
        <f t="shared" si="51"/>
        <v>0.05</v>
      </c>
      <c r="AY33" s="206">
        <f t="shared" si="57"/>
        <v>0.05</v>
      </c>
      <c r="AZ33" s="206">
        <f t="shared" si="52"/>
        <v>0.05</v>
      </c>
      <c r="BA33" s="206">
        <f t="shared" si="52"/>
        <v>0.05</v>
      </c>
      <c r="BB33" s="206">
        <f t="shared" si="52"/>
        <v>0.05</v>
      </c>
      <c r="BC33" s="210">
        <f t="shared" si="52"/>
        <v>0.05</v>
      </c>
      <c r="BD33" s="206">
        <f t="shared" si="58"/>
        <v>0.05</v>
      </c>
      <c r="BE33" s="206">
        <f t="shared" si="59"/>
        <v>0.05</v>
      </c>
      <c r="BF33" s="206">
        <f t="shared" si="59"/>
        <v>0.05</v>
      </c>
      <c r="BG33" s="206">
        <f t="shared" si="59"/>
        <v>0.05</v>
      </c>
      <c r="BH33" s="210">
        <f t="shared" si="59"/>
        <v>0.05</v>
      </c>
      <c r="BI33" s="206">
        <f t="shared" si="60"/>
        <v>0.05</v>
      </c>
      <c r="BJ33" s="206">
        <f t="shared" si="61"/>
        <v>0.05</v>
      </c>
      <c r="BK33" s="206">
        <f t="shared" si="61"/>
        <v>0.05</v>
      </c>
      <c r="BL33" s="206">
        <f t="shared" si="61"/>
        <v>0.05</v>
      </c>
      <c r="BM33" s="210">
        <f t="shared" si="61"/>
        <v>0.05</v>
      </c>
      <c r="BN33" s="206">
        <f t="shared" si="62"/>
        <v>0.05</v>
      </c>
      <c r="BO33" s="206">
        <f t="shared" si="63"/>
        <v>0.05</v>
      </c>
      <c r="BP33" s="206">
        <f t="shared" si="63"/>
        <v>0.05</v>
      </c>
      <c r="BQ33" s="206">
        <f t="shared" si="63"/>
        <v>0.05</v>
      </c>
      <c r="BR33" s="210">
        <f t="shared" si="63"/>
        <v>0.05</v>
      </c>
      <c r="BS33" s="206">
        <f t="shared" si="64"/>
        <v>0.05</v>
      </c>
      <c r="BT33" s="206">
        <f t="shared" si="65"/>
        <v>0.05</v>
      </c>
      <c r="BU33" s="206">
        <f t="shared" si="65"/>
        <v>0.05</v>
      </c>
      <c r="BV33" s="206">
        <f t="shared" si="65"/>
        <v>0.05</v>
      </c>
      <c r="BW33" s="210">
        <f t="shared" si="65"/>
        <v>0.05</v>
      </c>
      <c r="BX33" s="206">
        <f t="shared" si="66"/>
        <v>0.05</v>
      </c>
      <c r="BY33" s="206">
        <f t="shared" si="67"/>
        <v>0.05</v>
      </c>
      <c r="BZ33" s="206">
        <f t="shared" si="67"/>
        <v>0.05</v>
      </c>
      <c r="CA33" s="206">
        <f t="shared" si="67"/>
        <v>0.05</v>
      </c>
      <c r="CB33" s="210">
        <f t="shared" si="67"/>
        <v>0.05</v>
      </c>
      <c r="CC33" s="206">
        <f t="shared" si="68"/>
        <v>0.05</v>
      </c>
      <c r="CD33" s="206">
        <f t="shared" si="69"/>
        <v>0.05</v>
      </c>
      <c r="CE33" s="206">
        <f t="shared" si="70"/>
        <v>0.05</v>
      </c>
      <c r="CF33" s="206">
        <f t="shared" si="71"/>
        <v>0.05</v>
      </c>
      <c r="CG33" s="210">
        <f t="shared" si="72"/>
        <v>0.05</v>
      </c>
      <c r="CH33" s="206">
        <f t="shared" si="73"/>
        <v>0.05</v>
      </c>
      <c r="CI33" s="206">
        <f t="shared" si="74"/>
        <v>0.05</v>
      </c>
      <c r="CJ33" s="206">
        <f t="shared" si="75"/>
        <v>0.05</v>
      </c>
      <c r="CK33" s="206">
        <f t="shared" si="76"/>
        <v>0.05</v>
      </c>
      <c r="CL33" s="210">
        <f t="shared" si="77"/>
        <v>0.05</v>
      </c>
      <c r="CM33" s="206">
        <f t="shared" si="78"/>
        <v>0.05</v>
      </c>
      <c r="CN33" s="206">
        <f t="shared" si="79"/>
        <v>0.05</v>
      </c>
      <c r="CO33" s="206">
        <f t="shared" si="80"/>
        <v>0.05</v>
      </c>
      <c r="CP33" s="206">
        <f t="shared" si="81"/>
        <v>0.05</v>
      </c>
      <c r="CQ33" s="210">
        <f t="shared" si="82"/>
        <v>0.05</v>
      </c>
      <c r="CR33" s="206">
        <f t="shared" si="83"/>
        <v>0.05</v>
      </c>
      <c r="CS33" s="206">
        <f t="shared" si="84"/>
        <v>0.05</v>
      </c>
      <c r="CT33" s="206">
        <f t="shared" si="85"/>
        <v>0.05</v>
      </c>
      <c r="CU33" s="206">
        <f t="shared" si="86"/>
        <v>0.05</v>
      </c>
      <c r="CV33" s="210">
        <f t="shared" si="87"/>
        <v>0.05</v>
      </c>
    </row>
    <row r="34" spans="5:100" x14ac:dyDescent="0.25">
      <c r="E34" s="27" t="s">
        <v>341</v>
      </c>
      <c r="F34" s="208"/>
      <c r="G34" s="208"/>
      <c r="H34" s="208"/>
      <c r="I34" s="208"/>
      <c r="J34" s="208"/>
      <c r="K34" s="205"/>
      <c r="L34" s="205"/>
      <c r="M34" s="205"/>
      <c r="N34" s="205"/>
      <c r="O34" s="210"/>
      <c r="P34" s="205"/>
      <c r="Q34" s="205"/>
      <c r="R34" s="205"/>
      <c r="S34" s="205"/>
      <c r="T34" s="210"/>
      <c r="U34" s="205"/>
      <c r="V34" s="205"/>
      <c r="W34" s="205"/>
      <c r="X34" s="205"/>
      <c r="Y34" s="210"/>
      <c r="Z34" s="205"/>
      <c r="AA34" s="205"/>
      <c r="AB34" s="205"/>
      <c r="AC34" s="205"/>
      <c r="AD34" s="210"/>
      <c r="AE34" s="205"/>
      <c r="AF34" s="205"/>
      <c r="AG34" s="205"/>
      <c r="AH34" s="205">
        <v>0.05</v>
      </c>
      <c r="AI34" s="210">
        <f t="shared" si="53"/>
        <v>0.05</v>
      </c>
      <c r="AJ34" s="406">
        <v>0.06</v>
      </c>
      <c r="AK34" s="406">
        <v>0.06</v>
      </c>
      <c r="AL34" s="406">
        <v>0.06</v>
      </c>
      <c r="AM34" s="406">
        <v>0.06</v>
      </c>
      <c r="AN34" s="210">
        <f t="shared" si="54"/>
        <v>0.06</v>
      </c>
      <c r="AO34" s="406">
        <v>0.06</v>
      </c>
      <c r="AP34" s="406">
        <v>0.06</v>
      </c>
      <c r="AQ34" s="406">
        <v>0.05</v>
      </c>
      <c r="AR34" s="406">
        <v>0.05</v>
      </c>
      <c r="AS34" s="210">
        <f t="shared" si="55"/>
        <v>0.05</v>
      </c>
      <c r="AT34" s="206">
        <f t="shared" si="56"/>
        <v>0.05</v>
      </c>
      <c r="AU34" s="206">
        <f t="shared" si="51"/>
        <v>0.05</v>
      </c>
      <c r="AV34" s="206">
        <f t="shared" si="51"/>
        <v>0.05</v>
      </c>
      <c r="AW34" s="206">
        <f t="shared" si="51"/>
        <v>0.05</v>
      </c>
      <c r="AX34" s="210">
        <f t="shared" si="51"/>
        <v>0.05</v>
      </c>
      <c r="AY34" s="206">
        <f t="shared" si="57"/>
        <v>0.05</v>
      </c>
      <c r="AZ34" s="206">
        <f t="shared" si="52"/>
        <v>0.05</v>
      </c>
      <c r="BA34" s="206">
        <f t="shared" si="52"/>
        <v>0.05</v>
      </c>
      <c r="BB34" s="206">
        <f t="shared" si="52"/>
        <v>0.05</v>
      </c>
      <c r="BC34" s="210">
        <f t="shared" si="52"/>
        <v>0.05</v>
      </c>
      <c r="BD34" s="206">
        <f t="shared" si="58"/>
        <v>0.05</v>
      </c>
      <c r="BE34" s="206">
        <f t="shared" si="59"/>
        <v>0.05</v>
      </c>
      <c r="BF34" s="206">
        <f t="shared" si="59"/>
        <v>0.05</v>
      </c>
      <c r="BG34" s="206">
        <f t="shared" si="59"/>
        <v>0.05</v>
      </c>
      <c r="BH34" s="210">
        <f t="shared" si="59"/>
        <v>0.05</v>
      </c>
      <c r="BI34" s="206">
        <f t="shared" si="60"/>
        <v>0.05</v>
      </c>
      <c r="BJ34" s="206">
        <f t="shared" si="61"/>
        <v>0.05</v>
      </c>
      <c r="BK34" s="206">
        <f t="shared" si="61"/>
        <v>0.05</v>
      </c>
      <c r="BL34" s="206">
        <f t="shared" si="61"/>
        <v>0.05</v>
      </c>
      <c r="BM34" s="210">
        <f t="shared" si="61"/>
        <v>0.05</v>
      </c>
      <c r="BN34" s="206">
        <f t="shared" si="62"/>
        <v>0.05</v>
      </c>
      <c r="BO34" s="206">
        <f t="shared" si="63"/>
        <v>0.05</v>
      </c>
      <c r="BP34" s="206">
        <f t="shared" si="63"/>
        <v>0.05</v>
      </c>
      <c r="BQ34" s="206">
        <f t="shared" si="63"/>
        <v>0.05</v>
      </c>
      <c r="BR34" s="210">
        <f t="shared" si="63"/>
        <v>0.05</v>
      </c>
      <c r="BS34" s="206">
        <f t="shared" si="64"/>
        <v>0.05</v>
      </c>
      <c r="BT34" s="206">
        <f t="shared" si="65"/>
        <v>0.05</v>
      </c>
      <c r="BU34" s="206">
        <f t="shared" si="65"/>
        <v>0.05</v>
      </c>
      <c r="BV34" s="206">
        <f t="shared" si="65"/>
        <v>0.05</v>
      </c>
      <c r="BW34" s="210">
        <f t="shared" si="65"/>
        <v>0.05</v>
      </c>
      <c r="BX34" s="206">
        <f t="shared" si="66"/>
        <v>0.05</v>
      </c>
      <c r="BY34" s="206">
        <f t="shared" si="67"/>
        <v>0.05</v>
      </c>
      <c r="BZ34" s="206">
        <f t="shared" si="67"/>
        <v>0.05</v>
      </c>
      <c r="CA34" s="206">
        <f t="shared" si="67"/>
        <v>0.05</v>
      </c>
      <c r="CB34" s="210">
        <f t="shared" si="67"/>
        <v>0.05</v>
      </c>
      <c r="CC34" s="206">
        <f t="shared" si="68"/>
        <v>0.05</v>
      </c>
      <c r="CD34" s="206">
        <f t="shared" si="69"/>
        <v>0.05</v>
      </c>
      <c r="CE34" s="206">
        <f t="shared" si="70"/>
        <v>0.05</v>
      </c>
      <c r="CF34" s="206">
        <f t="shared" si="71"/>
        <v>0.05</v>
      </c>
      <c r="CG34" s="210">
        <f t="shared" si="72"/>
        <v>0.05</v>
      </c>
      <c r="CH34" s="206">
        <f t="shared" si="73"/>
        <v>0.05</v>
      </c>
      <c r="CI34" s="206">
        <f t="shared" si="74"/>
        <v>0.05</v>
      </c>
      <c r="CJ34" s="206">
        <f t="shared" si="75"/>
        <v>0.05</v>
      </c>
      <c r="CK34" s="206">
        <f t="shared" si="76"/>
        <v>0.05</v>
      </c>
      <c r="CL34" s="210">
        <f t="shared" si="77"/>
        <v>0.05</v>
      </c>
      <c r="CM34" s="206">
        <f t="shared" si="78"/>
        <v>0.05</v>
      </c>
      <c r="CN34" s="206">
        <f t="shared" si="79"/>
        <v>0.05</v>
      </c>
      <c r="CO34" s="206">
        <f t="shared" si="80"/>
        <v>0.05</v>
      </c>
      <c r="CP34" s="206">
        <f t="shared" si="81"/>
        <v>0.05</v>
      </c>
      <c r="CQ34" s="210">
        <f t="shared" si="82"/>
        <v>0.05</v>
      </c>
      <c r="CR34" s="206">
        <f t="shared" si="83"/>
        <v>0.05</v>
      </c>
      <c r="CS34" s="206">
        <f t="shared" si="84"/>
        <v>0.05</v>
      </c>
      <c r="CT34" s="206">
        <f t="shared" si="85"/>
        <v>0.05</v>
      </c>
      <c r="CU34" s="206">
        <f t="shared" si="86"/>
        <v>0.05</v>
      </c>
      <c r="CV34" s="210">
        <f t="shared" si="87"/>
        <v>0.05</v>
      </c>
    </row>
    <row r="35" spans="5:100" x14ac:dyDescent="0.25">
      <c r="E35" s="27" t="s">
        <v>342</v>
      </c>
      <c r="F35" s="208"/>
      <c r="G35" s="208"/>
      <c r="H35" s="208"/>
      <c r="I35" s="208"/>
      <c r="J35" s="208"/>
      <c r="K35" s="205"/>
      <c r="L35" s="205"/>
      <c r="M35" s="205"/>
      <c r="N35" s="205"/>
      <c r="O35" s="210"/>
      <c r="P35" s="205"/>
      <c r="Q35" s="205"/>
      <c r="R35" s="205"/>
      <c r="S35" s="205"/>
      <c r="T35" s="210"/>
      <c r="U35" s="205"/>
      <c r="V35" s="205"/>
      <c r="W35" s="205"/>
      <c r="X35" s="205"/>
      <c r="Y35" s="210"/>
      <c r="Z35" s="205"/>
      <c r="AA35" s="205"/>
      <c r="AB35" s="205"/>
      <c r="AC35" s="205"/>
      <c r="AD35" s="210"/>
      <c r="AE35" s="205"/>
      <c r="AF35" s="205"/>
      <c r="AG35" s="205"/>
      <c r="AH35" s="205">
        <v>0.05</v>
      </c>
      <c r="AI35" s="210">
        <f t="shared" si="53"/>
        <v>0.05</v>
      </c>
      <c r="AJ35" s="406">
        <v>0.06</v>
      </c>
      <c r="AK35" s="406">
        <v>0.06</v>
      </c>
      <c r="AL35" s="406">
        <v>0.06</v>
      </c>
      <c r="AM35" s="406">
        <v>0.06</v>
      </c>
      <c r="AN35" s="210">
        <f t="shared" si="54"/>
        <v>0.06</v>
      </c>
      <c r="AO35" s="406">
        <v>0.06</v>
      </c>
      <c r="AP35" s="406">
        <v>0.06</v>
      </c>
      <c r="AQ35" s="406">
        <v>0.05</v>
      </c>
      <c r="AR35" s="406">
        <v>0.05</v>
      </c>
      <c r="AS35" s="210">
        <f t="shared" si="55"/>
        <v>0.05</v>
      </c>
      <c r="AT35" s="206">
        <f t="shared" si="56"/>
        <v>0.05</v>
      </c>
      <c r="AU35" s="206">
        <f t="shared" si="51"/>
        <v>0.05</v>
      </c>
      <c r="AV35" s="206">
        <f t="shared" si="51"/>
        <v>0.05</v>
      </c>
      <c r="AW35" s="206">
        <f t="shared" si="51"/>
        <v>0.05</v>
      </c>
      <c r="AX35" s="210">
        <f t="shared" si="51"/>
        <v>0.05</v>
      </c>
      <c r="AY35" s="206">
        <f t="shared" si="57"/>
        <v>0.05</v>
      </c>
      <c r="AZ35" s="206">
        <f t="shared" si="52"/>
        <v>0.05</v>
      </c>
      <c r="BA35" s="206">
        <f t="shared" si="52"/>
        <v>0.05</v>
      </c>
      <c r="BB35" s="206">
        <f t="shared" si="52"/>
        <v>0.05</v>
      </c>
      <c r="BC35" s="210">
        <f t="shared" si="52"/>
        <v>0.05</v>
      </c>
      <c r="BD35" s="206">
        <f t="shared" si="58"/>
        <v>0.05</v>
      </c>
      <c r="BE35" s="206">
        <f t="shared" si="59"/>
        <v>0.05</v>
      </c>
      <c r="BF35" s="206">
        <f t="shared" si="59"/>
        <v>0.05</v>
      </c>
      <c r="BG35" s="206">
        <f t="shared" si="59"/>
        <v>0.05</v>
      </c>
      <c r="BH35" s="210">
        <f t="shared" si="59"/>
        <v>0.05</v>
      </c>
      <c r="BI35" s="206">
        <f t="shared" si="60"/>
        <v>0.05</v>
      </c>
      <c r="BJ35" s="206">
        <f t="shared" si="61"/>
        <v>0.05</v>
      </c>
      <c r="BK35" s="206">
        <f t="shared" si="61"/>
        <v>0.05</v>
      </c>
      <c r="BL35" s="206">
        <f t="shared" si="61"/>
        <v>0.05</v>
      </c>
      <c r="BM35" s="210">
        <f t="shared" si="61"/>
        <v>0.05</v>
      </c>
      <c r="BN35" s="206">
        <f t="shared" si="62"/>
        <v>0.05</v>
      </c>
      <c r="BO35" s="206">
        <f t="shared" si="63"/>
        <v>0.05</v>
      </c>
      <c r="BP35" s="206">
        <f t="shared" si="63"/>
        <v>0.05</v>
      </c>
      <c r="BQ35" s="206">
        <f t="shared" si="63"/>
        <v>0.05</v>
      </c>
      <c r="BR35" s="210">
        <f t="shared" si="63"/>
        <v>0.05</v>
      </c>
      <c r="BS35" s="206">
        <f t="shared" si="64"/>
        <v>0.05</v>
      </c>
      <c r="BT35" s="206">
        <f t="shared" si="65"/>
        <v>0.05</v>
      </c>
      <c r="BU35" s="206">
        <f t="shared" si="65"/>
        <v>0.05</v>
      </c>
      <c r="BV35" s="206">
        <f t="shared" si="65"/>
        <v>0.05</v>
      </c>
      <c r="BW35" s="210">
        <f t="shared" si="65"/>
        <v>0.05</v>
      </c>
      <c r="BX35" s="206">
        <f t="shared" si="66"/>
        <v>0.05</v>
      </c>
      <c r="BY35" s="206">
        <f t="shared" si="67"/>
        <v>0.05</v>
      </c>
      <c r="BZ35" s="206">
        <f t="shared" si="67"/>
        <v>0.05</v>
      </c>
      <c r="CA35" s="206">
        <f t="shared" si="67"/>
        <v>0.05</v>
      </c>
      <c r="CB35" s="210">
        <f t="shared" si="67"/>
        <v>0.05</v>
      </c>
      <c r="CC35" s="206">
        <f t="shared" si="68"/>
        <v>0.05</v>
      </c>
      <c r="CD35" s="206">
        <f t="shared" si="69"/>
        <v>0.05</v>
      </c>
      <c r="CE35" s="206">
        <f t="shared" si="70"/>
        <v>0.05</v>
      </c>
      <c r="CF35" s="206">
        <f t="shared" si="71"/>
        <v>0.05</v>
      </c>
      <c r="CG35" s="210">
        <f t="shared" si="72"/>
        <v>0.05</v>
      </c>
      <c r="CH35" s="206">
        <f t="shared" si="73"/>
        <v>0.05</v>
      </c>
      <c r="CI35" s="206">
        <f t="shared" si="74"/>
        <v>0.05</v>
      </c>
      <c r="CJ35" s="206">
        <f t="shared" si="75"/>
        <v>0.05</v>
      </c>
      <c r="CK35" s="206">
        <f t="shared" si="76"/>
        <v>0.05</v>
      </c>
      <c r="CL35" s="210">
        <f t="shared" si="77"/>
        <v>0.05</v>
      </c>
      <c r="CM35" s="206">
        <f t="shared" si="78"/>
        <v>0.05</v>
      </c>
      <c r="CN35" s="206">
        <f t="shared" si="79"/>
        <v>0.05</v>
      </c>
      <c r="CO35" s="206">
        <f t="shared" si="80"/>
        <v>0.05</v>
      </c>
      <c r="CP35" s="206">
        <f t="shared" si="81"/>
        <v>0.05</v>
      </c>
      <c r="CQ35" s="210">
        <f t="shared" si="82"/>
        <v>0.05</v>
      </c>
      <c r="CR35" s="206">
        <f t="shared" si="83"/>
        <v>0.05</v>
      </c>
      <c r="CS35" s="206">
        <f t="shared" si="84"/>
        <v>0.05</v>
      </c>
      <c r="CT35" s="206">
        <f t="shared" si="85"/>
        <v>0.05</v>
      </c>
      <c r="CU35" s="206">
        <f t="shared" si="86"/>
        <v>0.05</v>
      </c>
      <c r="CV35" s="210">
        <f t="shared" si="87"/>
        <v>0.05</v>
      </c>
    </row>
    <row r="36" spans="5:100" x14ac:dyDescent="0.25">
      <c r="E36" s="27" t="s">
        <v>343</v>
      </c>
      <c r="F36" s="208"/>
      <c r="G36" s="208"/>
      <c r="H36" s="208"/>
      <c r="I36" s="208"/>
      <c r="J36" s="208"/>
      <c r="K36" s="205"/>
      <c r="L36" s="205"/>
      <c r="M36" s="205"/>
      <c r="N36" s="205"/>
      <c r="O36" s="210"/>
      <c r="P36" s="205"/>
      <c r="Q36" s="205"/>
      <c r="R36" s="205"/>
      <c r="S36" s="205"/>
      <c r="T36" s="210"/>
      <c r="U36" s="205"/>
      <c r="V36" s="205"/>
      <c r="W36" s="205"/>
      <c r="X36" s="205"/>
      <c r="Y36" s="210"/>
      <c r="Z36" s="205"/>
      <c r="AA36" s="205"/>
      <c r="AB36" s="205"/>
      <c r="AC36" s="205"/>
      <c r="AD36" s="210"/>
      <c r="AE36" s="205"/>
      <c r="AF36" s="205"/>
      <c r="AG36" s="205"/>
      <c r="AH36" s="205">
        <v>0.05</v>
      </c>
      <c r="AI36" s="210">
        <f t="shared" si="53"/>
        <v>0.05</v>
      </c>
      <c r="AJ36" s="406">
        <v>0.06</v>
      </c>
      <c r="AK36" s="406">
        <v>0.06</v>
      </c>
      <c r="AL36" s="406">
        <v>0.06</v>
      </c>
      <c r="AM36" s="406">
        <v>0.06</v>
      </c>
      <c r="AN36" s="210">
        <f t="shared" si="54"/>
        <v>0.06</v>
      </c>
      <c r="AO36" s="406">
        <v>0.06</v>
      </c>
      <c r="AP36" s="406">
        <v>0.06</v>
      </c>
      <c r="AQ36" s="406">
        <v>0.05</v>
      </c>
      <c r="AR36" s="406">
        <v>0.05</v>
      </c>
      <c r="AS36" s="210">
        <f t="shared" si="55"/>
        <v>0.05</v>
      </c>
      <c r="AT36" s="206">
        <f t="shared" si="56"/>
        <v>0.05</v>
      </c>
      <c r="AU36" s="206">
        <f t="shared" si="51"/>
        <v>0.05</v>
      </c>
      <c r="AV36" s="206">
        <f t="shared" si="51"/>
        <v>0.05</v>
      </c>
      <c r="AW36" s="206">
        <f t="shared" si="51"/>
        <v>0.05</v>
      </c>
      <c r="AX36" s="210">
        <f t="shared" si="51"/>
        <v>0.05</v>
      </c>
      <c r="AY36" s="206">
        <f t="shared" si="57"/>
        <v>0.05</v>
      </c>
      <c r="AZ36" s="206">
        <f t="shared" si="52"/>
        <v>0.05</v>
      </c>
      <c r="BA36" s="206">
        <f t="shared" si="52"/>
        <v>0.05</v>
      </c>
      <c r="BB36" s="206">
        <f t="shared" si="52"/>
        <v>0.05</v>
      </c>
      <c r="BC36" s="210">
        <f t="shared" si="52"/>
        <v>0.05</v>
      </c>
      <c r="BD36" s="206">
        <f t="shared" si="58"/>
        <v>0.05</v>
      </c>
      <c r="BE36" s="206">
        <f t="shared" si="59"/>
        <v>0.05</v>
      </c>
      <c r="BF36" s="206">
        <f t="shared" si="59"/>
        <v>0.05</v>
      </c>
      <c r="BG36" s="206">
        <f t="shared" si="59"/>
        <v>0.05</v>
      </c>
      <c r="BH36" s="210">
        <f t="shared" si="59"/>
        <v>0.05</v>
      </c>
      <c r="BI36" s="206">
        <f t="shared" si="60"/>
        <v>0.05</v>
      </c>
      <c r="BJ36" s="206">
        <f t="shared" si="61"/>
        <v>0.05</v>
      </c>
      <c r="BK36" s="206">
        <f t="shared" si="61"/>
        <v>0.05</v>
      </c>
      <c r="BL36" s="206">
        <f t="shared" si="61"/>
        <v>0.05</v>
      </c>
      <c r="BM36" s="210">
        <f t="shared" si="61"/>
        <v>0.05</v>
      </c>
      <c r="BN36" s="206">
        <f t="shared" si="62"/>
        <v>0.05</v>
      </c>
      <c r="BO36" s="206">
        <f t="shared" si="63"/>
        <v>0.05</v>
      </c>
      <c r="BP36" s="206">
        <f t="shared" si="63"/>
        <v>0.05</v>
      </c>
      <c r="BQ36" s="206">
        <f t="shared" si="63"/>
        <v>0.05</v>
      </c>
      <c r="BR36" s="210">
        <f t="shared" si="63"/>
        <v>0.05</v>
      </c>
      <c r="BS36" s="206">
        <f t="shared" si="64"/>
        <v>0.05</v>
      </c>
      <c r="BT36" s="206">
        <f t="shared" si="65"/>
        <v>0.05</v>
      </c>
      <c r="BU36" s="206">
        <f t="shared" si="65"/>
        <v>0.05</v>
      </c>
      <c r="BV36" s="206">
        <f t="shared" si="65"/>
        <v>0.05</v>
      </c>
      <c r="BW36" s="210">
        <f t="shared" si="65"/>
        <v>0.05</v>
      </c>
      <c r="BX36" s="206">
        <f t="shared" si="66"/>
        <v>0.05</v>
      </c>
      <c r="BY36" s="206">
        <f t="shared" si="67"/>
        <v>0.05</v>
      </c>
      <c r="BZ36" s="206">
        <f t="shared" si="67"/>
        <v>0.05</v>
      </c>
      <c r="CA36" s="206">
        <f t="shared" si="67"/>
        <v>0.05</v>
      </c>
      <c r="CB36" s="210">
        <f t="shared" si="67"/>
        <v>0.05</v>
      </c>
      <c r="CC36" s="206">
        <f t="shared" si="68"/>
        <v>0.05</v>
      </c>
      <c r="CD36" s="206">
        <f t="shared" si="69"/>
        <v>0.05</v>
      </c>
      <c r="CE36" s="206">
        <f t="shared" si="70"/>
        <v>0.05</v>
      </c>
      <c r="CF36" s="206">
        <f t="shared" si="71"/>
        <v>0.05</v>
      </c>
      <c r="CG36" s="210">
        <f t="shared" si="72"/>
        <v>0.05</v>
      </c>
      <c r="CH36" s="206">
        <f t="shared" si="73"/>
        <v>0.05</v>
      </c>
      <c r="CI36" s="206">
        <f t="shared" si="74"/>
        <v>0.05</v>
      </c>
      <c r="CJ36" s="206">
        <f t="shared" si="75"/>
        <v>0.05</v>
      </c>
      <c r="CK36" s="206">
        <f t="shared" si="76"/>
        <v>0.05</v>
      </c>
      <c r="CL36" s="210">
        <f t="shared" si="77"/>
        <v>0.05</v>
      </c>
      <c r="CM36" s="206">
        <f t="shared" si="78"/>
        <v>0.05</v>
      </c>
      <c r="CN36" s="206">
        <f t="shared" si="79"/>
        <v>0.05</v>
      </c>
      <c r="CO36" s="206">
        <f t="shared" si="80"/>
        <v>0.05</v>
      </c>
      <c r="CP36" s="206">
        <f t="shared" si="81"/>
        <v>0.05</v>
      </c>
      <c r="CQ36" s="210">
        <f t="shared" si="82"/>
        <v>0.05</v>
      </c>
      <c r="CR36" s="206">
        <f t="shared" si="83"/>
        <v>0.05</v>
      </c>
      <c r="CS36" s="206">
        <f t="shared" si="84"/>
        <v>0.05</v>
      </c>
      <c r="CT36" s="206">
        <f t="shared" si="85"/>
        <v>0.05</v>
      </c>
      <c r="CU36" s="206">
        <f t="shared" si="86"/>
        <v>0.05</v>
      </c>
      <c r="CV36" s="210">
        <f t="shared" si="87"/>
        <v>0.05</v>
      </c>
    </row>
    <row r="37" spans="5:100" ht="3.95" customHeight="1" x14ac:dyDescent="0.25">
      <c r="F37" s="71"/>
      <c r="G37" s="71"/>
      <c r="H37" s="71"/>
      <c r="I37" s="71"/>
      <c r="J37" s="71"/>
      <c r="O37" s="71"/>
      <c r="T37" s="71"/>
      <c r="Y37" s="71"/>
      <c r="AD37" s="71"/>
      <c r="AI37" s="71"/>
      <c r="AJ37" s="57"/>
      <c r="AK37" s="57"/>
      <c r="AL37" s="57"/>
      <c r="AM37" s="57"/>
      <c r="AN37" s="71"/>
      <c r="AO37" s="57"/>
      <c r="AP37" s="57"/>
      <c r="AQ37" s="57"/>
      <c r="AR37" s="57"/>
      <c r="AS37" s="71"/>
      <c r="AX37" s="71"/>
      <c r="BC37" s="71"/>
      <c r="BH37" s="71"/>
      <c r="BM37" s="71"/>
      <c r="BR37" s="71"/>
      <c r="BW37" s="71"/>
      <c r="CB37" s="71"/>
      <c r="CG37" s="71"/>
      <c r="CL37" s="71"/>
      <c r="CQ37" s="71"/>
      <c r="CR37" s="720"/>
      <c r="CS37" s="720"/>
      <c r="CT37" s="720"/>
      <c r="CU37" s="720"/>
      <c r="CV37" s="71"/>
    </row>
    <row r="38" spans="5:100" x14ac:dyDescent="0.25">
      <c r="E38" s="47" t="s">
        <v>137</v>
      </c>
      <c r="F38" s="208"/>
      <c r="G38" s="208"/>
      <c r="H38" s="208"/>
      <c r="I38" s="208"/>
      <c r="J38" s="208"/>
      <c r="K38" s="205"/>
      <c r="L38" s="205"/>
      <c r="M38" s="205"/>
      <c r="N38" s="205"/>
      <c r="O38" s="210"/>
      <c r="P38" s="205"/>
      <c r="Q38" s="205"/>
      <c r="R38" s="205"/>
      <c r="S38" s="205"/>
      <c r="T38" s="210"/>
      <c r="U38" s="205"/>
      <c r="V38" s="205"/>
      <c r="W38" s="205"/>
      <c r="X38" s="205"/>
      <c r="Y38" s="210"/>
      <c r="Z38" s="205"/>
      <c r="AA38" s="205"/>
      <c r="AB38" s="205"/>
      <c r="AC38" s="205"/>
      <c r="AD38" s="210"/>
      <c r="AE38" s="205"/>
      <c r="AF38" s="205"/>
      <c r="AG38" s="205"/>
      <c r="AH38" s="205">
        <v>0.05</v>
      </c>
      <c r="AI38" s="210">
        <f>AH38</f>
        <v>0.05</v>
      </c>
      <c r="AJ38" s="406">
        <v>0.02</v>
      </c>
      <c r="AK38" s="406">
        <v>0.02</v>
      </c>
      <c r="AL38" s="406">
        <v>0.02</v>
      </c>
      <c r="AM38" s="406">
        <v>0.02</v>
      </c>
      <c r="AN38" s="210">
        <f>AM38</f>
        <v>0.02</v>
      </c>
      <c r="AO38" s="406">
        <v>0.02</v>
      </c>
      <c r="AP38" s="406">
        <v>0.02</v>
      </c>
      <c r="AQ38" s="406">
        <v>0.02</v>
      </c>
      <c r="AR38" s="406">
        <v>0.02</v>
      </c>
      <c r="AS38" s="210">
        <f>AR38</f>
        <v>0.02</v>
      </c>
      <c r="AT38" s="405">
        <v>0.02</v>
      </c>
      <c r="AU38" s="206">
        <f>AT38</f>
        <v>0.02</v>
      </c>
      <c r="AV38" s="206">
        <f>AU38</f>
        <v>0.02</v>
      </c>
      <c r="AW38" s="405">
        <v>1.4999999999999999E-2</v>
      </c>
      <c r="AX38" s="210">
        <f t="shared" si="51"/>
        <v>1.4999999999999999E-2</v>
      </c>
      <c r="AY38" s="206">
        <f>AW38</f>
        <v>1.4999999999999999E-2</v>
      </c>
      <c r="AZ38" s="206">
        <f>AY38</f>
        <v>1.4999999999999999E-2</v>
      </c>
      <c r="BA38" s="206">
        <f>AZ38</f>
        <v>1.4999999999999999E-2</v>
      </c>
      <c r="BB38" s="405">
        <v>0.02</v>
      </c>
      <c r="BC38" s="210">
        <f t="shared" si="52"/>
        <v>0.02</v>
      </c>
      <c r="BD38" s="206">
        <f>BB38</f>
        <v>0.02</v>
      </c>
      <c r="BE38" s="206">
        <f>BD38</f>
        <v>0.02</v>
      </c>
      <c r="BF38" s="206">
        <f>BE38</f>
        <v>0.02</v>
      </c>
      <c r="BG38" s="206">
        <f>BF38</f>
        <v>0.02</v>
      </c>
      <c r="BH38" s="210">
        <f>BG38</f>
        <v>0.02</v>
      </c>
      <c r="BI38" s="206">
        <f>BG38</f>
        <v>0.02</v>
      </c>
      <c r="BJ38" s="206">
        <f>BI38</f>
        <v>0.02</v>
      </c>
      <c r="BK38" s="206">
        <f>BJ38</f>
        <v>0.02</v>
      </c>
      <c r="BL38" s="206">
        <f>BK38</f>
        <v>0.02</v>
      </c>
      <c r="BM38" s="210">
        <f>BL38</f>
        <v>0.02</v>
      </c>
      <c r="BN38" s="206">
        <f>BL38</f>
        <v>0.02</v>
      </c>
      <c r="BO38" s="206">
        <f>BN38</f>
        <v>0.02</v>
      </c>
      <c r="BP38" s="206">
        <f>BO38</f>
        <v>0.02</v>
      </c>
      <c r="BQ38" s="206">
        <f>BP38</f>
        <v>0.02</v>
      </c>
      <c r="BR38" s="210">
        <f>BQ38</f>
        <v>0.02</v>
      </c>
      <c r="BS38" s="206">
        <f>BQ38</f>
        <v>0.02</v>
      </c>
      <c r="BT38" s="206">
        <f>BS38</f>
        <v>0.02</v>
      </c>
      <c r="BU38" s="206">
        <f>BT38</f>
        <v>0.02</v>
      </c>
      <c r="BV38" s="206">
        <f>BU38</f>
        <v>0.02</v>
      </c>
      <c r="BW38" s="210">
        <f>BV38</f>
        <v>0.02</v>
      </c>
      <c r="BX38" s="206">
        <v>0.01</v>
      </c>
      <c r="BY38" s="206">
        <f>BX38</f>
        <v>0.01</v>
      </c>
      <c r="BZ38" s="206">
        <f>BY38</f>
        <v>0.01</v>
      </c>
      <c r="CA38" s="206">
        <f>BZ38</f>
        <v>0.01</v>
      </c>
      <c r="CB38" s="210">
        <f>CA38</f>
        <v>0.01</v>
      </c>
      <c r="CC38" s="206">
        <v>0.01</v>
      </c>
      <c r="CD38" s="206">
        <f t="shared" ref="CD38:CL38" si="88">CC38</f>
        <v>0.01</v>
      </c>
      <c r="CE38" s="206">
        <f t="shared" si="88"/>
        <v>0.01</v>
      </c>
      <c r="CF38" s="206">
        <f>CE38</f>
        <v>0.01</v>
      </c>
      <c r="CG38" s="210">
        <f t="shared" si="88"/>
        <v>0.01</v>
      </c>
      <c r="CH38" s="206">
        <v>0.01</v>
      </c>
      <c r="CI38" s="206">
        <f>CH38</f>
        <v>0.01</v>
      </c>
      <c r="CJ38" s="206">
        <v>1.7500000000000002E-2</v>
      </c>
      <c r="CK38" s="206">
        <v>1.7500000000000002E-2</v>
      </c>
      <c r="CL38" s="210">
        <f t="shared" si="88"/>
        <v>1.7500000000000002E-2</v>
      </c>
      <c r="CM38" s="206">
        <v>1.7999999999999999E-2</v>
      </c>
      <c r="CN38" s="206">
        <f>CM38+0.0005</f>
        <v>1.8499999999999999E-2</v>
      </c>
      <c r="CO38" s="206">
        <f>CN38+0.0005</f>
        <v>1.9E-2</v>
      </c>
      <c r="CP38" s="206">
        <f>CO38+0.0005</f>
        <v>1.95E-2</v>
      </c>
      <c r="CQ38" s="210">
        <f>CP38</f>
        <v>1.95E-2</v>
      </c>
      <c r="CR38" s="206">
        <f>CQ38+0.0005</f>
        <v>0.02</v>
      </c>
      <c r="CS38" s="206">
        <f>CR38+0.0005</f>
        <v>2.0500000000000001E-2</v>
      </c>
      <c r="CT38" s="206">
        <f>CS38+0.0005</f>
        <v>2.1000000000000001E-2</v>
      </c>
      <c r="CU38" s="206">
        <f>CT38+0.0005</f>
        <v>2.1500000000000002E-2</v>
      </c>
      <c r="CV38" s="210">
        <f>CU38</f>
        <v>2.1500000000000002E-2</v>
      </c>
    </row>
    <row r="39" spans="5:100" x14ac:dyDescent="0.25">
      <c r="F39" s="71"/>
      <c r="G39" s="71"/>
      <c r="H39" s="71"/>
      <c r="I39" s="71"/>
      <c r="J39" s="71"/>
      <c r="O39" s="71"/>
      <c r="T39" s="71"/>
      <c r="Y39" s="71"/>
      <c r="AD39" s="71"/>
      <c r="AI39" s="71"/>
      <c r="AN39" s="71"/>
      <c r="AS39" s="71"/>
      <c r="AX39" s="71"/>
      <c r="BC39" s="71"/>
      <c r="BH39" s="71"/>
      <c r="BM39" s="71"/>
      <c r="BR39" s="71"/>
      <c r="BW39" s="71"/>
      <c r="CB39" s="71"/>
      <c r="CG39" s="71"/>
      <c r="CL39" s="71"/>
      <c r="CQ39" s="71"/>
      <c r="CR39" s="720"/>
      <c r="CS39" s="720"/>
      <c r="CT39" s="720"/>
      <c r="CU39" s="720"/>
      <c r="CV39" s="71"/>
    </row>
    <row r="40" spans="5:100" x14ac:dyDescent="0.25">
      <c r="E40" s="47" t="s">
        <v>78</v>
      </c>
      <c r="F40" s="71"/>
      <c r="G40" s="139"/>
      <c r="H40" s="139"/>
      <c r="I40" s="139"/>
      <c r="J40" s="139"/>
      <c r="K40" s="27"/>
      <c r="L40" s="27"/>
      <c r="M40" s="27"/>
      <c r="N40" s="27"/>
      <c r="O40" s="139"/>
      <c r="P40" s="27"/>
      <c r="Q40" s="27"/>
      <c r="R40" s="27"/>
      <c r="S40" s="27"/>
      <c r="T40" s="139"/>
      <c r="U40" s="27"/>
      <c r="V40" s="27"/>
      <c r="W40" s="27"/>
      <c r="X40" s="27"/>
      <c r="Y40" s="139"/>
      <c r="Z40" s="27"/>
      <c r="AA40" s="27"/>
      <c r="AB40" s="27"/>
      <c r="AC40" s="27"/>
      <c r="AD40" s="139"/>
      <c r="AE40" s="27"/>
      <c r="AF40" s="27"/>
      <c r="AG40" s="27"/>
      <c r="AH40" s="27">
        <f>(((AH10+AF10)/2)*AH29/4)</f>
        <v>-0.43286875000000002</v>
      </c>
      <c r="AI40" s="139">
        <f>SUM(AE40:AH40)</f>
        <v>-0.43286875000000002</v>
      </c>
      <c r="AJ40" s="27">
        <f>(((AJ10+AH10)/2)*AJ29/4)</f>
        <v>-0.95993249999999997</v>
      </c>
      <c r="AK40" s="27">
        <f>(((AK10+AI10)/2)*AK29/4)</f>
        <v>-0.88876500000000003</v>
      </c>
      <c r="AL40" s="27">
        <f>(((AL10+AJ10)/2)*AL29/4)</f>
        <v>-0.7730475</v>
      </c>
      <c r="AM40" s="27">
        <f>(((AM10+AK10)/2)*AM29/4)</f>
        <v>-0.67657500000000004</v>
      </c>
      <c r="AN40" s="139">
        <f>SUM(AJ40:AM40)</f>
        <v>-3.2983200000000004</v>
      </c>
      <c r="AO40" s="27">
        <f>(((AO10+AM10)/2)*AO29/4)</f>
        <v>-0.56963999999999992</v>
      </c>
      <c r="AP40" s="27">
        <f>(((AP10+AO10)/2)*AP29/4)</f>
        <v>-0.58965750000000006</v>
      </c>
      <c r="AQ40" s="27">
        <f>(((AQ10+AP10)/2)*AQ29/4)</f>
        <v>-0.53200625000000012</v>
      </c>
      <c r="AR40" s="27">
        <f>(((AR10+AQ10)/2)*AR29/4)</f>
        <v>-0.41795500000000008</v>
      </c>
      <c r="AS40" s="139">
        <f>SUM(AO40:AR40)</f>
        <v>-2.1092587500000004</v>
      </c>
      <c r="AT40" s="27">
        <f>(((AT10+AR10)/2)*AT29/4)</f>
        <v>-0.42137500000000006</v>
      </c>
      <c r="AU40" s="27">
        <f>(((AU10+AT10)/2)*AU29/4)</f>
        <v>-0.36767499999999997</v>
      </c>
      <c r="AV40" s="27">
        <f>(((AV10+AU10)/2)*AV29/4)</f>
        <v>-0.31064999999999998</v>
      </c>
      <c r="AW40" s="27">
        <f>(((AW10+AV10)/2)*AW29/4)</f>
        <v>-0.29371000000000003</v>
      </c>
      <c r="AX40" s="139">
        <f>SUM(AT40:AW40)</f>
        <v>-1.3934099999999998</v>
      </c>
      <c r="AY40" s="27">
        <f>(((AY10+AW10)/2)*AY29/4)</f>
        <v>-0.28045000000000003</v>
      </c>
      <c r="AZ40" s="27">
        <f>(((AZ10+AY10)/2)*AZ29/4)</f>
        <v>-0.27968999999999999</v>
      </c>
      <c r="BA40" s="27">
        <f>(((BA10+AZ10)/2)*BA29/4)</f>
        <v>-0.27838999999999997</v>
      </c>
      <c r="BB40" s="27">
        <f>(((BB10+BA10)/2)*BB29/4)</f>
        <v>-0.27109</v>
      </c>
      <c r="BC40" s="139">
        <f>SUM(AY40:BB40)</f>
        <v>-1.1096200000000001</v>
      </c>
      <c r="BD40" s="27">
        <f>(((BD10+BB10)/2)*BD29/4)</f>
        <v>-0.256355</v>
      </c>
      <c r="BE40" s="27">
        <f>(((BE10+BD10)/2)*BE29/4)</f>
        <v>-0.23698500000000003</v>
      </c>
      <c r="BF40" s="27">
        <f>(((BF10+BE10)/2)*BF29/4)</f>
        <v>-0.21153</v>
      </c>
      <c r="BG40" s="27">
        <f>(((BG10+BF10)/2)*BG29/4)</f>
        <v>-0.17959499999999998</v>
      </c>
      <c r="BH40" s="139">
        <f>SUM(BD40:BG40)</f>
        <v>-0.88446499999999995</v>
      </c>
      <c r="BI40" s="27">
        <f>(((BI10+BG10)/2)*BI29/4)</f>
        <v>-0.15440999999999999</v>
      </c>
      <c r="BJ40" s="27">
        <f>(((BJ10+BI10)/2)*BJ29/4)</f>
        <v>-0.14168500000000001</v>
      </c>
      <c r="BK40" s="27">
        <f>(((BK10+BJ10)/2)*BK29/4)</f>
        <v>-0.19597999999999999</v>
      </c>
      <c r="BL40" s="27">
        <f>(((BL10+BK10)/2)*BL29/4)</f>
        <v>-0.27101500000000001</v>
      </c>
      <c r="BM40" s="139">
        <f>SUM(BI40:BL40)</f>
        <v>-0.76309000000000005</v>
      </c>
      <c r="BN40" s="27">
        <f>(((BN10+BL10)/2)*BN29/4)</f>
        <v>-0.29967500000000002</v>
      </c>
      <c r="BO40" s="27">
        <f>(((BO10+BN10)/2)*BO29/4)</f>
        <v>-0.32743000000000005</v>
      </c>
      <c r="BP40" s="27">
        <f>(((BP10+BO10)/2)*BP29/4)</f>
        <v>-0.33693499999999998</v>
      </c>
      <c r="BQ40" s="27">
        <f>(((BQ10+BP10)/2)*BQ29/4)</f>
        <v>-0.33077000000000001</v>
      </c>
      <c r="BR40" s="139">
        <f>SUM(BN40:BQ40)</f>
        <v>-1.29481</v>
      </c>
      <c r="BS40" s="27">
        <f>(((BS10+BQ10)/2)*BS29/4)</f>
        <v>-0.60035499999999997</v>
      </c>
      <c r="BT40" s="27">
        <f>(((BT10+BS10)/2)*BT29/4)</f>
        <v>-0.59695500000000001</v>
      </c>
      <c r="BU40" s="27">
        <f>(((BU10+BT10)/2)*BU29/4)</f>
        <v>-0.32213999999999998</v>
      </c>
      <c r="BV40" s="27">
        <f>(((BV10+BU10)/2)*BV29/4)</f>
        <v>-0.32233000000000006</v>
      </c>
      <c r="BW40" s="139">
        <f>SUM(BS40:BV40)</f>
        <v>-1.84178</v>
      </c>
      <c r="BX40" s="27">
        <f>(((BX10+BV10)/2)*BX29/4)</f>
        <v>-0.32252500000000001</v>
      </c>
      <c r="BY40" s="27">
        <f>(((BY10+BX10)/2)*BY29/4)</f>
        <v>-0.32271500000000003</v>
      </c>
      <c r="BZ40" s="27">
        <f>(((BZ10+BY10)/2)*BZ29/4)</f>
        <v>-0.34165499999999993</v>
      </c>
      <c r="CA40" s="27">
        <f>(((CA10+BZ10)/2)*CA29/4)</f>
        <v>-0.37934499999999999</v>
      </c>
      <c r="CB40" s="139">
        <f>SUM(BX40:CA40)</f>
        <v>-1.3662399999999999</v>
      </c>
      <c r="CC40" s="27">
        <f>(((CC10+CA10)/2)*CC29/4)</f>
        <v>-0.21079000000000001</v>
      </c>
      <c r="CD40" s="27">
        <f>(((CD10+CC10)/2)*CD29/4)</f>
        <v>-2.214E-2</v>
      </c>
      <c r="CE40" s="27">
        <f>(((CE10+CD10)/2)*CE29/4)</f>
        <v>-1.9630000000000002E-2</v>
      </c>
      <c r="CF40" s="27">
        <f>(((CF10+CE10)/2)*CF29/4)</f>
        <v>-1.7100000000000001E-2</v>
      </c>
      <c r="CG40" s="139">
        <f>SUM(CC40:CF40)</f>
        <v>-0.26966000000000001</v>
      </c>
      <c r="CH40" s="27">
        <f>(((CH10+CF10)/2)*CH29/4)</f>
        <v>-1.455E-2</v>
      </c>
      <c r="CI40" s="27">
        <f>(((CI10+CH10)/2)*CI29/4)</f>
        <v>-6.6350000000000003E-3</v>
      </c>
      <c r="CJ40" s="27">
        <f>(((CJ10+CI10)/2)*CJ29/4)</f>
        <v>0</v>
      </c>
      <c r="CK40" s="27">
        <f>(((CK10+CJ10)/2)*CK29/4)</f>
        <v>0</v>
      </c>
      <c r="CL40" s="139">
        <f>SUM(CH40:CK40)</f>
        <v>-2.1185000000000002E-2</v>
      </c>
      <c r="CM40" s="27">
        <f>(((CM10+CK10)/2)*CM29/4)</f>
        <v>0</v>
      </c>
      <c r="CN40" s="27">
        <f>(((CN10+CM10)/2)*CN29/4)</f>
        <v>0</v>
      </c>
      <c r="CO40" s="27">
        <f>(((CO10+CN10)/2)*CO29/4)</f>
        <v>0</v>
      </c>
      <c r="CP40" s="27">
        <f>(((CP10+CO10)/2)*CP29/4)</f>
        <v>0</v>
      </c>
      <c r="CQ40" s="139">
        <f>SUM(CM40:CP40)</f>
        <v>0</v>
      </c>
      <c r="CR40" s="27">
        <f>(((CR10+CP10)/2)*CR29/4)</f>
        <v>0</v>
      </c>
      <c r="CS40" s="27">
        <f>(((CS10+CR10)/2)*CS29/4)</f>
        <v>0</v>
      </c>
      <c r="CT40" s="27">
        <f>(((CT10+CS10)/2)*CT29/4)</f>
        <v>0</v>
      </c>
      <c r="CU40" s="27">
        <f>(((CU10+CT10)/2)*CU29/4)</f>
        <v>0</v>
      </c>
      <c r="CV40" s="139">
        <f>SUM(CR40:CU40)</f>
        <v>0</v>
      </c>
    </row>
    <row r="41" spans="5:100" ht="3.95" customHeight="1" x14ac:dyDescent="0.25">
      <c r="E41" s="118"/>
      <c r="F41" s="71"/>
      <c r="G41" s="139"/>
      <c r="H41" s="139"/>
      <c r="I41" s="139"/>
      <c r="J41" s="139"/>
      <c r="K41" s="27"/>
      <c r="L41" s="27"/>
      <c r="M41" s="27"/>
      <c r="N41" s="27"/>
      <c r="O41" s="139"/>
      <c r="P41" s="27"/>
      <c r="Q41" s="27"/>
      <c r="R41" s="27"/>
      <c r="S41" s="27"/>
      <c r="T41" s="139"/>
      <c r="U41" s="27"/>
      <c r="V41" s="27"/>
      <c r="W41" s="27"/>
      <c r="X41" s="27"/>
      <c r="Y41" s="139"/>
      <c r="Z41" s="27"/>
      <c r="AA41" s="27"/>
      <c r="AB41" s="27"/>
      <c r="AC41" s="27"/>
      <c r="AD41" s="139"/>
      <c r="AE41" s="27"/>
      <c r="AF41" s="27"/>
      <c r="AG41" s="27"/>
      <c r="AH41" s="27"/>
      <c r="AI41" s="139"/>
      <c r="AJ41" s="27"/>
      <c r="AK41" s="27"/>
      <c r="AL41" s="27"/>
      <c r="AM41" s="27"/>
      <c r="AN41" s="139"/>
      <c r="AO41" s="27"/>
      <c r="AP41" s="27"/>
      <c r="AQ41" s="27"/>
      <c r="AR41" s="27"/>
      <c r="AS41" s="139"/>
      <c r="AT41" s="27"/>
      <c r="AU41" s="27"/>
      <c r="AV41" s="27"/>
      <c r="AW41" s="27"/>
      <c r="AX41" s="139"/>
      <c r="AY41" s="27"/>
      <c r="AZ41" s="27"/>
      <c r="BA41" s="27"/>
      <c r="BB41" s="27"/>
      <c r="BC41" s="139"/>
      <c r="BD41" s="27"/>
      <c r="BE41" s="27"/>
      <c r="BF41" s="27"/>
      <c r="BG41" s="27"/>
      <c r="BH41" s="139"/>
      <c r="BI41" s="27"/>
      <c r="BJ41" s="27"/>
      <c r="BK41" s="27"/>
      <c r="BL41" s="27"/>
      <c r="BM41" s="139"/>
      <c r="BN41" s="27"/>
      <c r="BO41" s="27"/>
      <c r="BP41" s="27"/>
      <c r="BQ41" s="27"/>
      <c r="BR41" s="139"/>
      <c r="BS41" s="27"/>
      <c r="BT41" s="27"/>
      <c r="BU41" s="27"/>
      <c r="BV41" s="27"/>
      <c r="BW41" s="139"/>
      <c r="BX41" s="27"/>
      <c r="BY41" s="27"/>
      <c r="BZ41" s="27"/>
      <c r="CA41" s="27"/>
      <c r="CB41" s="139"/>
      <c r="CC41" s="27"/>
      <c r="CD41" s="27"/>
      <c r="CE41" s="27"/>
      <c r="CF41" s="27"/>
      <c r="CG41" s="139"/>
      <c r="CH41" s="27"/>
      <c r="CI41" s="27"/>
      <c r="CJ41" s="27"/>
      <c r="CK41" s="27"/>
      <c r="CL41" s="139"/>
      <c r="CM41" s="27"/>
      <c r="CN41" s="27"/>
      <c r="CO41" s="27"/>
      <c r="CP41" s="27"/>
      <c r="CQ41" s="139"/>
      <c r="CR41" s="27"/>
      <c r="CS41" s="27"/>
      <c r="CT41" s="27"/>
      <c r="CU41" s="27"/>
      <c r="CV41" s="139"/>
    </row>
    <row r="42" spans="5:100" x14ac:dyDescent="0.25">
      <c r="E42" s="27" t="s">
        <v>737</v>
      </c>
      <c r="F42" s="71"/>
      <c r="G42" s="139"/>
      <c r="H42" s="139"/>
      <c r="I42" s="139"/>
      <c r="J42" s="139"/>
      <c r="K42" s="27"/>
      <c r="L42" s="27"/>
      <c r="M42" s="27"/>
      <c r="N42" s="27"/>
      <c r="O42" s="139"/>
      <c r="P42" s="27"/>
      <c r="Q42" s="27"/>
      <c r="R42" s="27"/>
      <c r="S42" s="27"/>
      <c r="T42" s="139"/>
      <c r="U42" s="27"/>
      <c r="V42" s="27"/>
      <c r="W42" s="27"/>
      <c r="X42" s="27"/>
      <c r="Y42" s="139"/>
      <c r="Z42" s="27"/>
      <c r="AA42" s="27"/>
      <c r="AB42" s="27"/>
      <c r="AC42" s="27"/>
      <c r="AD42" s="139"/>
      <c r="AE42" s="27"/>
      <c r="AF42" s="27"/>
      <c r="AG42" s="27"/>
      <c r="AH42" s="27">
        <f t="shared" ref="AH42:AH47" si="89">(((AH12+AF12)/2)*AH31/4)</f>
        <v>-2.7608812500000002</v>
      </c>
      <c r="AI42" s="139">
        <f t="shared" ref="AI42:AI47" si="90">SUM(AE42:AH42)</f>
        <v>-2.7608812500000002</v>
      </c>
      <c r="AJ42" s="27">
        <f t="shared" ref="AJ42:AM47" si="91">(((AJ12+AH12)/2)*AJ31/4)</f>
        <v>-6.6938174999999998</v>
      </c>
      <c r="AK42" s="27">
        <f t="shared" si="91"/>
        <v>-6.6449850000000001</v>
      </c>
      <c r="AL42" s="27">
        <f t="shared" si="91"/>
        <v>-6.7382024999999999</v>
      </c>
      <c r="AM42" s="27">
        <f t="shared" si="91"/>
        <v>-6.7034249999999993</v>
      </c>
      <c r="AN42" s="139">
        <f t="shared" ref="AN42:AN47" si="92">SUM(AJ42:AM42)</f>
        <v>-26.780429999999999</v>
      </c>
      <c r="AO42" s="27">
        <f t="shared" ref="AO42:AO47" si="93">(((AO12+AM12)/2)*AO31/4)</f>
        <v>-6.7766099999999998</v>
      </c>
      <c r="AP42" s="27">
        <f t="shared" ref="AP42:AR45" si="94">(((AP12+AO12)/2)*AP31/4)</f>
        <v>-6.5090924999999986</v>
      </c>
      <c r="AQ42" s="27">
        <f t="shared" si="94"/>
        <v>-5.1304937499999994</v>
      </c>
      <c r="AR42" s="27">
        <f t="shared" si="94"/>
        <v>-4.9494312499999999</v>
      </c>
      <c r="AS42" s="139">
        <f t="shared" ref="AS42:AS47" si="95">SUM(AO42:AR42)</f>
        <v>-23.365627499999999</v>
      </c>
      <c r="AT42" s="27">
        <f t="shared" ref="AT42:AT47" si="96">(((AT12+AR12)/2)*AT31/4)</f>
        <v>-4.8014062500000012</v>
      </c>
      <c r="AU42" s="27">
        <f t="shared" ref="AU42:AW47" si="97">(((AU12+AT12)/2)*AU31/4)</f>
        <v>-4.7247812500000013</v>
      </c>
      <c r="AV42" s="27">
        <f t="shared" si="97"/>
        <v>-4.4367687500000006</v>
      </c>
      <c r="AW42" s="27">
        <f t="shared" si="97"/>
        <v>-4.0903187500000007</v>
      </c>
      <c r="AX42" s="139">
        <f t="shared" ref="AX42:AX47" si="98">SUM(AT42:AW42)</f>
        <v>-18.053275000000003</v>
      </c>
      <c r="AY42" s="27">
        <f t="shared" ref="AY42:AY47" si="99">(((AY12+AW12)/2)*AY31/4)</f>
        <v>-3.7856812500000006</v>
      </c>
      <c r="AZ42" s="27">
        <f t="shared" ref="AZ42:BB47" si="100">(((AZ12+AY12)/2)*AZ31/4)</f>
        <v>-3.1025375000000004</v>
      </c>
      <c r="BA42" s="27">
        <f>(((BA12+AZ12)/2)*BA31/4)</f>
        <v>-2.5346687500000002</v>
      </c>
      <c r="BB42" s="27">
        <f t="shared" si="100"/>
        <v>-2.4387937500000003</v>
      </c>
      <c r="BC42" s="139">
        <f t="shared" ref="BC42:BC47" si="101">SUM(AY42:BB42)</f>
        <v>-11.861681250000002</v>
      </c>
      <c r="BD42" s="27">
        <f t="shared" ref="BD42:BD47" si="102">(((BD12+BB12)/2)*BD31/4)</f>
        <v>-2.4384750000000004</v>
      </c>
      <c r="BE42" s="27">
        <f t="shared" ref="BE42:BG47" si="103">(((BE12+BD12)/2)*BE31/4)</f>
        <v>-2.4754312500000006</v>
      </c>
      <c r="BF42" s="27">
        <f t="shared" si="103"/>
        <v>-2.4884875000000002</v>
      </c>
      <c r="BG42" s="27">
        <f t="shared" si="103"/>
        <v>-2.5098812500000003</v>
      </c>
      <c r="BH42" s="139">
        <f t="shared" ref="BH42:BH47" si="104">SUM(BD42:BG42)</f>
        <v>-9.9122750000000011</v>
      </c>
      <c r="BI42" s="27">
        <f t="shared" ref="BI42:BI47" si="105">(((BI12+BG12)/2)*BI31/4)</f>
        <v>-2.5226125000000001</v>
      </c>
      <c r="BJ42" s="27">
        <f t="shared" ref="BJ42:BL47" si="106">(((BJ12+BI12)/2)*BJ31/4)</f>
        <v>-2.5197687500000003</v>
      </c>
      <c r="BK42" s="27">
        <f t="shared" si="106"/>
        <v>-2.9503374999999998</v>
      </c>
      <c r="BL42" s="27">
        <f t="shared" si="106"/>
        <v>-3.3409187500000002</v>
      </c>
      <c r="BM42" s="139">
        <f t="shared" ref="BM42:BM47" si="107">SUM(BI42:BL42)</f>
        <v>-11.3336375</v>
      </c>
      <c r="BN42" s="27">
        <f t="shared" ref="BN42:BN47" si="108">(((BN12+BL12)/2)*BN31/4)</f>
        <v>-3.2582187500000006</v>
      </c>
      <c r="BO42" s="27">
        <f t="shared" ref="BO42:BO47" si="109">(((BO12+BN12)/2)*BO31/4)</f>
        <v>-3.1766500000000009</v>
      </c>
      <c r="BP42" s="27">
        <f t="shared" ref="BP42:BP47" si="110">(((BP12+BO12)/2)*BP31/4)</f>
        <v>-3.0944562500000004</v>
      </c>
      <c r="BQ42" s="27">
        <f t="shared" ref="BQ42:BQ47" si="111">(((BQ12+BP12)/2)*BQ31/4)</f>
        <v>-3.0084125000000004</v>
      </c>
      <c r="BR42" s="139">
        <f t="shared" ref="BR42:BR47" si="112">SUM(BN42:BQ42)</f>
        <v>-12.537737500000002</v>
      </c>
      <c r="BS42" s="27">
        <f t="shared" ref="BS42:BS47" si="113">(((BS12+BQ12)/2)*BS31/4)</f>
        <v>-2.5776812499999999</v>
      </c>
      <c r="BT42" s="27">
        <f t="shared" ref="BT42:BT47" si="114">(((BT12+BS12)/2)*BT31/4)</f>
        <v>-2.1444312499999998</v>
      </c>
      <c r="BU42" s="27">
        <f t="shared" ref="BU42:BU47" si="115">(((BU12+BT12)/2)*BU31/4)</f>
        <v>-2.0504500000000001</v>
      </c>
      <c r="BV42" s="27">
        <f t="shared" ref="BV42:BV47" si="116">(((BV12+BU12)/2)*BV31/4)</f>
        <v>-1.9394875</v>
      </c>
      <c r="BW42" s="139">
        <f t="shared" ref="BW42:BW47" si="117">SUM(BS42:BV42)</f>
        <v>-8.7120499999999996</v>
      </c>
      <c r="BX42" s="27">
        <f t="shared" ref="BX42:BX47" si="118">(((BX12+BV12)/2)*BX31/4)</f>
        <v>-1.83039375</v>
      </c>
      <c r="BY42" s="27">
        <f t="shared" ref="BY42:BY47" si="119">(((BY12+BX12)/2)*BY31/4)</f>
        <v>-1.7401187499999999</v>
      </c>
      <c r="BZ42" s="27">
        <f t="shared" ref="BZ42:BZ47" si="120">(((BZ12+BY12)/2)*BZ31/4)</f>
        <v>-2.0638312500000002</v>
      </c>
      <c r="CA42" s="27">
        <f>(((CA12+BZ12)/2)*CA31/4)</f>
        <v>-2.36403125</v>
      </c>
      <c r="CB42" s="139">
        <f t="shared" ref="CB42:CB47" si="121">SUM(BX42:CA42)</f>
        <v>-7.9983750000000002</v>
      </c>
      <c r="CC42" s="27">
        <f t="shared" ref="CC42:CC47" si="122">(((CC12+CA12)/2)*CC31/4)</f>
        <v>-2.5420812500000007</v>
      </c>
      <c r="CD42" s="27">
        <f t="shared" ref="CD42:CD47" si="123">(((CD12+CC12)/2)*CD31/4)</f>
        <v>-2.7917875000000003</v>
      </c>
      <c r="CE42" s="27">
        <f t="shared" ref="CE42:CE47" si="124">(((CE12+CD12)/2)*CE31/4)</f>
        <v>-2.7977750000000001</v>
      </c>
      <c r="CF42" s="27">
        <f t="shared" ref="CF42:CF47" si="125">(((CF12+CE12)/2)*CF31/4)</f>
        <v>-2.8037875000000003</v>
      </c>
      <c r="CG42" s="139">
        <f t="shared" ref="CG42:CG47" si="126">SUM(CC42:CF42)</f>
        <v>-10.935431250000001</v>
      </c>
      <c r="CH42" s="27">
        <f>(((CH12+CF12)/2)*CH31/4)</f>
        <v>-2.8042875</v>
      </c>
      <c r="CI42" s="27">
        <f t="shared" ref="CI42:CI47" si="127">(((CI12+CH12)/2)*CI31/4)</f>
        <v>-2.7947249999999997</v>
      </c>
      <c r="CJ42" s="27">
        <f t="shared" ref="CJ42:CJ47" si="128">(((CJ12+CI12)/2)*CJ31/4)</f>
        <v>-1.3938375000000001</v>
      </c>
      <c r="CK42" s="27">
        <f t="shared" ref="CK42:CK47" si="129">(((CK12+CJ12)/2)*CK31/4)</f>
        <v>0</v>
      </c>
      <c r="CL42" s="139">
        <f t="shared" ref="CL42:CL47" si="130">SUM(CH42:CK42)</f>
        <v>-6.9928499999999998</v>
      </c>
      <c r="CM42" s="27">
        <f>(((CM12+CK12)/2)*CM31/4)</f>
        <v>0</v>
      </c>
      <c r="CN42" s="27">
        <f t="shared" ref="CN42:CN47" si="131">(((CN12+CM12)/2)*CN31/4)</f>
        <v>0</v>
      </c>
      <c r="CO42" s="27">
        <f t="shared" ref="CO42:CO47" si="132">(((CO12+CN12)/2)*CO31/4)</f>
        <v>0</v>
      </c>
      <c r="CP42" s="27">
        <f t="shared" ref="CP42:CP47" si="133">(((CP12+CO12)/2)*CP31/4)</f>
        <v>0</v>
      </c>
      <c r="CQ42" s="139">
        <f t="shared" ref="CQ42:CQ47" si="134">SUM(CM42:CP42)</f>
        <v>0</v>
      </c>
      <c r="CR42" s="27">
        <f>(((CR12+CP12)/2)*CR31/4)</f>
        <v>0</v>
      </c>
      <c r="CS42" s="27">
        <f t="shared" ref="CS42:CS47" si="135">(((CS12+CR12)/2)*CS31/4)</f>
        <v>0</v>
      </c>
      <c r="CT42" s="27">
        <f t="shared" ref="CT42:CT47" si="136">(((CT12+CS12)/2)*CT31/4)</f>
        <v>0</v>
      </c>
      <c r="CU42" s="27">
        <f t="shared" ref="CU42:CU47" si="137">(((CU12+CT12)/2)*CU31/4)</f>
        <v>0</v>
      </c>
      <c r="CV42" s="139">
        <f t="shared" ref="CV42:CV47" si="138">SUM(CR42:CU42)</f>
        <v>0</v>
      </c>
    </row>
    <row r="43" spans="5:100" x14ac:dyDescent="0.25">
      <c r="E43" s="27" t="s">
        <v>339</v>
      </c>
      <c r="F43" s="71"/>
      <c r="G43" s="139"/>
      <c r="H43" s="139"/>
      <c r="I43" s="139"/>
      <c r="J43" s="139"/>
      <c r="K43" s="27"/>
      <c r="L43" s="27"/>
      <c r="M43" s="27"/>
      <c r="N43" s="27"/>
      <c r="O43" s="139"/>
      <c r="P43" s="27"/>
      <c r="Q43" s="27"/>
      <c r="R43" s="27"/>
      <c r="S43" s="27"/>
      <c r="T43" s="139"/>
      <c r="U43" s="27"/>
      <c r="V43" s="27"/>
      <c r="W43" s="27"/>
      <c r="X43" s="27"/>
      <c r="Y43" s="139"/>
      <c r="Z43" s="27"/>
      <c r="AA43" s="27"/>
      <c r="AB43" s="27"/>
      <c r="AC43" s="27"/>
      <c r="AD43" s="139"/>
      <c r="AE43" s="27"/>
      <c r="AF43" s="27"/>
      <c r="AG43" s="27"/>
      <c r="AH43" s="27">
        <f t="shared" si="89"/>
        <v>-0.47873750000000004</v>
      </c>
      <c r="AI43" s="139">
        <f t="shared" si="90"/>
        <v>-0.47873750000000004</v>
      </c>
      <c r="AJ43" s="27">
        <f t="shared" si="91"/>
        <v>-1.0663499999999999</v>
      </c>
      <c r="AK43" s="27">
        <f t="shared" si="91"/>
        <v>-1.0102724999999999</v>
      </c>
      <c r="AL43" s="27">
        <f t="shared" si="91"/>
        <v>-0.876</v>
      </c>
      <c r="AM43" s="27">
        <f t="shared" si="91"/>
        <v>-0.78563249999999996</v>
      </c>
      <c r="AN43" s="139">
        <f t="shared" si="92"/>
        <v>-3.7382549999999997</v>
      </c>
      <c r="AO43" s="27">
        <f t="shared" si="93"/>
        <v>-0.6708075</v>
      </c>
      <c r="AP43" s="27">
        <f t="shared" si="94"/>
        <v>-0.63492750000000009</v>
      </c>
      <c r="AQ43" s="27">
        <f t="shared" si="94"/>
        <v>-0.53011875000000008</v>
      </c>
      <c r="AR43" s="27">
        <f t="shared" si="94"/>
        <v>-0.52965625000000005</v>
      </c>
      <c r="AS43" s="139">
        <f t="shared" si="95"/>
        <v>-2.36551</v>
      </c>
      <c r="AT43" s="27">
        <f t="shared" si="96"/>
        <v>-0.54899375000000006</v>
      </c>
      <c r="AU43" s="27">
        <f t="shared" si="97"/>
        <v>-0.5881812500000001</v>
      </c>
      <c r="AV43" s="27">
        <f t="shared" si="97"/>
        <v>-0.60072500000000006</v>
      </c>
      <c r="AW43" s="27">
        <f t="shared" si="97"/>
        <v>-0.60072500000000006</v>
      </c>
      <c r="AX43" s="139">
        <f t="shared" si="98"/>
        <v>-2.3386250000000004</v>
      </c>
      <c r="AY43" s="27">
        <f t="shared" si="99"/>
        <v>-0.60072500000000006</v>
      </c>
      <c r="AZ43" s="27">
        <f t="shared" si="100"/>
        <v>-0.60072500000000006</v>
      </c>
      <c r="BA43" s="27">
        <f t="shared" si="100"/>
        <v>-0.53703750000000006</v>
      </c>
      <c r="BB43" s="27">
        <f t="shared" si="100"/>
        <v>-0.47335000000000005</v>
      </c>
      <c r="BC43" s="139">
        <f t="shared" si="101"/>
        <v>-2.2118375000000001</v>
      </c>
      <c r="BD43" s="27">
        <f t="shared" si="102"/>
        <v>-0.44490000000000002</v>
      </c>
      <c r="BE43" s="27">
        <f t="shared" si="103"/>
        <v>-0.38930625000000002</v>
      </c>
      <c r="BF43" s="27">
        <f t="shared" si="103"/>
        <v>-0.33692500000000003</v>
      </c>
      <c r="BG43" s="27">
        <f t="shared" si="103"/>
        <v>-0.28939375000000001</v>
      </c>
      <c r="BH43" s="139">
        <f t="shared" si="104"/>
        <v>-1.4605250000000001</v>
      </c>
      <c r="BI43" s="27">
        <f t="shared" si="105"/>
        <v>-0.24896874999999996</v>
      </c>
      <c r="BJ43" s="27">
        <f t="shared" si="106"/>
        <v>-0.21623124999999999</v>
      </c>
      <c r="BK43" s="27">
        <f t="shared" si="106"/>
        <v>-0.19115000000000001</v>
      </c>
      <c r="BL43" s="27">
        <f t="shared" si="106"/>
        <v>-0.17152500000000004</v>
      </c>
      <c r="BM43" s="139">
        <f t="shared" si="107"/>
        <v>-0.82787500000000003</v>
      </c>
      <c r="BN43" s="27">
        <f t="shared" si="108"/>
        <v>-0.14361874999999999</v>
      </c>
      <c r="BO43" s="27">
        <f t="shared" si="109"/>
        <v>-0.1180875</v>
      </c>
      <c r="BP43" s="27">
        <f t="shared" si="110"/>
        <v>-0.1055</v>
      </c>
      <c r="BQ43" s="27">
        <f t="shared" si="111"/>
        <v>-9.6093750000000006E-2</v>
      </c>
      <c r="BR43" s="139">
        <f t="shared" si="112"/>
        <v>-0.46329999999999993</v>
      </c>
      <c r="BS43" s="27">
        <f t="shared" si="113"/>
        <v>-4.6250000000000006E-2</v>
      </c>
      <c r="BT43" s="27">
        <f t="shared" si="114"/>
        <v>0</v>
      </c>
      <c r="BU43" s="27">
        <f t="shared" si="115"/>
        <v>0</v>
      </c>
      <c r="BV43" s="27">
        <f t="shared" si="116"/>
        <v>0</v>
      </c>
      <c r="BW43" s="139">
        <f t="shared" si="117"/>
        <v>-4.6250000000000006E-2</v>
      </c>
      <c r="BX43" s="27">
        <f t="shared" si="118"/>
        <v>0</v>
      </c>
      <c r="BY43" s="27">
        <f t="shared" si="119"/>
        <v>0</v>
      </c>
      <c r="BZ43" s="27">
        <f t="shared" si="120"/>
        <v>0</v>
      </c>
      <c r="CA43" s="27">
        <f t="shared" ref="CA43:CA47" si="139">(((CA13+BZ13)/2)*CA32/4)</f>
        <v>0</v>
      </c>
      <c r="CB43" s="139">
        <f t="shared" si="121"/>
        <v>0</v>
      </c>
      <c r="CC43" s="27">
        <f t="shared" si="122"/>
        <v>0</v>
      </c>
      <c r="CD43" s="27">
        <f t="shared" si="123"/>
        <v>0</v>
      </c>
      <c r="CE43" s="27">
        <f t="shared" si="124"/>
        <v>0</v>
      </c>
      <c r="CF43" s="27">
        <f t="shared" si="125"/>
        <v>0</v>
      </c>
      <c r="CG43" s="139">
        <f t="shared" si="126"/>
        <v>0</v>
      </c>
      <c r="CH43" s="27">
        <f t="shared" ref="CH43:CH47" si="140">(((CH13+CF13)/2)*CH32/4)</f>
        <v>0</v>
      </c>
      <c r="CI43" s="27">
        <f t="shared" si="127"/>
        <v>0</v>
      </c>
      <c r="CJ43" s="27">
        <f t="shared" si="128"/>
        <v>0</v>
      </c>
      <c r="CK43" s="27">
        <f t="shared" si="129"/>
        <v>0</v>
      </c>
      <c r="CL43" s="139">
        <f t="shared" si="130"/>
        <v>0</v>
      </c>
      <c r="CM43" s="27">
        <f t="shared" ref="CM43:CM47" si="141">(((CM13+CK13)/2)*CM32/4)</f>
        <v>0</v>
      </c>
      <c r="CN43" s="27">
        <f t="shared" si="131"/>
        <v>0</v>
      </c>
      <c r="CO43" s="27">
        <f t="shared" si="132"/>
        <v>0</v>
      </c>
      <c r="CP43" s="27">
        <f t="shared" si="133"/>
        <v>0</v>
      </c>
      <c r="CQ43" s="139">
        <f t="shared" si="134"/>
        <v>0</v>
      </c>
      <c r="CR43" s="27">
        <f t="shared" ref="CR43:CR47" si="142">(((CR13+CP13)/2)*CR32/4)</f>
        <v>0</v>
      </c>
      <c r="CS43" s="27">
        <f t="shared" si="135"/>
        <v>0</v>
      </c>
      <c r="CT43" s="27">
        <f t="shared" si="136"/>
        <v>0</v>
      </c>
      <c r="CU43" s="27">
        <f t="shared" si="137"/>
        <v>0</v>
      </c>
      <c r="CV43" s="139">
        <f t="shared" si="138"/>
        <v>0</v>
      </c>
    </row>
    <row r="44" spans="5:100" x14ac:dyDescent="0.25">
      <c r="E44" s="27" t="s">
        <v>340</v>
      </c>
      <c r="F44" s="71"/>
      <c r="G44" s="139"/>
      <c r="H44" s="139"/>
      <c r="I44" s="139"/>
      <c r="J44" s="139"/>
      <c r="K44" s="27"/>
      <c r="L44" s="27"/>
      <c r="M44" s="27"/>
      <c r="N44" s="27"/>
      <c r="O44" s="139"/>
      <c r="P44" s="27"/>
      <c r="Q44" s="27"/>
      <c r="R44" s="27"/>
      <c r="S44" s="27"/>
      <c r="T44" s="139"/>
      <c r="U44" s="27"/>
      <c r="V44" s="27"/>
      <c r="W44" s="27"/>
      <c r="X44" s="27"/>
      <c r="Y44" s="139"/>
      <c r="Z44" s="27"/>
      <c r="AA44" s="27"/>
      <c r="AB44" s="27"/>
      <c r="AC44" s="27"/>
      <c r="AD44" s="139"/>
      <c r="AE44" s="27"/>
      <c r="AF44" s="27"/>
      <c r="AG44" s="27"/>
      <c r="AH44" s="27">
        <f t="shared" si="89"/>
        <v>-9.6375000000000002E-3</v>
      </c>
      <c r="AI44" s="139">
        <f t="shared" si="90"/>
        <v>-9.6375000000000002E-3</v>
      </c>
      <c r="AJ44" s="27">
        <f t="shared" si="91"/>
        <v>-2.2994999999999998E-2</v>
      </c>
      <c r="AK44" s="27">
        <f t="shared" si="91"/>
        <v>-2.3212499999999997E-2</v>
      </c>
      <c r="AL44" s="27">
        <f t="shared" si="91"/>
        <v>-2.2589999999999999E-2</v>
      </c>
      <c r="AM44" s="27">
        <f t="shared" si="91"/>
        <v>-2.28375E-2</v>
      </c>
      <c r="AN44" s="139">
        <f t="shared" si="92"/>
        <v>-9.1634999999999994E-2</v>
      </c>
      <c r="AO44" s="27">
        <f t="shared" si="93"/>
        <v>-2.2364999999999999E-2</v>
      </c>
      <c r="AP44" s="27">
        <f t="shared" si="94"/>
        <v>-2.24175E-2</v>
      </c>
      <c r="AQ44" s="27">
        <f t="shared" si="94"/>
        <v>-1.8737500000000004E-2</v>
      </c>
      <c r="AR44" s="27">
        <f t="shared" si="94"/>
        <v>-9.3687500000000021E-3</v>
      </c>
      <c r="AS44" s="139">
        <f t="shared" si="95"/>
        <v>-7.2888750000000002E-2</v>
      </c>
      <c r="AT44" s="27">
        <f t="shared" si="96"/>
        <v>0</v>
      </c>
      <c r="AU44" s="27">
        <f t="shared" si="97"/>
        <v>0</v>
      </c>
      <c r="AV44" s="27">
        <f t="shared" si="97"/>
        <v>0</v>
      </c>
      <c r="AW44" s="27">
        <f t="shared" si="97"/>
        <v>0</v>
      </c>
      <c r="AX44" s="139">
        <f t="shared" si="98"/>
        <v>0</v>
      </c>
      <c r="AY44" s="27">
        <f t="shared" si="99"/>
        <v>0</v>
      </c>
      <c r="AZ44" s="27">
        <f t="shared" si="100"/>
        <v>0</v>
      </c>
      <c r="BA44" s="27">
        <f t="shared" si="100"/>
        <v>0</v>
      </c>
      <c r="BB44" s="27">
        <f t="shared" si="100"/>
        <v>0</v>
      </c>
      <c r="BC44" s="139">
        <f t="shared" si="101"/>
        <v>0</v>
      </c>
      <c r="BD44" s="27">
        <f t="shared" si="102"/>
        <v>0</v>
      </c>
      <c r="BE44" s="27">
        <f t="shared" si="103"/>
        <v>0</v>
      </c>
      <c r="BF44" s="27">
        <f t="shared" si="103"/>
        <v>0</v>
      </c>
      <c r="BG44" s="27">
        <f t="shared" si="103"/>
        <v>0</v>
      </c>
      <c r="BH44" s="139">
        <f t="shared" si="104"/>
        <v>0</v>
      </c>
      <c r="BI44" s="27">
        <f t="shared" si="105"/>
        <v>0</v>
      </c>
      <c r="BJ44" s="27">
        <f t="shared" si="106"/>
        <v>0</v>
      </c>
      <c r="BK44" s="27">
        <f t="shared" si="106"/>
        <v>0</v>
      </c>
      <c r="BL44" s="27">
        <f t="shared" si="106"/>
        <v>0</v>
      </c>
      <c r="BM44" s="139">
        <f t="shared" si="107"/>
        <v>0</v>
      </c>
      <c r="BN44" s="27">
        <f t="shared" si="108"/>
        <v>0</v>
      </c>
      <c r="BO44" s="27">
        <f t="shared" si="109"/>
        <v>0</v>
      </c>
      <c r="BP44" s="27">
        <f t="shared" si="110"/>
        <v>0</v>
      </c>
      <c r="BQ44" s="27">
        <f t="shared" si="111"/>
        <v>0</v>
      </c>
      <c r="BR44" s="139">
        <f t="shared" si="112"/>
        <v>0</v>
      </c>
      <c r="BS44" s="27">
        <f t="shared" si="113"/>
        <v>0</v>
      </c>
      <c r="BT44" s="27">
        <f t="shared" si="114"/>
        <v>0</v>
      </c>
      <c r="BU44" s="27">
        <f t="shared" si="115"/>
        <v>0</v>
      </c>
      <c r="BV44" s="27">
        <f t="shared" si="116"/>
        <v>0</v>
      </c>
      <c r="BW44" s="139">
        <f t="shared" si="117"/>
        <v>0</v>
      </c>
      <c r="BX44" s="27">
        <f t="shared" si="118"/>
        <v>0</v>
      </c>
      <c r="BY44" s="27">
        <f t="shared" si="119"/>
        <v>0</v>
      </c>
      <c r="BZ44" s="27">
        <f t="shared" si="120"/>
        <v>0</v>
      </c>
      <c r="CA44" s="27">
        <f t="shared" si="139"/>
        <v>0</v>
      </c>
      <c r="CB44" s="139">
        <f t="shared" si="121"/>
        <v>0</v>
      </c>
      <c r="CC44" s="27">
        <f t="shared" si="122"/>
        <v>0</v>
      </c>
      <c r="CD44" s="27">
        <f t="shared" si="123"/>
        <v>0</v>
      </c>
      <c r="CE44" s="27">
        <f t="shared" si="124"/>
        <v>0</v>
      </c>
      <c r="CF44" s="27">
        <f t="shared" si="125"/>
        <v>0</v>
      </c>
      <c r="CG44" s="139">
        <f t="shared" si="126"/>
        <v>0</v>
      </c>
      <c r="CH44" s="27">
        <f t="shared" si="140"/>
        <v>0</v>
      </c>
      <c r="CI44" s="27">
        <f t="shared" si="127"/>
        <v>0</v>
      </c>
      <c r="CJ44" s="27">
        <f t="shared" si="128"/>
        <v>0</v>
      </c>
      <c r="CK44" s="27">
        <f t="shared" si="129"/>
        <v>0</v>
      </c>
      <c r="CL44" s="139">
        <f t="shared" si="130"/>
        <v>0</v>
      </c>
      <c r="CM44" s="27">
        <f t="shared" si="141"/>
        <v>0</v>
      </c>
      <c r="CN44" s="27">
        <f t="shared" si="131"/>
        <v>0</v>
      </c>
      <c r="CO44" s="27">
        <f t="shared" si="132"/>
        <v>0</v>
      </c>
      <c r="CP44" s="27">
        <f t="shared" si="133"/>
        <v>0</v>
      </c>
      <c r="CQ44" s="139">
        <f t="shared" si="134"/>
        <v>0</v>
      </c>
      <c r="CR44" s="27">
        <f t="shared" si="142"/>
        <v>0</v>
      </c>
      <c r="CS44" s="27">
        <f t="shared" si="135"/>
        <v>0</v>
      </c>
      <c r="CT44" s="27">
        <f t="shared" si="136"/>
        <v>0</v>
      </c>
      <c r="CU44" s="27">
        <f t="shared" si="137"/>
        <v>0</v>
      </c>
      <c r="CV44" s="139">
        <f t="shared" si="138"/>
        <v>0</v>
      </c>
    </row>
    <row r="45" spans="5:100" x14ac:dyDescent="0.25">
      <c r="E45" s="27" t="s">
        <v>341</v>
      </c>
      <c r="F45" s="71"/>
      <c r="G45" s="139"/>
      <c r="H45" s="139"/>
      <c r="I45" s="139"/>
      <c r="J45" s="139"/>
      <c r="K45" s="27"/>
      <c r="L45" s="27"/>
      <c r="M45" s="27"/>
      <c r="N45" s="27"/>
      <c r="O45" s="139"/>
      <c r="P45" s="27"/>
      <c r="Q45" s="27"/>
      <c r="R45" s="27"/>
      <c r="S45" s="27"/>
      <c r="T45" s="139"/>
      <c r="U45" s="27"/>
      <c r="V45" s="27"/>
      <c r="W45" s="27"/>
      <c r="X45" s="27"/>
      <c r="Y45" s="139"/>
      <c r="Z45" s="27"/>
      <c r="AA45" s="27"/>
      <c r="AB45" s="27"/>
      <c r="AC45" s="27"/>
      <c r="AD45" s="139"/>
      <c r="AE45" s="27"/>
      <c r="AF45" s="27"/>
      <c r="AG45" s="27"/>
      <c r="AH45" s="27">
        <f t="shared" si="89"/>
        <v>-0.11323125000000001</v>
      </c>
      <c r="AI45" s="139">
        <f t="shared" si="90"/>
        <v>-0.11323125000000001</v>
      </c>
      <c r="AJ45" s="27">
        <f t="shared" si="91"/>
        <v>-0.22656750000000001</v>
      </c>
      <c r="AK45" s="27">
        <f t="shared" si="91"/>
        <v>-0.19283999999999998</v>
      </c>
      <c r="AL45" s="27">
        <f t="shared" si="91"/>
        <v>-0.13501500000000002</v>
      </c>
      <c r="AM45" s="27">
        <f t="shared" si="91"/>
        <v>-0.15013499999999999</v>
      </c>
      <c r="AN45" s="139">
        <f t="shared" si="92"/>
        <v>-0.70455750000000006</v>
      </c>
      <c r="AO45" s="27">
        <f t="shared" si="93"/>
        <v>-0.1681725</v>
      </c>
      <c r="AP45" s="27">
        <f t="shared" si="94"/>
        <v>-0.15186750000000002</v>
      </c>
      <c r="AQ45" s="27">
        <f t="shared" si="94"/>
        <v>-0.1255125</v>
      </c>
      <c r="AR45" s="27">
        <f t="shared" si="94"/>
        <v>-0.1239625</v>
      </c>
      <c r="AS45" s="139">
        <f t="shared" si="95"/>
        <v>-0.56951499999999999</v>
      </c>
      <c r="AT45" s="27">
        <f t="shared" si="96"/>
        <v>-0.1194375</v>
      </c>
      <c r="AU45" s="27">
        <f t="shared" si="97"/>
        <v>-0.11283750000000002</v>
      </c>
      <c r="AV45" s="27">
        <f t="shared" si="97"/>
        <v>-0.11090625000000001</v>
      </c>
      <c r="AW45" s="27">
        <f t="shared" si="97"/>
        <v>-0.11000000000000001</v>
      </c>
      <c r="AX45" s="139">
        <f t="shared" si="98"/>
        <v>-0.45318124999999998</v>
      </c>
      <c r="AY45" s="27">
        <f t="shared" si="99"/>
        <v>-0.11000000000000001</v>
      </c>
      <c r="AZ45" s="27">
        <f t="shared" si="100"/>
        <v>-0.11000000000000001</v>
      </c>
      <c r="BA45" s="27">
        <f t="shared" si="100"/>
        <v>-8.042500000000001E-2</v>
      </c>
      <c r="BB45" s="27">
        <f t="shared" si="100"/>
        <v>-5.0849999999999999E-2</v>
      </c>
      <c r="BC45" s="139">
        <f t="shared" si="101"/>
        <v>-0.35127500000000006</v>
      </c>
      <c r="BD45" s="27">
        <f t="shared" si="102"/>
        <v>-2.5425E-2</v>
      </c>
      <c r="BE45" s="27">
        <f t="shared" si="103"/>
        <v>0</v>
      </c>
      <c r="BF45" s="27">
        <f t="shared" si="103"/>
        <v>0</v>
      </c>
      <c r="BG45" s="27">
        <f t="shared" si="103"/>
        <v>0</v>
      </c>
      <c r="BH45" s="139">
        <f t="shared" si="104"/>
        <v>-2.5425E-2</v>
      </c>
      <c r="BI45" s="27">
        <f t="shared" si="105"/>
        <v>0</v>
      </c>
      <c r="BJ45" s="27">
        <f t="shared" si="106"/>
        <v>0</v>
      </c>
      <c r="BK45" s="27">
        <f t="shared" si="106"/>
        <v>0</v>
      </c>
      <c r="BL45" s="27">
        <f t="shared" si="106"/>
        <v>0</v>
      </c>
      <c r="BM45" s="139">
        <f t="shared" si="107"/>
        <v>0</v>
      </c>
      <c r="BN45" s="27">
        <f t="shared" si="108"/>
        <v>0</v>
      </c>
      <c r="BO45" s="27">
        <f t="shared" si="109"/>
        <v>0</v>
      </c>
      <c r="BP45" s="27">
        <f t="shared" si="110"/>
        <v>0</v>
      </c>
      <c r="BQ45" s="27">
        <f t="shared" si="111"/>
        <v>0</v>
      </c>
      <c r="BR45" s="139">
        <f t="shared" si="112"/>
        <v>0</v>
      </c>
      <c r="BS45" s="27">
        <f t="shared" si="113"/>
        <v>0</v>
      </c>
      <c r="BT45" s="27">
        <f t="shared" si="114"/>
        <v>0</v>
      </c>
      <c r="BU45" s="27">
        <f t="shared" si="115"/>
        <v>0</v>
      </c>
      <c r="BV45" s="27">
        <f t="shared" si="116"/>
        <v>0</v>
      </c>
      <c r="BW45" s="139">
        <f t="shared" si="117"/>
        <v>0</v>
      </c>
      <c r="BX45" s="27">
        <f t="shared" si="118"/>
        <v>0</v>
      </c>
      <c r="BY45" s="27">
        <f t="shared" si="119"/>
        <v>0</v>
      </c>
      <c r="BZ45" s="27">
        <f t="shared" si="120"/>
        <v>0</v>
      </c>
      <c r="CA45" s="27">
        <f t="shared" si="139"/>
        <v>0</v>
      </c>
      <c r="CB45" s="139">
        <f t="shared" si="121"/>
        <v>0</v>
      </c>
      <c r="CC45" s="27">
        <f t="shared" si="122"/>
        <v>0</v>
      </c>
      <c r="CD45" s="27">
        <f t="shared" si="123"/>
        <v>0</v>
      </c>
      <c r="CE45" s="27">
        <f t="shared" si="124"/>
        <v>0</v>
      </c>
      <c r="CF45" s="27">
        <f t="shared" si="125"/>
        <v>0</v>
      </c>
      <c r="CG45" s="139">
        <f t="shared" si="126"/>
        <v>0</v>
      </c>
      <c r="CH45" s="27">
        <f t="shared" si="140"/>
        <v>0</v>
      </c>
      <c r="CI45" s="27">
        <f t="shared" si="127"/>
        <v>0</v>
      </c>
      <c r="CJ45" s="27">
        <f t="shared" si="128"/>
        <v>0</v>
      </c>
      <c r="CK45" s="27">
        <f t="shared" si="129"/>
        <v>0</v>
      </c>
      <c r="CL45" s="139">
        <f t="shared" si="130"/>
        <v>0</v>
      </c>
      <c r="CM45" s="27">
        <f t="shared" si="141"/>
        <v>0</v>
      </c>
      <c r="CN45" s="27">
        <f t="shared" si="131"/>
        <v>0</v>
      </c>
      <c r="CO45" s="27">
        <f t="shared" si="132"/>
        <v>0</v>
      </c>
      <c r="CP45" s="27">
        <f t="shared" si="133"/>
        <v>0</v>
      </c>
      <c r="CQ45" s="139">
        <f t="shared" si="134"/>
        <v>0</v>
      </c>
      <c r="CR45" s="27">
        <f t="shared" si="142"/>
        <v>0</v>
      </c>
      <c r="CS45" s="27">
        <f t="shared" si="135"/>
        <v>0</v>
      </c>
      <c r="CT45" s="27">
        <f t="shared" si="136"/>
        <v>0</v>
      </c>
      <c r="CU45" s="27">
        <f t="shared" si="137"/>
        <v>0</v>
      </c>
      <c r="CV45" s="139">
        <f t="shared" si="138"/>
        <v>0</v>
      </c>
    </row>
    <row r="46" spans="5:100" x14ac:dyDescent="0.25">
      <c r="E46" s="27" t="s">
        <v>342</v>
      </c>
      <c r="F46" s="71"/>
      <c r="G46" s="139"/>
      <c r="H46" s="139"/>
      <c r="I46" s="139"/>
      <c r="J46" s="139"/>
      <c r="K46" s="27"/>
      <c r="L46" s="27"/>
      <c r="M46" s="27"/>
      <c r="N46" s="27"/>
      <c r="O46" s="139"/>
      <c r="P46" s="27"/>
      <c r="Q46" s="27"/>
      <c r="R46" s="27"/>
      <c r="S46" s="27"/>
      <c r="T46" s="139"/>
      <c r="U46" s="27"/>
      <c r="V46" s="27"/>
      <c r="W46" s="27"/>
      <c r="X46" s="27"/>
      <c r="Y46" s="139"/>
      <c r="Z46" s="27"/>
      <c r="AA46" s="27"/>
      <c r="AB46" s="27"/>
      <c r="AC46" s="27"/>
      <c r="AD46" s="139"/>
      <c r="AE46" s="27"/>
      <c r="AF46" s="27"/>
      <c r="AG46" s="27"/>
      <c r="AH46" s="27">
        <f t="shared" si="89"/>
        <v>-6.5618750000000003E-2</v>
      </c>
      <c r="AI46" s="139">
        <f t="shared" si="90"/>
        <v>-6.5618750000000003E-2</v>
      </c>
      <c r="AJ46" s="27">
        <f t="shared" si="91"/>
        <v>-0.13992749999999998</v>
      </c>
      <c r="AK46" s="27">
        <f t="shared" si="91"/>
        <v>-0.12209249999999999</v>
      </c>
      <c r="AL46" s="27">
        <f t="shared" si="91"/>
        <v>-9.3945000000000001E-2</v>
      </c>
      <c r="AM46" s="27">
        <f t="shared" si="91"/>
        <v>-6.5354999999999996E-2</v>
      </c>
      <c r="AN46" s="139">
        <f t="shared" si="92"/>
        <v>-0.42131999999999997</v>
      </c>
      <c r="AO46" s="27">
        <f t="shared" si="93"/>
        <v>-3.3090000000000001E-2</v>
      </c>
      <c r="AP46" s="27">
        <f t="shared" ref="AP46:AR47" si="143">(((AP16+AO16)/2)*AP35/4)</f>
        <v>-1.1084999999999999E-2</v>
      </c>
      <c r="AQ46" s="27">
        <f t="shared" si="143"/>
        <v>0</v>
      </c>
      <c r="AR46" s="27">
        <f t="shared" si="143"/>
        <v>0</v>
      </c>
      <c r="AS46" s="139">
        <f t="shared" si="95"/>
        <v>-4.4174999999999999E-2</v>
      </c>
      <c r="AT46" s="27">
        <f t="shared" si="96"/>
        <v>0</v>
      </c>
      <c r="AU46" s="27">
        <f t="shared" si="97"/>
        <v>0</v>
      </c>
      <c r="AV46" s="27">
        <f t="shared" si="97"/>
        <v>0</v>
      </c>
      <c r="AW46" s="27">
        <f t="shared" si="97"/>
        <v>0</v>
      </c>
      <c r="AX46" s="139">
        <f t="shared" si="98"/>
        <v>0</v>
      </c>
      <c r="AY46" s="27">
        <f t="shared" si="99"/>
        <v>0</v>
      </c>
      <c r="AZ46" s="27">
        <f t="shared" si="100"/>
        <v>0</v>
      </c>
      <c r="BA46" s="27">
        <f t="shared" si="100"/>
        <v>0</v>
      </c>
      <c r="BB46" s="27">
        <f t="shared" si="100"/>
        <v>0</v>
      </c>
      <c r="BC46" s="139">
        <f t="shared" si="101"/>
        <v>0</v>
      </c>
      <c r="BD46" s="27">
        <f t="shared" si="102"/>
        <v>0</v>
      </c>
      <c r="BE46" s="27">
        <f t="shared" si="103"/>
        <v>0</v>
      </c>
      <c r="BF46" s="27">
        <f t="shared" si="103"/>
        <v>0</v>
      </c>
      <c r="BG46" s="27">
        <f t="shared" si="103"/>
        <v>0</v>
      </c>
      <c r="BH46" s="139">
        <f t="shared" si="104"/>
        <v>0</v>
      </c>
      <c r="BI46" s="27">
        <f t="shared" si="105"/>
        <v>0</v>
      </c>
      <c r="BJ46" s="27">
        <f t="shared" si="106"/>
        <v>0</v>
      </c>
      <c r="BK46" s="27">
        <f t="shared" si="106"/>
        <v>0</v>
      </c>
      <c r="BL46" s="27">
        <f t="shared" si="106"/>
        <v>0</v>
      </c>
      <c r="BM46" s="139">
        <f t="shared" si="107"/>
        <v>0</v>
      </c>
      <c r="BN46" s="27">
        <f t="shared" si="108"/>
        <v>0</v>
      </c>
      <c r="BO46" s="27">
        <f t="shared" si="109"/>
        <v>0</v>
      </c>
      <c r="BP46" s="27">
        <f t="shared" si="110"/>
        <v>0</v>
      </c>
      <c r="BQ46" s="27">
        <f t="shared" si="111"/>
        <v>0</v>
      </c>
      <c r="BR46" s="139">
        <f t="shared" si="112"/>
        <v>0</v>
      </c>
      <c r="BS46" s="27">
        <f t="shared" si="113"/>
        <v>0</v>
      </c>
      <c r="BT46" s="27">
        <f t="shared" si="114"/>
        <v>0</v>
      </c>
      <c r="BU46" s="27">
        <f t="shared" si="115"/>
        <v>0</v>
      </c>
      <c r="BV46" s="27">
        <f t="shared" si="116"/>
        <v>0</v>
      </c>
      <c r="BW46" s="139">
        <f t="shared" si="117"/>
        <v>0</v>
      </c>
      <c r="BX46" s="27">
        <f t="shared" si="118"/>
        <v>0</v>
      </c>
      <c r="BY46" s="27">
        <f t="shared" si="119"/>
        <v>0</v>
      </c>
      <c r="BZ46" s="27">
        <f t="shared" si="120"/>
        <v>0</v>
      </c>
      <c r="CA46" s="27">
        <f t="shared" si="139"/>
        <v>0</v>
      </c>
      <c r="CB46" s="139">
        <f t="shared" si="121"/>
        <v>0</v>
      </c>
      <c r="CC46" s="27">
        <f t="shared" si="122"/>
        <v>0</v>
      </c>
      <c r="CD46" s="27">
        <f t="shared" si="123"/>
        <v>0</v>
      </c>
      <c r="CE46" s="27">
        <f t="shared" si="124"/>
        <v>0</v>
      </c>
      <c r="CF46" s="27">
        <f t="shared" si="125"/>
        <v>0</v>
      </c>
      <c r="CG46" s="139">
        <f t="shared" si="126"/>
        <v>0</v>
      </c>
      <c r="CH46" s="27">
        <f t="shared" si="140"/>
        <v>0</v>
      </c>
      <c r="CI46" s="27">
        <f t="shared" si="127"/>
        <v>0</v>
      </c>
      <c r="CJ46" s="27">
        <f t="shared" si="128"/>
        <v>0</v>
      </c>
      <c r="CK46" s="27">
        <f t="shared" si="129"/>
        <v>0</v>
      </c>
      <c r="CL46" s="139">
        <f t="shared" si="130"/>
        <v>0</v>
      </c>
      <c r="CM46" s="27">
        <f t="shared" si="141"/>
        <v>0</v>
      </c>
      <c r="CN46" s="27">
        <f t="shared" si="131"/>
        <v>0</v>
      </c>
      <c r="CO46" s="27">
        <f t="shared" si="132"/>
        <v>0</v>
      </c>
      <c r="CP46" s="27">
        <f t="shared" si="133"/>
        <v>0</v>
      </c>
      <c r="CQ46" s="139">
        <f t="shared" si="134"/>
        <v>0</v>
      </c>
      <c r="CR46" s="27">
        <f t="shared" si="142"/>
        <v>0</v>
      </c>
      <c r="CS46" s="27">
        <f t="shared" si="135"/>
        <v>0</v>
      </c>
      <c r="CT46" s="27">
        <f t="shared" si="136"/>
        <v>0</v>
      </c>
      <c r="CU46" s="27">
        <f t="shared" si="137"/>
        <v>0</v>
      </c>
      <c r="CV46" s="139">
        <f t="shared" si="138"/>
        <v>0</v>
      </c>
    </row>
    <row r="47" spans="5:100" x14ac:dyDescent="0.25">
      <c r="E47" s="27" t="s">
        <v>343</v>
      </c>
      <c r="F47" s="71"/>
      <c r="G47" s="139"/>
      <c r="H47" s="139"/>
      <c r="I47" s="139"/>
      <c r="J47" s="139"/>
      <c r="K47" s="27"/>
      <c r="L47" s="27"/>
      <c r="M47" s="27"/>
      <c r="N47" s="27"/>
      <c r="O47" s="139"/>
      <c r="P47" s="27"/>
      <c r="Q47" s="27"/>
      <c r="R47" s="27"/>
      <c r="S47" s="27"/>
      <c r="T47" s="139"/>
      <c r="U47" s="27"/>
      <c r="V47" s="27"/>
      <c r="W47" s="27"/>
      <c r="X47" s="27"/>
      <c r="Y47" s="139"/>
      <c r="Z47" s="27"/>
      <c r="AA47" s="27"/>
      <c r="AB47" s="27"/>
      <c r="AC47" s="27"/>
      <c r="AD47" s="139"/>
      <c r="AE47" s="27"/>
      <c r="AF47" s="27"/>
      <c r="AG47" s="27"/>
      <c r="AH47" s="27">
        <f t="shared" si="89"/>
        <v>-0.16756875000000002</v>
      </c>
      <c r="AI47" s="139">
        <f t="shared" si="90"/>
        <v>-0.16756875000000002</v>
      </c>
      <c r="AJ47" s="27">
        <f t="shared" si="91"/>
        <v>-0.39797999999999945</v>
      </c>
      <c r="AK47" s="27">
        <f t="shared" si="91"/>
        <v>-0.39368250000000005</v>
      </c>
      <c r="AL47" s="27">
        <f t="shared" si="91"/>
        <v>-0.38526749999999893</v>
      </c>
      <c r="AM47" s="27">
        <f t="shared" si="91"/>
        <v>-0.37443000000000004</v>
      </c>
      <c r="AN47" s="139">
        <f t="shared" si="92"/>
        <v>-1.5513599999999985</v>
      </c>
      <c r="AO47" s="27">
        <f t="shared" si="93"/>
        <v>-0.35952000000000045</v>
      </c>
      <c r="AP47" s="27">
        <f t="shared" si="143"/>
        <v>-0.35119500000000015</v>
      </c>
      <c r="AQ47" s="27">
        <f t="shared" si="143"/>
        <v>-0.28547499999999976</v>
      </c>
      <c r="AR47" s="27">
        <f t="shared" si="143"/>
        <v>-0.27805000000000002</v>
      </c>
      <c r="AS47" s="139">
        <f t="shared" si="95"/>
        <v>-1.2742400000000003</v>
      </c>
      <c r="AT47" s="27">
        <f t="shared" si="96"/>
        <v>-0.27055000000000001</v>
      </c>
      <c r="AU47" s="27">
        <f t="shared" si="97"/>
        <v>-0.26348125</v>
      </c>
      <c r="AV47" s="27">
        <f t="shared" si="97"/>
        <v>-0.25634375000000004</v>
      </c>
      <c r="AW47" s="27">
        <f t="shared" si="97"/>
        <v>-0.2525</v>
      </c>
      <c r="AX47" s="139">
        <f t="shared" si="98"/>
        <v>-1.042875</v>
      </c>
      <c r="AY47" s="27">
        <f t="shared" si="99"/>
        <v>-0.2525</v>
      </c>
      <c r="AZ47" s="27">
        <f t="shared" si="100"/>
        <v>-0.2525</v>
      </c>
      <c r="BA47" s="27">
        <f t="shared" si="100"/>
        <v>-0.23494374999999998</v>
      </c>
      <c r="BB47" s="27">
        <f t="shared" si="100"/>
        <v>-0.21738749999999998</v>
      </c>
      <c r="BC47" s="139">
        <f t="shared" si="101"/>
        <v>-0.95733124999999997</v>
      </c>
      <c r="BD47" s="27">
        <f t="shared" si="102"/>
        <v>-0.21931874999999998</v>
      </c>
      <c r="BE47" s="27">
        <f t="shared" si="103"/>
        <v>-0.21626250000000002</v>
      </c>
      <c r="BF47" s="27">
        <f t="shared" si="103"/>
        <v>-0.20659375000000002</v>
      </c>
      <c r="BG47" s="27">
        <f t="shared" si="103"/>
        <v>-0.18931249999999999</v>
      </c>
      <c r="BH47" s="139">
        <f t="shared" si="104"/>
        <v>-0.83148750000000005</v>
      </c>
      <c r="BI47" s="27">
        <f t="shared" si="105"/>
        <v>-0.17365625000000001</v>
      </c>
      <c r="BJ47" s="27">
        <f t="shared" si="106"/>
        <v>-0.16744375</v>
      </c>
      <c r="BK47" s="27">
        <f t="shared" si="106"/>
        <v>-0.16111249999999999</v>
      </c>
      <c r="BL47" s="27">
        <f t="shared" si="106"/>
        <v>-0.15471875000000002</v>
      </c>
      <c r="BM47" s="139">
        <f t="shared" si="107"/>
        <v>-0.65693124999999997</v>
      </c>
      <c r="BN47" s="27">
        <f t="shared" si="108"/>
        <v>-0.14827499999999999</v>
      </c>
      <c r="BO47" s="27">
        <f t="shared" si="109"/>
        <v>-0.14178750000000001</v>
      </c>
      <c r="BP47" s="27">
        <f t="shared" si="110"/>
        <v>-0.13523125</v>
      </c>
      <c r="BQ47" s="27">
        <f t="shared" si="111"/>
        <v>-0.12861875</v>
      </c>
      <c r="BR47" s="139">
        <f t="shared" si="112"/>
        <v>-0.55391250000000003</v>
      </c>
      <c r="BS47" s="27">
        <f t="shared" si="113"/>
        <v>-0.12195</v>
      </c>
      <c r="BT47" s="27">
        <f t="shared" si="114"/>
        <v>-0.11523124999999999</v>
      </c>
      <c r="BU47" s="27">
        <f t="shared" si="115"/>
        <v>-0.10845625000000002</v>
      </c>
      <c r="BV47" s="27">
        <f t="shared" si="116"/>
        <v>-0.10162499999999999</v>
      </c>
      <c r="BW47" s="139">
        <f t="shared" si="117"/>
        <v>-0.44726250000000001</v>
      </c>
      <c r="BX47" s="27">
        <f t="shared" si="118"/>
        <v>-9.4737500000000002E-2</v>
      </c>
      <c r="BY47" s="27">
        <f t="shared" si="119"/>
        <v>-8.7787500000000004E-2</v>
      </c>
      <c r="BZ47" s="27">
        <f t="shared" si="120"/>
        <v>-8.0787500000000012E-2</v>
      </c>
      <c r="CA47" s="27">
        <f t="shared" si="139"/>
        <v>-7.37125E-2</v>
      </c>
      <c r="CB47" s="139">
        <f t="shared" si="121"/>
        <v>-0.33702500000000002</v>
      </c>
      <c r="CC47" s="27">
        <f t="shared" si="122"/>
        <v>-6.6581250000000008E-2</v>
      </c>
      <c r="CD47" s="27">
        <f t="shared" si="123"/>
        <v>-5.9400000000000008E-2</v>
      </c>
      <c r="CE47" s="27">
        <f t="shared" si="124"/>
        <v>-5.2150000000000002E-2</v>
      </c>
      <c r="CF47" s="27">
        <f t="shared" si="125"/>
        <v>-4.4837500000000002E-2</v>
      </c>
      <c r="CG47" s="139">
        <f t="shared" si="126"/>
        <v>-0.22296875000000002</v>
      </c>
      <c r="CH47" s="27">
        <f t="shared" si="140"/>
        <v>-4.1162500000000005E-2</v>
      </c>
      <c r="CI47" s="27">
        <f t="shared" si="127"/>
        <v>-4.1162500000000005E-2</v>
      </c>
      <c r="CJ47" s="27">
        <f t="shared" si="128"/>
        <v>-2.0581250000000002E-2</v>
      </c>
      <c r="CK47" s="27">
        <f t="shared" si="129"/>
        <v>0</v>
      </c>
      <c r="CL47" s="139">
        <f t="shared" si="130"/>
        <v>-0.10290625</v>
      </c>
      <c r="CM47" s="27">
        <f t="shared" si="141"/>
        <v>0</v>
      </c>
      <c r="CN47" s="27">
        <f t="shared" si="131"/>
        <v>0</v>
      </c>
      <c r="CO47" s="27">
        <f t="shared" si="132"/>
        <v>0</v>
      </c>
      <c r="CP47" s="27">
        <f t="shared" si="133"/>
        <v>0</v>
      </c>
      <c r="CQ47" s="139">
        <f t="shared" si="134"/>
        <v>0</v>
      </c>
      <c r="CR47" s="27">
        <f t="shared" si="142"/>
        <v>0</v>
      </c>
      <c r="CS47" s="27">
        <f t="shared" si="135"/>
        <v>0</v>
      </c>
      <c r="CT47" s="27">
        <f t="shared" si="136"/>
        <v>0</v>
      </c>
      <c r="CU47" s="27">
        <f t="shared" si="137"/>
        <v>0</v>
      </c>
      <c r="CV47" s="139">
        <f t="shared" si="138"/>
        <v>0</v>
      </c>
    </row>
    <row r="48" spans="5:100" ht="3.95" customHeight="1" x14ac:dyDescent="0.25">
      <c r="F48" s="71"/>
      <c r="G48" s="140"/>
      <c r="H48" s="140"/>
      <c r="I48" s="140"/>
      <c r="J48" s="140"/>
      <c r="K48" s="124"/>
      <c r="L48" s="124"/>
      <c r="M48" s="124"/>
      <c r="N48" s="124"/>
      <c r="O48" s="140"/>
      <c r="P48" s="124"/>
      <c r="Q48" s="124"/>
      <c r="R48" s="124"/>
      <c r="S48" s="124"/>
      <c r="T48" s="140"/>
      <c r="U48" s="124"/>
      <c r="V48" s="124"/>
      <c r="W48" s="124"/>
      <c r="X48" s="124"/>
      <c r="Y48" s="140"/>
      <c r="Z48" s="124"/>
      <c r="AA48" s="124"/>
      <c r="AB48" s="124"/>
      <c r="AC48" s="124"/>
      <c r="AD48" s="140"/>
      <c r="AE48" s="124"/>
      <c r="AF48" s="124"/>
      <c r="AG48" s="124"/>
      <c r="AH48" s="124"/>
      <c r="AI48" s="140"/>
      <c r="AJ48" s="124"/>
      <c r="AK48" s="124"/>
      <c r="AL48" s="124"/>
      <c r="AM48" s="124"/>
      <c r="AN48" s="140"/>
      <c r="AO48" s="124"/>
      <c r="AP48" s="124"/>
      <c r="AQ48" s="124"/>
      <c r="AR48" s="124"/>
      <c r="AS48" s="140"/>
      <c r="AT48" s="124"/>
      <c r="AU48" s="124"/>
      <c r="AV48" s="124"/>
      <c r="AW48" s="124"/>
      <c r="AX48" s="140"/>
      <c r="AY48" s="124"/>
      <c r="AZ48" s="124"/>
      <c r="BA48" s="124"/>
      <c r="BB48" s="124"/>
      <c r="BC48" s="140"/>
      <c r="BD48" s="124"/>
      <c r="BE48" s="124"/>
      <c r="BF48" s="124"/>
      <c r="BG48" s="124"/>
      <c r="BH48" s="140"/>
      <c r="BI48" s="124"/>
      <c r="BJ48" s="124"/>
      <c r="BK48" s="124"/>
      <c r="BL48" s="124"/>
      <c r="BM48" s="140"/>
      <c r="BN48" s="124"/>
      <c r="BO48" s="124"/>
      <c r="BP48" s="124"/>
      <c r="BQ48" s="124"/>
      <c r="BR48" s="140"/>
      <c r="BS48" s="124"/>
      <c r="BT48" s="124"/>
      <c r="BU48" s="124"/>
      <c r="BV48" s="124"/>
      <c r="BW48" s="140"/>
      <c r="BX48" s="124"/>
      <c r="BY48" s="124"/>
      <c r="BZ48" s="124"/>
      <c r="CA48" s="124"/>
      <c r="CB48" s="140"/>
      <c r="CC48" s="124"/>
      <c r="CD48" s="124"/>
      <c r="CE48" s="124"/>
      <c r="CF48" s="124"/>
      <c r="CG48" s="140"/>
      <c r="CH48" s="124"/>
      <c r="CI48" s="124"/>
      <c r="CJ48" s="124"/>
      <c r="CK48" s="124"/>
      <c r="CL48" s="140"/>
      <c r="CM48" s="124"/>
      <c r="CN48" s="124"/>
      <c r="CO48" s="124"/>
      <c r="CP48" s="124"/>
      <c r="CQ48" s="140"/>
      <c r="CR48" s="124"/>
      <c r="CS48" s="124"/>
      <c r="CT48" s="124"/>
      <c r="CU48" s="124"/>
      <c r="CV48" s="140"/>
    </row>
    <row r="49" spans="5:100" x14ac:dyDescent="0.25">
      <c r="E49" s="47" t="s">
        <v>79</v>
      </c>
      <c r="F49" s="71"/>
      <c r="G49" s="140"/>
      <c r="H49" s="140"/>
      <c r="I49" s="140"/>
      <c r="J49" s="140"/>
      <c r="K49" s="124"/>
      <c r="L49" s="124"/>
      <c r="M49" s="124"/>
      <c r="N49" s="124"/>
      <c r="O49" s="139"/>
      <c r="P49" s="124"/>
      <c r="Q49" s="124"/>
      <c r="R49" s="124"/>
      <c r="S49" s="124"/>
      <c r="T49" s="139"/>
      <c r="U49" s="124"/>
      <c r="V49" s="124"/>
      <c r="W49" s="124"/>
      <c r="X49" s="124"/>
      <c r="Y49" s="139"/>
      <c r="Z49" s="124"/>
      <c r="AA49" s="124"/>
      <c r="AB49" s="124"/>
      <c r="AC49" s="124"/>
      <c r="AD49" s="139"/>
      <c r="AE49" s="124">
        <f>-13.575-AE46-AE47-AE45-AE44-AE43-AE42-AE40-AE54</f>
        <v>-14.074999999999999</v>
      </c>
      <c r="AF49" s="124">
        <f>-13.842-AF46-AF47-AF45-AF44-AF43-AF42-AF40-AF54</f>
        <v>-14.342000000000001</v>
      </c>
      <c r="AG49" s="124">
        <f>-12.797-AG46-AG47-AG45-AG44-AG43-AG42-AG40-AG54</f>
        <v>-13.297000000000001</v>
      </c>
      <c r="AH49" s="124">
        <f>-11.016-AH46-AH47-AH45-AH44-AH43-AH42-AH40-AH54</f>
        <v>-7.4874562500000001</v>
      </c>
      <c r="AI49" s="139">
        <f>SUM(AE49:AH49)</f>
        <v>-49.20145625</v>
      </c>
      <c r="AJ49" s="124">
        <f>-9.459-AJ46-AJ47-AJ45-AJ44-AJ43-AJ42-AJ40-AJ54</f>
        <v>-0.951430000000001</v>
      </c>
      <c r="AK49" s="124">
        <f>-8.591-AK46-AK47-AK45-AK44-AK43-AK42-AK40-AK54</f>
        <v>-0.3151499999999976</v>
      </c>
      <c r="AL49" s="124">
        <f>-8.105-AL46-AL47-AL45-AL44-AL43-AL42-AL40-AL54</f>
        <v>-8.0932500000001739E-2</v>
      </c>
      <c r="AM49" s="124">
        <f>-6.441-AM46-AM47-AM45-AM44-AM43-AM42-AM40-AM54</f>
        <v>1.3373899999999996</v>
      </c>
      <c r="AN49" s="139">
        <f>SUM(AJ49:AM49)</f>
        <v>-1.0122500000000478E-2</v>
      </c>
      <c r="AO49" s="124">
        <f>-5.505-AO46-AO47-AO45-AO44-AO43-AO42-AO40-AO54</f>
        <v>2.095205</v>
      </c>
      <c r="AP49" s="124">
        <f>-5.423-AP46-AP47-AP45-AP44-AP43-AP42-AP40-AP54</f>
        <v>1.8472424999999988</v>
      </c>
      <c r="AQ49" s="124">
        <f>-5.687-AQ46-AQ47-AQ45-AQ44-AQ43-AQ42-AQ40-AQ54</f>
        <v>-6.4656250000000637E-2</v>
      </c>
      <c r="AR49" s="124">
        <f>-5.865-AR46-AR47-AR45-AR44-AR43-AR42-AR40-AR54</f>
        <v>-0.55657624999999911</v>
      </c>
      <c r="AS49" s="139">
        <f>SUM(AO49:AR49)</f>
        <v>3.3212149999999991</v>
      </c>
      <c r="AT49" s="124">
        <f>-5.898-AT46-AT47-AT45-AT44-AT43-AT42-AT40-AT54</f>
        <v>-0.8569824999999982</v>
      </c>
      <c r="AU49" s="124">
        <f>-6.26-AU46-AU47-AU45-AU44-AU43-AU42-AU40-AU54</f>
        <v>-1.3237887499999985</v>
      </c>
      <c r="AV49" s="124">
        <f>-6.006-AV46-AV47-AV45-AV44-AV43-AV42-AV40-AV54</f>
        <v>-1.4113512499999996</v>
      </c>
      <c r="AW49" s="124">
        <f>-5.659-AW46-AW47-AW45-AW44-AW43-AW42-AW40-AW54</f>
        <v>-1.1117462499999986</v>
      </c>
      <c r="AX49" s="139">
        <f>SUM(AT49:AW49)</f>
        <v>-4.7038687499999945</v>
      </c>
      <c r="AY49" s="124">
        <f>-10.174+4.719-AY47-AY46-AY45-AY44-AY43-AY42-AY40-AY54</f>
        <v>-1.2019799999999983</v>
      </c>
      <c r="AZ49" s="124">
        <f>-4.719-AZ47-AZ46-AZ45-AZ44-AZ43-AZ42-AZ40-AZ54</f>
        <v>-1.0901499999999991</v>
      </c>
      <c r="BA49" s="124">
        <f>-3.883-BA47-BA46-BA45-BA44-BA43-BA42-BA40-BA54</f>
        <v>-0.66420875000000024</v>
      </c>
      <c r="BB49" s="124">
        <f>-3.391-BB47-BB46-BB45-BB44-BB43-BB42-BB40-BB54</f>
        <v>-0.66884374999999974</v>
      </c>
      <c r="BC49" s="139">
        <f>SUM(AY49:BB49)</f>
        <v>-3.6251824999999975</v>
      </c>
      <c r="BD49" s="124">
        <f>-3.24-BD47-BD46-BD45-BD44-BD43-BD42-BD40-BD54</f>
        <v>-1.0037662500000004</v>
      </c>
      <c r="BE49" s="124">
        <f>-3.317-BE47-BE46-BE45-BE44-BE43-BE42-BE40-BE54</f>
        <v>-0.89542499999999958</v>
      </c>
      <c r="BF49" s="124">
        <f>-3.178-BF47-BF46-BF45-BF44-BF43-BF42-BF40-BF54</f>
        <v>-0.87648375000000001</v>
      </c>
      <c r="BG49" s="124">
        <f>-2.959-BG47-BG46-BG45-BG44-BG43-BG42-BG40-BG54</f>
        <v>-0.72191749999999999</v>
      </c>
      <c r="BH49" s="139">
        <f>SUM(BD49:BG49)</f>
        <v>-3.4975924999999997</v>
      </c>
      <c r="BI49" s="124">
        <f>-3.019-BI47-BI46-BI45-BI44-BI43-BI42-BI40-BI54</f>
        <v>-1.0342225000000003</v>
      </c>
      <c r="BJ49" s="124">
        <f>-2.98-BJ47-BJ46-BJ45-BJ44-BJ43-BJ42-BJ40-BJ54</f>
        <v>-0.97302125000000017</v>
      </c>
      <c r="BK49" s="124">
        <f>-3.114-BK47-BK46-BK45-BK44-BK43-BK42-BK40-BK54</f>
        <v>-0.69850000000000056</v>
      </c>
      <c r="BL49" s="124">
        <f>-2.558-BL47-BL46-BL45-BL44-BL43-BL42-BL40-BL54</f>
        <v>-0.52436250000000006</v>
      </c>
      <c r="BM49" s="513">
        <f>-8.671-BM47-BM46-BM45-BM44-BM43-BM42-BM40-BM54</f>
        <v>-0.23010625000000129</v>
      </c>
      <c r="BN49" s="124">
        <f>-1.948-BN47-BN46-BN45-BN44-BN43-BN42-BN40-BN54</f>
        <v>-0.19114249999999933</v>
      </c>
      <c r="BO49" s="124">
        <f>-1.821-BO47-BO46-BO45-BO44-BO43-BO42-BO40-BO54</f>
        <v>-2.163699999999924E-2</v>
      </c>
      <c r="BP49" s="124">
        <f>-2.005-BP47-BP46-BP45-BP44-BP43-BP42-BP40-BP54</f>
        <v>1.1180705</v>
      </c>
      <c r="BQ49" s="124">
        <f>-1.898-BQ47-BQ46-BQ45-BQ44-BQ43-BQ42-BQ40-BQ54</f>
        <v>1.0314380000000001</v>
      </c>
      <c r="BR49" s="139">
        <f>SUM(BN49:BQ49)</f>
        <v>1.9367290000000015</v>
      </c>
      <c r="BS49" s="124">
        <f>-1.885-BS47-BS46-BS45-BS44-BS43-BS42-BS40-BS54</f>
        <v>0.75618424999999945</v>
      </c>
      <c r="BT49" s="124">
        <f>-1.956-BT47-BT46-BT45-BT44-BT43-BT42-BT40-BT54</f>
        <v>0.28465549999999951</v>
      </c>
      <c r="BU49" s="124">
        <f>-1.948-BU47-BU46-BU45-BU44-BU43-BU42-BU40-BU54</f>
        <v>-0.37168075000000023</v>
      </c>
      <c r="BV49" s="124">
        <f>-1.88-BV47-BV46-BV45-BV44-BV43-BV42-BV40-BV54</f>
        <v>-0.44850950000000017</v>
      </c>
      <c r="BW49" s="139">
        <f>SUM(BS49:BV49)</f>
        <v>0.22064949999999867</v>
      </c>
      <c r="BX49" s="124">
        <f>-1.812-BX47-BX46-BX45-BX44-BX43-BX42-BX40-BX54</f>
        <v>-3.8417250000000347E-2</v>
      </c>
      <c r="BY49" s="124">
        <f>-1.689-BY47-BY46-BY45-BY44-BY43-BY42-BY40-BY54</f>
        <v>8.6220249999999554E-2</v>
      </c>
      <c r="BZ49" s="124">
        <f>-1.743-BZ47-BZ46-BZ45-BZ44-BZ43-BZ42-BZ40-BZ54</f>
        <v>0.30475024999999983</v>
      </c>
      <c r="CA49" s="124">
        <f>-2.137-CA47-CA46-CA45-CA44-CA43-CA42-CA40-CA54</f>
        <v>0.33546274999999987</v>
      </c>
      <c r="CB49" s="139">
        <f>SUM(BX49:CA49)</f>
        <v>0.68801599999999885</v>
      </c>
      <c r="CC49" s="124">
        <f>-2.342-CC47-CC46-CC45-CC44-CC43-CC42-CC40-CC54</f>
        <v>5.1594000000000473E-2</v>
      </c>
      <c r="CD49" s="124">
        <f>-2.524-CD47-CD46-CD45-CD44-CD43-CD42-CD40-CD54</f>
        <v>-5.6104999999999627E-2</v>
      </c>
      <c r="CE49" s="124">
        <f>-2.566-CE47-CE46-CE45-CE44-CE43-CE42-CE40-CE54</f>
        <v>-0.11732499999999962</v>
      </c>
      <c r="CF49" s="124">
        <f>-2.699-CF47-CF46-CF45-CF44-CF43-CF42-CF40-CF54</f>
        <v>-0.27270249999999968</v>
      </c>
      <c r="CG49" s="139">
        <f>SUM(CC49:CF49)</f>
        <v>-0.39453849999999846</v>
      </c>
      <c r="CH49" s="124">
        <f>-2.838-CH47-CH46-CH45-CH44-CH43-CH42-CH40-CH54</f>
        <v>-0.37809250000000005</v>
      </c>
      <c r="CI49" s="128">
        <v>-0.2</v>
      </c>
      <c r="CJ49" s="128">
        <v>-0.2</v>
      </c>
      <c r="CK49" s="128">
        <v>0</v>
      </c>
      <c r="CL49" s="139">
        <f>SUM(CH49:CK49)</f>
        <v>-0.77809250000000008</v>
      </c>
      <c r="CM49" s="128">
        <v>0</v>
      </c>
      <c r="CN49" s="128">
        <v>0</v>
      </c>
      <c r="CO49" s="128">
        <v>0</v>
      </c>
      <c r="CP49" s="128">
        <v>0</v>
      </c>
      <c r="CQ49" s="139">
        <f>SUM(CM49:CP49)</f>
        <v>0</v>
      </c>
      <c r="CR49" s="128">
        <v>0</v>
      </c>
      <c r="CS49" s="128">
        <v>0</v>
      </c>
      <c r="CT49" s="128">
        <v>0</v>
      </c>
      <c r="CU49" s="128">
        <v>0</v>
      </c>
      <c r="CV49" s="139">
        <f>SUM(CR49:CU49)</f>
        <v>0</v>
      </c>
    </row>
    <row r="50" spans="5:100" ht="3.95" customHeight="1" x14ac:dyDescent="0.25">
      <c r="F50" s="71"/>
      <c r="G50" s="140"/>
      <c r="H50" s="140"/>
      <c r="I50" s="140"/>
      <c r="J50" s="140"/>
      <c r="K50" s="124"/>
      <c r="L50" s="124"/>
      <c r="M50" s="124"/>
      <c r="N50" s="124"/>
      <c r="O50" s="140"/>
      <c r="P50" s="124"/>
      <c r="Q50" s="124"/>
      <c r="R50" s="124"/>
      <c r="S50" s="124"/>
      <c r="T50" s="140"/>
      <c r="U50" s="124"/>
      <c r="V50" s="124"/>
      <c r="W50" s="124"/>
      <c r="X50" s="124"/>
      <c r="Y50" s="140"/>
      <c r="Z50" s="124"/>
      <c r="AA50" s="124"/>
      <c r="AB50" s="124"/>
      <c r="AC50" s="124"/>
      <c r="AD50" s="140"/>
      <c r="AE50" s="124"/>
      <c r="AF50" s="124"/>
      <c r="AG50" s="124"/>
      <c r="AH50" s="124"/>
      <c r="AI50" s="140"/>
      <c r="AJ50" s="124"/>
      <c r="AK50" s="124"/>
      <c r="AL50" s="124"/>
      <c r="AM50" s="124"/>
      <c r="AN50" s="140"/>
      <c r="AO50" s="124"/>
      <c r="AP50" s="124"/>
      <c r="AQ50" s="124"/>
      <c r="AR50" s="124"/>
      <c r="AS50" s="140"/>
      <c r="AT50" s="124"/>
      <c r="AU50" s="124"/>
      <c r="AV50" s="124"/>
      <c r="AW50" s="124"/>
      <c r="AX50" s="140"/>
      <c r="AY50" s="124"/>
      <c r="AZ50" s="124"/>
      <c r="BA50" s="124"/>
      <c r="BB50" s="124"/>
      <c r="BC50" s="140"/>
      <c r="BD50" s="124"/>
      <c r="BE50" s="124"/>
      <c r="BF50" s="124"/>
      <c r="BG50" s="124"/>
      <c r="BH50" s="140"/>
      <c r="BI50" s="124"/>
      <c r="BJ50" s="124"/>
      <c r="BK50" s="124"/>
      <c r="BL50" s="124"/>
      <c r="BM50" s="140"/>
      <c r="BN50" s="124"/>
      <c r="BO50" s="124"/>
      <c r="BP50" s="124"/>
      <c r="BQ50" s="124"/>
      <c r="BR50" s="140"/>
      <c r="BS50" s="124"/>
      <c r="BT50" s="124"/>
      <c r="BU50" s="124"/>
      <c r="BV50" s="124"/>
      <c r="BW50" s="140"/>
      <c r="BX50" s="124"/>
      <c r="BY50" s="124"/>
      <c r="BZ50" s="124"/>
      <c r="CA50" s="124"/>
      <c r="CB50" s="140"/>
      <c r="CC50" s="124"/>
      <c r="CD50" s="124"/>
      <c r="CE50" s="124"/>
      <c r="CF50" s="124"/>
      <c r="CG50" s="140"/>
      <c r="CH50" s="124"/>
      <c r="CI50" s="124"/>
      <c r="CJ50" s="124"/>
      <c r="CK50" s="124"/>
      <c r="CL50" s="140"/>
      <c r="CM50" s="124"/>
      <c r="CN50" s="124"/>
      <c r="CO50" s="124"/>
      <c r="CP50" s="124"/>
      <c r="CQ50" s="140"/>
      <c r="CR50" s="124"/>
      <c r="CS50" s="124"/>
      <c r="CT50" s="124"/>
      <c r="CU50" s="124"/>
      <c r="CV50" s="140"/>
    </row>
    <row r="51" spans="5:100" s="207" customFormat="1" ht="13.5" x14ac:dyDescent="0.25">
      <c r="E51" s="207" t="s">
        <v>80</v>
      </c>
      <c r="F51" s="168"/>
      <c r="G51" s="35"/>
      <c r="H51" s="35"/>
      <c r="I51" s="35"/>
      <c r="J51" s="35"/>
      <c r="K51" s="28"/>
      <c r="L51" s="28"/>
      <c r="M51" s="28"/>
      <c r="N51" s="28"/>
      <c r="O51" s="35"/>
      <c r="P51" s="28"/>
      <c r="Q51" s="28"/>
      <c r="R51" s="28"/>
      <c r="S51" s="28"/>
      <c r="T51" s="35"/>
      <c r="U51" s="28"/>
      <c r="V51" s="28"/>
      <c r="W51" s="28"/>
      <c r="X51" s="28"/>
      <c r="Y51" s="35"/>
      <c r="Z51" s="28"/>
      <c r="AA51" s="28"/>
      <c r="AB51" s="28"/>
      <c r="AC51" s="28"/>
      <c r="AD51" s="35"/>
      <c r="AE51" s="28">
        <f>AE49+AE47+AE46+AE45+AE44+AE43+AE42+AE40</f>
        <v>-14.074999999999999</v>
      </c>
      <c r="AF51" s="28">
        <f>AF49+AF47+AF46+AF45+AF44+AF43+AF42+AF40</f>
        <v>-14.342000000000001</v>
      </c>
      <c r="AG51" s="28">
        <f>AG49+AG47+AG46+AG45+AG44+AG43+AG42+AG40</f>
        <v>-13.297000000000001</v>
      </c>
      <c r="AH51" s="28">
        <f>AH49+AH47+AH46+AH45+AH44+AH43+AH42+AH40</f>
        <v>-11.516000000000002</v>
      </c>
      <c r="AI51" s="35">
        <f>SUM(AE51:AH51)</f>
        <v>-53.230000000000004</v>
      </c>
      <c r="AJ51" s="28">
        <f>AJ49+AJ47+AJ46+AJ45+AJ44+AJ43+AJ42+AJ40</f>
        <v>-10.459000000000001</v>
      </c>
      <c r="AK51" s="28">
        <f>AK49+AK47+AK46+AK45+AK44+AK43+AK42+AK40</f>
        <v>-9.5909999999999975</v>
      </c>
      <c r="AL51" s="28">
        <f>AL49+AL47+AL46+AL45+AL44+AL43+AL42+AL40</f>
        <v>-9.1050000000000004</v>
      </c>
      <c r="AM51" s="28">
        <f>AM49+AM47+AM46+AM45+AM44+AM43+AM42+AM40</f>
        <v>-7.4409999999999989</v>
      </c>
      <c r="AN51" s="35">
        <f>SUM(AJ51:AM51)</f>
        <v>-36.595999999999997</v>
      </c>
      <c r="AO51" s="28">
        <f>AO49+AO47+AO46+AO45+AO44+AO43+AO42+AO40</f>
        <v>-6.5049999999999999</v>
      </c>
      <c r="AP51" s="28">
        <f>AP49+AP47+AP46+AP45+AP44+AP43+AP42+AP40</f>
        <v>-6.4230000000000009</v>
      </c>
      <c r="AQ51" s="28">
        <f>AQ49+AQ47+AQ46+AQ45+AQ44+AQ43+AQ42+AQ40</f>
        <v>-6.6870000000000003</v>
      </c>
      <c r="AR51" s="28">
        <f>AR49+AR47+AR46+AR45+AR44+AR43+AR42+AR40</f>
        <v>-6.8649999999999993</v>
      </c>
      <c r="AS51" s="35">
        <f t="shared" ref="AS51:BM51" si="144">AS49+AS47+AS46+AS45+AS44+AS43+AS42+AS40</f>
        <v>-26.479999999999997</v>
      </c>
      <c r="AT51" s="28">
        <f t="shared" si="144"/>
        <v>-7.018745</v>
      </c>
      <c r="AU51" s="28">
        <f t="shared" si="144"/>
        <v>-7.3807450000000001</v>
      </c>
      <c r="AV51" s="28">
        <f t="shared" si="144"/>
        <v>-7.1267450000000006</v>
      </c>
      <c r="AW51" s="28">
        <f t="shared" si="144"/>
        <v>-6.4589999999999987</v>
      </c>
      <c r="AX51" s="35">
        <f t="shared" si="144"/>
        <v>-27.985234999999999</v>
      </c>
      <c r="AY51" s="28">
        <f>AY49+AY47+AY46+AY45+AY44+AY43+AY42+AY40</f>
        <v>-6.2313362499999991</v>
      </c>
      <c r="AZ51" s="28">
        <f t="shared" si="144"/>
        <v>-5.4356024999999999</v>
      </c>
      <c r="BA51" s="28">
        <f t="shared" si="144"/>
        <v>-4.3296737500000004</v>
      </c>
      <c r="BB51" s="28">
        <f t="shared" si="144"/>
        <v>-4.1203149999999997</v>
      </c>
      <c r="BC51" s="35">
        <f t="shared" si="144"/>
        <v>-20.116927499999999</v>
      </c>
      <c r="BD51" s="28">
        <f t="shared" si="144"/>
        <v>-4.3882400000000006</v>
      </c>
      <c r="BE51" s="28">
        <f t="shared" si="144"/>
        <v>-4.2134099999999997</v>
      </c>
      <c r="BF51" s="28">
        <f t="shared" si="144"/>
        <v>-4.1200200000000002</v>
      </c>
      <c r="BG51" s="28">
        <f t="shared" si="144"/>
        <v>-3.8901000000000003</v>
      </c>
      <c r="BH51" s="35">
        <f t="shared" si="144"/>
        <v>-16.61177</v>
      </c>
      <c r="BI51" s="28">
        <f t="shared" si="144"/>
        <v>-4.1338700000000008</v>
      </c>
      <c r="BJ51" s="28">
        <f t="shared" si="144"/>
        <v>-4.0181500000000003</v>
      </c>
      <c r="BK51" s="28">
        <f t="shared" si="144"/>
        <v>-4.1970799999999997</v>
      </c>
      <c r="BL51" s="28">
        <f t="shared" si="144"/>
        <v>-4.4625400000000006</v>
      </c>
      <c r="BM51" s="35">
        <f t="shared" si="144"/>
        <v>-13.811640000000002</v>
      </c>
      <c r="BN51" s="28">
        <f t="shared" ref="BN51:BW51" si="145">BN49+BN47+BN46+BN45+BN44+BN43+BN42+BN40</f>
        <v>-4.0409299999999995</v>
      </c>
      <c r="BO51" s="28">
        <f t="shared" si="145"/>
        <v>-3.7855920000000003</v>
      </c>
      <c r="BP51" s="28">
        <f t="shared" si="145"/>
        <v>-2.5540520000000004</v>
      </c>
      <c r="BQ51" s="28">
        <f t="shared" si="145"/>
        <v>-2.532457</v>
      </c>
      <c r="BR51" s="35">
        <f t="shared" si="145"/>
        <v>-12.913031</v>
      </c>
      <c r="BS51" s="28">
        <f>BS49+BS47+BS46+BS45+BS44+BS43+BS42+BS40</f>
        <v>-2.5900520000000005</v>
      </c>
      <c r="BT51" s="28">
        <f t="shared" si="145"/>
        <v>-2.5719620000000001</v>
      </c>
      <c r="BU51" s="28">
        <f t="shared" si="145"/>
        <v>-2.8527270000000007</v>
      </c>
      <c r="BV51" s="28">
        <f t="shared" si="145"/>
        <v>-2.8119520000000002</v>
      </c>
      <c r="BW51" s="35">
        <f t="shared" si="145"/>
        <v>-10.826693000000001</v>
      </c>
      <c r="BX51" s="28">
        <f>BX49+BX47+BX46+BX45+BX44+BX43+BX42+BX40</f>
        <v>-2.2860735000000005</v>
      </c>
      <c r="BY51" s="28">
        <f t="shared" ref="BY51:CG51" si="146">BY49+BY47+BY46+BY45+BY44+BY43+BY42+BY40</f>
        <v>-2.0644010000000002</v>
      </c>
      <c r="BZ51" s="28">
        <f t="shared" si="146"/>
        <v>-2.1815235000000004</v>
      </c>
      <c r="CA51" s="28">
        <f t="shared" si="146"/>
        <v>-2.4816259999999999</v>
      </c>
      <c r="CB51" s="35">
        <f t="shared" si="146"/>
        <v>-9.0136240000000019</v>
      </c>
      <c r="CC51" s="28">
        <f>CC49+CC47+CC46+CC45+CC44+CC43+CC42+CC40</f>
        <v>-2.7678585</v>
      </c>
      <c r="CD51" s="28">
        <f>CD49+CD47+CD46+CD45+CD44+CD43+CD42+CD40</f>
        <v>-2.9294324999999999</v>
      </c>
      <c r="CE51" s="28">
        <f>CE49+CE47+CE46+CE45+CE44+CE43+CE42+CE40</f>
        <v>-2.9868799999999998</v>
      </c>
      <c r="CF51" s="28">
        <f>CF49+CF47+CF46+CF45+CF44+CF43+CF42+CF40</f>
        <v>-3.1384275000000001</v>
      </c>
      <c r="CG51" s="35">
        <f t="shared" si="146"/>
        <v>-11.8225985</v>
      </c>
      <c r="CH51" s="28">
        <f t="shared" ref="CH51:CQ51" si="147">CH49+CH47+CH46+CH45+CH44+CH43+CH42+CH40</f>
        <v>-3.2380925</v>
      </c>
      <c r="CI51" s="28">
        <f t="shared" si="147"/>
        <v>-3.0425225</v>
      </c>
      <c r="CJ51" s="28">
        <f t="shared" si="147"/>
        <v>-1.61441875</v>
      </c>
      <c r="CK51" s="28">
        <f t="shared" si="147"/>
        <v>0</v>
      </c>
      <c r="CL51" s="35">
        <f t="shared" si="147"/>
        <v>-7.8950337499999996</v>
      </c>
      <c r="CM51" s="28">
        <f t="shared" si="147"/>
        <v>0</v>
      </c>
      <c r="CN51" s="28">
        <f t="shared" si="147"/>
        <v>0</v>
      </c>
      <c r="CO51" s="28">
        <f t="shared" si="147"/>
        <v>0</v>
      </c>
      <c r="CP51" s="28">
        <f t="shared" si="147"/>
        <v>0</v>
      </c>
      <c r="CQ51" s="35">
        <f t="shared" si="147"/>
        <v>0</v>
      </c>
      <c r="CR51" s="28">
        <f t="shared" ref="CR51:CV51" si="148">CR49+CR47+CR46+CR45+CR44+CR43+CR42+CR40</f>
        <v>0</v>
      </c>
      <c r="CS51" s="28">
        <f t="shared" si="148"/>
        <v>0</v>
      </c>
      <c r="CT51" s="28">
        <f t="shared" si="148"/>
        <v>0</v>
      </c>
      <c r="CU51" s="28">
        <f t="shared" si="148"/>
        <v>0</v>
      </c>
      <c r="CV51" s="35">
        <f t="shared" si="148"/>
        <v>0</v>
      </c>
    </row>
    <row r="52" spans="5:100" ht="13.5" x14ac:dyDescent="0.25">
      <c r="E52" s="118" t="s">
        <v>104</v>
      </c>
      <c r="F52" s="70"/>
      <c r="G52" s="209"/>
      <c r="H52" s="209"/>
      <c r="I52" s="209"/>
      <c r="J52" s="209"/>
      <c r="O52" s="209"/>
      <c r="T52" s="209"/>
      <c r="Y52" s="209"/>
      <c r="AD52" s="209"/>
      <c r="AI52" s="209">
        <f>SUM(AI42:AI47)/(((AD22-AD20)+(AI22-AI20))/2)</f>
        <v>5.1353323807259094E-3</v>
      </c>
      <c r="AN52" s="209">
        <f>SUM(AN42:AN47)/(((AI22-AI20)+(AN22-AN20))/2)</f>
        <v>5.4444543942375155E-2</v>
      </c>
      <c r="AS52" s="209">
        <f>SUM(AS42:AS47)/(((AN22-AN20)+(AS22-AS20))/2)</f>
        <v>5.1330164118875879E-2</v>
      </c>
      <c r="AX52" s="209">
        <f>SUM(AX42:AX47)/(((AS22-AS20)+(AX22-AX20))/2)</f>
        <v>4.7429244950827384E-2</v>
      </c>
      <c r="BC52" s="209">
        <f>SUM(BC42:BC47)/(((AX22-AX20)+(BC22-BC20))/2)</f>
        <v>4.3918185841339635E-2</v>
      </c>
      <c r="BH52" s="209">
        <f>SUM(BH42:BH47)/(((BC22-BC20)+(BH22-BH20))/2)</f>
        <v>4.5997372860159813E-2</v>
      </c>
      <c r="BM52" s="209">
        <f>SUM(BM42:BM47)/(((BH22-BH20)+(BM22-BM20))/2)</f>
        <v>4.488918606585364E-2</v>
      </c>
      <c r="BR52" s="209">
        <f>SUM(BR42:BR47)/(((BM22-BM20)+(BR22-BR20))/2)</f>
        <v>4.4807233973627937E-2</v>
      </c>
      <c r="BW52" s="209">
        <f>SUM(BW42:BW47)/(((BR22-BR20)+(BW22-BW20))/2)</f>
        <v>3.8552162642075206E-2</v>
      </c>
      <c r="CB52" s="209">
        <f>SUM(CB42:CB47)/(((BW22-BW20)+(CB22-CB20))/2)</f>
        <v>3.9768129770992366E-2</v>
      </c>
      <c r="CG52" s="209">
        <f>SUM(CG42:CG47)/(((CB22-CB20)+(CG22-CG20))/2)</f>
        <v>4.8675623800383878E-2</v>
      </c>
      <c r="CL52" s="209">
        <f>SUM(CL42:CL47)/(((CG22-CG20)+(CL22-CL20))/2)</f>
        <v>6.1858218551128934E-2</v>
      </c>
      <c r="CQ52" s="746" t="s">
        <v>490</v>
      </c>
      <c r="CR52" s="720"/>
      <c r="CS52" s="720"/>
      <c r="CT52" s="720"/>
      <c r="CU52" s="720"/>
      <c r="CV52" s="746" t="s">
        <v>490</v>
      </c>
    </row>
    <row r="53" spans="5:100" ht="3.95" customHeight="1" x14ac:dyDescent="0.25">
      <c r="F53" s="71"/>
      <c r="G53" s="71"/>
      <c r="H53" s="71"/>
      <c r="I53" s="71"/>
      <c r="J53" s="71"/>
      <c r="O53" s="71"/>
      <c r="T53" s="71"/>
      <c r="Y53" s="71"/>
      <c r="AD53" s="71"/>
      <c r="AI53" s="71"/>
      <c r="AN53" s="71"/>
      <c r="AS53" s="71"/>
      <c r="AX53" s="71"/>
      <c r="BC53" s="71"/>
      <c r="BH53" s="71"/>
      <c r="BM53" s="71"/>
      <c r="BR53" s="71"/>
      <c r="BW53" s="71"/>
      <c r="CB53" s="71"/>
      <c r="CG53" s="71"/>
      <c r="CL53" s="71"/>
      <c r="CQ53" s="71"/>
      <c r="CR53" s="720"/>
      <c r="CS53" s="720"/>
      <c r="CT53" s="720"/>
      <c r="CU53" s="720"/>
      <c r="CV53" s="71"/>
    </row>
    <row r="54" spans="5:100" x14ac:dyDescent="0.25">
      <c r="E54" s="47" t="s">
        <v>135</v>
      </c>
      <c r="F54" s="71"/>
      <c r="G54" s="140"/>
      <c r="H54" s="140"/>
      <c r="I54" s="140"/>
      <c r="J54" s="140"/>
      <c r="K54" s="124"/>
      <c r="L54" s="124"/>
      <c r="M54" s="124"/>
      <c r="N54" s="124"/>
      <c r="O54" s="139"/>
      <c r="P54" s="124"/>
      <c r="Q54" s="124"/>
      <c r="R54" s="124"/>
      <c r="S54" s="124"/>
      <c r="T54" s="139"/>
      <c r="U54" s="124"/>
      <c r="V54" s="124"/>
      <c r="W54" s="124"/>
      <c r="X54" s="124"/>
      <c r="Y54" s="139"/>
      <c r="Z54" s="124"/>
      <c r="AA54" s="124"/>
      <c r="AB54" s="124"/>
      <c r="AC54" s="124"/>
      <c r="AD54" s="139"/>
      <c r="AE54" s="122">
        <v>0.5</v>
      </c>
      <c r="AF54" s="122">
        <v>0.5</v>
      </c>
      <c r="AG54" s="122">
        <v>0.5</v>
      </c>
      <c r="AH54" s="122">
        <v>0.5</v>
      </c>
      <c r="AI54" s="139">
        <f>SUM(AE54:AH54)</f>
        <v>2</v>
      </c>
      <c r="AJ54" s="122">
        <v>1</v>
      </c>
      <c r="AK54" s="122">
        <v>1</v>
      </c>
      <c r="AL54" s="122">
        <v>1</v>
      </c>
      <c r="AM54" s="122">
        <v>1</v>
      </c>
      <c r="AN54" s="139">
        <f>SUM(AJ54:AM54)</f>
        <v>4</v>
      </c>
      <c r="AO54" s="122">
        <v>1</v>
      </c>
      <c r="AP54" s="122">
        <v>1</v>
      </c>
      <c r="AQ54" s="122">
        <v>1</v>
      </c>
      <c r="AR54" s="122">
        <v>1</v>
      </c>
      <c r="AS54" s="139">
        <f>SUM(AO54:AR54)</f>
        <v>4</v>
      </c>
      <c r="AT54" s="122">
        <v>1.1207450000000001</v>
      </c>
      <c r="AU54" s="122">
        <v>1.1207450000000001</v>
      </c>
      <c r="AV54" s="122">
        <v>1.1207450000000001</v>
      </c>
      <c r="AW54" s="122">
        <v>0.8</v>
      </c>
      <c r="AX54" s="139">
        <f>SUM(AT54:AW54)</f>
        <v>4.1622349999999999</v>
      </c>
      <c r="AY54" s="27">
        <f>(AX23)*(AY38/4)</f>
        <v>0.77633625000000006</v>
      </c>
      <c r="AZ54" s="27">
        <f>(AY23)*(AZ38/4)</f>
        <v>0.71660250000000003</v>
      </c>
      <c r="BA54" s="27">
        <f>(AZ23)*(BA38/4)</f>
        <v>0.44667375000000009</v>
      </c>
      <c r="BB54" s="27">
        <f>(BA23)*(BB38/4)</f>
        <v>0.72931500000000016</v>
      </c>
      <c r="BC54" s="139">
        <f>SUM(AY54:BB54)</f>
        <v>2.6689275000000001</v>
      </c>
      <c r="BD54" s="27">
        <f>(BB23)*(BD38/4)</f>
        <v>1.1482400000000001</v>
      </c>
      <c r="BE54" s="27">
        <f>(BD23)*(BE38/4)</f>
        <v>0.89641000000000026</v>
      </c>
      <c r="BF54" s="27">
        <f>(BE23)*(BF38/4)</f>
        <v>0.9420200000000003</v>
      </c>
      <c r="BG54" s="27">
        <f>(BF23)*(BG38/4)</f>
        <v>0.93110000000000026</v>
      </c>
      <c r="BH54" s="139">
        <f>SUM(BD54:BG54)</f>
        <v>3.9177700000000009</v>
      </c>
      <c r="BI54" s="27">
        <f>(BG23)*(BI38/4)</f>
        <v>1.1148700000000002</v>
      </c>
      <c r="BJ54" s="27">
        <f>(BI23)*(BJ38/4)</f>
        <v>1.0381500000000004</v>
      </c>
      <c r="BK54" s="27">
        <f>(BJ23)*(BK38/4)</f>
        <v>1.0830800000000003</v>
      </c>
      <c r="BL54" s="27">
        <f>(BK23)*(BL38/4)</f>
        <v>1.9045400000000001</v>
      </c>
      <c r="BM54" s="139">
        <f>SUM(BI54:BL54)</f>
        <v>5.1406400000000012</v>
      </c>
      <c r="BN54" s="27">
        <f>(BL23)*(BN38/4)</f>
        <v>2.09293</v>
      </c>
      <c r="BO54" s="27">
        <f>(BN23)*(BO38/4)</f>
        <v>1.9645920000000001</v>
      </c>
      <c r="BP54" s="27">
        <f>(BO23)*(BP38/4)</f>
        <v>0.54905200000000043</v>
      </c>
      <c r="BQ54" s="27">
        <f>(BP23)*(BQ38/4)</f>
        <v>0.63445700000000038</v>
      </c>
      <c r="BR54" s="139">
        <f>SUM(BN54:BQ54)</f>
        <v>5.2410310000000013</v>
      </c>
      <c r="BS54" s="27">
        <f>(BQ23)*(BS38/4)</f>
        <v>0.70505200000000035</v>
      </c>
      <c r="BT54" s="27">
        <f>(BS23)*(BT38/4)</f>
        <v>0.61596200000000023</v>
      </c>
      <c r="BU54" s="27">
        <f>(BT23)*(BU38/4)</f>
        <v>0.90472700000000028</v>
      </c>
      <c r="BV54" s="27">
        <f>(BU23)*(BV38/4)</f>
        <v>0.93195200000000045</v>
      </c>
      <c r="BW54" s="139">
        <f>SUM(BS54:BV54)</f>
        <v>3.1576930000000014</v>
      </c>
      <c r="BX54" s="27">
        <f>(BV23)*(BX38/4)</f>
        <v>0.47407350000000026</v>
      </c>
      <c r="BY54" s="27">
        <f>(BX23)*(BY38/4)</f>
        <v>0.37540100000000026</v>
      </c>
      <c r="BZ54" s="27">
        <f>(BY23)*(BZ38/4)</f>
        <v>0.43852350000000023</v>
      </c>
      <c r="CA54" s="27">
        <f>(BZ23)*(CA38/4)</f>
        <v>0.34462600000000027</v>
      </c>
      <c r="CB54" s="139">
        <f>SUM(BX54:CA54)</f>
        <v>1.6326240000000012</v>
      </c>
      <c r="CC54" s="27">
        <f>(CA23)*(CC38/4)</f>
        <v>0.42585850000000025</v>
      </c>
      <c r="CD54" s="27">
        <f>(CC23)*(CD38/4)</f>
        <v>0.40543250000000003</v>
      </c>
      <c r="CE54" s="27">
        <f>(CD23)*(CE38/4)</f>
        <v>0.42088000000000003</v>
      </c>
      <c r="CF54" s="27">
        <f>(CE23)*(CF38/4)</f>
        <v>0.43942750000000003</v>
      </c>
      <c r="CG54" s="139">
        <f>SUM(CC54:CF54)</f>
        <v>1.6915985000000002</v>
      </c>
      <c r="CH54" s="27">
        <f>(CF23)*(CH38/4)</f>
        <v>0.40009250000000002</v>
      </c>
      <c r="CI54" s="27">
        <f>(CH23)*(CI38/4)</f>
        <v>0.23388750000000003</v>
      </c>
      <c r="CJ54" s="128">
        <f>9-CJ51</f>
        <v>10.61441875</v>
      </c>
      <c r="CK54" s="27">
        <f>(CJ23)*(CK38/4)</f>
        <v>7.0162388537500018</v>
      </c>
      <c r="CL54" s="139">
        <f>SUM(CH54:CK54)</f>
        <v>18.264637603750003</v>
      </c>
      <c r="CM54" s="27">
        <f>(CK23)*(CM38/4)</f>
        <v>4.507506480841875</v>
      </c>
      <c r="CN54" s="27">
        <f>(CM23)*(CN38/4)</f>
        <v>4.1994860962537377</v>
      </c>
      <c r="CO54" s="27">
        <f>(CN23)*(CO38/4)</f>
        <v>3.8521624816340174</v>
      </c>
      <c r="CP54" s="27">
        <f>(CO23)*(CP38/4)</f>
        <v>3.569000663435268</v>
      </c>
      <c r="CQ54" s="139">
        <f>SUM(CM54:CP54)</f>
        <v>16.128155722164898</v>
      </c>
      <c r="CR54" s="27">
        <f>(CP23)*(CR38/4)</f>
        <v>3.3052601548811755</v>
      </c>
      <c r="CS54" s="27">
        <f>(CR23)*(CS38/4)</f>
        <v>3.2638395289552209</v>
      </c>
      <c r="CT54" s="27">
        <f>(CS23)*(CT38/4)</f>
        <v>3.2096978192142753</v>
      </c>
      <c r="CU54" s="27">
        <f>(CT23)*(CU38/4)</f>
        <v>3.1899048868978195</v>
      </c>
      <c r="CV54" s="139">
        <f>SUM(CR54:CU54)</f>
        <v>12.968702389948492</v>
      </c>
    </row>
    <row r="55" spans="5:100" ht="13.5" x14ac:dyDescent="0.25">
      <c r="E55" s="207" t="s">
        <v>136</v>
      </c>
      <c r="F55" s="71"/>
      <c r="G55" s="35"/>
      <c r="H55" s="35"/>
      <c r="I55" s="35"/>
      <c r="J55" s="35"/>
      <c r="K55" s="28"/>
      <c r="L55" s="28"/>
      <c r="M55" s="28"/>
      <c r="N55" s="28"/>
      <c r="O55" s="35"/>
      <c r="P55" s="28"/>
      <c r="Q55" s="28"/>
      <c r="R55" s="28"/>
      <c r="S55" s="28"/>
      <c r="T55" s="374">
        <v>-19.190999999999999</v>
      </c>
      <c r="U55" s="371"/>
      <c r="V55" s="371"/>
      <c r="W55" s="371"/>
      <c r="X55" s="371"/>
      <c r="Y55" s="374">
        <v>-28.744</v>
      </c>
      <c r="Z55" s="371"/>
      <c r="AA55" s="371"/>
      <c r="AB55" s="371"/>
      <c r="AC55" s="371"/>
      <c r="AD55" s="374">
        <v>-46.631999999999998</v>
      </c>
      <c r="AE55" s="28">
        <f>AE54+AE51</f>
        <v>-13.574999999999999</v>
      </c>
      <c r="AF55" s="28">
        <f>AF54+AF51</f>
        <v>-13.842000000000001</v>
      </c>
      <c r="AG55" s="28">
        <f>AG54+AG51</f>
        <v>-12.797000000000001</v>
      </c>
      <c r="AH55" s="28">
        <f>AH54+AH51</f>
        <v>-11.016000000000002</v>
      </c>
      <c r="AI55" s="35">
        <f t="shared" ref="AI55:BC55" si="149">AI54+AI51</f>
        <v>-51.230000000000004</v>
      </c>
      <c r="AJ55" s="28">
        <f>AJ54+AJ51</f>
        <v>-9.4590000000000014</v>
      </c>
      <c r="AK55" s="28">
        <f>AK54+AK51</f>
        <v>-8.5909999999999975</v>
      </c>
      <c r="AL55" s="28">
        <f>AL54+AL51</f>
        <v>-8.1050000000000004</v>
      </c>
      <c r="AM55" s="28">
        <f>AM54+AM51</f>
        <v>-6.4409999999999989</v>
      </c>
      <c r="AN55" s="35">
        <f t="shared" si="149"/>
        <v>-32.595999999999997</v>
      </c>
      <c r="AO55" s="28">
        <f t="shared" si="149"/>
        <v>-5.5049999999999999</v>
      </c>
      <c r="AP55" s="28">
        <f t="shared" si="149"/>
        <v>-5.4230000000000009</v>
      </c>
      <c r="AQ55" s="28">
        <f>AQ54+AQ51</f>
        <v>-5.6870000000000003</v>
      </c>
      <c r="AR55" s="28">
        <f t="shared" si="149"/>
        <v>-5.8649999999999993</v>
      </c>
      <c r="AS55" s="35">
        <f t="shared" si="149"/>
        <v>-22.479999999999997</v>
      </c>
      <c r="AT55" s="28">
        <f t="shared" si="149"/>
        <v>-5.8979999999999997</v>
      </c>
      <c r="AU55" s="28">
        <f t="shared" si="149"/>
        <v>-6.26</v>
      </c>
      <c r="AV55" s="28">
        <f>AV54+AV51</f>
        <v>-6.0060000000000002</v>
      </c>
      <c r="AW55" s="28">
        <f t="shared" si="149"/>
        <v>-5.6589999999999989</v>
      </c>
      <c r="AX55" s="35">
        <f t="shared" si="149"/>
        <v>-23.823</v>
      </c>
      <c r="AY55" s="28">
        <f>AY54+AY51</f>
        <v>-5.4549999999999992</v>
      </c>
      <c r="AZ55" s="28">
        <f>AZ54+AZ51</f>
        <v>-4.7189999999999994</v>
      </c>
      <c r="BA55" s="28">
        <f t="shared" si="149"/>
        <v>-3.8830000000000005</v>
      </c>
      <c r="BB55" s="28">
        <f t="shared" si="149"/>
        <v>-3.3909999999999996</v>
      </c>
      <c r="BC55" s="35">
        <f t="shared" si="149"/>
        <v>-17.448</v>
      </c>
      <c r="BD55" s="28">
        <f t="shared" ref="BD55:BM55" si="150">BD54+BD51</f>
        <v>-3.24</v>
      </c>
      <c r="BE55" s="28">
        <f t="shared" si="150"/>
        <v>-3.3169999999999993</v>
      </c>
      <c r="BF55" s="28">
        <f t="shared" si="150"/>
        <v>-3.1779999999999999</v>
      </c>
      <c r="BG55" s="28">
        <f t="shared" si="150"/>
        <v>-2.9590000000000001</v>
      </c>
      <c r="BH55" s="35">
        <f t="shared" si="150"/>
        <v>-12.693999999999999</v>
      </c>
      <c r="BI55" s="28">
        <f t="shared" si="150"/>
        <v>-3.0190000000000006</v>
      </c>
      <c r="BJ55" s="28">
        <f t="shared" si="150"/>
        <v>-2.98</v>
      </c>
      <c r="BK55" s="28">
        <f t="shared" si="150"/>
        <v>-3.1139999999999994</v>
      </c>
      <c r="BL55" s="28">
        <f t="shared" si="150"/>
        <v>-2.5580000000000007</v>
      </c>
      <c r="BM55" s="35">
        <f t="shared" si="150"/>
        <v>-8.6710000000000012</v>
      </c>
      <c r="BN55" s="28">
        <f t="shared" ref="BN55:BW55" si="151">BN54+BN51</f>
        <v>-1.9479999999999995</v>
      </c>
      <c r="BO55" s="28">
        <f t="shared" si="151"/>
        <v>-1.8210000000000002</v>
      </c>
      <c r="BP55" s="28">
        <f t="shared" si="151"/>
        <v>-2.0049999999999999</v>
      </c>
      <c r="BQ55" s="28">
        <f t="shared" si="151"/>
        <v>-1.8979999999999997</v>
      </c>
      <c r="BR55" s="35">
        <f t="shared" si="151"/>
        <v>-7.6719999999999988</v>
      </c>
      <c r="BS55" s="28">
        <f>BS54+BS51</f>
        <v>-1.8850000000000002</v>
      </c>
      <c r="BT55" s="28">
        <f t="shared" si="151"/>
        <v>-1.956</v>
      </c>
      <c r="BU55" s="28">
        <f t="shared" si="151"/>
        <v>-1.9480000000000004</v>
      </c>
      <c r="BV55" s="28">
        <f t="shared" si="151"/>
        <v>-1.88</v>
      </c>
      <c r="BW55" s="35">
        <f t="shared" si="151"/>
        <v>-7.6689999999999987</v>
      </c>
      <c r="BX55" s="28">
        <f>BX54+BX51</f>
        <v>-1.8120000000000003</v>
      </c>
      <c r="BY55" s="28">
        <f t="shared" ref="BY55:CG55" si="152">BY54+BY51</f>
        <v>-1.6889999999999998</v>
      </c>
      <c r="BZ55" s="28">
        <f t="shared" si="152"/>
        <v>-1.7430000000000001</v>
      </c>
      <c r="CA55" s="28">
        <f>CA54+CA51</f>
        <v>-2.1369999999999996</v>
      </c>
      <c r="CB55" s="35">
        <f t="shared" si="152"/>
        <v>-7.3810000000000002</v>
      </c>
      <c r="CC55" s="28">
        <f>CC54+CC51</f>
        <v>-2.3419999999999996</v>
      </c>
      <c r="CD55" s="28">
        <f>CD54+CD51</f>
        <v>-2.524</v>
      </c>
      <c r="CE55" s="28">
        <f>CE54+CE51</f>
        <v>-2.5659999999999998</v>
      </c>
      <c r="CF55" s="28">
        <f>CF54+CF51</f>
        <v>-2.6990000000000003</v>
      </c>
      <c r="CG55" s="35">
        <f t="shared" si="152"/>
        <v>-10.131</v>
      </c>
      <c r="CH55" s="28">
        <f t="shared" ref="CH55:CQ55" si="153">CH54+CH51</f>
        <v>-2.8380000000000001</v>
      </c>
      <c r="CI55" s="28">
        <f>CI54+CI51</f>
        <v>-2.8086349999999998</v>
      </c>
      <c r="CJ55" s="28">
        <f>CJ54+CJ51</f>
        <v>9</v>
      </c>
      <c r="CK55" s="28">
        <f>CK54+CK51</f>
        <v>7.0162388537500018</v>
      </c>
      <c r="CL55" s="35">
        <f t="shared" si="153"/>
        <v>10.369603853750004</v>
      </c>
      <c r="CM55" s="28">
        <f>CM54+CM51</f>
        <v>4.507506480841875</v>
      </c>
      <c r="CN55" s="28">
        <f t="shared" si="153"/>
        <v>4.1994860962537377</v>
      </c>
      <c r="CO55" s="28">
        <f t="shared" si="153"/>
        <v>3.8521624816340174</v>
      </c>
      <c r="CP55" s="28">
        <f t="shared" si="153"/>
        <v>3.569000663435268</v>
      </c>
      <c r="CQ55" s="35">
        <f t="shared" si="153"/>
        <v>16.128155722164898</v>
      </c>
      <c r="CR55" s="28">
        <f t="shared" ref="CR55:CV55" si="154">CR54+CR51</f>
        <v>3.3052601548811755</v>
      </c>
      <c r="CS55" s="28">
        <f t="shared" si="154"/>
        <v>3.2638395289552209</v>
      </c>
      <c r="CT55" s="28">
        <f t="shared" si="154"/>
        <v>3.2096978192142753</v>
      </c>
      <c r="CU55" s="28">
        <f t="shared" si="154"/>
        <v>3.1899048868978195</v>
      </c>
      <c r="CV55" s="35">
        <f t="shared" si="154"/>
        <v>12.968702389948492</v>
      </c>
    </row>
    <row r="56" spans="5:100" x14ac:dyDescent="0.25">
      <c r="F56" s="71"/>
      <c r="G56" s="140"/>
      <c r="H56" s="140"/>
      <c r="I56" s="140"/>
      <c r="J56" s="140"/>
      <c r="K56" s="124"/>
      <c r="L56" s="124"/>
      <c r="M56" s="124"/>
      <c r="N56" s="124"/>
      <c r="O56" s="139"/>
      <c r="P56" s="124"/>
      <c r="Q56" s="124"/>
      <c r="R56" s="124"/>
      <c r="S56" s="124"/>
      <c r="T56" s="139"/>
      <c r="U56" s="124"/>
      <c r="V56" s="124"/>
      <c r="W56" s="124"/>
      <c r="X56" s="124"/>
      <c r="Y56" s="139"/>
      <c r="Z56" s="124"/>
      <c r="AA56" s="124"/>
      <c r="AB56" s="124"/>
      <c r="AC56" s="124"/>
      <c r="AD56" s="139"/>
      <c r="AE56" s="124"/>
      <c r="AF56" s="124"/>
      <c r="AG56" s="124"/>
      <c r="AH56" s="124"/>
      <c r="AI56" s="139"/>
      <c r="AJ56" s="124"/>
      <c r="AK56" s="124"/>
      <c r="AL56" s="124"/>
      <c r="AM56" s="124"/>
      <c r="AN56" s="139"/>
      <c r="AO56" s="124"/>
      <c r="AP56" s="124"/>
      <c r="AQ56" s="124"/>
      <c r="AR56" s="124"/>
      <c r="AS56" s="139"/>
      <c r="AT56" s="27"/>
      <c r="AU56" s="27"/>
      <c r="AV56" s="27"/>
      <c r="AW56" s="27"/>
      <c r="AX56" s="139"/>
      <c r="AY56" s="27"/>
      <c r="AZ56" s="27"/>
      <c r="BA56" s="27"/>
      <c r="BB56" s="27"/>
      <c r="BC56" s="139"/>
      <c r="BD56" s="27"/>
      <c r="BE56" s="27"/>
      <c r="BF56" s="27"/>
      <c r="BG56" s="27"/>
      <c r="BH56" s="139"/>
      <c r="BI56" s="27"/>
      <c r="BJ56" s="27"/>
      <c r="BK56" s="27"/>
      <c r="BL56" s="27"/>
      <c r="BM56" s="139"/>
      <c r="BN56" s="27"/>
      <c r="BO56" s="27"/>
      <c r="BP56" s="27"/>
      <c r="BQ56" s="27"/>
      <c r="BR56" s="139"/>
      <c r="BS56" s="27"/>
      <c r="BT56" s="27"/>
      <c r="BU56" s="27"/>
      <c r="BV56" s="27"/>
      <c r="BW56" s="139"/>
      <c r="BX56" s="27"/>
      <c r="BY56" s="27"/>
      <c r="BZ56" s="27"/>
      <c r="CA56" s="27"/>
      <c r="CB56" s="139"/>
      <c r="CC56" s="27"/>
      <c r="CD56" s="27"/>
      <c r="CE56" s="27"/>
      <c r="CF56" s="27"/>
      <c r="CG56" s="139"/>
      <c r="CH56" s="27"/>
      <c r="CI56" s="27"/>
      <c r="CJ56" s="27"/>
      <c r="CK56" s="27"/>
      <c r="CL56" s="139"/>
      <c r="CM56" s="27"/>
      <c r="CN56" s="27"/>
      <c r="CO56" s="27"/>
      <c r="CP56" s="27"/>
      <c r="CQ56" s="139"/>
      <c r="CR56" s="27"/>
      <c r="CS56" s="27"/>
      <c r="CT56" s="27"/>
      <c r="CU56" s="27"/>
      <c r="CV56" s="139"/>
    </row>
    <row r="57" spans="5:100" ht="13.5" x14ac:dyDescent="0.25">
      <c r="E57" s="123" t="s">
        <v>350</v>
      </c>
      <c r="F57" s="71"/>
      <c r="G57" s="140"/>
      <c r="H57" s="140"/>
      <c r="I57" s="140"/>
      <c r="J57" s="140"/>
      <c r="K57" s="124"/>
      <c r="L57" s="124"/>
      <c r="M57" s="124"/>
      <c r="N57" s="124"/>
      <c r="O57" s="139"/>
      <c r="P57" s="124"/>
      <c r="Q57" s="124"/>
      <c r="R57" s="124"/>
      <c r="S57" s="124"/>
      <c r="T57" s="139"/>
      <c r="U57" s="124"/>
      <c r="V57" s="124"/>
      <c r="W57" s="124"/>
      <c r="X57" s="124"/>
      <c r="Y57" s="139"/>
      <c r="Z57" s="124"/>
      <c r="AA57" s="124"/>
      <c r="AB57" s="124"/>
      <c r="AC57" s="124"/>
      <c r="AD57" s="139"/>
      <c r="AE57" s="124"/>
      <c r="AF57" s="124"/>
      <c r="AG57" s="124"/>
      <c r="AH57" s="124"/>
      <c r="AI57" s="139"/>
      <c r="AJ57" s="124"/>
      <c r="AK57" s="124"/>
      <c r="AL57" s="124"/>
      <c r="AM57" s="124"/>
      <c r="AN57" s="139"/>
      <c r="AO57" s="124"/>
      <c r="AP57" s="124"/>
      <c r="AQ57" s="124"/>
      <c r="AR57" s="124"/>
      <c r="AS57" s="139"/>
      <c r="AT57" s="27"/>
      <c r="AU57" s="27"/>
      <c r="AV57" s="27"/>
      <c r="AW57" s="27"/>
      <c r="AX57" s="139"/>
      <c r="AY57" s="423"/>
      <c r="AZ57" s="27"/>
      <c r="BA57" s="27"/>
      <c r="BB57" s="27"/>
      <c r="BC57" s="139"/>
      <c r="BD57" s="27"/>
      <c r="BE57" s="27"/>
      <c r="BF57" s="27"/>
      <c r="BG57" s="27"/>
      <c r="BH57" s="139"/>
      <c r="BI57" s="27"/>
      <c r="BJ57" s="27"/>
      <c r="BK57" s="27"/>
      <c r="BL57" s="27"/>
      <c r="BM57" s="139"/>
      <c r="BN57" s="27"/>
      <c r="BO57" s="27"/>
      <c r="BP57" s="27"/>
      <c r="BQ57" s="27"/>
      <c r="BR57" s="139"/>
      <c r="BS57" s="27"/>
      <c r="BT57" s="27"/>
      <c r="BU57" s="27"/>
      <c r="BV57" s="27"/>
      <c r="BW57" s="139"/>
      <c r="BX57" s="27"/>
      <c r="BY57" s="27"/>
      <c r="BZ57" s="27"/>
      <c r="CA57" s="27"/>
      <c r="CB57" s="139"/>
      <c r="CC57" s="27"/>
      <c r="CD57" s="27"/>
      <c r="CE57" s="27"/>
      <c r="CF57" s="27"/>
      <c r="CG57" s="139"/>
      <c r="CH57" s="27"/>
      <c r="CI57" s="27"/>
      <c r="CJ57" s="27"/>
      <c r="CK57" s="27"/>
      <c r="CL57" s="139"/>
      <c r="CM57" s="27"/>
      <c r="CN57" s="27"/>
      <c r="CO57" s="27"/>
      <c r="CP57" s="27"/>
      <c r="CQ57" s="139"/>
      <c r="CR57" s="27"/>
      <c r="CS57" s="27"/>
      <c r="CT57" s="27"/>
      <c r="CU57" s="27"/>
      <c r="CV57" s="139"/>
    </row>
    <row r="58" spans="5:100" x14ac:dyDescent="0.25">
      <c r="E58" s="47" t="s">
        <v>351</v>
      </c>
      <c r="F58" s="71"/>
      <c r="G58" s="140"/>
      <c r="H58" s="140"/>
      <c r="I58" s="140"/>
      <c r="J58" s="140"/>
      <c r="K58" s="124"/>
      <c r="L58" s="124"/>
      <c r="M58" s="124"/>
      <c r="N58" s="124"/>
      <c r="O58" s="139"/>
      <c r="P58" s="124"/>
      <c r="Q58" s="124"/>
      <c r="R58" s="124"/>
      <c r="S58" s="124"/>
      <c r="T58" s="140">
        <v>20.472999999999999</v>
      </c>
      <c r="U58" s="124"/>
      <c r="V58" s="124"/>
      <c r="W58" s="124"/>
      <c r="X58" s="124"/>
      <c r="Y58" s="140">
        <v>27.957999999999998</v>
      </c>
      <c r="Z58" s="124"/>
      <c r="AA58" s="124"/>
      <c r="AB58" s="124"/>
      <c r="AC58" s="124"/>
      <c r="AD58" s="140">
        <v>46.645000000000003</v>
      </c>
      <c r="AE58" s="124">
        <v>13.888</v>
      </c>
      <c r="AF58" s="124">
        <v>13.85</v>
      </c>
      <c r="AG58" s="124">
        <v>12.27</v>
      </c>
      <c r="AH58" s="124">
        <v>11.661</v>
      </c>
      <c r="AI58" s="139">
        <f t="shared" ref="AI58:AI63" si="155">SUM(AE58:AH58)</f>
        <v>51.668999999999997</v>
      </c>
      <c r="AJ58" s="124">
        <v>9.3539999999999992</v>
      </c>
      <c r="AK58" s="124">
        <v>7.0670000000000002</v>
      </c>
      <c r="AL58" s="124">
        <v>8.0470000000000006</v>
      </c>
      <c r="AM58" s="124">
        <v>8.67</v>
      </c>
      <c r="AN58" s="139">
        <f t="shared" ref="AN58:AN63" si="156">SUM(AJ58:AM58)</f>
        <v>33.137999999999998</v>
      </c>
      <c r="AO58" s="124">
        <v>5.258</v>
      </c>
      <c r="AP58" s="124">
        <v>5.3280000000000003</v>
      </c>
      <c r="AQ58" s="124">
        <v>6.2210000000000001</v>
      </c>
      <c r="AR58" s="124">
        <v>4.53</v>
      </c>
      <c r="AS58" s="139">
        <f t="shared" ref="AS58:AS63" si="157">SUM(AO58:AR58)</f>
        <v>21.337000000000003</v>
      </c>
      <c r="AT58" s="124">
        <v>5.78</v>
      </c>
      <c r="AU58" s="124">
        <v>5.8959999999999999</v>
      </c>
      <c r="AV58" s="124">
        <v>6.0519999999999996</v>
      </c>
      <c r="AW58" s="27"/>
      <c r="AX58" s="139">
        <f t="shared" ref="AX58:AX63" si="158">SUM(AT58:AW58)</f>
        <v>17.728000000000002</v>
      </c>
      <c r="AY58" s="124">
        <v>5.5890000000000004</v>
      </c>
      <c r="AZ58" s="124">
        <v>5.742</v>
      </c>
      <c r="BA58" s="124">
        <v>4.16</v>
      </c>
      <c r="BB58" s="124">
        <v>3.5680000000000001</v>
      </c>
      <c r="BC58" s="139">
        <f t="shared" ref="BC58:BC63" si="159">SUM(AY58:BB58)</f>
        <v>19.059000000000001</v>
      </c>
      <c r="BD58" s="124">
        <v>3.2229999999999999</v>
      </c>
      <c r="BE58" s="124">
        <v>3.2770000000000001</v>
      </c>
      <c r="BF58" s="124">
        <v>3.1779999999999999</v>
      </c>
      <c r="BG58" s="473">
        <v>3.0310000000000001</v>
      </c>
      <c r="BH58" s="139">
        <f t="shared" ref="BH58:BH63" si="160">SUM(BD58:BG58)</f>
        <v>12.709000000000001</v>
      </c>
      <c r="BI58" s="473">
        <v>3.0110000000000001</v>
      </c>
      <c r="BJ58" s="473">
        <v>2.9750000000000001</v>
      </c>
      <c r="BK58" s="473">
        <v>3.2810000000000001</v>
      </c>
      <c r="BL58" s="473">
        <v>2.4950000000000001</v>
      </c>
      <c r="BM58" s="139">
        <f t="shared" ref="BM58:BM63" si="161">SUM(BI58:BL58)</f>
        <v>11.762</v>
      </c>
      <c r="BN58" s="473">
        <v>2.875</v>
      </c>
      <c r="BO58" s="473">
        <v>2.516</v>
      </c>
      <c r="BP58" s="473">
        <v>0.80900000000000005</v>
      </c>
      <c r="BQ58" s="473">
        <v>2.4729999999999999</v>
      </c>
      <c r="BR58" s="139">
        <f t="shared" ref="BR58:BR63" si="162">SUM(BN58:BQ58)</f>
        <v>8.673</v>
      </c>
      <c r="BS58" s="124">
        <v>2.1850000000000001</v>
      </c>
      <c r="BT58" s="124">
        <f>4.337-BS58</f>
        <v>2.1519999999999997</v>
      </c>
      <c r="BU58" s="124">
        <f>6.22-BT58-BS58</f>
        <v>1.8829999999999996</v>
      </c>
      <c r="BV58" s="124">
        <f>8.145-BS58-BT58-BU58</f>
        <v>1.9249999999999998</v>
      </c>
      <c r="BW58" s="139">
        <f t="shared" ref="BW58:BW63" si="163">SUM(BS58:BV58)</f>
        <v>8.1449999999999996</v>
      </c>
      <c r="BX58" s="124">
        <v>2.258</v>
      </c>
      <c r="BY58" s="124">
        <f>3.962-BX58</f>
        <v>1.7040000000000002</v>
      </c>
      <c r="BZ58" s="124">
        <v>1.339</v>
      </c>
      <c r="CA58" s="124">
        <f>7.779-BZ58-BY58-BX58</f>
        <v>2.4779999999999989</v>
      </c>
      <c r="CB58" s="139">
        <f t="shared" ref="CB58:CB63" si="164">SUM(BX58:CA58)</f>
        <v>7.778999999999999</v>
      </c>
      <c r="CC58" s="124">
        <v>2.375</v>
      </c>
      <c r="CD58" s="124">
        <v>2.387</v>
      </c>
      <c r="CE58" s="124">
        <f>6.712-CD58-CC58</f>
        <v>1.9499999999999993</v>
      </c>
      <c r="CF58" s="124">
        <v>2.4569999999999999</v>
      </c>
      <c r="CG58" s="139">
        <f t="shared" ref="CG58:CG63" si="165">SUM(CC58:CF58)</f>
        <v>9.1690000000000005</v>
      </c>
      <c r="CH58" s="124">
        <v>2.6070000000000002</v>
      </c>
      <c r="CI58" s="27">
        <f>-Income!CI61</f>
        <v>-0.3</v>
      </c>
      <c r="CJ58" s="128">
        <v>0</v>
      </c>
      <c r="CK58" s="128">
        <v>0</v>
      </c>
      <c r="CL58" s="139">
        <f>SUM(CH58:CK58)</f>
        <v>2.3070000000000004</v>
      </c>
      <c r="CM58" s="128">
        <v>0</v>
      </c>
      <c r="CN58" s="128">
        <v>0</v>
      </c>
      <c r="CO58" s="128">
        <v>0</v>
      </c>
      <c r="CP58" s="128">
        <v>0</v>
      </c>
      <c r="CQ58" s="139">
        <f>SUM(CM58:CP58)</f>
        <v>0</v>
      </c>
      <c r="CR58" s="128">
        <v>0</v>
      </c>
      <c r="CS58" s="128">
        <v>0</v>
      </c>
      <c r="CT58" s="128">
        <v>0</v>
      </c>
      <c r="CU58" s="128">
        <v>0</v>
      </c>
      <c r="CV58" s="139">
        <f>SUM(CR58:CU58)</f>
        <v>0</v>
      </c>
    </row>
    <row r="59" spans="5:100" x14ac:dyDescent="0.25">
      <c r="E59" s="47" t="s">
        <v>352</v>
      </c>
      <c r="F59" s="71"/>
      <c r="G59" s="140"/>
      <c r="H59" s="140"/>
      <c r="I59" s="140"/>
      <c r="J59" s="140"/>
      <c r="K59" s="124"/>
      <c r="L59" s="124"/>
      <c r="M59" s="124"/>
      <c r="N59" s="124"/>
      <c r="O59" s="139"/>
      <c r="P59" s="124"/>
      <c r="Q59" s="124"/>
      <c r="R59" s="124"/>
      <c r="S59" s="124"/>
      <c r="T59" s="140">
        <v>1.4650000000000001</v>
      </c>
      <c r="U59" s="124"/>
      <c r="V59" s="124"/>
      <c r="W59" s="124"/>
      <c r="X59" s="124"/>
      <c r="Y59" s="140">
        <v>4.1849999999999996</v>
      </c>
      <c r="Z59" s="124"/>
      <c r="AA59" s="124"/>
      <c r="AB59" s="124"/>
      <c r="AC59" s="124"/>
      <c r="AD59" s="140">
        <v>37.595999999999997</v>
      </c>
      <c r="AE59" s="124">
        <v>0.115</v>
      </c>
      <c r="AF59" s="124">
        <v>9.6000000000000002E-2</v>
      </c>
      <c r="AG59" s="124">
        <v>-4.742</v>
      </c>
      <c r="AH59" s="124">
        <v>3.0259999999999998</v>
      </c>
      <c r="AI59" s="139">
        <f t="shared" si="155"/>
        <v>-1.5049999999999999</v>
      </c>
      <c r="AJ59" s="124">
        <v>4.2000000000000003E-2</v>
      </c>
      <c r="AK59" s="124">
        <v>-5.9290000000000003</v>
      </c>
      <c r="AL59" s="124">
        <v>2.9009999999999998</v>
      </c>
      <c r="AM59" s="124">
        <v>-0.16</v>
      </c>
      <c r="AN59" s="139">
        <f t="shared" si="156"/>
        <v>-3.1460000000000008</v>
      </c>
      <c r="AO59" s="124">
        <v>-5.0519999999999996</v>
      </c>
      <c r="AP59" s="124">
        <v>0.79200000000000004</v>
      </c>
      <c r="AQ59" s="124">
        <v>-4.1900000000000004</v>
      </c>
      <c r="AR59" s="124">
        <v>0.90100000000000002</v>
      </c>
      <c r="AS59" s="139">
        <f t="shared" si="157"/>
        <v>-7.5489999999999995</v>
      </c>
      <c r="AT59" s="124">
        <v>3.3580000000000001</v>
      </c>
      <c r="AU59" s="124">
        <v>17.724</v>
      </c>
      <c r="AV59" s="124">
        <v>1.913</v>
      </c>
      <c r="AW59" s="27"/>
      <c r="AX59" s="139">
        <f t="shared" si="158"/>
        <v>22.995000000000001</v>
      </c>
      <c r="AY59" s="124">
        <v>1.0980000000000001</v>
      </c>
      <c r="AZ59" s="124">
        <v>4.2889999999999997</v>
      </c>
      <c r="BA59" s="124">
        <v>9.7840000000000007</v>
      </c>
      <c r="BB59" s="124">
        <v>5.5940000000000003</v>
      </c>
      <c r="BC59" s="139">
        <f t="shared" si="159"/>
        <v>20.765000000000001</v>
      </c>
      <c r="BD59" s="124">
        <v>16.193000000000001</v>
      </c>
      <c r="BE59" s="124">
        <v>19.971</v>
      </c>
      <c r="BF59" s="124">
        <v>12.103999999999999</v>
      </c>
      <c r="BG59" s="473">
        <v>9.1959999999999997</v>
      </c>
      <c r="BH59" s="139">
        <f t="shared" si="160"/>
        <v>57.463999999999999</v>
      </c>
      <c r="BI59" s="473">
        <v>1.0840000000000001</v>
      </c>
      <c r="BJ59" s="473">
        <v>9.9239999999999995</v>
      </c>
      <c r="BK59" s="473">
        <v>4.766</v>
      </c>
      <c r="BL59" s="473">
        <v>5.9279999999999999</v>
      </c>
      <c r="BM59" s="139">
        <f t="shared" si="161"/>
        <v>21.701999999999998</v>
      </c>
      <c r="BN59" s="473">
        <v>0.29699999999999999</v>
      </c>
      <c r="BO59" s="473">
        <v>5.8999999999999997E-2</v>
      </c>
      <c r="BP59" s="473">
        <v>0.182</v>
      </c>
      <c r="BQ59" s="473">
        <v>-4.383</v>
      </c>
      <c r="BR59" s="139">
        <f t="shared" si="162"/>
        <v>-3.8449999999999998</v>
      </c>
      <c r="BS59" s="124">
        <v>-1.044</v>
      </c>
      <c r="BT59" s="124">
        <f>5.266-BS59</f>
        <v>6.3100000000000005</v>
      </c>
      <c r="BU59" s="124">
        <f>6.004-BT59-BS59</f>
        <v>0.7379999999999991</v>
      </c>
      <c r="BV59" s="124">
        <f>6.1-BS59-BT59-BU59</f>
        <v>9.6000000000000529E-2</v>
      </c>
      <c r="BW59" s="139">
        <f t="shared" si="163"/>
        <v>6.1</v>
      </c>
      <c r="BX59" s="124">
        <v>-7.5999999999999998E-2</v>
      </c>
      <c r="BY59" s="124">
        <f>0.0197-BX59</f>
        <v>9.5699999999999993E-2</v>
      </c>
      <c r="BZ59" s="124">
        <v>4.5990000000000002</v>
      </c>
      <c r="CA59" s="124">
        <f>6.686-BZ59-BY59-BX59</f>
        <v>2.0672999999999999</v>
      </c>
      <c r="CB59" s="139">
        <f t="shared" si="164"/>
        <v>6.6859999999999999</v>
      </c>
      <c r="CC59" s="124">
        <v>0.35399999999999998</v>
      </c>
      <c r="CD59" s="124">
        <v>0.47</v>
      </c>
      <c r="CE59" s="124">
        <f>1.152-CD59-CC59</f>
        <v>0.32799999999999996</v>
      </c>
      <c r="CF59" s="124">
        <v>8.4000000000000005E-2</v>
      </c>
      <c r="CG59" s="139">
        <f t="shared" si="165"/>
        <v>1.236</v>
      </c>
      <c r="CH59" s="124">
        <v>1.1000000000000001</v>
      </c>
      <c r="CI59" s="27">
        <f>-Income!CI68</f>
        <v>0.5</v>
      </c>
      <c r="CJ59" s="27">
        <f>-Income!CJ68</f>
        <v>1.5</v>
      </c>
      <c r="CK59" s="27">
        <f>-Income!CK68</f>
        <v>0.5</v>
      </c>
      <c r="CL59" s="139">
        <f t="shared" ref="CL59:CL63" si="166">SUM(CH59:CK59)</f>
        <v>3.6</v>
      </c>
      <c r="CM59" s="27">
        <f>-Income!CM68</f>
        <v>0.54</v>
      </c>
      <c r="CN59" s="27">
        <f>-Income!CN68</f>
        <v>0.88000000000000012</v>
      </c>
      <c r="CO59" s="27">
        <f>-Income!CO68</f>
        <v>1.2200000000000002</v>
      </c>
      <c r="CP59" s="27">
        <f>-Income!CP68</f>
        <v>1.5600000000000003</v>
      </c>
      <c r="CQ59" s="139">
        <f t="shared" ref="CQ59:CQ63" si="167">SUM(CM59:CP59)</f>
        <v>4.2000000000000011</v>
      </c>
      <c r="CR59" s="27">
        <f>-Income!CR68</f>
        <v>1.5600000000000003</v>
      </c>
      <c r="CS59" s="27">
        <f>-Income!CS68</f>
        <v>1.6600000000000004</v>
      </c>
      <c r="CT59" s="27">
        <f>-Income!CT68</f>
        <v>1.7600000000000005</v>
      </c>
      <c r="CU59" s="27">
        <f>-Income!CU68</f>
        <v>1.9600000000000004</v>
      </c>
      <c r="CV59" s="139">
        <f t="shared" ref="CV59" si="168">SUM(CR59:CU59)</f>
        <v>6.9400000000000013</v>
      </c>
    </row>
    <row r="60" spans="5:100" hidden="1" x14ac:dyDescent="0.25">
      <c r="E60" s="47" t="s">
        <v>353</v>
      </c>
      <c r="F60" s="71"/>
      <c r="G60" s="140"/>
      <c r="H60" s="140"/>
      <c r="I60" s="140"/>
      <c r="J60" s="140"/>
      <c r="K60" s="124"/>
      <c r="L60" s="124"/>
      <c r="M60" s="124"/>
      <c r="N60" s="124"/>
      <c r="O60" s="139"/>
      <c r="P60" s="124"/>
      <c r="Q60" s="124"/>
      <c r="R60" s="124"/>
      <c r="S60" s="124"/>
      <c r="T60" s="140">
        <v>60.886000000000003</v>
      </c>
      <c r="U60" s="124"/>
      <c r="V60" s="124"/>
      <c r="W60" s="124"/>
      <c r="X60" s="124"/>
      <c r="Y60" s="140">
        <v>72.231999999999999</v>
      </c>
      <c r="Z60" s="124"/>
      <c r="AA60" s="124"/>
      <c r="AB60" s="124"/>
      <c r="AC60" s="124"/>
      <c r="AD60" s="140">
        <v>76.135000000000005</v>
      </c>
      <c r="AE60" s="124">
        <v>19.138000000000002</v>
      </c>
      <c r="AF60" s="124">
        <v>17.651</v>
      </c>
      <c r="AG60" s="124">
        <v>17.542000000000002</v>
      </c>
      <c r="AH60" s="124">
        <v>15.375999999999999</v>
      </c>
      <c r="AI60" s="139">
        <f t="shared" si="155"/>
        <v>69.707000000000008</v>
      </c>
      <c r="AJ60" s="124">
        <v>12.879</v>
      </c>
      <c r="AK60" s="124">
        <v>11.204000000000001</v>
      </c>
      <c r="AL60" s="124">
        <v>9.0329999999999995</v>
      </c>
      <c r="AM60" s="124">
        <v>7.673</v>
      </c>
      <c r="AN60" s="139">
        <f t="shared" si="156"/>
        <v>40.789000000000001</v>
      </c>
      <c r="AO60" s="124">
        <v>7.7939999999999996</v>
      </c>
      <c r="AP60" s="124">
        <v>7.5039999999999996</v>
      </c>
      <c r="AQ60" s="124">
        <v>7.3090000000000002</v>
      </c>
      <c r="AR60" s="124">
        <v>7.09</v>
      </c>
      <c r="AS60" s="139">
        <f t="shared" si="157"/>
        <v>29.696999999999999</v>
      </c>
      <c r="AT60" s="124">
        <v>5.968</v>
      </c>
      <c r="AU60" s="124">
        <v>5.4109999999999996</v>
      </c>
      <c r="AV60" s="124">
        <v>5.726</v>
      </c>
      <c r="AW60" s="124">
        <f>22.357-AV60-AU60-AT60</f>
        <v>5.2520000000000007</v>
      </c>
      <c r="AX60" s="139">
        <f t="shared" si="158"/>
        <v>22.356999999999999</v>
      </c>
      <c r="AY60" s="124">
        <v>4.7939999999999996</v>
      </c>
      <c r="AZ60" s="124">
        <v>4.1840000000000002</v>
      </c>
      <c r="BA60" s="124">
        <v>4.7089999999999996</v>
      </c>
      <c r="BB60" s="124">
        <v>4.6440000000000001</v>
      </c>
      <c r="BC60" s="139">
        <f t="shared" si="159"/>
        <v>18.331</v>
      </c>
      <c r="BD60" s="124">
        <v>4.5620000000000003</v>
      </c>
      <c r="BE60" s="124">
        <v>4.3840000000000003</v>
      </c>
      <c r="BF60" s="124">
        <v>4.0019999999999998</v>
      </c>
      <c r="BG60" s="473">
        <v>3.5659999999999998</v>
      </c>
      <c r="BH60" s="139">
        <f t="shared" si="160"/>
        <v>16.513999999999999</v>
      </c>
      <c r="BI60" s="473">
        <v>4.4000000000000004</v>
      </c>
      <c r="BJ60" s="473">
        <v>2.339</v>
      </c>
      <c r="BK60" s="473">
        <v>1.675</v>
      </c>
      <c r="BL60" s="473">
        <v>1.4650000000000001</v>
      </c>
      <c r="BM60" s="139">
        <f t="shared" si="161"/>
        <v>9.8790000000000013</v>
      </c>
      <c r="BN60" s="473">
        <v>1.2350000000000001</v>
      </c>
      <c r="BO60" s="473">
        <v>1.0840000000000001</v>
      </c>
      <c r="BP60" s="473">
        <v>0.93</v>
      </c>
      <c r="BQ60" s="473">
        <v>0.57399999999999995</v>
      </c>
      <c r="BR60" s="139">
        <f t="shared" si="162"/>
        <v>3.823</v>
      </c>
      <c r="BS60" s="124">
        <v>0.216</v>
      </c>
      <c r="BT60" s="124">
        <f>0.269-BS60</f>
        <v>5.3000000000000019E-2</v>
      </c>
      <c r="BU60" s="124">
        <f>0.269-BT60-BS60</f>
        <v>0</v>
      </c>
      <c r="BV60" s="124">
        <f>0.269-BS60-BT60-BU60</f>
        <v>0</v>
      </c>
      <c r="BW60" s="139">
        <f t="shared" si="163"/>
        <v>0.26900000000000002</v>
      </c>
      <c r="BX60" s="124">
        <v>0</v>
      </c>
      <c r="BY60" s="124">
        <v>0</v>
      </c>
      <c r="BZ60" s="124">
        <v>0</v>
      </c>
      <c r="CA60" s="124">
        <v>0</v>
      </c>
      <c r="CB60" s="139">
        <f t="shared" si="164"/>
        <v>0</v>
      </c>
      <c r="CC60" s="128">
        <v>0</v>
      </c>
      <c r="CD60" s="128">
        <v>0</v>
      </c>
      <c r="CE60" s="128">
        <v>0</v>
      </c>
      <c r="CF60" s="128">
        <v>0</v>
      </c>
      <c r="CG60" s="139">
        <f t="shared" si="165"/>
        <v>0</v>
      </c>
      <c r="CH60" s="128">
        <v>0</v>
      </c>
      <c r="CI60" s="128">
        <v>0</v>
      </c>
      <c r="CJ60" s="128">
        <v>0</v>
      </c>
      <c r="CK60" s="128">
        <v>0</v>
      </c>
      <c r="CL60" s="139">
        <f t="shared" si="166"/>
        <v>0</v>
      </c>
      <c r="CM60" s="128">
        <v>0</v>
      </c>
      <c r="CN60" s="128">
        <v>0</v>
      </c>
      <c r="CO60" s="128">
        <v>0</v>
      </c>
      <c r="CP60" s="128">
        <v>0</v>
      </c>
      <c r="CQ60" s="139">
        <f t="shared" si="167"/>
        <v>0</v>
      </c>
    </row>
    <row r="61" spans="5:100" hidden="1" x14ac:dyDescent="0.25">
      <c r="E61" s="47" t="s">
        <v>354</v>
      </c>
      <c r="F61" s="71"/>
      <c r="G61" s="140"/>
      <c r="H61" s="140"/>
      <c r="I61" s="140"/>
      <c r="J61" s="140"/>
      <c r="K61" s="124"/>
      <c r="L61" s="124"/>
      <c r="M61" s="124"/>
      <c r="N61" s="124"/>
      <c r="O61" s="139"/>
      <c r="P61" s="124"/>
      <c r="Q61" s="124"/>
      <c r="R61" s="124"/>
      <c r="S61" s="124"/>
      <c r="T61" s="140">
        <v>24.748000000000001</v>
      </c>
      <c r="U61" s="124"/>
      <c r="V61" s="124"/>
      <c r="W61" s="124"/>
      <c r="X61" s="124"/>
      <c r="Y61" s="140">
        <v>29.068999999999999</v>
      </c>
      <c r="Z61" s="124"/>
      <c r="AA61" s="124"/>
      <c r="AB61" s="124"/>
      <c r="AC61" s="124"/>
      <c r="AD61" s="140">
        <v>26.896999999999998</v>
      </c>
      <c r="AE61" s="124">
        <v>6.4930000000000003</v>
      </c>
      <c r="AF61" s="124">
        <v>7.2789999999999999</v>
      </c>
      <c r="AG61" s="124">
        <v>6.226</v>
      </c>
      <c r="AH61" s="124">
        <v>11.821</v>
      </c>
      <c r="AI61" s="139">
        <f t="shared" si="155"/>
        <v>31.819000000000003</v>
      </c>
      <c r="AJ61" s="124">
        <v>8.3680000000000003</v>
      </c>
      <c r="AK61" s="124">
        <v>8.42</v>
      </c>
      <c r="AL61" s="124">
        <v>3.0990000000000002</v>
      </c>
      <c r="AM61" s="124">
        <v>3.33</v>
      </c>
      <c r="AN61" s="139">
        <f t="shared" si="156"/>
        <v>23.216999999999999</v>
      </c>
      <c r="AO61" s="124">
        <v>3.8780000000000001</v>
      </c>
      <c r="AP61" s="124">
        <v>1.84</v>
      </c>
      <c r="AQ61" s="124">
        <v>0.41599999999999998</v>
      </c>
      <c r="AR61" s="124">
        <v>1.3919999999999999</v>
      </c>
      <c r="AS61" s="139">
        <f t="shared" si="157"/>
        <v>7.5259999999999998</v>
      </c>
      <c r="AT61" s="124">
        <v>0.89300000000000002</v>
      </c>
      <c r="AU61" s="124">
        <v>0.16400000000000001</v>
      </c>
      <c r="AV61" s="124">
        <v>0.12</v>
      </c>
      <c r="AW61" s="124">
        <f>5.316-AV61-AU61-AT61</f>
        <v>4.1390000000000002</v>
      </c>
      <c r="AX61" s="139">
        <f t="shared" si="158"/>
        <v>5.3160000000000007</v>
      </c>
      <c r="AY61" s="124">
        <v>0.36699999999999999</v>
      </c>
      <c r="AZ61" s="124">
        <v>0.124</v>
      </c>
      <c r="BA61" s="124">
        <v>0.125</v>
      </c>
      <c r="BB61" s="124">
        <v>2.2999999999999998</v>
      </c>
      <c r="BC61" s="139">
        <f t="shared" si="159"/>
        <v>2.9159999999999999</v>
      </c>
      <c r="BD61" s="124">
        <v>0.129</v>
      </c>
      <c r="BE61" s="124">
        <v>0.13</v>
      </c>
      <c r="BF61" s="124">
        <v>7.8E-2</v>
      </c>
      <c r="BG61" s="473">
        <v>1.4319999999999999</v>
      </c>
      <c r="BH61" s="139">
        <f t="shared" si="160"/>
        <v>1.7689999999999999</v>
      </c>
      <c r="BI61" s="473">
        <v>0</v>
      </c>
      <c r="BJ61" s="473">
        <v>0</v>
      </c>
      <c r="BK61" s="473">
        <v>0</v>
      </c>
      <c r="BL61" s="473">
        <v>0</v>
      </c>
      <c r="BM61" s="139">
        <f t="shared" si="161"/>
        <v>0</v>
      </c>
      <c r="BN61" s="473">
        <v>0</v>
      </c>
      <c r="BO61" s="473">
        <v>0</v>
      </c>
      <c r="BP61" s="473">
        <v>0</v>
      </c>
      <c r="BQ61" s="473">
        <v>0</v>
      </c>
      <c r="BR61" s="139">
        <f t="shared" si="162"/>
        <v>0</v>
      </c>
      <c r="BS61" s="124">
        <v>0</v>
      </c>
      <c r="BT61" s="124">
        <v>0</v>
      </c>
      <c r="BU61" s="128">
        <v>0</v>
      </c>
      <c r="BV61" s="128">
        <v>0</v>
      </c>
      <c r="BW61" s="139">
        <f t="shared" si="163"/>
        <v>0</v>
      </c>
      <c r="BX61" s="128">
        <v>0</v>
      </c>
      <c r="BY61" s="128">
        <v>0</v>
      </c>
      <c r="BZ61" s="128">
        <v>0</v>
      </c>
      <c r="CA61" s="128">
        <v>0</v>
      </c>
      <c r="CB61" s="139">
        <f t="shared" si="164"/>
        <v>0</v>
      </c>
      <c r="CC61" s="128">
        <v>0</v>
      </c>
      <c r="CD61" s="128">
        <v>0</v>
      </c>
      <c r="CE61" s="128">
        <v>0</v>
      </c>
      <c r="CF61" s="128">
        <v>0</v>
      </c>
      <c r="CG61" s="139">
        <f t="shared" si="165"/>
        <v>0</v>
      </c>
      <c r="CH61" s="128">
        <v>0</v>
      </c>
      <c r="CI61" s="128">
        <v>0</v>
      </c>
      <c r="CJ61" s="128">
        <v>0</v>
      </c>
      <c r="CK61" s="128">
        <v>0</v>
      </c>
      <c r="CL61" s="139">
        <f t="shared" si="166"/>
        <v>0</v>
      </c>
      <c r="CM61" s="128">
        <v>0</v>
      </c>
      <c r="CN61" s="128">
        <v>0</v>
      </c>
      <c r="CO61" s="128">
        <v>0</v>
      </c>
      <c r="CP61" s="128">
        <v>0</v>
      </c>
      <c r="CQ61" s="139">
        <f t="shared" si="167"/>
        <v>0</v>
      </c>
    </row>
    <row r="62" spans="5:100" hidden="1" x14ac:dyDescent="0.25">
      <c r="E62" s="47" t="s">
        <v>356</v>
      </c>
      <c r="F62" s="71"/>
      <c r="G62" s="140"/>
      <c r="H62" s="140"/>
      <c r="I62" s="140"/>
      <c r="J62" s="140"/>
      <c r="K62" s="124"/>
      <c r="L62" s="124"/>
      <c r="M62" s="124"/>
      <c r="N62" s="124"/>
      <c r="O62" s="139"/>
      <c r="P62" s="124"/>
      <c r="Q62" s="124"/>
      <c r="R62" s="124"/>
      <c r="S62" s="124"/>
      <c r="T62" s="140">
        <v>0</v>
      </c>
      <c r="U62" s="124"/>
      <c r="V62" s="124"/>
      <c r="W62" s="124"/>
      <c r="X62" s="124"/>
      <c r="Y62" s="140">
        <v>0</v>
      </c>
      <c r="Z62" s="124"/>
      <c r="AA62" s="124"/>
      <c r="AB62" s="124"/>
      <c r="AC62" s="124"/>
      <c r="AD62" s="140">
        <v>50</v>
      </c>
      <c r="AE62" s="124">
        <v>2.1269999999999998</v>
      </c>
      <c r="AF62" s="124">
        <v>0</v>
      </c>
      <c r="AG62" s="124">
        <v>20</v>
      </c>
      <c r="AH62" s="124">
        <v>10</v>
      </c>
      <c r="AI62" s="139">
        <f>SUM(AE62:AH62)</f>
        <v>32.126999999999995</v>
      </c>
      <c r="AJ62" s="124">
        <v>0</v>
      </c>
      <c r="AK62" s="124">
        <v>14.5</v>
      </c>
      <c r="AL62" s="124">
        <v>0</v>
      </c>
      <c r="AM62" s="124">
        <v>0</v>
      </c>
      <c r="AN62" s="139">
        <f>SUM(AJ62:AM62)</f>
        <v>14.5</v>
      </c>
      <c r="AO62" s="124">
        <v>0</v>
      </c>
      <c r="AP62" s="124">
        <v>30</v>
      </c>
      <c r="AQ62" s="124">
        <v>7.5</v>
      </c>
      <c r="AR62" s="124">
        <v>20</v>
      </c>
      <c r="AS62" s="139">
        <f>SUM(AO62:AR62)</f>
        <v>57.5</v>
      </c>
      <c r="AT62" s="124">
        <v>0</v>
      </c>
      <c r="AU62" s="124">
        <v>20</v>
      </c>
      <c r="AV62" s="124">
        <v>33.533000000000001</v>
      </c>
      <c r="AW62" s="27"/>
      <c r="AX62" s="139">
        <f>SUM(AT62:AW62)</f>
        <v>53.533000000000001</v>
      </c>
      <c r="AY62" s="124">
        <v>25</v>
      </c>
      <c r="AZ62" s="124">
        <v>75</v>
      </c>
      <c r="BA62" s="124">
        <v>25</v>
      </c>
      <c r="BB62" s="124">
        <v>0</v>
      </c>
      <c r="BC62" s="139">
        <f>SUM(AY62:BB62)</f>
        <v>125</v>
      </c>
      <c r="BD62" s="124">
        <v>0</v>
      </c>
      <c r="BE62" s="124">
        <v>0</v>
      </c>
      <c r="BF62" s="124">
        <v>0</v>
      </c>
      <c r="BG62" s="124">
        <v>0</v>
      </c>
      <c r="BH62" s="139">
        <f>SUM(BD62:BG62)</f>
        <v>0</v>
      </c>
      <c r="BI62" s="124">
        <v>0</v>
      </c>
      <c r="BJ62" s="124">
        <v>0</v>
      </c>
      <c r="BK62" s="124">
        <v>215</v>
      </c>
      <c r="BL62" s="124">
        <v>0</v>
      </c>
      <c r="BM62" s="139">
        <f>SUM(BI62:BL62)</f>
        <v>215</v>
      </c>
      <c r="BN62" s="124">
        <v>0</v>
      </c>
      <c r="BO62" s="124">
        <v>0</v>
      </c>
      <c r="BP62" s="124">
        <v>0</v>
      </c>
      <c r="BQ62" s="124">
        <v>0</v>
      </c>
      <c r="BR62" s="139">
        <f t="shared" si="162"/>
        <v>0</v>
      </c>
      <c r="BS62" s="124">
        <v>0</v>
      </c>
      <c r="BT62" s="124">
        <f>55-BS62</f>
        <v>55</v>
      </c>
      <c r="BU62" s="124">
        <f>55-BT62-BS62</f>
        <v>0</v>
      </c>
      <c r="BV62" s="124">
        <f>55-BS62-BT62-BU62</f>
        <v>0</v>
      </c>
      <c r="BW62" s="139">
        <f t="shared" si="163"/>
        <v>55</v>
      </c>
      <c r="BX62" s="124">
        <v>0</v>
      </c>
      <c r="BY62" s="124">
        <v>0</v>
      </c>
      <c r="BZ62" s="124">
        <v>0</v>
      </c>
      <c r="CA62" s="124">
        <v>0</v>
      </c>
      <c r="CB62" s="139">
        <f t="shared" si="164"/>
        <v>0</v>
      </c>
      <c r="CC62" s="128">
        <v>0</v>
      </c>
      <c r="CD62" s="128">
        <v>0</v>
      </c>
      <c r="CE62" s="128">
        <v>0</v>
      </c>
      <c r="CF62" s="128">
        <v>0</v>
      </c>
      <c r="CG62" s="139">
        <f t="shared" si="165"/>
        <v>0</v>
      </c>
      <c r="CH62" s="128">
        <v>0</v>
      </c>
      <c r="CI62" s="128">
        <v>0</v>
      </c>
      <c r="CJ62" s="128">
        <v>0</v>
      </c>
      <c r="CK62" s="128">
        <v>0</v>
      </c>
      <c r="CL62" s="139">
        <f t="shared" si="166"/>
        <v>0</v>
      </c>
      <c r="CM62" s="128">
        <v>0</v>
      </c>
      <c r="CN62" s="128">
        <v>0</v>
      </c>
      <c r="CO62" s="128">
        <v>0</v>
      </c>
      <c r="CP62" s="128">
        <v>0</v>
      </c>
      <c r="CQ62" s="139">
        <f t="shared" si="167"/>
        <v>0</v>
      </c>
    </row>
    <row r="63" spans="5:100" hidden="1" x14ac:dyDescent="0.25">
      <c r="E63" s="47" t="s">
        <v>355</v>
      </c>
      <c r="F63" s="71"/>
      <c r="G63" s="140"/>
      <c r="H63" s="140"/>
      <c r="I63" s="140"/>
      <c r="J63" s="140"/>
      <c r="K63" s="124"/>
      <c r="L63" s="124"/>
      <c r="M63" s="124"/>
      <c r="N63" s="124"/>
      <c r="O63" s="139"/>
      <c r="P63" s="124"/>
      <c r="Q63" s="124"/>
      <c r="R63" s="124"/>
      <c r="S63" s="124"/>
      <c r="T63" s="140">
        <v>8.4710000000000001</v>
      </c>
      <c r="U63" s="124"/>
      <c r="V63" s="124"/>
      <c r="W63" s="124"/>
      <c r="X63" s="124"/>
      <c r="Y63" s="140">
        <v>9.3019999999999996</v>
      </c>
      <c r="Z63" s="124"/>
      <c r="AA63" s="124"/>
      <c r="AB63" s="124"/>
      <c r="AC63" s="124"/>
      <c r="AD63" s="140">
        <v>10.234999999999999</v>
      </c>
      <c r="AE63" s="124">
        <v>3.5259999999999998</v>
      </c>
      <c r="AF63" s="124">
        <v>2.4159999999999999</v>
      </c>
      <c r="AG63" s="124">
        <v>5.6120000000000001</v>
      </c>
      <c r="AH63" s="124">
        <v>13.492000000000001</v>
      </c>
      <c r="AI63" s="139">
        <f t="shared" si="155"/>
        <v>25.045999999999999</v>
      </c>
      <c r="AJ63" s="124">
        <v>2.0569999999999999</v>
      </c>
      <c r="AK63" s="124">
        <v>2.073</v>
      </c>
      <c r="AL63" s="124">
        <v>2.0609999999999999</v>
      </c>
      <c r="AM63" s="124">
        <v>2.073</v>
      </c>
      <c r="AN63" s="139">
        <f t="shared" si="156"/>
        <v>8.2639999999999993</v>
      </c>
      <c r="AO63" s="124">
        <v>2.052</v>
      </c>
      <c r="AP63" s="124">
        <v>2.0579999999999998</v>
      </c>
      <c r="AQ63" s="124">
        <v>2.0910000000000002</v>
      </c>
      <c r="AR63" s="124">
        <v>3.597</v>
      </c>
      <c r="AS63" s="139">
        <f t="shared" si="157"/>
        <v>9.798</v>
      </c>
      <c r="AT63" s="124">
        <v>2.1030000000000002</v>
      </c>
      <c r="AU63" s="124">
        <v>2.028</v>
      </c>
      <c r="AV63" s="124">
        <v>2.1429999999999998</v>
      </c>
      <c r="AW63" s="124">
        <v>2.1539999999999999</v>
      </c>
      <c r="AX63" s="139">
        <f t="shared" si="158"/>
        <v>8.4280000000000008</v>
      </c>
      <c r="AY63" s="124">
        <v>2.1509999999999998</v>
      </c>
      <c r="AZ63" s="124">
        <v>2.1549999999999998</v>
      </c>
      <c r="BA63" s="124">
        <v>2.1589999999999998</v>
      </c>
      <c r="BB63" s="124">
        <v>2.1640000000000001</v>
      </c>
      <c r="BC63" s="139">
        <f t="shared" si="159"/>
        <v>8.6289999999999996</v>
      </c>
      <c r="BD63" s="124">
        <v>2.165</v>
      </c>
      <c r="BE63" s="124">
        <v>2.1680000000000001</v>
      </c>
      <c r="BF63" s="124">
        <v>2.1720000000000002</v>
      </c>
      <c r="BG63" s="473">
        <v>2.0830000000000002</v>
      </c>
      <c r="BH63" s="139">
        <f t="shared" si="160"/>
        <v>8.588000000000001</v>
      </c>
      <c r="BI63" s="473">
        <v>0.49</v>
      </c>
      <c r="BJ63" s="473">
        <v>2.004</v>
      </c>
      <c r="BK63" s="473">
        <v>4.2590000000000003</v>
      </c>
      <c r="BL63" s="473">
        <v>4.2629999999999999</v>
      </c>
      <c r="BM63" s="139">
        <f t="shared" si="161"/>
        <v>11.016</v>
      </c>
      <c r="BN63" s="473">
        <v>4.2670000000000003</v>
      </c>
      <c r="BO63" s="473">
        <v>4.2720000000000002</v>
      </c>
      <c r="BP63" s="473">
        <v>8.0269999999999992</v>
      </c>
      <c r="BQ63" s="473">
        <v>8.032</v>
      </c>
      <c r="BR63" s="139">
        <f t="shared" si="162"/>
        <v>24.598000000000003</v>
      </c>
      <c r="BS63" s="124">
        <v>8.0359999999999996</v>
      </c>
      <c r="BT63" s="124">
        <f>16.075-BS63</f>
        <v>8.0389999999999997</v>
      </c>
      <c r="BU63" s="124">
        <f>24.12-BT63-BS63</f>
        <v>8.0450000000000035</v>
      </c>
      <c r="BV63" s="124">
        <f>32.168-BS63-BT63-BU63</f>
        <v>8.0479999999999929</v>
      </c>
      <c r="BW63" s="139">
        <f t="shared" si="163"/>
        <v>32.167999999999999</v>
      </c>
      <c r="BX63" s="124">
        <v>8.0530000000000008</v>
      </c>
      <c r="BY63" s="124">
        <f>0.16111-BX63</f>
        <v>-7.891890000000001</v>
      </c>
      <c r="BZ63" s="124">
        <v>8.0619999999999994</v>
      </c>
      <c r="CA63" s="124">
        <f>0-BZ63-BY63-BX63</f>
        <v>-8.2231099999999984</v>
      </c>
      <c r="CB63" s="139">
        <f t="shared" si="164"/>
        <v>0</v>
      </c>
      <c r="CC63" s="128">
        <f>-'Cash Flow'!CC33</f>
        <v>-4.4279999999999946</v>
      </c>
      <c r="CD63" s="128">
        <f>-'Cash Flow'!CD33</f>
        <v>0.57799999999999996</v>
      </c>
      <c r="CE63" s="128">
        <f>-'Cash Flow'!CE33</f>
        <v>0</v>
      </c>
      <c r="CF63" s="128">
        <f>-'Cash Flow'!CF33</f>
        <v>0</v>
      </c>
      <c r="CG63" s="139">
        <f t="shared" si="165"/>
        <v>-3.8499999999999948</v>
      </c>
      <c r="CH63" s="128">
        <f>-'Cash Flow'!CH33</f>
        <v>0.59200000000000008</v>
      </c>
      <c r="CI63" s="128">
        <f>-'Cash Flow'!CI33</f>
        <v>2.7010000000000001</v>
      </c>
      <c r="CJ63" s="128">
        <f>-'Cash Flow'!CJ33</f>
        <v>228.762</v>
      </c>
      <c r="CK63" s="128">
        <f>-'Cash Flow'!CK33</f>
        <v>0</v>
      </c>
      <c r="CL63" s="139">
        <f t="shared" si="166"/>
        <v>232.05500000000001</v>
      </c>
      <c r="CM63" s="128">
        <f>-'Cash Flow'!CM33</f>
        <v>0</v>
      </c>
      <c r="CN63" s="128">
        <f>-'Cash Flow'!CN33</f>
        <v>0</v>
      </c>
      <c r="CO63" s="128">
        <f>-'Cash Flow'!CO33</f>
        <v>0</v>
      </c>
      <c r="CP63" s="128">
        <f>-'Cash Flow'!CP33</f>
        <v>0</v>
      </c>
      <c r="CQ63" s="139">
        <f t="shared" si="167"/>
        <v>0</v>
      </c>
    </row>
    <row r="64" spans="5:100" hidden="1" x14ac:dyDescent="0.25">
      <c r="F64" s="71"/>
      <c r="G64" s="140"/>
      <c r="H64" s="140"/>
      <c r="I64" s="140"/>
      <c r="J64" s="140"/>
      <c r="K64" s="124"/>
      <c r="L64" s="124"/>
      <c r="M64" s="124"/>
      <c r="N64" s="124"/>
      <c r="O64" s="139"/>
      <c r="P64" s="124"/>
      <c r="Q64" s="124"/>
      <c r="R64" s="124"/>
      <c r="S64" s="124"/>
      <c r="T64" s="140"/>
      <c r="U64" s="124"/>
      <c r="V64" s="124"/>
      <c r="W64" s="124"/>
      <c r="X64" s="124"/>
      <c r="Y64" s="140"/>
      <c r="Z64" s="124"/>
      <c r="AA64" s="124"/>
      <c r="AB64" s="124"/>
      <c r="AC64" s="124"/>
      <c r="AD64" s="140"/>
      <c r="AE64" s="124"/>
      <c r="AF64" s="124"/>
      <c r="AG64" s="124"/>
      <c r="AH64" s="124"/>
      <c r="AI64" s="139"/>
      <c r="AJ64" s="124"/>
      <c r="AK64" s="124"/>
      <c r="AL64" s="124"/>
      <c r="AM64" s="124"/>
      <c r="AN64" s="139"/>
      <c r="AO64" s="124"/>
      <c r="AP64" s="124"/>
      <c r="AQ64" s="124"/>
      <c r="AR64" s="124"/>
      <c r="AS64" s="139"/>
      <c r="AT64" s="27"/>
      <c r="AU64" s="124"/>
      <c r="AV64" s="124"/>
      <c r="AW64" s="27"/>
      <c r="AX64" s="139"/>
      <c r="AY64" s="27"/>
      <c r="AZ64" s="124"/>
      <c r="BA64" s="27"/>
      <c r="BB64" s="27"/>
      <c r="BC64" s="139"/>
      <c r="BD64" s="27"/>
      <c r="BE64" s="27"/>
      <c r="BF64" s="27"/>
      <c r="BG64" s="27"/>
      <c r="BH64" s="139"/>
      <c r="BI64" s="27"/>
      <c r="BJ64" s="27"/>
      <c r="BK64" s="27"/>
      <c r="BL64" s="27"/>
      <c r="BM64" s="139"/>
      <c r="BN64" s="27"/>
      <c r="BO64" s="27"/>
      <c r="BP64" s="27"/>
      <c r="BQ64" s="27"/>
      <c r="BR64" s="139"/>
      <c r="BS64" s="27"/>
      <c r="BT64" s="27"/>
      <c r="BU64" s="27"/>
      <c r="BV64" s="27"/>
      <c r="BW64" s="139"/>
      <c r="BX64" s="27"/>
      <c r="BY64" s="27"/>
      <c r="BZ64" s="27"/>
      <c r="CA64" s="27"/>
      <c r="CB64" s="139"/>
      <c r="CC64" s="27"/>
      <c r="CD64" s="27"/>
      <c r="CE64" s="27"/>
      <c r="CF64" s="27"/>
      <c r="CG64" s="139"/>
      <c r="CH64" s="27"/>
      <c r="CI64" s="27"/>
      <c r="CJ64" s="27"/>
      <c r="CK64" s="27"/>
      <c r="CL64" s="139"/>
      <c r="CM64" s="27"/>
      <c r="CN64" s="27"/>
      <c r="CO64" s="27"/>
      <c r="CP64" s="27"/>
      <c r="CQ64" s="139"/>
    </row>
    <row r="65" spans="5:95" ht="13.5" hidden="1" x14ac:dyDescent="0.25">
      <c r="E65" s="123" t="s">
        <v>357</v>
      </c>
      <c r="F65" s="71"/>
      <c r="G65" s="140"/>
      <c r="H65" s="140"/>
      <c r="I65" s="140"/>
      <c r="J65" s="140"/>
      <c r="K65" s="124"/>
      <c r="L65" s="124"/>
      <c r="M65" s="124"/>
      <c r="N65" s="124"/>
      <c r="O65" s="139"/>
      <c r="P65" s="124"/>
      <c r="Q65" s="124"/>
      <c r="R65" s="124"/>
      <c r="S65" s="124"/>
      <c r="T65" s="140"/>
      <c r="U65" s="124"/>
      <c r="V65" s="124"/>
      <c r="W65" s="124"/>
      <c r="X65" s="124"/>
      <c r="Y65" s="140"/>
      <c r="Z65" s="124"/>
      <c r="AA65" s="124"/>
      <c r="AB65" s="124"/>
      <c r="AC65" s="124"/>
      <c r="AD65" s="140"/>
      <c r="AE65" s="124"/>
      <c r="AF65" s="124"/>
      <c r="AG65" s="124"/>
      <c r="AH65" s="124"/>
      <c r="AI65" s="139"/>
      <c r="AJ65" s="124"/>
      <c r="AK65" s="124"/>
      <c r="AL65" s="124"/>
      <c r="AM65" s="124"/>
      <c r="AN65" s="139"/>
      <c r="AO65" s="124"/>
      <c r="AP65" s="124"/>
      <c r="AQ65" s="124"/>
      <c r="AR65" s="124"/>
      <c r="AS65" s="139"/>
      <c r="AT65" s="27"/>
      <c r="AU65" s="124"/>
      <c r="AV65" s="124"/>
      <c r="AW65" s="27"/>
      <c r="AX65" s="139"/>
      <c r="AY65" s="27"/>
      <c r="AZ65" s="124"/>
      <c r="BA65" s="27"/>
      <c r="BB65" s="27"/>
      <c r="BC65" s="139"/>
      <c r="BD65" s="27"/>
      <c r="BE65" s="27"/>
      <c r="BF65" s="27"/>
      <c r="BG65" s="27"/>
      <c r="BH65" s="139"/>
      <c r="BI65" s="27"/>
      <c r="BJ65" s="27"/>
      <c r="BK65" s="27"/>
      <c r="BL65" s="27"/>
      <c r="BM65" s="139"/>
      <c r="BN65" s="27"/>
      <c r="BO65" s="27"/>
      <c r="BP65" s="27"/>
      <c r="BQ65" s="27"/>
      <c r="BR65" s="139"/>
      <c r="BS65" s="27"/>
      <c r="BT65" s="27"/>
      <c r="BU65" s="27"/>
      <c r="BV65" s="27"/>
      <c r="BW65" s="139"/>
      <c r="BX65" s="27"/>
      <c r="BY65" s="27"/>
      <c r="BZ65" s="27"/>
      <c r="CA65" s="27"/>
      <c r="CB65" s="139"/>
      <c r="CC65" s="27"/>
      <c r="CD65" s="27"/>
      <c r="CE65" s="27"/>
      <c r="CF65" s="27"/>
      <c r="CG65" s="139"/>
      <c r="CH65" s="27"/>
      <c r="CI65" s="27"/>
      <c r="CJ65" s="27"/>
      <c r="CK65" s="27"/>
      <c r="CL65" s="139"/>
      <c r="CM65" s="27"/>
      <c r="CN65" s="27"/>
      <c r="CO65" s="27"/>
      <c r="CP65" s="27"/>
      <c r="CQ65" s="139"/>
    </row>
    <row r="66" spans="5:95" hidden="1" x14ac:dyDescent="0.25">
      <c r="E66" s="47" t="s">
        <v>358</v>
      </c>
      <c r="F66" s="71"/>
      <c r="G66" s="140"/>
      <c r="H66" s="140"/>
      <c r="I66" s="140"/>
      <c r="J66" s="140"/>
      <c r="K66" s="124"/>
      <c r="L66" s="124"/>
      <c r="M66" s="124"/>
      <c r="N66" s="124"/>
      <c r="O66" s="139"/>
      <c r="P66" s="124"/>
      <c r="Q66" s="124"/>
      <c r="R66" s="124"/>
      <c r="S66" s="124"/>
      <c r="T66" s="140">
        <v>90.626999999999995</v>
      </c>
      <c r="U66" s="124"/>
      <c r="V66" s="124"/>
      <c r="W66" s="124"/>
      <c r="X66" s="124"/>
      <c r="Y66" s="140">
        <v>85.260999999999996</v>
      </c>
      <c r="Z66" s="124"/>
      <c r="AA66" s="124"/>
      <c r="AB66" s="124"/>
      <c r="AC66" s="124"/>
      <c r="AD66" s="140">
        <v>58.927999999999997</v>
      </c>
      <c r="AE66" s="124">
        <v>7.2220000000000004</v>
      </c>
      <c r="AF66" s="124">
        <v>8.4979999999999993</v>
      </c>
      <c r="AG66" s="124">
        <f>5.004-5.304</f>
        <v>-0.30000000000000071</v>
      </c>
      <c r="AH66" s="124">
        <v>4.117</v>
      </c>
      <c r="AI66" s="139">
        <f>SUM(AE66:AH66)</f>
        <v>19.536999999999999</v>
      </c>
      <c r="AJ66" s="124">
        <v>1.8240000000000001</v>
      </c>
      <c r="AK66" s="124">
        <v>3.835</v>
      </c>
      <c r="AL66" s="124">
        <v>2.2330000000000001</v>
      </c>
      <c r="AM66" s="124">
        <v>3.1480000000000001</v>
      </c>
      <c r="AN66" s="139">
        <f>SUM(AJ66:AM66)</f>
        <v>11.04</v>
      </c>
      <c r="AO66" s="124">
        <v>3.823</v>
      </c>
      <c r="AP66" s="124">
        <v>6.5640000000000001</v>
      </c>
      <c r="AQ66" s="124">
        <v>7.86</v>
      </c>
      <c r="AR66" s="124">
        <v>5.9459999999999997</v>
      </c>
      <c r="AS66" s="139">
        <f>SUM(AO66:AR66)</f>
        <v>24.192999999999998</v>
      </c>
      <c r="AT66" s="124">
        <v>10.268000000000001</v>
      </c>
      <c r="AU66" s="124">
        <v>7.3819999999999997</v>
      </c>
      <c r="AV66" s="124">
        <v>4.7789999999999999</v>
      </c>
      <c r="AW66" s="27"/>
      <c r="AX66" s="139">
        <f>SUM(AT66:AW66)</f>
        <v>22.428999999999998</v>
      </c>
      <c r="AY66" s="124">
        <v>3.7469999999999999</v>
      </c>
      <c r="AZ66" s="124">
        <v>0.94399999999999995</v>
      </c>
      <c r="BA66" s="124">
        <v>4.0419999999999998</v>
      </c>
      <c r="BB66" s="124">
        <v>2.5089999999999999</v>
      </c>
      <c r="BC66" s="139">
        <f>SUM(AY66:BB66)</f>
        <v>11.242000000000001</v>
      </c>
      <c r="BD66" s="124">
        <v>2.157</v>
      </c>
      <c r="BE66" s="124">
        <v>0</v>
      </c>
      <c r="BF66" s="124">
        <v>0</v>
      </c>
      <c r="BG66" s="27"/>
      <c r="BH66" s="139">
        <f>SUM(BD66:BG66)</f>
        <v>2.157</v>
      </c>
      <c r="BI66" s="27"/>
      <c r="BJ66" s="27"/>
      <c r="BK66" s="27"/>
      <c r="BL66" s="27"/>
      <c r="BM66" s="139">
        <f>SUM(BI66:BL66)</f>
        <v>0</v>
      </c>
      <c r="BN66" s="27"/>
      <c r="BO66" s="27"/>
      <c r="BP66" s="27"/>
      <c r="BQ66" s="27"/>
      <c r="BR66" s="139">
        <f>SUM(BN66:BQ66)</f>
        <v>0</v>
      </c>
      <c r="BS66" s="27"/>
      <c r="BT66" s="27"/>
      <c r="BU66" s="27"/>
      <c r="BV66" s="27"/>
      <c r="BW66" s="139">
        <f>SUM(BS66:BV66)</f>
        <v>0</v>
      </c>
      <c r="BX66" s="27"/>
      <c r="BY66" s="27"/>
      <c r="BZ66" s="27"/>
      <c r="CA66" s="27"/>
      <c r="CB66" s="139">
        <f>SUM(BX66:CA66)</f>
        <v>0</v>
      </c>
      <c r="CC66" s="27"/>
      <c r="CD66" s="27"/>
      <c r="CE66" s="27"/>
      <c r="CF66" s="27"/>
      <c r="CG66" s="139">
        <f>SUM(CC66:CF66)</f>
        <v>0</v>
      </c>
      <c r="CH66" s="27"/>
      <c r="CI66" s="27"/>
      <c r="CJ66" s="27"/>
      <c r="CK66" s="27"/>
      <c r="CL66" s="139">
        <f>SUM(CH66:CK66)</f>
        <v>0</v>
      </c>
      <c r="CM66" s="27"/>
      <c r="CN66" s="27"/>
      <c r="CO66" s="27"/>
      <c r="CP66" s="27"/>
      <c r="CQ66" s="139">
        <f>SUM(CM66:CP66)</f>
        <v>0</v>
      </c>
    </row>
    <row r="67" spans="5:95" hidden="1" x14ac:dyDescent="0.25">
      <c r="E67" s="47" t="s">
        <v>368</v>
      </c>
      <c r="F67" s="71"/>
      <c r="G67" s="140"/>
      <c r="H67" s="140"/>
      <c r="I67" s="140"/>
      <c r="J67" s="140"/>
      <c r="K67" s="124"/>
      <c r="L67" s="124"/>
      <c r="M67" s="124"/>
      <c r="N67" s="124"/>
      <c r="O67" s="139"/>
      <c r="P67" s="124"/>
      <c r="Q67" s="124"/>
      <c r="R67" s="124"/>
      <c r="S67" s="124"/>
      <c r="T67" s="140">
        <v>13.882</v>
      </c>
      <c r="U67" s="124"/>
      <c r="V67" s="124"/>
      <c r="W67" s="124"/>
      <c r="X67" s="124"/>
      <c r="Y67" s="140">
        <v>14.95</v>
      </c>
      <c r="Z67" s="124"/>
      <c r="AA67" s="124"/>
      <c r="AB67" s="124"/>
      <c r="AC67" s="124"/>
      <c r="AD67" s="140">
        <v>23.571000000000002</v>
      </c>
      <c r="AE67" s="124">
        <v>0</v>
      </c>
      <c r="AF67" s="124">
        <v>0.49299999999999999</v>
      </c>
      <c r="AG67" s="124">
        <v>0</v>
      </c>
      <c r="AH67" s="124">
        <v>0.02</v>
      </c>
      <c r="AI67" s="139">
        <f>SUM(AE67:AH67)</f>
        <v>0.51300000000000001</v>
      </c>
      <c r="AJ67" s="124">
        <v>0</v>
      </c>
      <c r="AK67" s="124">
        <v>1.546</v>
      </c>
      <c r="AL67" s="124">
        <v>0</v>
      </c>
      <c r="AM67" s="124">
        <v>8.4090000000000007</v>
      </c>
      <c r="AN67" s="139">
        <f>SUM(AJ67:AM67)</f>
        <v>9.9550000000000001</v>
      </c>
      <c r="AO67" s="124">
        <v>0</v>
      </c>
      <c r="AP67" s="124">
        <v>0.61099999999999999</v>
      </c>
      <c r="AQ67" s="124">
        <v>0</v>
      </c>
      <c r="AR67" s="124">
        <v>1.56</v>
      </c>
      <c r="AS67" s="139">
        <f>SUM(AO67:AR67)</f>
        <v>2.1710000000000003</v>
      </c>
      <c r="AT67" s="124">
        <v>0</v>
      </c>
      <c r="AU67" s="124">
        <v>0</v>
      </c>
      <c r="AV67" s="124">
        <v>0</v>
      </c>
      <c r="AW67" s="27"/>
      <c r="AX67" s="139">
        <f>SUM(AT67:AW67)</f>
        <v>0</v>
      </c>
      <c r="AY67" s="124">
        <v>0</v>
      </c>
      <c r="AZ67" s="124">
        <v>0</v>
      </c>
      <c r="BA67" s="124">
        <v>0</v>
      </c>
      <c r="BB67" s="124">
        <v>0</v>
      </c>
      <c r="BC67" s="139">
        <f>SUM(AY67:BB67)</f>
        <v>0</v>
      </c>
      <c r="BD67" s="124">
        <v>0</v>
      </c>
      <c r="BE67" s="124">
        <v>0</v>
      </c>
      <c r="BF67" s="124">
        <v>0</v>
      </c>
      <c r="BG67" s="27"/>
      <c r="BH67" s="139">
        <f>SUM(BD67:BG67)</f>
        <v>0</v>
      </c>
      <c r="BI67" s="27"/>
      <c r="BJ67" s="27"/>
      <c r="BK67" s="27"/>
      <c r="BL67" s="27"/>
      <c r="BM67" s="139">
        <f>SUM(BI67:BL67)</f>
        <v>0</v>
      </c>
      <c r="BN67" s="27"/>
      <c r="BO67" s="27"/>
      <c r="BP67" s="27"/>
      <c r="BQ67" s="27"/>
      <c r="BR67" s="139">
        <f>SUM(BN67:BQ67)</f>
        <v>0</v>
      </c>
      <c r="BS67" s="27"/>
      <c r="BT67" s="27"/>
      <c r="BU67" s="27"/>
      <c r="BV67" s="27"/>
      <c r="BW67" s="139">
        <f>SUM(BS67:BV67)</f>
        <v>0</v>
      </c>
      <c r="BX67" s="27"/>
      <c r="BY67" s="27"/>
      <c r="BZ67" s="27"/>
      <c r="CA67" s="27"/>
      <c r="CB67" s="139">
        <f>SUM(BX67:CA67)</f>
        <v>0</v>
      </c>
      <c r="CC67" s="27"/>
      <c r="CD67" s="27"/>
      <c r="CE67" s="27"/>
      <c r="CF67" s="27"/>
      <c r="CG67" s="139">
        <f>SUM(CC67:CF67)</f>
        <v>0</v>
      </c>
      <c r="CH67" s="27"/>
      <c r="CI67" s="27"/>
      <c r="CJ67" s="27"/>
      <c r="CK67" s="27"/>
      <c r="CL67" s="139">
        <f>SUM(CH67:CK67)</f>
        <v>0</v>
      </c>
      <c r="CM67" s="27"/>
      <c r="CN67" s="27"/>
      <c r="CO67" s="27"/>
      <c r="CP67" s="27"/>
      <c r="CQ67" s="139">
        <f>SUM(CM67:CP67)</f>
        <v>0</v>
      </c>
    </row>
    <row r="68" spans="5:95" hidden="1" x14ac:dyDescent="0.25">
      <c r="E68" s="47" t="s">
        <v>369</v>
      </c>
      <c r="F68" s="71"/>
      <c r="G68" s="140"/>
      <c r="H68" s="140"/>
      <c r="I68" s="140"/>
      <c r="J68" s="140"/>
      <c r="K68" s="124"/>
      <c r="L68" s="124"/>
      <c r="M68" s="124"/>
      <c r="N68" s="124"/>
      <c r="O68" s="139"/>
      <c r="P68" s="124"/>
      <c r="Q68" s="124"/>
      <c r="R68" s="124"/>
      <c r="S68" s="124"/>
      <c r="T68" s="140">
        <v>21.832000000000001</v>
      </c>
      <c r="U68" s="124"/>
      <c r="V68" s="124"/>
      <c r="W68" s="124"/>
      <c r="X68" s="124"/>
      <c r="Y68" s="140">
        <v>10.772</v>
      </c>
      <c r="Z68" s="124"/>
      <c r="AA68" s="124"/>
      <c r="AB68" s="124"/>
      <c r="AC68" s="124"/>
      <c r="AD68" s="140">
        <v>18.38</v>
      </c>
      <c r="AE68" s="124">
        <v>5.351</v>
      </c>
      <c r="AF68" s="124">
        <v>0.3</v>
      </c>
      <c r="AG68" s="124">
        <v>3.9950000000000001</v>
      </c>
      <c r="AH68" s="124">
        <v>1.679</v>
      </c>
      <c r="AI68" s="139">
        <f>SUM(AE68:AH68)</f>
        <v>11.325000000000001</v>
      </c>
      <c r="AJ68" s="124">
        <v>0</v>
      </c>
      <c r="AK68" s="124">
        <v>0</v>
      </c>
      <c r="AL68" s="124">
        <v>0</v>
      </c>
      <c r="AM68" s="124">
        <v>0</v>
      </c>
      <c r="AN68" s="139">
        <f>SUM(AJ68:AM68)</f>
        <v>0</v>
      </c>
      <c r="AO68" s="124">
        <v>0</v>
      </c>
      <c r="AP68" s="124">
        <v>0</v>
      </c>
      <c r="AQ68" s="124">
        <v>0</v>
      </c>
      <c r="AR68" s="124">
        <v>0</v>
      </c>
      <c r="AS68" s="139">
        <f>SUM(AO68:AR68)</f>
        <v>0</v>
      </c>
      <c r="AT68" s="124">
        <v>0</v>
      </c>
      <c r="AU68" s="124">
        <v>0</v>
      </c>
      <c r="AV68" s="124">
        <v>0</v>
      </c>
      <c r="AW68" s="27"/>
      <c r="AX68" s="139">
        <f>SUM(AT68:AW68)</f>
        <v>0</v>
      </c>
      <c r="AY68" s="124">
        <v>0</v>
      </c>
      <c r="AZ68" s="124">
        <v>0</v>
      </c>
      <c r="BA68" s="124">
        <v>0</v>
      </c>
      <c r="BB68" s="124">
        <v>0</v>
      </c>
      <c r="BC68" s="139">
        <f>SUM(AY68:BB68)</f>
        <v>0</v>
      </c>
      <c r="BD68" s="124">
        <v>0</v>
      </c>
      <c r="BE68" s="124">
        <v>0</v>
      </c>
      <c r="BF68" s="124">
        <v>0</v>
      </c>
      <c r="BG68" s="27"/>
      <c r="BH68" s="139">
        <f>SUM(BD68:BG68)</f>
        <v>0</v>
      </c>
      <c r="BI68" s="27"/>
      <c r="BJ68" s="27"/>
      <c r="BK68" s="27"/>
      <c r="BL68" s="27"/>
      <c r="BM68" s="139">
        <f>SUM(BI68:BL68)</f>
        <v>0</v>
      </c>
      <c r="BN68" s="27"/>
      <c r="BO68" s="27"/>
      <c r="BP68" s="27"/>
      <c r="BQ68" s="27"/>
      <c r="BR68" s="139">
        <f>SUM(BN68:BQ68)</f>
        <v>0</v>
      </c>
      <c r="BS68" s="27"/>
      <c r="BT68" s="27"/>
      <c r="BU68" s="27"/>
      <c r="BV68" s="27"/>
      <c r="BW68" s="139">
        <f>SUM(BS68:BV68)</f>
        <v>0</v>
      </c>
      <c r="BX68" s="27"/>
      <c r="BY68" s="27"/>
      <c r="BZ68" s="27"/>
      <c r="CA68" s="27"/>
      <c r="CB68" s="139">
        <f>SUM(BX68:CA68)</f>
        <v>0</v>
      </c>
      <c r="CC68" s="27"/>
      <c r="CD68" s="27"/>
      <c r="CE68" s="27"/>
      <c r="CF68" s="27"/>
      <c r="CG68" s="139">
        <f>SUM(CC68:CF68)</f>
        <v>0</v>
      </c>
      <c r="CH68" s="27"/>
      <c r="CI68" s="27"/>
      <c r="CJ68" s="27"/>
      <c r="CK68" s="27"/>
      <c r="CL68" s="139">
        <f>SUM(CH68:CK68)</f>
        <v>0</v>
      </c>
      <c r="CM68" s="27"/>
      <c r="CN68" s="27"/>
      <c r="CO68" s="27"/>
      <c r="CP68" s="27"/>
      <c r="CQ68" s="139">
        <f>SUM(CM68:CP68)</f>
        <v>0</v>
      </c>
    </row>
    <row r="69" spans="5:95" hidden="1" x14ac:dyDescent="0.25">
      <c r="E69" s="47" t="s">
        <v>370</v>
      </c>
      <c r="F69" s="71"/>
      <c r="G69" s="140"/>
      <c r="H69" s="140"/>
      <c r="I69" s="140"/>
      <c r="J69" s="140"/>
      <c r="K69" s="124"/>
      <c r="L69" s="124"/>
      <c r="M69" s="124"/>
      <c r="N69" s="124"/>
      <c r="O69" s="139"/>
      <c r="P69" s="124"/>
      <c r="Q69" s="124"/>
      <c r="R69" s="124"/>
      <c r="S69" s="124"/>
      <c r="T69" s="140">
        <f>171.633+3.746</f>
        <v>175.37900000000002</v>
      </c>
      <c r="U69" s="124"/>
      <c r="V69" s="124"/>
      <c r="W69" s="124"/>
      <c r="X69" s="124"/>
      <c r="Y69" s="140">
        <v>1.5089999999999999</v>
      </c>
      <c r="Z69" s="124"/>
      <c r="AA69" s="124"/>
      <c r="AB69" s="124"/>
      <c r="AC69" s="124"/>
      <c r="AD69" s="140">
        <f>1.3+3.61</f>
        <v>4.91</v>
      </c>
      <c r="AE69" s="124">
        <v>0</v>
      </c>
      <c r="AF69" s="124">
        <v>0</v>
      </c>
      <c r="AG69" s="124">
        <v>15.305999999999999</v>
      </c>
      <c r="AH69" s="124">
        <v>0</v>
      </c>
      <c r="AI69" s="139">
        <f>SUM(AE69:AH69)</f>
        <v>15.305999999999999</v>
      </c>
      <c r="AJ69" s="124">
        <v>0</v>
      </c>
      <c r="AK69" s="124">
        <v>0</v>
      </c>
      <c r="AL69" s="124">
        <v>0</v>
      </c>
      <c r="AM69" s="124">
        <v>0</v>
      </c>
      <c r="AN69" s="139">
        <f>SUM(AJ69:AM69)</f>
        <v>0</v>
      </c>
      <c r="AO69" s="124">
        <v>0</v>
      </c>
      <c r="AP69" s="124">
        <v>0</v>
      </c>
      <c r="AQ69" s="124">
        <v>0</v>
      </c>
      <c r="AR69" s="124">
        <v>0</v>
      </c>
      <c r="AS69" s="139">
        <f>SUM(AO69:AR69)</f>
        <v>0</v>
      </c>
      <c r="AT69" s="124">
        <v>0</v>
      </c>
      <c r="AU69" s="124">
        <v>0</v>
      </c>
      <c r="AV69" s="124">
        <v>0</v>
      </c>
      <c r="AW69" s="27"/>
      <c r="AX69" s="139"/>
      <c r="AY69" s="124">
        <v>0</v>
      </c>
      <c r="AZ69" s="124">
        <v>0</v>
      </c>
      <c r="BA69" s="124">
        <v>0</v>
      </c>
      <c r="BB69" s="124">
        <v>0</v>
      </c>
      <c r="BC69" s="139"/>
      <c r="BD69" s="124">
        <v>0</v>
      </c>
      <c r="BE69" s="124">
        <v>0</v>
      </c>
      <c r="BF69" s="124">
        <v>0</v>
      </c>
      <c r="BG69" s="27"/>
      <c r="BH69" s="139"/>
      <c r="BI69" s="27"/>
      <c r="BJ69" s="27"/>
      <c r="BK69" s="27"/>
      <c r="BL69" s="27"/>
      <c r="BM69" s="139"/>
      <c r="BR69" s="71"/>
      <c r="BW69" s="71"/>
      <c r="CB69" s="71"/>
      <c r="CG69" s="71"/>
      <c r="CL69" s="601"/>
      <c r="CQ69" s="601"/>
    </row>
    <row r="70" spans="5:95" s="57" customFormat="1" x14ac:dyDescent="0.25">
      <c r="G70" s="417"/>
      <c r="H70" s="417"/>
      <c r="I70" s="417"/>
      <c r="J70" s="417"/>
      <c r="K70" s="417"/>
      <c r="L70" s="417"/>
      <c r="M70" s="417"/>
      <c r="N70" s="417"/>
      <c r="O70" s="85"/>
      <c r="P70" s="417"/>
      <c r="Q70" s="417"/>
      <c r="R70" s="417"/>
      <c r="S70" s="417"/>
      <c r="T70" s="85"/>
      <c r="U70" s="417"/>
      <c r="V70" s="417"/>
      <c r="W70" s="417"/>
      <c r="X70" s="417"/>
      <c r="Y70" s="85"/>
      <c r="Z70" s="417"/>
      <c r="AA70" s="417"/>
      <c r="AB70" s="417"/>
      <c r="AC70" s="417"/>
      <c r="AD70" s="85"/>
      <c r="AE70" s="417"/>
      <c r="AF70" s="417"/>
      <c r="AG70" s="417"/>
      <c r="AH70" s="417"/>
      <c r="AI70" s="85"/>
      <c r="AJ70" s="417"/>
      <c r="AK70" s="417"/>
      <c r="AL70" s="417"/>
      <c r="AM70" s="417"/>
      <c r="AN70" s="85"/>
      <c r="AO70" s="417"/>
      <c r="AP70" s="417"/>
      <c r="AQ70" s="417"/>
      <c r="AR70" s="417"/>
      <c r="AS70" s="85"/>
      <c r="AT70" s="85"/>
      <c r="AU70" s="85"/>
      <c r="AV70" s="85"/>
      <c r="AW70" s="85"/>
      <c r="AX70" s="85"/>
      <c r="AY70" s="85"/>
      <c r="AZ70" s="85"/>
      <c r="BA70" s="85"/>
      <c r="BB70" s="85"/>
      <c r="BC70" s="85"/>
      <c r="BD70" s="85"/>
      <c r="BE70" s="85"/>
      <c r="BF70" s="85"/>
      <c r="BG70" s="85"/>
      <c r="BH70" s="85"/>
      <c r="BI70" s="85"/>
      <c r="BJ70" s="85"/>
      <c r="BK70" s="85"/>
      <c r="BL70" s="85"/>
      <c r="BM70" s="85"/>
    </row>
    <row r="71" spans="5:95" s="57" customFormat="1" x14ac:dyDescent="0.25">
      <c r="G71" s="417"/>
      <c r="H71" s="417"/>
      <c r="I71" s="417"/>
      <c r="J71" s="417"/>
      <c r="K71" s="417"/>
      <c r="L71" s="417"/>
      <c r="M71" s="417"/>
      <c r="N71" s="417"/>
      <c r="O71" s="85"/>
      <c r="P71" s="417"/>
      <c r="Q71" s="417"/>
      <c r="R71" s="417"/>
      <c r="S71" s="417"/>
      <c r="T71" s="85"/>
      <c r="U71" s="417"/>
      <c r="V71" s="417"/>
      <c r="W71" s="417"/>
      <c r="X71" s="417"/>
      <c r="Y71" s="85"/>
      <c r="Z71" s="417"/>
      <c r="AA71" s="417"/>
      <c r="AB71" s="417"/>
      <c r="AC71" s="417"/>
      <c r="AD71" s="85"/>
      <c r="AE71" s="417"/>
      <c r="AF71" s="417"/>
      <c r="AG71" s="417"/>
      <c r="AH71" s="417"/>
      <c r="AI71" s="85"/>
      <c r="AJ71" s="417"/>
      <c r="AK71" s="417"/>
      <c r="AL71" s="417"/>
      <c r="AM71" s="417"/>
      <c r="AN71" s="85"/>
      <c r="AO71" s="417"/>
      <c r="AP71" s="417"/>
      <c r="AQ71" s="417"/>
      <c r="AR71" s="417"/>
      <c r="AS71" s="85"/>
      <c r="AT71" s="85"/>
      <c r="AU71" s="85"/>
      <c r="AV71" s="85"/>
      <c r="AW71" s="85"/>
      <c r="AX71" s="85"/>
      <c r="AY71" s="85"/>
      <c r="AZ71" s="85"/>
      <c r="BA71" s="85"/>
      <c r="BB71" s="85"/>
      <c r="BC71" s="85"/>
      <c r="BD71" s="85"/>
      <c r="BE71" s="85"/>
      <c r="BF71" s="85"/>
      <c r="BG71" s="85"/>
      <c r="BH71" s="85"/>
      <c r="BI71" s="85"/>
      <c r="BJ71" s="85"/>
      <c r="BK71" s="85"/>
      <c r="BL71" s="85"/>
      <c r="BM71" s="85"/>
    </row>
    <row r="72" spans="5:95" s="57" customFormat="1" x14ac:dyDescent="0.25">
      <c r="G72" s="417"/>
      <c r="H72" s="417"/>
      <c r="I72" s="417"/>
      <c r="J72" s="417"/>
      <c r="K72" s="417"/>
      <c r="L72" s="417"/>
      <c r="M72" s="417"/>
      <c r="N72" s="417"/>
      <c r="O72" s="85"/>
      <c r="P72" s="417"/>
      <c r="Q72" s="417"/>
      <c r="R72" s="417"/>
      <c r="S72" s="417"/>
      <c r="T72" s="85"/>
      <c r="U72" s="417"/>
      <c r="V72" s="417"/>
      <c r="W72" s="417"/>
      <c r="X72" s="417"/>
      <c r="Y72" s="85"/>
      <c r="Z72" s="417"/>
      <c r="AA72" s="417"/>
      <c r="AB72" s="417"/>
      <c r="AC72" s="417"/>
      <c r="AD72" s="85"/>
      <c r="AE72" s="417"/>
      <c r="AF72" s="417"/>
      <c r="AG72" s="417"/>
      <c r="AH72" s="417"/>
      <c r="AI72" s="85"/>
      <c r="AJ72" s="417"/>
      <c r="AK72" s="417"/>
      <c r="AL72" s="417"/>
      <c r="AM72" s="417"/>
      <c r="AN72" s="85"/>
      <c r="AO72" s="417"/>
      <c r="AP72" s="417"/>
      <c r="AQ72" s="417"/>
      <c r="AR72" s="417"/>
      <c r="AS72" s="85"/>
      <c r="AT72" s="85"/>
      <c r="AU72" s="85"/>
      <c r="AV72" s="85"/>
      <c r="AW72" s="85"/>
      <c r="AX72" s="85"/>
      <c r="AY72" s="85"/>
      <c r="AZ72" s="85"/>
      <c r="BA72" s="85"/>
      <c r="BB72" s="85"/>
      <c r="BC72" s="85"/>
      <c r="BD72" s="85"/>
      <c r="BE72" s="85"/>
      <c r="BF72" s="85"/>
      <c r="BG72" s="85"/>
      <c r="BH72" s="85"/>
      <c r="BI72" s="85"/>
      <c r="BJ72" s="85"/>
      <c r="BK72" s="85"/>
      <c r="BL72" s="85"/>
      <c r="BM72" s="85"/>
    </row>
    <row r="73" spans="5:95" s="57" customFormat="1" x14ac:dyDescent="0.25">
      <c r="G73" s="417"/>
      <c r="H73" s="417"/>
      <c r="I73" s="417"/>
      <c r="J73" s="417"/>
      <c r="K73" s="417"/>
      <c r="L73" s="417"/>
      <c r="M73" s="417"/>
      <c r="N73" s="417"/>
      <c r="O73" s="85"/>
      <c r="P73" s="417"/>
      <c r="Q73" s="417"/>
      <c r="R73" s="417"/>
      <c r="S73" s="417"/>
      <c r="T73" s="85"/>
      <c r="U73" s="417"/>
      <c r="V73" s="417"/>
      <c r="W73" s="417"/>
      <c r="X73" s="417"/>
      <c r="Y73" s="85"/>
      <c r="Z73" s="417"/>
      <c r="AA73" s="417"/>
      <c r="AB73" s="417"/>
      <c r="AC73" s="417"/>
      <c r="AD73" s="85"/>
      <c r="AE73" s="417"/>
      <c r="AF73" s="417"/>
      <c r="AG73" s="417"/>
      <c r="AH73" s="417"/>
      <c r="AI73" s="85"/>
      <c r="AJ73" s="417"/>
      <c r="AK73" s="417"/>
      <c r="AL73" s="417"/>
      <c r="AM73" s="417"/>
      <c r="AN73" s="85"/>
      <c r="AO73" s="417"/>
      <c r="AP73" s="417"/>
      <c r="AQ73" s="417"/>
      <c r="AR73" s="417"/>
      <c r="AS73" s="85"/>
      <c r="AT73" s="85"/>
      <c r="AU73" s="85"/>
      <c r="AV73" s="85"/>
      <c r="AW73" s="85"/>
      <c r="AX73" s="85"/>
      <c r="AY73" s="85"/>
      <c r="AZ73" s="85"/>
      <c r="BA73" s="85"/>
      <c r="BB73" s="85"/>
      <c r="BC73" s="85"/>
      <c r="BD73" s="85"/>
      <c r="BE73" s="85"/>
      <c r="BF73" s="85"/>
      <c r="BG73" s="85"/>
      <c r="BH73" s="85"/>
      <c r="BI73" s="85"/>
      <c r="BJ73" s="85"/>
      <c r="BK73" s="85"/>
      <c r="BL73" s="85"/>
      <c r="BM73" s="85"/>
    </row>
    <row r="74" spans="5:95" s="57" customFormat="1" x14ac:dyDescent="0.25">
      <c r="G74" s="417"/>
      <c r="H74" s="417"/>
      <c r="I74" s="417"/>
      <c r="J74" s="417"/>
      <c r="K74" s="417"/>
      <c r="L74" s="417"/>
      <c r="M74" s="417"/>
      <c r="N74" s="417"/>
      <c r="O74" s="85"/>
      <c r="P74" s="417"/>
      <c r="Q74" s="417"/>
      <c r="R74" s="417"/>
      <c r="S74" s="417"/>
      <c r="T74" s="85"/>
      <c r="U74" s="417"/>
      <c r="V74" s="417"/>
      <c r="W74" s="417"/>
      <c r="X74" s="417"/>
      <c r="Y74" s="85"/>
      <c r="Z74" s="417"/>
      <c r="AA74" s="417"/>
      <c r="AB74" s="417"/>
      <c r="AC74" s="417"/>
      <c r="AD74" s="85"/>
      <c r="AE74" s="417"/>
      <c r="AF74" s="417"/>
      <c r="AG74" s="417"/>
      <c r="AH74" s="417"/>
      <c r="AI74" s="85"/>
      <c r="AJ74" s="417"/>
      <c r="AK74" s="417"/>
      <c r="AL74" s="417"/>
      <c r="AM74" s="417"/>
      <c r="AN74" s="85"/>
      <c r="AO74" s="417"/>
      <c r="AP74" s="417"/>
      <c r="AQ74" s="417"/>
      <c r="AR74" s="417"/>
      <c r="AS74" s="85"/>
      <c r="AT74" s="85"/>
      <c r="AU74" s="85"/>
      <c r="AV74" s="85"/>
      <c r="AW74" s="85"/>
      <c r="AX74" s="85"/>
      <c r="AY74" s="85"/>
      <c r="AZ74" s="85"/>
      <c r="BA74" s="85"/>
      <c r="BB74" s="85"/>
      <c r="BC74" s="85"/>
      <c r="BD74" s="85"/>
      <c r="BE74" s="85"/>
      <c r="BF74" s="85"/>
      <c r="BG74" s="85"/>
      <c r="BH74" s="85"/>
      <c r="BI74" s="85"/>
      <c r="BJ74" s="85"/>
      <c r="BK74" s="85"/>
      <c r="BL74" s="85"/>
      <c r="BM74" s="85"/>
    </row>
    <row r="75" spans="5:95" s="57" customFormat="1" x14ac:dyDescent="0.25">
      <c r="G75" s="417"/>
      <c r="H75" s="417"/>
      <c r="I75" s="417"/>
      <c r="J75" s="417"/>
      <c r="K75" s="417"/>
      <c r="L75" s="417"/>
      <c r="M75" s="417"/>
      <c r="N75" s="417"/>
      <c r="O75" s="85"/>
      <c r="P75" s="417"/>
      <c r="Q75" s="417"/>
      <c r="R75" s="417"/>
      <c r="S75" s="417"/>
      <c r="T75" s="85"/>
      <c r="U75" s="417"/>
      <c r="V75" s="417"/>
      <c r="W75" s="417"/>
      <c r="X75" s="417"/>
      <c r="Y75" s="85"/>
      <c r="Z75" s="417"/>
      <c r="AA75" s="417"/>
      <c r="AB75" s="417"/>
      <c r="AC75" s="417"/>
      <c r="AD75" s="85"/>
      <c r="AE75" s="417"/>
      <c r="AF75" s="417"/>
      <c r="AG75" s="417"/>
      <c r="AH75" s="417"/>
      <c r="AI75" s="85"/>
      <c r="AJ75" s="417"/>
      <c r="AK75" s="417"/>
      <c r="AL75" s="417"/>
      <c r="AM75" s="417"/>
      <c r="AN75" s="85"/>
      <c r="AO75" s="417"/>
      <c r="AP75" s="417"/>
      <c r="AQ75" s="417"/>
      <c r="AR75" s="417"/>
      <c r="AS75" s="85"/>
      <c r="AT75" s="85"/>
      <c r="AU75" s="85"/>
      <c r="AV75" s="85"/>
      <c r="AW75" s="85"/>
      <c r="AX75" s="85"/>
      <c r="AY75" s="85"/>
      <c r="AZ75" s="85"/>
      <c r="BA75" s="85"/>
      <c r="BB75" s="85"/>
      <c r="BC75" s="85"/>
      <c r="BD75" s="85"/>
      <c r="BE75" s="85"/>
      <c r="BF75" s="85"/>
      <c r="BG75" s="85"/>
      <c r="BH75" s="85"/>
      <c r="BI75" s="85"/>
      <c r="BJ75" s="85"/>
      <c r="BK75" s="85"/>
      <c r="BL75" s="85"/>
      <c r="BM75" s="85"/>
    </row>
    <row r="76" spans="5:95" s="57" customFormat="1" x14ac:dyDescent="0.25">
      <c r="G76" s="417"/>
      <c r="H76" s="417"/>
      <c r="I76" s="417"/>
      <c r="J76" s="417"/>
      <c r="K76" s="417"/>
      <c r="L76" s="417"/>
      <c r="M76" s="417"/>
      <c r="N76" s="417"/>
      <c r="O76" s="85"/>
      <c r="P76" s="417"/>
      <c r="Q76" s="417"/>
      <c r="R76" s="417"/>
      <c r="S76" s="417"/>
      <c r="T76" s="85"/>
      <c r="U76" s="417"/>
      <c r="V76" s="417"/>
      <c r="W76" s="417"/>
      <c r="X76" s="417"/>
      <c r="Y76" s="85"/>
      <c r="Z76" s="417"/>
      <c r="AA76" s="417"/>
      <c r="AB76" s="417"/>
      <c r="AC76" s="417"/>
      <c r="AD76" s="85"/>
      <c r="AE76" s="417"/>
      <c r="AF76" s="417"/>
      <c r="AG76" s="417"/>
      <c r="AH76" s="417"/>
      <c r="AI76" s="85"/>
      <c r="AJ76" s="417"/>
      <c r="AK76" s="417"/>
      <c r="AL76" s="417"/>
      <c r="AM76" s="417"/>
      <c r="AN76" s="85"/>
      <c r="AO76" s="417"/>
      <c r="AP76" s="417"/>
      <c r="AQ76" s="417"/>
      <c r="AR76" s="417"/>
      <c r="AS76" s="85"/>
      <c r="AT76" s="85"/>
      <c r="AU76" s="85"/>
      <c r="AV76" s="85"/>
      <c r="AW76" s="85"/>
      <c r="AX76" s="85"/>
      <c r="AY76" s="85"/>
      <c r="AZ76" s="85"/>
      <c r="BA76" s="85"/>
      <c r="BB76" s="85"/>
      <c r="BC76" s="85"/>
      <c r="BD76" s="85"/>
      <c r="BE76" s="85"/>
      <c r="BF76" s="85"/>
      <c r="BG76" s="85"/>
      <c r="BH76" s="85"/>
      <c r="BI76" s="85"/>
      <c r="BJ76" s="85"/>
      <c r="BK76" s="85"/>
      <c r="BL76" s="85"/>
      <c r="BM76" s="85"/>
    </row>
    <row r="77" spans="5:95" s="57" customFormat="1" x14ac:dyDescent="0.25">
      <c r="G77" s="417"/>
      <c r="H77" s="417"/>
      <c r="I77" s="417"/>
      <c r="J77" s="417"/>
      <c r="K77" s="417"/>
      <c r="L77" s="417"/>
      <c r="M77" s="417"/>
      <c r="N77" s="417"/>
      <c r="O77" s="85"/>
      <c r="P77" s="417"/>
      <c r="Q77" s="417"/>
      <c r="R77" s="417"/>
      <c r="S77" s="417"/>
      <c r="T77" s="85"/>
      <c r="U77" s="417"/>
      <c r="V77" s="417"/>
      <c r="W77" s="417"/>
      <c r="X77" s="417"/>
      <c r="Y77" s="85"/>
      <c r="Z77" s="417"/>
      <c r="AA77" s="417"/>
      <c r="AB77" s="417"/>
      <c r="AC77" s="417"/>
      <c r="AD77" s="85"/>
      <c r="AE77" s="417"/>
      <c r="AF77" s="417"/>
      <c r="AG77" s="417"/>
      <c r="AH77" s="417"/>
      <c r="AI77" s="85"/>
      <c r="AJ77" s="417"/>
      <c r="AK77" s="417"/>
      <c r="AL77" s="417"/>
      <c r="AM77" s="417"/>
      <c r="AN77" s="85"/>
      <c r="AO77" s="417"/>
      <c r="AP77" s="417"/>
      <c r="AQ77" s="417"/>
      <c r="AR77" s="417"/>
      <c r="AS77" s="85"/>
      <c r="AT77" s="85"/>
      <c r="AU77" s="85"/>
      <c r="AV77" s="85"/>
      <c r="AW77" s="85"/>
      <c r="AX77" s="85"/>
      <c r="AY77" s="85"/>
      <c r="AZ77" s="85"/>
      <c r="BA77" s="85"/>
      <c r="BB77" s="85"/>
      <c r="BC77" s="85"/>
      <c r="BD77" s="85"/>
      <c r="BE77" s="85"/>
      <c r="BF77" s="85"/>
      <c r="BG77" s="85"/>
      <c r="BH77" s="85"/>
      <c r="BI77" s="85"/>
      <c r="BJ77" s="85"/>
      <c r="BK77" s="85"/>
      <c r="BL77" s="85"/>
      <c r="BM77" s="85"/>
    </row>
    <row r="78" spans="5:95" s="57" customFormat="1" x14ac:dyDescent="0.25">
      <c r="G78" s="417"/>
      <c r="H78" s="417"/>
      <c r="I78" s="417"/>
      <c r="J78" s="417"/>
      <c r="K78" s="417"/>
      <c r="L78" s="417"/>
      <c r="M78" s="417"/>
      <c r="N78" s="417"/>
      <c r="O78" s="85"/>
      <c r="P78" s="417"/>
      <c r="Q78" s="417"/>
      <c r="R78" s="417"/>
      <c r="S78" s="417"/>
      <c r="T78" s="85"/>
      <c r="U78" s="417"/>
      <c r="V78" s="417"/>
      <c r="W78" s="417"/>
      <c r="X78" s="417"/>
      <c r="Y78" s="85"/>
      <c r="Z78" s="417"/>
      <c r="AA78" s="417"/>
      <c r="AB78" s="417"/>
      <c r="AC78" s="417"/>
      <c r="AD78" s="85"/>
      <c r="AE78" s="417"/>
      <c r="AF78" s="417"/>
      <c r="AG78" s="417"/>
      <c r="AH78" s="417"/>
      <c r="AI78" s="85"/>
      <c r="AJ78" s="417"/>
      <c r="AK78" s="417"/>
      <c r="AL78" s="417"/>
      <c r="AM78" s="417"/>
      <c r="AN78" s="85"/>
      <c r="AO78" s="417"/>
      <c r="AP78" s="417"/>
      <c r="AQ78" s="417"/>
      <c r="AR78" s="417"/>
      <c r="AS78" s="85"/>
      <c r="AT78" s="85"/>
      <c r="AU78" s="85"/>
      <c r="AV78" s="85"/>
      <c r="AW78" s="85"/>
      <c r="AX78" s="85"/>
      <c r="AY78" s="85"/>
      <c r="AZ78" s="85"/>
      <c r="BA78" s="85"/>
      <c r="BB78" s="85"/>
      <c r="BC78" s="85"/>
      <c r="BD78" s="85"/>
      <c r="BE78" s="85"/>
      <c r="BF78" s="85"/>
      <c r="BG78" s="85"/>
      <c r="BH78" s="85"/>
      <c r="BI78" s="85"/>
      <c r="BJ78" s="85"/>
      <c r="BK78" s="85"/>
      <c r="BL78" s="85"/>
      <c r="BM78" s="85"/>
    </row>
    <row r="79" spans="5:95" s="57" customFormat="1" x14ac:dyDescent="0.25">
      <c r="G79" s="417"/>
      <c r="H79" s="417"/>
      <c r="I79" s="417"/>
      <c r="J79" s="417"/>
      <c r="K79" s="417"/>
      <c r="L79" s="417"/>
      <c r="M79" s="417"/>
      <c r="N79" s="417"/>
      <c r="O79" s="85"/>
      <c r="P79" s="417"/>
      <c r="Q79" s="417"/>
      <c r="R79" s="417"/>
      <c r="S79" s="417"/>
      <c r="T79" s="85"/>
      <c r="U79" s="417"/>
      <c r="V79" s="417"/>
      <c r="W79" s="417"/>
      <c r="X79" s="417"/>
      <c r="Y79" s="85"/>
      <c r="Z79" s="417"/>
      <c r="AA79" s="417"/>
      <c r="AB79" s="417"/>
      <c r="AC79" s="417"/>
      <c r="AD79" s="85"/>
      <c r="AE79" s="417"/>
      <c r="AF79" s="417"/>
      <c r="AG79" s="417"/>
      <c r="AH79" s="417"/>
      <c r="AI79" s="85"/>
      <c r="AJ79" s="417"/>
      <c r="AK79" s="417"/>
      <c r="AL79" s="417"/>
      <c r="AM79" s="417"/>
      <c r="AN79" s="85"/>
      <c r="AO79" s="417"/>
      <c r="AP79" s="417"/>
      <c r="AQ79" s="417"/>
      <c r="AR79" s="417"/>
      <c r="AS79" s="85"/>
      <c r="AT79" s="85"/>
      <c r="AU79" s="85"/>
      <c r="AV79" s="85"/>
      <c r="AW79" s="85"/>
      <c r="AX79" s="85"/>
      <c r="AY79" s="85"/>
      <c r="AZ79" s="85"/>
      <c r="BA79" s="85"/>
      <c r="BB79" s="85"/>
      <c r="BC79" s="85"/>
      <c r="BD79" s="85"/>
      <c r="BE79" s="85"/>
      <c r="BF79" s="85"/>
      <c r="BG79" s="85"/>
      <c r="BH79" s="85"/>
      <c r="BI79" s="85"/>
      <c r="BJ79" s="85"/>
      <c r="BK79" s="85"/>
      <c r="BL79" s="85"/>
      <c r="BM79" s="85"/>
    </row>
    <row r="80" spans="5:95" s="57" customFormat="1" x14ac:dyDescent="0.25">
      <c r="G80" s="417"/>
      <c r="H80" s="417"/>
      <c r="I80" s="417"/>
      <c r="J80" s="417"/>
      <c r="K80" s="417"/>
      <c r="L80" s="417"/>
      <c r="M80" s="417"/>
      <c r="N80" s="417"/>
      <c r="O80" s="85"/>
      <c r="P80" s="417"/>
      <c r="Q80" s="417"/>
      <c r="R80" s="417"/>
      <c r="S80" s="417"/>
      <c r="T80" s="85"/>
      <c r="U80" s="417"/>
      <c r="V80" s="417"/>
      <c r="W80" s="417"/>
      <c r="X80" s="417"/>
      <c r="Y80" s="85"/>
      <c r="Z80" s="417"/>
      <c r="AA80" s="417"/>
      <c r="AB80" s="417"/>
      <c r="AC80" s="417"/>
      <c r="AD80" s="85"/>
      <c r="AE80" s="417"/>
      <c r="AF80" s="417"/>
      <c r="AG80" s="417"/>
      <c r="AH80" s="417"/>
      <c r="AI80" s="85"/>
      <c r="AJ80" s="417"/>
      <c r="AK80" s="417"/>
      <c r="AL80" s="417"/>
      <c r="AM80" s="417"/>
      <c r="AN80" s="85"/>
      <c r="AO80" s="417"/>
      <c r="AP80" s="417"/>
      <c r="AQ80" s="417"/>
      <c r="AR80" s="417"/>
      <c r="AS80" s="85"/>
      <c r="AT80" s="85"/>
      <c r="AU80" s="85"/>
      <c r="AV80" s="85"/>
      <c r="AW80" s="85"/>
      <c r="AX80" s="85"/>
      <c r="AY80" s="85"/>
      <c r="AZ80" s="85"/>
      <c r="BA80" s="85"/>
      <c r="BB80" s="85"/>
      <c r="BC80" s="85"/>
      <c r="BD80" s="85"/>
      <c r="BE80" s="85"/>
      <c r="BF80" s="85"/>
      <c r="BG80" s="85"/>
      <c r="BH80" s="85"/>
      <c r="BI80" s="85"/>
      <c r="BJ80" s="85"/>
      <c r="BK80" s="85"/>
      <c r="BL80" s="85"/>
      <c r="BM80" s="85"/>
    </row>
    <row r="81" spans="7:65" s="57" customFormat="1" x14ac:dyDescent="0.25">
      <c r="G81" s="417"/>
      <c r="H81" s="417"/>
      <c r="I81" s="417"/>
      <c r="J81" s="417"/>
      <c r="K81" s="417"/>
      <c r="L81" s="417"/>
      <c r="M81" s="417"/>
      <c r="N81" s="417"/>
      <c r="O81" s="85"/>
      <c r="P81" s="417"/>
      <c r="Q81" s="417"/>
      <c r="R81" s="417"/>
      <c r="S81" s="417"/>
      <c r="T81" s="85"/>
      <c r="U81" s="417"/>
      <c r="V81" s="417"/>
      <c r="W81" s="417"/>
      <c r="X81" s="417"/>
      <c r="Y81" s="85"/>
      <c r="Z81" s="417"/>
      <c r="AA81" s="417"/>
      <c r="AB81" s="417"/>
      <c r="AC81" s="417"/>
      <c r="AD81" s="85"/>
      <c r="AE81" s="417"/>
      <c r="AF81" s="417"/>
      <c r="AG81" s="417"/>
      <c r="AH81" s="417"/>
      <c r="AI81" s="85"/>
      <c r="AJ81" s="417"/>
      <c r="AK81" s="417"/>
      <c r="AL81" s="417"/>
      <c r="AM81" s="417"/>
      <c r="AN81" s="85"/>
      <c r="AO81" s="417"/>
      <c r="AP81" s="417"/>
      <c r="AQ81" s="417"/>
      <c r="AR81" s="417"/>
      <c r="AS81" s="85"/>
      <c r="AT81" s="85"/>
      <c r="AU81" s="85"/>
      <c r="AV81" s="85"/>
      <c r="AW81" s="85"/>
      <c r="AX81" s="85"/>
      <c r="AY81" s="85"/>
      <c r="AZ81" s="85"/>
      <c r="BA81" s="85"/>
      <c r="BB81" s="85"/>
      <c r="BC81" s="85"/>
      <c r="BD81" s="85"/>
      <c r="BE81" s="85"/>
      <c r="BF81" s="85"/>
      <c r="BG81" s="85"/>
      <c r="BH81" s="85"/>
      <c r="BI81" s="85"/>
      <c r="BJ81" s="85"/>
      <c r="BK81" s="85"/>
      <c r="BL81" s="85"/>
      <c r="BM81" s="85"/>
    </row>
    <row r="82" spans="7:65" s="57" customFormat="1" x14ac:dyDescent="0.25">
      <c r="G82" s="417"/>
      <c r="H82" s="417"/>
      <c r="I82" s="417"/>
      <c r="J82" s="417"/>
      <c r="K82" s="417"/>
      <c r="L82" s="417"/>
      <c r="M82" s="417"/>
      <c r="N82" s="417"/>
      <c r="O82" s="85"/>
      <c r="P82" s="417"/>
      <c r="Q82" s="417"/>
      <c r="R82" s="417"/>
      <c r="S82" s="417"/>
      <c r="T82" s="85"/>
      <c r="U82" s="417"/>
      <c r="V82" s="417"/>
      <c r="W82" s="417"/>
      <c r="X82" s="417"/>
      <c r="Y82" s="85"/>
      <c r="Z82" s="417"/>
      <c r="AA82" s="417"/>
      <c r="AB82" s="417"/>
      <c r="AC82" s="417"/>
      <c r="AD82" s="85"/>
      <c r="AE82" s="417"/>
      <c r="AF82" s="417"/>
      <c r="AG82" s="417"/>
      <c r="AH82" s="417"/>
      <c r="AI82" s="85"/>
      <c r="AJ82" s="417"/>
      <c r="AK82" s="417"/>
      <c r="AL82" s="417"/>
      <c r="AM82" s="417"/>
      <c r="AN82" s="85"/>
      <c r="AO82" s="417"/>
      <c r="AP82" s="417"/>
      <c r="AQ82" s="417"/>
      <c r="AR82" s="417"/>
      <c r="AS82" s="85"/>
      <c r="AT82" s="85"/>
      <c r="AU82" s="85"/>
      <c r="AV82" s="85"/>
      <c r="AW82" s="85"/>
      <c r="AX82" s="85"/>
      <c r="AY82" s="85"/>
      <c r="AZ82" s="85"/>
      <c r="BA82" s="85"/>
      <c r="BB82" s="85"/>
      <c r="BC82" s="85"/>
      <c r="BD82" s="85"/>
      <c r="BE82" s="85"/>
      <c r="BF82" s="85"/>
      <c r="BG82" s="85"/>
      <c r="BH82" s="85"/>
      <c r="BI82" s="85"/>
      <c r="BJ82" s="85"/>
      <c r="BK82" s="85"/>
      <c r="BL82" s="85"/>
      <c r="BM82" s="85"/>
    </row>
    <row r="83" spans="7:65" s="57" customFormat="1" x14ac:dyDescent="0.25">
      <c r="G83" s="417"/>
      <c r="H83" s="417"/>
      <c r="I83" s="417"/>
      <c r="J83" s="417"/>
      <c r="K83" s="417"/>
      <c r="L83" s="417"/>
      <c r="M83" s="417"/>
      <c r="N83" s="417"/>
      <c r="O83" s="85"/>
      <c r="P83" s="417"/>
      <c r="Q83" s="417"/>
      <c r="R83" s="417"/>
      <c r="S83" s="417"/>
      <c r="T83" s="85"/>
      <c r="U83" s="417"/>
      <c r="V83" s="417"/>
      <c r="W83" s="417"/>
      <c r="X83" s="417"/>
      <c r="Y83" s="85"/>
      <c r="Z83" s="417"/>
      <c r="AA83" s="417"/>
      <c r="AB83" s="417"/>
      <c r="AC83" s="417"/>
      <c r="AD83" s="85"/>
      <c r="AE83" s="417"/>
      <c r="AF83" s="417"/>
      <c r="AG83" s="417"/>
      <c r="AH83" s="417"/>
      <c r="AI83" s="85"/>
      <c r="AJ83" s="417"/>
      <c r="AK83" s="417"/>
      <c r="AL83" s="417"/>
      <c r="AM83" s="417"/>
      <c r="AN83" s="85"/>
      <c r="AO83" s="417"/>
      <c r="AP83" s="417"/>
      <c r="AQ83" s="417"/>
      <c r="AR83" s="417"/>
      <c r="AS83" s="85"/>
      <c r="AT83" s="85"/>
      <c r="AU83" s="85"/>
      <c r="AV83" s="85"/>
      <c r="AW83" s="85"/>
      <c r="AX83" s="85"/>
      <c r="AY83" s="85"/>
      <c r="AZ83" s="85"/>
      <c r="BA83" s="85"/>
      <c r="BB83" s="85"/>
      <c r="BC83" s="85"/>
      <c r="BD83" s="85"/>
      <c r="BE83" s="85"/>
      <c r="BF83" s="85"/>
      <c r="BG83" s="85"/>
      <c r="BH83" s="85"/>
      <c r="BI83" s="85"/>
      <c r="BJ83" s="85"/>
      <c r="BK83" s="85"/>
      <c r="BL83" s="85"/>
      <c r="BM83" s="85"/>
    </row>
    <row r="84" spans="7:65" s="57" customFormat="1" x14ac:dyDescent="0.25">
      <c r="G84" s="417"/>
      <c r="H84" s="417"/>
      <c r="I84" s="417"/>
      <c r="J84" s="417"/>
      <c r="K84" s="417"/>
      <c r="L84" s="417"/>
      <c r="M84" s="417"/>
      <c r="N84" s="417"/>
      <c r="O84" s="85"/>
      <c r="P84" s="417"/>
      <c r="Q84" s="417"/>
      <c r="R84" s="417"/>
      <c r="S84" s="417"/>
      <c r="T84" s="85"/>
      <c r="U84" s="417"/>
      <c r="V84" s="417"/>
      <c r="W84" s="417"/>
      <c r="X84" s="417"/>
      <c r="Y84" s="85"/>
      <c r="Z84" s="417"/>
      <c r="AA84" s="417"/>
      <c r="AB84" s="417"/>
      <c r="AC84" s="417"/>
      <c r="AD84" s="85"/>
      <c r="AE84" s="417"/>
      <c r="AF84" s="417"/>
      <c r="AG84" s="417"/>
      <c r="AH84" s="417"/>
      <c r="AI84" s="85"/>
      <c r="AJ84" s="417"/>
      <c r="AK84" s="417"/>
      <c r="AL84" s="417"/>
      <c r="AM84" s="417"/>
      <c r="AN84" s="85"/>
      <c r="AO84" s="417"/>
      <c r="AP84" s="417"/>
      <c r="AQ84" s="417"/>
      <c r="AR84" s="417"/>
      <c r="AS84" s="85"/>
      <c r="AT84" s="85"/>
      <c r="AU84" s="85"/>
      <c r="AV84" s="85"/>
      <c r="AW84" s="85"/>
      <c r="AX84" s="85"/>
      <c r="AY84" s="85"/>
      <c r="AZ84" s="85"/>
      <c r="BA84" s="85"/>
      <c r="BB84" s="85"/>
      <c r="BC84" s="85"/>
      <c r="BD84" s="85"/>
      <c r="BE84" s="85"/>
      <c r="BF84" s="85"/>
      <c r="BG84" s="85"/>
      <c r="BH84" s="85"/>
      <c r="BI84" s="85"/>
      <c r="BJ84" s="85"/>
      <c r="BK84" s="85"/>
      <c r="BL84" s="85"/>
      <c r="BM84" s="85"/>
    </row>
    <row r="85" spans="7:65" s="57" customFormat="1" x14ac:dyDescent="0.25">
      <c r="G85" s="417"/>
      <c r="H85" s="417"/>
      <c r="I85" s="417"/>
      <c r="J85" s="417"/>
      <c r="K85" s="417"/>
      <c r="L85" s="417"/>
      <c r="M85" s="417"/>
      <c r="N85" s="417"/>
      <c r="O85" s="85"/>
      <c r="P85" s="417"/>
      <c r="Q85" s="417"/>
      <c r="R85" s="417"/>
      <c r="S85" s="417"/>
      <c r="T85" s="85"/>
      <c r="U85" s="417"/>
      <c r="V85" s="417"/>
      <c r="W85" s="417"/>
      <c r="X85" s="417"/>
      <c r="Y85" s="85"/>
      <c r="Z85" s="417"/>
      <c r="AA85" s="417"/>
      <c r="AB85" s="417"/>
      <c r="AC85" s="417"/>
      <c r="AD85" s="85"/>
      <c r="AE85" s="417"/>
      <c r="AF85" s="417"/>
      <c r="AG85" s="417"/>
      <c r="AH85" s="417"/>
      <c r="AI85" s="85"/>
      <c r="AJ85" s="417"/>
      <c r="AK85" s="417"/>
      <c r="AL85" s="417"/>
      <c r="AM85" s="417"/>
      <c r="AN85" s="85"/>
      <c r="AO85" s="417"/>
      <c r="AP85" s="417"/>
      <c r="AQ85" s="417"/>
      <c r="AR85" s="417"/>
      <c r="AS85" s="85"/>
      <c r="AT85" s="85"/>
      <c r="AU85" s="85"/>
      <c r="AV85" s="85"/>
      <c r="AW85" s="85"/>
      <c r="AX85" s="85"/>
      <c r="AY85" s="85"/>
      <c r="AZ85" s="85"/>
      <c r="BA85" s="85"/>
      <c r="BB85" s="85"/>
      <c r="BC85" s="85"/>
      <c r="BD85" s="85"/>
      <c r="BE85" s="85"/>
      <c r="BF85" s="85"/>
      <c r="BG85" s="85"/>
      <c r="BH85" s="85"/>
      <c r="BI85" s="85"/>
      <c r="BJ85" s="85"/>
      <c r="BK85" s="85"/>
      <c r="BL85" s="85"/>
      <c r="BM85" s="85"/>
    </row>
    <row r="86" spans="7:65" s="57" customFormat="1" x14ac:dyDescent="0.25">
      <c r="G86" s="417"/>
      <c r="H86" s="417"/>
      <c r="I86" s="417"/>
      <c r="J86" s="417"/>
      <c r="K86" s="417"/>
      <c r="L86" s="417"/>
      <c r="M86" s="417"/>
      <c r="N86" s="417"/>
      <c r="O86" s="85"/>
      <c r="P86" s="417"/>
      <c r="Q86" s="417"/>
      <c r="R86" s="417"/>
      <c r="S86" s="417"/>
      <c r="T86" s="85"/>
      <c r="U86" s="417"/>
      <c r="V86" s="417"/>
      <c r="W86" s="417"/>
      <c r="X86" s="417"/>
      <c r="Y86" s="85"/>
      <c r="Z86" s="417"/>
      <c r="AA86" s="417"/>
      <c r="AB86" s="417"/>
      <c r="AC86" s="417"/>
      <c r="AD86" s="85"/>
      <c r="AE86" s="417"/>
      <c r="AF86" s="417"/>
      <c r="AG86" s="417"/>
      <c r="AH86" s="417"/>
      <c r="AI86" s="85"/>
      <c r="AJ86" s="417"/>
      <c r="AK86" s="417"/>
      <c r="AL86" s="417"/>
      <c r="AM86" s="417"/>
      <c r="AN86" s="85"/>
      <c r="AO86" s="417"/>
      <c r="AP86" s="417"/>
      <c r="AQ86" s="417"/>
      <c r="AR86" s="417"/>
      <c r="AS86" s="85"/>
      <c r="AT86" s="85"/>
      <c r="AU86" s="85"/>
      <c r="AV86" s="85"/>
      <c r="AW86" s="85"/>
      <c r="AX86" s="85"/>
      <c r="AY86" s="85"/>
      <c r="AZ86" s="85"/>
      <c r="BA86" s="85"/>
      <c r="BB86" s="85"/>
      <c r="BC86" s="85"/>
      <c r="BD86" s="85"/>
      <c r="BE86" s="85"/>
      <c r="BF86" s="85"/>
      <c r="BG86" s="85"/>
      <c r="BH86" s="85"/>
      <c r="BI86" s="85"/>
      <c r="BJ86" s="85"/>
      <c r="BK86" s="85"/>
      <c r="BL86" s="85"/>
      <c r="BM86" s="85"/>
    </row>
    <row r="87" spans="7:65" s="57" customFormat="1" x14ac:dyDescent="0.25">
      <c r="G87" s="417"/>
      <c r="H87" s="417"/>
      <c r="I87" s="417"/>
      <c r="J87" s="417"/>
      <c r="K87" s="417"/>
      <c r="L87" s="417"/>
      <c r="M87" s="417"/>
      <c r="N87" s="417"/>
      <c r="O87" s="85"/>
      <c r="P87" s="417"/>
      <c r="Q87" s="417"/>
      <c r="R87" s="417"/>
      <c r="S87" s="417"/>
      <c r="T87" s="85"/>
      <c r="U87" s="417"/>
      <c r="V87" s="417"/>
      <c r="W87" s="417"/>
      <c r="X87" s="417"/>
      <c r="Y87" s="85"/>
      <c r="Z87" s="417"/>
      <c r="AA87" s="417"/>
      <c r="AB87" s="417"/>
      <c r="AC87" s="417"/>
      <c r="AD87" s="85"/>
      <c r="AE87" s="417"/>
      <c r="AF87" s="417"/>
      <c r="AG87" s="417"/>
      <c r="AH87" s="417"/>
      <c r="AI87" s="85"/>
      <c r="AJ87" s="417"/>
      <c r="AK87" s="417"/>
      <c r="AL87" s="417"/>
      <c r="AM87" s="417"/>
      <c r="AN87" s="85"/>
      <c r="AO87" s="417"/>
      <c r="AP87" s="417"/>
      <c r="AQ87" s="417"/>
      <c r="AR87" s="417"/>
      <c r="AS87" s="85"/>
      <c r="AT87" s="85"/>
      <c r="AU87" s="85"/>
      <c r="AV87" s="85"/>
      <c r="AW87" s="85"/>
      <c r="AX87" s="85"/>
      <c r="AY87" s="85"/>
      <c r="AZ87" s="85"/>
      <c r="BA87" s="85"/>
      <c r="BB87" s="85"/>
      <c r="BC87" s="85"/>
      <c r="BD87" s="85"/>
      <c r="BE87" s="85"/>
      <c r="BF87" s="85"/>
      <c r="BG87" s="85"/>
      <c r="BH87" s="85"/>
      <c r="BI87" s="85"/>
      <c r="BJ87" s="85"/>
      <c r="BK87" s="85"/>
      <c r="BL87" s="85"/>
      <c r="BM87" s="85"/>
    </row>
    <row r="88" spans="7:65" s="57" customFormat="1" x14ac:dyDescent="0.25">
      <c r="G88" s="417"/>
      <c r="H88" s="417"/>
      <c r="I88" s="417"/>
      <c r="J88" s="417"/>
      <c r="K88" s="417"/>
      <c r="L88" s="417"/>
      <c r="M88" s="417"/>
      <c r="N88" s="417"/>
      <c r="O88" s="85"/>
      <c r="P88" s="417"/>
      <c r="Q88" s="417"/>
      <c r="R88" s="417"/>
      <c r="S88" s="417"/>
      <c r="T88" s="85"/>
      <c r="U88" s="417"/>
      <c r="V88" s="417"/>
      <c r="W88" s="417"/>
      <c r="X88" s="417"/>
      <c r="Y88" s="85"/>
      <c r="Z88" s="417"/>
      <c r="AA88" s="417"/>
      <c r="AB88" s="417"/>
      <c r="AC88" s="417"/>
      <c r="AD88" s="85"/>
      <c r="AE88" s="417"/>
      <c r="AF88" s="417"/>
      <c r="AG88" s="417"/>
      <c r="AH88" s="417"/>
      <c r="AI88" s="85"/>
      <c r="AJ88" s="417"/>
      <c r="AK88" s="417"/>
      <c r="AL88" s="417"/>
      <c r="AM88" s="417"/>
      <c r="AN88" s="85"/>
      <c r="AO88" s="417"/>
      <c r="AP88" s="417"/>
      <c r="AQ88" s="417"/>
      <c r="AR88" s="417"/>
      <c r="AS88" s="85"/>
      <c r="AT88" s="85"/>
      <c r="AU88" s="85"/>
      <c r="AV88" s="85"/>
      <c r="AW88" s="85"/>
      <c r="AX88" s="85"/>
      <c r="AY88" s="85"/>
      <c r="AZ88" s="85"/>
      <c r="BA88" s="85"/>
      <c r="BB88" s="85"/>
      <c r="BC88" s="85"/>
      <c r="BD88" s="85"/>
      <c r="BE88" s="85"/>
      <c r="BF88" s="85"/>
      <c r="BG88" s="85"/>
      <c r="BH88" s="85"/>
      <c r="BI88" s="85"/>
      <c r="BJ88" s="85"/>
      <c r="BK88" s="85"/>
      <c r="BL88" s="85"/>
      <c r="BM88" s="85"/>
    </row>
    <row r="89" spans="7:65" s="57" customFormat="1" x14ac:dyDescent="0.25">
      <c r="G89" s="417"/>
      <c r="H89" s="417"/>
      <c r="I89" s="417"/>
      <c r="J89" s="417"/>
      <c r="K89" s="417"/>
      <c r="L89" s="417"/>
      <c r="M89" s="417"/>
      <c r="N89" s="417"/>
      <c r="O89" s="85"/>
      <c r="P89" s="417"/>
      <c r="Q89" s="417"/>
      <c r="R89" s="417"/>
      <c r="S89" s="417"/>
      <c r="T89" s="85"/>
      <c r="U89" s="417"/>
      <c r="V89" s="417"/>
      <c r="W89" s="417"/>
      <c r="X89" s="417"/>
      <c r="Y89" s="85"/>
      <c r="Z89" s="417"/>
      <c r="AA89" s="417"/>
      <c r="AB89" s="417"/>
      <c r="AC89" s="417"/>
      <c r="AD89" s="85"/>
      <c r="AE89" s="417"/>
      <c r="AF89" s="417"/>
      <c r="AG89" s="417"/>
      <c r="AH89" s="417"/>
      <c r="AI89" s="85"/>
      <c r="AJ89" s="417"/>
      <c r="AK89" s="417"/>
      <c r="AL89" s="417"/>
      <c r="AM89" s="417"/>
      <c r="AN89" s="85"/>
      <c r="AO89" s="417"/>
      <c r="AP89" s="417"/>
      <c r="AQ89" s="417"/>
      <c r="AR89" s="417"/>
      <c r="AS89" s="85"/>
      <c r="AT89" s="85"/>
      <c r="AU89" s="85"/>
      <c r="AV89" s="85"/>
      <c r="AW89" s="85"/>
      <c r="AX89" s="85"/>
      <c r="AY89" s="85"/>
      <c r="AZ89" s="85"/>
      <c r="BA89" s="85"/>
      <c r="BB89" s="85"/>
      <c r="BC89" s="85"/>
      <c r="BD89" s="85"/>
      <c r="BE89" s="85"/>
      <c r="BF89" s="85"/>
      <c r="BG89" s="85"/>
      <c r="BH89" s="85"/>
      <c r="BI89" s="85"/>
      <c r="BJ89" s="85"/>
      <c r="BK89" s="85"/>
      <c r="BL89" s="85"/>
      <c r="BM89" s="85"/>
    </row>
    <row r="90" spans="7:65" s="57" customFormat="1" x14ac:dyDescent="0.25">
      <c r="G90" s="417"/>
      <c r="H90" s="417"/>
      <c r="I90" s="417"/>
      <c r="J90" s="417"/>
      <c r="K90" s="417"/>
      <c r="L90" s="417"/>
      <c r="M90" s="417"/>
      <c r="N90" s="417"/>
      <c r="O90" s="85"/>
      <c r="P90" s="417"/>
      <c r="Q90" s="417"/>
      <c r="R90" s="417"/>
      <c r="S90" s="417"/>
      <c r="T90" s="85"/>
      <c r="U90" s="417"/>
      <c r="V90" s="417"/>
      <c r="W90" s="417"/>
      <c r="X90" s="417"/>
      <c r="Y90" s="85"/>
      <c r="Z90" s="417"/>
      <c r="AA90" s="417"/>
      <c r="AB90" s="417"/>
      <c r="AC90" s="417"/>
      <c r="AD90" s="85"/>
      <c r="AE90" s="417"/>
      <c r="AF90" s="417"/>
      <c r="AG90" s="417"/>
      <c r="AH90" s="417"/>
      <c r="AI90" s="85"/>
      <c r="AJ90" s="417"/>
      <c r="AK90" s="417"/>
      <c r="AL90" s="417"/>
      <c r="AM90" s="417"/>
      <c r="AN90" s="85"/>
      <c r="AO90" s="417"/>
      <c r="AP90" s="417"/>
      <c r="AQ90" s="417"/>
      <c r="AR90" s="417"/>
      <c r="AS90" s="85"/>
      <c r="AT90" s="85"/>
      <c r="AU90" s="85"/>
      <c r="AV90" s="85"/>
      <c r="AW90" s="85"/>
      <c r="AX90" s="85"/>
      <c r="AY90" s="85"/>
      <c r="AZ90" s="85"/>
      <c r="BA90" s="85"/>
      <c r="BB90" s="85"/>
      <c r="BC90" s="85"/>
      <c r="BD90" s="85"/>
      <c r="BE90" s="85"/>
      <c r="BF90" s="85"/>
      <c r="BG90" s="85"/>
      <c r="BH90" s="85"/>
      <c r="BI90" s="85"/>
      <c r="BJ90" s="85"/>
      <c r="BK90" s="85"/>
      <c r="BL90" s="85"/>
      <c r="BM90" s="85"/>
    </row>
    <row r="91" spans="7:65" s="57" customFormat="1" x14ac:dyDescent="0.25">
      <c r="G91" s="417"/>
      <c r="H91" s="417"/>
      <c r="I91" s="417"/>
      <c r="J91" s="417"/>
      <c r="K91" s="417"/>
      <c r="L91" s="417"/>
      <c r="M91" s="417"/>
      <c r="N91" s="417"/>
      <c r="O91" s="85"/>
      <c r="P91" s="417"/>
      <c r="Q91" s="417"/>
      <c r="R91" s="417"/>
      <c r="S91" s="417"/>
      <c r="T91" s="85"/>
      <c r="U91" s="417"/>
      <c r="V91" s="417"/>
      <c r="W91" s="417"/>
      <c r="X91" s="417"/>
      <c r="Y91" s="85"/>
      <c r="Z91" s="417"/>
      <c r="AA91" s="417"/>
      <c r="AB91" s="417"/>
      <c r="AC91" s="417"/>
      <c r="AD91" s="85"/>
      <c r="AE91" s="417"/>
      <c r="AF91" s="417"/>
      <c r="AG91" s="417"/>
      <c r="AH91" s="417"/>
      <c r="AI91" s="85"/>
      <c r="AJ91" s="417"/>
      <c r="AK91" s="417"/>
      <c r="AL91" s="417"/>
      <c r="AM91" s="417"/>
      <c r="AN91" s="85"/>
      <c r="AO91" s="417"/>
      <c r="AP91" s="417"/>
      <c r="AQ91" s="417"/>
      <c r="AR91" s="417"/>
      <c r="AS91" s="85"/>
      <c r="AT91" s="85"/>
      <c r="AU91" s="85"/>
      <c r="AV91" s="85"/>
      <c r="AW91" s="85"/>
      <c r="AX91" s="85"/>
      <c r="AY91" s="85"/>
      <c r="AZ91" s="85"/>
      <c r="BA91" s="85"/>
      <c r="BB91" s="85"/>
      <c r="BC91" s="85"/>
      <c r="BD91" s="85"/>
      <c r="BE91" s="85"/>
      <c r="BF91" s="85"/>
      <c r="BG91" s="85"/>
      <c r="BH91" s="85"/>
      <c r="BI91" s="85"/>
      <c r="BJ91" s="85"/>
      <c r="BK91" s="85"/>
      <c r="BL91" s="85"/>
      <c r="BM91" s="85"/>
    </row>
    <row r="92" spans="7:65" s="57" customFormat="1" x14ac:dyDescent="0.25">
      <c r="G92" s="417"/>
      <c r="H92" s="417"/>
      <c r="I92" s="417"/>
      <c r="J92" s="417"/>
      <c r="K92" s="417"/>
      <c r="L92" s="417"/>
      <c r="M92" s="417"/>
      <c r="N92" s="417"/>
      <c r="O92" s="85"/>
      <c r="P92" s="417"/>
      <c r="Q92" s="417"/>
      <c r="R92" s="417"/>
      <c r="S92" s="417"/>
      <c r="T92" s="85"/>
      <c r="U92" s="417"/>
      <c r="V92" s="417"/>
      <c r="W92" s="417"/>
      <c r="X92" s="417"/>
      <c r="Y92" s="85"/>
      <c r="Z92" s="417"/>
      <c r="AA92" s="417"/>
      <c r="AB92" s="417"/>
      <c r="AC92" s="417"/>
      <c r="AD92" s="85"/>
      <c r="AE92" s="417"/>
      <c r="AF92" s="417"/>
      <c r="AG92" s="417"/>
      <c r="AH92" s="417"/>
      <c r="AI92" s="85"/>
      <c r="AJ92" s="417"/>
      <c r="AK92" s="417"/>
      <c r="AL92" s="417"/>
      <c r="AM92" s="417"/>
      <c r="AN92" s="85"/>
      <c r="AO92" s="417"/>
      <c r="AP92" s="417"/>
      <c r="AQ92" s="417"/>
      <c r="AR92" s="417"/>
      <c r="AS92" s="85"/>
      <c r="AT92" s="85"/>
      <c r="AU92" s="85"/>
      <c r="AV92" s="85"/>
      <c r="AW92" s="85"/>
      <c r="AX92" s="85"/>
      <c r="AY92" s="85"/>
      <c r="AZ92" s="85"/>
      <c r="BA92" s="85"/>
      <c r="BB92" s="85"/>
      <c r="BC92" s="85"/>
      <c r="BD92" s="85"/>
      <c r="BE92" s="85"/>
      <c r="BF92" s="85"/>
      <c r="BG92" s="85"/>
      <c r="BH92" s="85"/>
      <c r="BI92" s="85"/>
      <c r="BJ92" s="85"/>
      <c r="BK92" s="85"/>
      <c r="BL92" s="85"/>
      <c r="BM92" s="85"/>
    </row>
    <row r="93" spans="7:65" s="57" customFormat="1" x14ac:dyDescent="0.25">
      <c r="G93" s="417"/>
      <c r="H93" s="417"/>
      <c r="I93" s="417"/>
      <c r="J93" s="417"/>
      <c r="K93" s="417"/>
      <c r="L93" s="417"/>
      <c r="M93" s="417"/>
      <c r="N93" s="417"/>
      <c r="O93" s="85"/>
      <c r="P93" s="417"/>
      <c r="Q93" s="417"/>
      <c r="R93" s="417"/>
      <c r="S93" s="417"/>
      <c r="T93" s="85"/>
      <c r="U93" s="417"/>
      <c r="V93" s="417"/>
      <c r="W93" s="417"/>
      <c r="X93" s="417"/>
      <c r="Y93" s="85"/>
      <c r="Z93" s="417"/>
      <c r="AA93" s="417"/>
      <c r="AB93" s="417"/>
      <c r="AC93" s="417"/>
      <c r="AD93" s="85"/>
      <c r="AE93" s="417"/>
      <c r="AF93" s="417"/>
      <c r="AG93" s="417"/>
      <c r="AH93" s="417"/>
      <c r="AI93" s="85"/>
      <c r="AJ93" s="417"/>
      <c r="AK93" s="417"/>
      <c r="AL93" s="417"/>
      <c r="AM93" s="417"/>
      <c r="AN93" s="85"/>
      <c r="AO93" s="417"/>
      <c r="AP93" s="417"/>
      <c r="AQ93" s="417"/>
      <c r="AR93" s="417"/>
      <c r="AS93" s="85"/>
      <c r="AT93" s="85"/>
      <c r="AU93" s="85"/>
      <c r="AV93" s="85"/>
      <c r="AW93" s="85"/>
      <c r="AX93" s="85"/>
      <c r="AY93" s="85"/>
      <c r="AZ93" s="85"/>
      <c r="BA93" s="85"/>
      <c r="BB93" s="85"/>
      <c r="BC93" s="85"/>
      <c r="BD93" s="85"/>
      <c r="BE93" s="85"/>
      <c r="BF93" s="85"/>
      <c r="BG93" s="85"/>
      <c r="BH93" s="85"/>
      <c r="BI93" s="85"/>
      <c r="BJ93" s="85"/>
      <c r="BK93" s="85"/>
      <c r="BL93" s="85"/>
      <c r="BM93" s="85"/>
    </row>
    <row r="94" spans="7:65" s="57" customFormat="1" x14ac:dyDescent="0.25">
      <c r="G94" s="417"/>
      <c r="H94" s="417"/>
      <c r="I94" s="417"/>
      <c r="J94" s="417"/>
      <c r="K94" s="417"/>
      <c r="L94" s="417"/>
      <c r="M94" s="417"/>
      <c r="N94" s="417"/>
      <c r="O94" s="85"/>
      <c r="P94" s="417"/>
      <c r="Q94" s="417"/>
      <c r="R94" s="417"/>
      <c r="S94" s="417"/>
      <c r="T94" s="85"/>
      <c r="U94" s="417"/>
      <c r="V94" s="417"/>
      <c r="W94" s="417"/>
      <c r="X94" s="417"/>
      <c r="Y94" s="85"/>
      <c r="Z94" s="417"/>
      <c r="AA94" s="417"/>
      <c r="AB94" s="417"/>
      <c r="AC94" s="417"/>
      <c r="AD94" s="85"/>
      <c r="AE94" s="417"/>
      <c r="AF94" s="417"/>
      <c r="AG94" s="417"/>
      <c r="AH94" s="417"/>
      <c r="AI94" s="85"/>
      <c r="AJ94" s="417"/>
      <c r="AK94" s="417"/>
      <c r="AL94" s="417"/>
      <c r="AM94" s="417"/>
      <c r="AN94" s="85"/>
      <c r="AO94" s="417"/>
      <c r="AP94" s="417"/>
      <c r="AQ94" s="417"/>
      <c r="AR94" s="417"/>
      <c r="AS94" s="85"/>
      <c r="AT94" s="85"/>
      <c r="AU94" s="85"/>
      <c r="AV94" s="85"/>
      <c r="AW94" s="85"/>
      <c r="AX94" s="85"/>
      <c r="AY94" s="85"/>
      <c r="AZ94" s="85"/>
      <c r="BA94" s="85"/>
      <c r="BB94" s="85"/>
      <c r="BC94" s="85"/>
      <c r="BD94" s="85"/>
      <c r="BE94" s="85"/>
      <c r="BF94" s="85"/>
      <c r="BG94" s="85"/>
      <c r="BH94" s="85"/>
      <c r="BI94" s="85"/>
      <c r="BJ94" s="85"/>
      <c r="BK94" s="85"/>
      <c r="BL94" s="85"/>
      <c r="BM94" s="85"/>
    </row>
    <row r="95" spans="7:65" s="57" customFormat="1" x14ac:dyDescent="0.25">
      <c r="G95" s="417"/>
      <c r="H95" s="417"/>
      <c r="I95" s="417"/>
      <c r="J95" s="417"/>
      <c r="K95" s="417"/>
      <c r="L95" s="417"/>
      <c r="M95" s="417"/>
      <c r="N95" s="417"/>
      <c r="O95" s="85"/>
      <c r="P95" s="417"/>
      <c r="Q95" s="417"/>
      <c r="R95" s="417"/>
      <c r="S95" s="417"/>
      <c r="T95" s="85"/>
      <c r="U95" s="417"/>
      <c r="V95" s="417"/>
      <c r="W95" s="417"/>
      <c r="X95" s="417"/>
      <c r="Y95" s="85"/>
      <c r="Z95" s="417"/>
      <c r="AA95" s="417"/>
      <c r="AB95" s="417"/>
      <c r="AC95" s="417"/>
      <c r="AD95" s="85"/>
      <c r="AE95" s="417"/>
      <c r="AF95" s="417"/>
      <c r="AG95" s="417"/>
      <c r="AH95" s="417"/>
      <c r="AI95" s="85"/>
      <c r="AJ95" s="417"/>
      <c r="AK95" s="417"/>
      <c r="AL95" s="417"/>
      <c r="AM95" s="417"/>
      <c r="AN95" s="85"/>
      <c r="AO95" s="417"/>
      <c r="AP95" s="417"/>
      <c r="AQ95" s="417"/>
      <c r="AR95" s="417"/>
      <c r="AS95" s="85"/>
      <c r="AT95" s="85"/>
      <c r="AU95" s="85"/>
      <c r="AV95" s="85"/>
      <c r="AW95" s="85"/>
      <c r="AX95" s="85"/>
      <c r="AY95" s="85"/>
      <c r="AZ95" s="85"/>
      <c r="BA95" s="85"/>
      <c r="BB95" s="85"/>
      <c r="BC95" s="85"/>
      <c r="BD95" s="85"/>
      <c r="BE95" s="85"/>
      <c r="BF95" s="85"/>
      <c r="BG95" s="85"/>
      <c r="BH95" s="85"/>
      <c r="BI95" s="85"/>
      <c r="BJ95" s="85"/>
      <c r="BK95" s="85"/>
      <c r="BL95" s="85"/>
      <c r="BM95" s="85"/>
    </row>
    <row r="96" spans="7:65" s="57" customFormat="1" x14ac:dyDescent="0.25">
      <c r="G96" s="417"/>
      <c r="H96" s="417"/>
      <c r="I96" s="417"/>
      <c r="J96" s="417"/>
      <c r="K96" s="417"/>
      <c r="L96" s="417"/>
      <c r="M96" s="417"/>
      <c r="N96" s="417"/>
      <c r="O96" s="85"/>
      <c r="P96" s="417"/>
      <c r="Q96" s="417"/>
      <c r="R96" s="417"/>
      <c r="S96" s="417"/>
      <c r="T96" s="85"/>
      <c r="U96" s="417"/>
      <c r="V96" s="417"/>
      <c r="W96" s="417"/>
      <c r="X96" s="417"/>
      <c r="Y96" s="85"/>
      <c r="Z96" s="417"/>
      <c r="AA96" s="417"/>
      <c r="AB96" s="417"/>
      <c r="AC96" s="417"/>
      <c r="AD96" s="85"/>
      <c r="AE96" s="417"/>
      <c r="AF96" s="417"/>
      <c r="AG96" s="417"/>
      <c r="AH96" s="417"/>
      <c r="AI96" s="85"/>
      <c r="AJ96" s="417"/>
      <c r="AK96" s="417"/>
      <c r="AL96" s="417"/>
      <c r="AM96" s="417"/>
      <c r="AN96" s="85"/>
      <c r="AO96" s="417"/>
      <c r="AP96" s="417"/>
      <c r="AQ96" s="417"/>
      <c r="AR96" s="417"/>
      <c r="AS96" s="85"/>
      <c r="AT96" s="85"/>
      <c r="AU96" s="85"/>
      <c r="AV96" s="85"/>
      <c r="AW96" s="85"/>
      <c r="AX96" s="85"/>
      <c r="AY96" s="85"/>
      <c r="AZ96" s="85"/>
      <c r="BA96" s="85"/>
      <c r="BB96" s="85"/>
      <c r="BC96" s="85"/>
      <c r="BD96" s="85"/>
      <c r="BE96" s="85"/>
      <c r="BF96" s="85"/>
      <c r="BG96" s="85"/>
      <c r="BH96" s="85"/>
      <c r="BI96" s="85"/>
      <c r="BJ96" s="85"/>
      <c r="BK96" s="85"/>
      <c r="BL96" s="85"/>
      <c r="BM96" s="85"/>
    </row>
    <row r="97" spans="7:65" s="57" customFormat="1" x14ac:dyDescent="0.25">
      <c r="G97" s="417"/>
      <c r="H97" s="417"/>
      <c r="I97" s="417"/>
      <c r="J97" s="417"/>
      <c r="K97" s="417"/>
      <c r="L97" s="417"/>
      <c r="M97" s="417"/>
      <c r="N97" s="417"/>
      <c r="O97" s="85"/>
      <c r="P97" s="417"/>
      <c r="Q97" s="417"/>
      <c r="R97" s="417"/>
      <c r="S97" s="417"/>
      <c r="T97" s="85"/>
      <c r="U97" s="417"/>
      <c r="V97" s="417"/>
      <c r="W97" s="417"/>
      <c r="X97" s="417"/>
      <c r="Y97" s="85"/>
      <c r="Z97" s="417"/>
      <c r="AA97" s="417"/>
      <c r="AB97" s="417"/>
      <c r="AC97" s="417"/>
      <c r="AD97" s="85"/>
      <c r="AE97" s="417"/>
      <c r="AF97" s="417"/>
      <c r="AG97" s="417"/>
      <c r="AH97" s="417"/>
      <c r="AI97" s="85"/>
      <c r="AJ97" s="417"/>
      <c r="AK97" s="417"/>
      <c r="AL97" s="417"/>
      <c r="AM97" s="417"/>
      <c r="AN97" s="85"/>
      <c r="AO97" s="417"/>
      <c r="AP97" s="417"/>
      <c r="AQ97" s="417"/>
      <c r="AR97" s="417"/>
      <c r="AS97" s="85"/>
      <c r="AT97" s="85"/>
      <c r="AU97" s="85"/>
      <c r="AV97" s="85"/>
      <c r="AW97" s="85"/>
      <c r="AX97" s="85"/>
      <c r="AY97" s="85"/>
      <c r="AZ97" s="85"/>
      <c r="BA97" s="85"/>
      <c r="BB97" s="85"/>
      <c r="BC97" s="85"/>
      <c r="BD97" s="85"/>
      <c r="BE97" s="85"/>
      <c r="BF97" s="85"/>
      <c r="BG97" s="85"/>
      <c r="BH97" s="85"/>
      <c r="BI97" s="85"/>
      <c r="BJ97" s="85"/>
      <c r="BK97" s="85"/>
      <c r="BL97" s="85"/>
      <c r="BM97" s="85"/>
    </row>
    <row r="98" spans="7:65" s="57" customFormat="1" x14ac:dyDescent="0.25">
      <c r="G98" s="417"/>
      <c r="H98" s="417"/>
      <c r="I98" s="417"/>
      <c r="J98" s="417"/>
      <c r="K98" s="417"/>
      <c r="L98" s="417"/>
      <c r="M98" s="417"/>
      <c r="N98" s="417"/>
      <c r="O98" s="85"/>
      <c r="P98" s="417"/>
      <c r="Q98" s="417"/>
      <c r="R98" s="417"/>
      <c r="S98" s="417"/>
      <c r="T98" s="85"/>
      <c r="U98" s="417"/>
      <c r="V98" s="417"/>
      <c r="W98" s="417"/>
      <c r="X98" s="417"/>
      <c r="Y98" s="85"/>
      <c r="Z98" s="417"/>
      <c r="AA98" s="417"/>
      <c r="AB98" s="417"/>
      <c r="AC98" s="417"/>
      <c r="AD98" s="85"/>
      <c r="AE98" s="417"/>
      <c r="AF98" s="417"/>
      <c r="AG98" s="417"/>
      <c r="AH98" s="417"/>
      <c r="AI98" s="85"/>
      <c r="AJ98" s="417"/>
      <c r="AK98" s="417"/>
      <c r="AL98" s="417"/>
      <c r="AM98" s="417"/>
      <c r="AN98" s="85"/>
      <c r="AO98" s="417"/>
      <c r="AP98" s="417"/>
      <c r="AQ98" s="417"/>
      <c r="AR98" s="417"/>
      <c r="AS98" s="85"/>
      <c r="AT98" s="85"/>
      <c r="AU98" s="85"/>
      <c r="AV98" s="85"/>
      <c r="AW98" s="85"/>
      <c r="AX98" s="85"/>
      <c r="AY98" s="85"/>
      <c r="AZ98" s="85"/>
      <c r="BA98" s="85"/>
      <c r="BB98" s="85"/>
      <c r="BC98" s="85"/>
      <c r="BD98" s="85"/>
      <c r="BE98" s="85"/>
      <c r="BF98" s="85"/>
      <c r="BG98" s="85"/>
      <c r="BH98" s="85"/>
      <c r="BI98" s="85"/>
      <c r="BJ98" s="85"/>
      <c r="BK98" s="85"/>
      <c r="BL98" s="85"/>
      <c r="BM98" s="85"/>
    </row>
    <row r="99" spans="7:65" s="57" customFormat="1" x14ac:dyDescent="0.25">
      <c r="G99" s="417"/>
      <c r="H99" s="417"/>
      <c r="I99" s="417"/>
      <c r="J99" s="417"/>
      <c r="K99" s="417"/>
      <c r="L99" s="417"/>
      <c r="M99" s="417"/>
      <c r="N99" s="417"/>
      <c r="O99" s="85"/>
      <c r="P99" s="417"/>
      <c r="Q99" s="417"/>
      <c r="R99" s="417"/>
      <c r="S99" s="417"/>
      <c r="T99" s="85"/>
      <c r="U99" s="417"/>
      <c r="V99" s="417"/>
      <c r="W99" s="417"/>
      <c r="X99" s="417"/>
      <c r="Y99" s="85"/>
      <c r="Z99" s="417"/>
      <c r="AA99" s="417"/>
      <c r="AB99" s="417"/>
      <c r="AC99" s="417"/>
      <c r="AD99" s="85"/>
      <c r="AE99" s="417"/>
      <c r="AF99" s="417"/>
      <c r="AG99" s="417"/>
      <c r="AH99" s="417"/>
      <c r="AI99" s="85"/>
      <c r="AJ99" s="417"/>
      <c r="AK99" s="417"/>
      <c r="AL99" s="417"/>
      <c r="AM99" s="417"/>
      <c r="AN99" s="85"/>
      <c r="AO99" s="417"/>
      <c r="AP99" s="417"/>
      <c r="AQ99" s="417"/>
      <c r="AR99" s="417"/>
      <c r="AS99" s="85"/>
      <c r="AT99" s="85"/>
      <c r="AU99" s="85"/>
      <c r="AV99" s="85"/>
      <c r="AW99" s="85"/>
      <c r="AX99" s="85"/>
      <c r="AY99" s="85"/>
      <c r="AZ99" s="85"/>
      <c r="BA99" s="85"/>
      <c r="BB99" s="85"/>
      <c r="BC99" s="85"/>
      <c r="BD99" s="85"/>
      <c r="BE99" s="85"/>
      <c r="BF99" s="85"/>
      <c r="BG99" s="85"/>
      <c r="BH99" s="85"/>
      <c r="BI99" s="85"/>
      <c r="BJ99" s="85"/>
      <c r="BK99" s="85"/>
      <c r="BL99" s="85"/>
      <c r="BM99" s="85"/>
    </row>
    <row r="100" spans="7:65" s="57" customFormat="1" x14ac:dyDescent="0.25">
      <c r="G100" s="417"/>
      <c r="H100" s="417"/>
      <c r="I100" s="417"/>
      <c r="J100" s="417"/>
      <c r="K100" s="417"/>
      <c r="L100" s="417"/>
      <c r="M100" s="417"/>
      <c r="N100" s="417"/>
      <c r="O100" s="85"/>
      <c r="P100" s="417"/>
      <c r="Q100" s="417"/>
      <c r="R100" s="417"/>
      <c r="S100" s="417"/>
      <c r="T100" s="85"/>
      <c r="U100" s="417"/>
      <c r="V100" s="417"/>
      <c r="W100" s="417"/>
      <c r="X100" s="417"/>
      <c r="Y100" s="85"/>
      <c r="Z100" s="417"/>
      <c r="AA100" s="417"/>
      <c r="AB100" s="417"/>
      <c r="AC100" s="417"/>
      <c r="AD100" s="85"/>
      <c r="AE100" s="417"/>
      <c r="AF100" s="417"/>
      <c r="AG100" s="417"/>
      <c r="AH100" s="417"/>
      <c r="AI100" s="85"/>
      <c r="AJ100" s="417"/>
      <c r="AK100" s="417"/>
      <c r="AL100" s="417"/>
      <c r="AM100" s="417"/>
      <c r="AN100" s="85"/>
      <c r="AO100" s="417"/>
      <c r="AP100" s="417"/>
      <c r="AQ100" s="417"/>
      <c r="AR100" s="417"/>
      <c r="AS100" s="85"/>
      <c r="AT100" s="85"/>
      <c r="AU100" s="85"/>
      <c r="AV100" s="85"/>
      <c r="AW100" s="85"/>
      <c r="AX100" s="85"/>
      <c r="AY100" s="85"/>
      <c r="AZ100" s="85"/>
      <c r="BA100" s="85"/>
      <c r="BB100" s="85"/>
      <c r="BC100" s="85"/>
      <c r="BD100" s="85"/>
      <c r="BE100" s="85"/>
      <c r="BF100" s="85"/>
      <c r="BG100" s="85"/>
      <c r="BH100" s="85"/>
      <c r="BI100" s="85"/>
      <c r="BJ100" s="85"/>
      <c r="BK100" s="85"/>
      <c r="BL100" s="85"/>
      <c r="BM100" s="85"/>
    </row>
    <row r="101" spans="7:65" s="57" customFormat="1" x14ac:dyDescent="0.25">
      <c r="G101" s="417"/>
      <c r="H101" s="417"/>
      <c r="I101" s="417"/>
      <c r="J101" s="417"/>
      <c r="K101" s="417"/>
      <c r="L101" s="417"/>
      <c r="M101" s="417"/>
      <c r="N101" s="417"/>
      <c r="O101" s="85"/>
      <c r="P101" s="417"/>
      <c r="Q101" s="417"/>
      <c r="R101" s="417"/>
      <c r="S101" s="417"/>
      <c r="T101" s="85"/>
      <c r="U101" s="417"/>
      <c r="V101" s="417"/>
      <c r="W101" s="417"/>
      <c r="X101" s="417"/>
      <c r="Y101" s="85"/>
      <c r="Z101" s="417"/>
      <c r="AA101" s="417"/>
      <c r="AB101" s="417"/>
      <c r="AC101" s="417"/>
      <c r="AD101" s="85"/>
      <c r="AE101" s="417"/>
      <c r="AF101" s="417"/>
      <c r="AG101" s="417"/>
      <c r="AH101" s="417"/>
      <c r="AI101" s="85"/>
      <c r="AJ101" s="417"/>
      <c r="AK101" s="417"/>
      <c r="AL101" s="417"/>
      <c r="AM101" s="417"/>
      <c r="AN101" s="85"/>
      <c r="AO101" s="417"/>
      <c r="AP101" s="417"/>
      <c r="AQ101" s="417"/>
      <c r="AR101" s="417"/>
      <c r="AS101" s="85"/>
      <c r="AT101" s="85"/>
      <c r="AU101" s="85"/>
      <c r="AV101" s="85"/>
      <c r="AW101" s="85"/>
      <c r="AX101" s="85"/>
      <c r="AY101" s="85"/>
      <c r="AZ101" s="85"/>
      <c r="BA101" s="85"/>
      <c r="BB101" s="85"/>
      <c r="BC101" s="85"/>
      <c r="BD101" s="85"/>
      <c r="BE101" s="85"/>
      <c r="BF101" s="85"/>
      <c r="BG101" s="85"/>
      <c r="BH101" s="85"/>
      <c r="BI101" s="85"/>
      <c r="BJ101" s="85"/>
      <c r="BK101" s="85"/>
      <c r="BL101" s="85"/>
      <c r="BM101" s="85"/>
    </row>
    <row r="102" spans="7:65" s="57" customFormat="1" x14ac:dyDescent="0.25">
      <c r="G102" s="417"/>
      <c r="H102" s="417"/>
      <c r="I102" s="417"/>
      <c r="J102" s="417"/>
      <c r="K102" s="417"/>
      <c r="L102" s="417"/>
      <c r="M102" s="417"/>
      <c r="N102" s="417"/>
      <c r="O102" s="85"/>
      <c r="P102" s="417"/>
      <c r="Q102" s="417"/>
      <c r="R102" s="417"/>
      <c r="S102" s="417"/>
      <c r="T102" s="85"/>
      <c r="U102" s="417"/>
      <c r="V102" s="417"/>
      <c r="W102" s="417"/>
      <c r="X102" s="417"/>
      <c r="Y102" s="85"/>
      <c r="Z102" s="417"/>
      <c r="AA102" s="417"/>
      <c r="AB102" s="417"/>
      <c r="AC102" s="417"/>
      <c r="AD102" s="85"/>
      <c r="AE102" s="417"/>
      <c r="AF102" s="417"/>
      <c r="AG102" s="417"/>
      <c r="AH102" s="417"/>
      <c r="AI102" s="85"/>
      <c r="AJ102" s="417"/>
      <c r="AK102" s="417"/>
      <c r="AL102" s="417"/>
      <c r="AM102" s="417"/>
      <c r="AN102" s="85"/>
      <c r="AO102" s="417"/>
      <c r="AP102" s="417"/>
      <c r="AQ102" s="417"/>
      <c r="AR102" s="417"/>
      <c r="AS102" s="85"/>
      <c r="AT102" s="85"/>
      <c r="AU102" s="85"/>
      <c r="AV102" s="85"/>
      <c r="AW102" s="85"/>
      <c r="AX102" s="85"/>
      <c r="AY102" s="85"/>
      <c r="AZ102" s="85"/>
      <c r="BA102" s="85"/>
      <c r="BB102" s="85"/>
      <c r="BC102" s="85"/>
      <c r="BD102" s="85"/>
      <c r="BE102" s="85"/>
      <c r="BF102" s="85"/>
      <c r="BG102" s="85"/>
      <c r="BH102" s="85"/>
      <c r="BI102" s="85"/>
      <c r="BJ102" s="85"/>
      <c r="BK102" s="85"/>
      <c r="BL102" s="85"/>
      <c r="BM102" s="85"/>
    </row>
    <row r="103" spans="7:65" s="57" customFormat="1" x14ac:dyDescent="0.25">
      <c r="G103" s="417"/>
      <c r="H103" s="417"/>
      <c r="I103" s="417"/>
      <c r="J103" s="417"/>
      <c r="K103" s="417"/>
      <c r="L103" s="417"/>
      <c r="M103" s="417"/>
      <c r="N103" s="417"/>
      <c r="O103" s="85"/>
      <c r="P103" s="417"/>
      <c r="Q103" s="417"/>
      <c r="R103" s="417"/>
      <c r="S103" s="417"/>
      <c r="T103" s="85"/>
      <c r="U103" s="417"/>
      <c r="V103" s="417"/>
      <c r="W103" s="417"/>
      <c r="X103" s="417"/>
      <c r="Y103" s="85"/>
      <c r="Z103" s="417"/>
      <c r="AA103" s="417"/>
      <c r="AB103" s="417"/>
      <c r="AC103" s="417"/>
      <c r="AD103" s="85"/>
      <c r="AE103" s="417"/>
      <c r="AF103" s="417"/>
      <c r="AG103" s="417"/>
      <c r="AH103" s="417"/>
      <c r="AI103" s="85"/>
      <c r="AJ103" s="417"/>
      <c r="AK103" s="417"/>
      <c r="AL103" s="417"/>
      <c r="AM103" s="417"/>
      <c r="AN103" s="85"/>
      <c r="AO103" s="417"/>
      <c r="AP103" s="417"/>
      <c r="AQ103" s="417"/>
      <c r="AR103" s="417"/>
      <c r="AS103" s="85"/>
      <c r="AT103" s="85"/>
      <c r="AU103" s="85"/>
      <c r="AV103" s="85"/>
      <c r="AW103" s="85"/>
      <c r="AX103" s="85"/>
      <c r="AY103" s="85"/>
      <c r="AZ103" s="85"/>
      <c r="BA103" s="85"/>
      <c r="BB103" s="85"/>
      <c r="BC103" s="85"/>
      <c r="BD103" s="85"/>
      <c r="BE103" s="85"/>
      <c r="BF103" s="85"/>
      <c r="BG103" s="85"/>
      <c r="BH103" s="85"/>
      <c r="BI103" s="85"/>
      <c r="BJ103" s="85"/>
      <c r="BK103" s="85"/>
      <c r="BL103" s="85"/>
      <c r="BM103" s="85"/>
    </row>
    <row r="104" spans="7:65" s="57" customFormat="1" x14ac:dyDescent="0.25">
      <c r="G104" s="417"/>
      <c r="H104" s="417"/>
      <c r="I104" s="417"/>
      <c r="J104" s="417"/>
      <c r="K104" s="417"/>
      <c r="L104" s="417"/>
      <c r="M104" s="417"/>
      <c r="N104" s="417"/>
      <c r="O104" s="85"/>
      <c r="P104" s="417"/>
      <c r="Q104" s="417"/>
      <c r="R104" s="417"/>
      <c r="S104" s="417"/>
      <c r="T104" s="85"/>
      <c r="U104" s="417"/>
      <c r="V104" s="417"/>
      <c r="W104" s="417"/>
      <c r="X104" s="417"/>
      <c r="Y104" s="85"/>
      <c r="Z104" s="417"/>
      <c r="AA104" s="417"/>
      <c r="AB104" s="417"/>
      <c r="AC104" s="417"/>
      <c r="AD104" s="85"/>
      <c r="AE104" s="417"/>
      <c r="AF104" s="417"/>
      <c r="AG104" s="417"/>
      <c r="AH104" s="417"/>
      <c r="AI104" s="85"/>
      <c r="AJ104" s="417"/>
      <c r="AK104" s="417"/>
      <c r="AL104" s="417"/>
      <c r="AM104" s="417"/>
      <c r="AN104" s="85"/>
      <c r="AO104" s="417"/>
      <c r="AP104" s="417"/>
      <c r="AQ104" s="417"/>
      <c r="AR104" s="417"/>
      <c r="AS104" s="85"/>
      <c r="AT104" s="85"/>
      <c r="AU104" s="85"/>
      <c r="AV104" s="85"/>
      <c r="AW104" s="85"/>
      <c r="AX104" s="85"/>
      <c r="AY104" s="85"/>
      <c r="AZ104" s="85"/>
      <c r="BA104" s="85"/>
      <c r="BB104" s="85"/>
      <c r="BC104" s="85"/>
      <c r="BD104" s="85"/>
      <c r="BE104" s="85"/>
      <c r="BF104" s="85"/>
      <c r="BG104" s="85"/>
      <c r="BH104" s="85"/>
      <c r="BI104" s="85"/>
      <c r="BJ104" s="85"/>
      <c r="BK104" s="85"/>
      <c r="BL104" s="85"/>
      <c r="BM104" s="85"/>
    </row>
    <row r="105" spans="7:65" s="57" customFormat="1" x14ac:dyDescent="0.25">
      <c r="G105" s="417"/>
      <c r="H105" s="417"/>
      <c r="I105" s="417"/>
      <c r="J105" s="417"/>
      <c r="K105" s="417"/>
      <c r="L105" s="417"/>
      <c r="M105" s="417"/>
      <c r="N105" s="417"/>
      <c r="O105" s="85"/>
      <c r="P105" s="417"/>
      <c r="Q105" s="417"/>
      <c r="R105" s="417"/>
      <c r="S105" s="417"/>
      <c r="T105" s="85"/>
      <c r="U105" s="417"/>
      <c r="V105" s="417"/>
      <c r="W105" s="417"/>
      <c r="X105" s="417"/>
      <c r="Y105" s="85"/>
      <c r="Z105" s="417"/>
      <c r="AA105" s="417"/>
      <c r="AB105" s="417"/>
      <c r="AC105" s="417"/>
      <c r="AD105" s="85"/>
      <c r="AE105" s="417"/>
      <c r="AF105" s="417"/>
      <c r="AG105" s="417"/>
      <c r="AH105" s="417"/>
      <c r="AI105" s="85"/>
      <c r="AJ105" s="417"/>
      <c r="AK105" s="417"/>
      <c r="AL105" s="417"/>
      <c r="AM105" s="417"/>
      <c r="AN105" s="85"/>
      <c r="AO105" s="417"/>
      <c r="AP105" s="417"/>
      <c r="AQ105" s="417"/>
      <c r="AR105" s="417"/>
      <c r="AS105" s="85"/>
      <c r="AT105" s="85"/>
      <c r="AU105" s="85"/>
      <c r="AV105" s="85"/>
      <c r="AW105" s="85"/>
      <c r="AX105" s="85"/>
      <c r="AY105" s="85"/>
      <c r="AZ105" s="85"/>
      <c r="BA105" s="85"/>
      <c r="BB105" s="85"/>
      <c r="BC105" s="85"/>
      <c r="BD105" s="85"/>
      <c r="BE105" s="85"/>
      <c r="BF105" s="85"/>
      <c r="BG105" s="85"/>
      <c r="BH105" s="85"/>
      <c r="BI105" s="85"/>
      <c r="BJ105" s="85"/>
      <c r="BK105" s="85"/>
      <c r="BL105" s="85"/>
      <c r="BM105" s="85"/>
    </row>
    <row r="106" spans="7:65" s="57" customFormat="1" x14ac:dyDescent="0.25">
      <c r="G106" s="417"/>
      <c r="H106" s="417"/>
      <c r="I106" s="417"/>
      <c r="J106" s="417"/>
      <c r="K106" s="417"/>
      <c r="L106" s="417"/>
      <c r="M106" s="417"/>
      <c r="N106" s="417"/>
      <c r="O106" s="85"/>
      <c r="P106" s="417"/>
      <c r="Q106" s="417"/>
      <c r="R106" s="417"/>
      <c r="S106" s="417"/>
      <c r="T106" s="85"/>
      <c r="U106" s="417"/>
      <c r="V106" s="417"/>
      <c r="W106" s="417"/>
      <c r="X106" s="417"/>
      <c r="Y106" s="85"/>
      <c r="Z106" s="417"/>
      <c r="AA106" s="417"/>
      <c r="AB106" s="417"/>
      <c r="AC106" s="417"/>
      <c r="AD106" s="85"/>
      <c r="AE106" s="417"/>
      <c r="AF106" s="417"/>
      <c r="AG106" s="417"/>
      <c r="AH106" s="417"/>
      <c r="AI106" s="85"/>
      <c r="AJ106" s="417"/>
      <c r="AK106" s="417"/>
      <c r="AL106" s="417"/>
      <c r="AM106" s="417"/>
      <c r="AN106" s="85"/>
      <c r="AO106" s="417"/>
      <c r="AP106" s="417"/>
      <c r="AQ106" s="417"/>
      <c r="AR106" s="417"/>
      <c r="AS106" s="85"/>
      <c r="AT106" s="85"/>
      <c r="AU106" s="85"/>
      <c r="AV106" s="85"/>
      <c r="AW106" s="85"/>
      <c r="AX106" s="85"/>
      <c r="AY106" s="85"/>
      <c r="AZ106" s="85"/>
      <c r="BA106" s="85"/>
      <c r="BB106" s="85"/>
      <c r="BC106" s="85"/>
      <c r="BD106" s="85"/>
      <c r="BE106" s="85"/>
      <c r="BF106" s="85"/>
      <c r="BG106" s="85"/>
      <c r="BH106" s="85"/>
      <c r="BI106" s="85"/>
      <c r="BJ106" s="85"/>
      <c r="BK106" s="85"/>
      <c r="BL106" s="85"/>
      <c r="BM106" s="85"/>
    </row>
    <row r="107" spans="7:65" s="57" customFormat="1" x14ac:dyDescent="0.25">
      <c r="G107" s="417"/>
      <c r="H107" s="417"/>
      <c r="I107" s="417"/>
      <c r="J107" s="417"/>
      <c r="K107" s="417"/>
      <c r="L107" s="417"/>
      <c r="M107" s="417"/>
      <c r="N107" s="417"/>
      <c r="O107" s="85"/>
      <c r="P107" s="417"/>
      <c r="Q107" s="417"/>
      <c r="R107" s="417"/>
      <c r="S107" s="417"/>
      <c r="T107" s="85"/>
      <c r="U107" s="417"/>
      <c r="V107" s="417"/>
      <c r="W107" s="417"/>
      <c r="X107" s="417"/>
      <c r="Y107" s="85"/>
      <c r="Z107" s="417"/>
      <c r="AA107" s="417"/>
      <c r="AB107" s="417"/>
      <c r="AC107" s="417"/>
      <c r="AD107" s="85"/>
      <c r="AE107" s="417"/>
      <c r="AF107" s="417"/>
      <c r="AG107" s="417"/>
      <c r="AH107" s="417"/>
      <c r="AI107" s="85"/>
      <c r="AJ107" s="417"/>
      <c r="AK107" s="417"/>
      <c r="AL107" s="417"/>
      <c r="AM107" s="417"/>
      <c r="AN107" s="85"/>
      <c r="AO107" s="417"/>
      <c r="AP107" s="417"/>
      <c r="AQ107" s="417"/>
      <c r="AR107" s="417"/>
      <c r="AS107" s="85"/>
      <c r="AT107" s="85"/>
      <c r="AU107" s="85"/>
      <c r="AV107" s="85"/>
      <c r="AW107" s="85"/>
      <c r="AX107" s="85"/>
      <c r="AY107" s="85"/>
      <c r="AZ107" s="85"/>
      <c r="BA107" s="85"/>
      <c r="BB107" s="85"/>
      <c r="BC107" s="85"/>
      <c r="BD107" s="85"/>
      <c r="BE107" s="85"/>
      <c r="BF107" s="85"/>
      <c r="BG107" s="85"/>
      <c r="BH107" s="85"/>
      <c r="BI107" s="85"/>
      <c r="BJ107" s="85"/>
      <c r="BK107" s="85"/>
      <c r="BL107" s="85"/>
      <c r="BM107" s="85"/>
    </row>
    <row r="108" spans="7:65" s="57" customFormat="1" x14ac:dyDescent="0.25">
      <c r="G108" s="417"/>
      <c r="H108" s="417"/>
      <c r="I108" s="417"/>
      <c r="J108" s="417"/>
      <c r="K108" s="417"/>
      <c r="L108" s="417"/>
      <c r="M108" s="417"/>
      <c r="N108" s="417"/>
      <c r="O108" s="85"/>
      <c r="P108" s="417"/>
      <c r="Q108" s="417"/>
      <c r="R108" s="417"/>
      <c r="S108" s="417"/>
      <c r="T108" s="85"/>
      <c r="U108" s="417"/>
      <c r="V108" s="417"/>
      <c r="W108" s="417"/>
      <c r="X108" s="417"/>
      <c r="Y108" s="85"/>
      <c r="Z108" s="417"/>
      <c r="AA108" s="417"/>
      <c r="AB108" s="417"/>
      <c r="AC108" s="417"/>
      <c r="AD108" s="85"/>
      <c r="AE108" s="417"/>
      <c r="AF108" s="417"/>
      <c r="AG108" s="417"/>
      <c r="AH108" s="417"/>
      <c r="AI108" s="85"/>
      <c r="AJ108" s="417"/>
      <c r="AK108" s="417"/>
      <c r="AL108" s="417"/>
      <c r="AM108" s="417"/>
      <c r="AN108" s="85"/>
      <c r="AO108" s="417"/>
      <c r="AP108" s="417"/>
      <c r="AQ108" s="417"/>
      <c r="AR108" s="417"/>
      <c r="AS108" s="85"/>
      <c r="AT108" s="85"/>
      <c r="AU108" s="85"/>
      <c r="AV108" s="85"/>
      <c r="AW108" s="85"/>
      <c r="AX108" s="85"/>
      <c r="AY108" s="85"/>
      <c r="AZ108" s="85"/>
      <c r="BA108" s="85"/>
      <c r="BB108" s="85"/>
      <c r="BC108" s="85"/>
      <c r="BD108" s="85"/>
      <c r="BE108" s="85"/>
      <c r="BF108" s="85"/>
      <c r="BG108" s="85"/>
      <c r="BH108" s="85"/>
      <c r="BI108" s="85"/>
      <c r="BJ108" s="85"/>
      <c r="BK108" s="85"/>
      <c r="BL108" s="85"/>
      <c r="BM108" s="85"/>
    </row>
    <row r="109" spans="7:65" s="57" customFormat="1" x14ac:dyDescent="0.25">
      <c r="G109" s="417"/>
      <c r="H109" s="417"/>
      <c r="I109" s="417"/>
      <c r="J109" s="417"/>
      <c r="K109" s="417"/>
      <c r="L109" s="417"/>
      <c r="M109" s="417"/>
      <c r="N109" s="417"/>
      <c r="O109" s="85"/>
      <c r="P109" s="417"/>
      <c r="Q109" s="417"/>
      <c r="R109" s="417"/>
      <c r="S109" s="417"/>
      <c r="T109" s="85"/>
      <c r="U109" s="417"/>
      <c r="V109" s="417"/>
      <c r="W109" s="417"/>
      <c r="X109" s="417"/>
      <c r="Y109" s="85"/>
      <c r="Z109" s="417"/>
      <c r="AA109" s="417"/>
      <c r="AB109" s="417"/>
      <c r="AC109" s="417"/>
      <c r="AD109" s="85"/>
      <c r="AE109" s="417"/>
      <c r="AF109" s="417"/>
      <c r="AG109" s="417"/>
      <c r="AH109" s="417"/>
      <c r="AI109" s="85"/>
      <c r="AJ109" s="417"/>
      <c r="AK109" s="417"/>
      <c r="AL109" s="417"/>
      <c r="AM109" s="417"/>
      <c r="AN109" s="85"/>
      <c r="AO109" s="417"/>
      <c r="AP109" s="417"/>
      <c r="AQ109" s="417"/>
      <c r="AR109" s="417"/>
      <c r="AS109" s="85"/>
      <c r="AT109" s="85"/>
      <c r="AU109" s="85"/>
      <c r="AV109" s="85"/>
      <c r="AW109" s="85"/>
      <c r="AX109" s="85"/>
      <c r="AY109" s="85"/>
      <c r="AZ109" s="85"/>
      <c r="BA109" s="85"/>
      <c r="BB109" s="85"/>
      <c r="BC109" s="85"/>
      <c r="BD109" s="85"/>
      <c r="BE109" s="85"/>
      <c r="BF109" s="85"/>
      <c r="BG109" s="85"/>
      <c r="BH109" s="85"/>
      <c r="BI109" s="85"/>
      <c r="BJ109" s="85"/>
      <c r="BK109" s="85"/>
      <c r="BL109" s="85"/>
      <c r="BM109" s="85"/>
    </row>
    <row r="110" spans="7:65" s="57" customFormat="1" x14ac:dyDescent="0.25">
      <c r="G110" s="417"/>
      <c r="H110" s="417"/>
      <c r="I110" s="417"/>
      <c r="J110" s="417"/>
      <c r="K110" s="417"/>
      <c r="L110" s="417"/>
      <c r="M110" s="417"/>
      <c r="N110" s="417"/>
      <c r="O110" s="85"/>
      <c r="P110" s="417"/>
      <c r="Q110" s="417"/>
      <c r="R110" s="417"/>
      <c r="S110" s="417"/>
      <c r="T110" s="85"/>
      <c r="U110" s="417"/>
      <c r="V110" s="417"/>
      <c r="W110" s="417"/>
      <c r="X110" s="417"/>
      <c r="Y110" s="85"/>
      <c r="Z110" s="417"/>
      <c r="AA110" s="417"/>
      <c r="AB110" s="417"/>
      <c r="AC110" s="417"/>
      <c r="AD110" s="85"/>
      <c r="AE110" s="417"/>
      <c r="AF110" s="417"/>
      <c r="AG110" s="417"/>
      <c r="AH110" s="417"/>
      <c r="AI110" s="85"/>
      <c r="AJ110" s="417"/>
      <c r="AK110" s="417"/>
      <c r="AL110" s="417"/>
      <c r="AM110" s="417"/>
      <c r="AN110" s="85"/>
      <c r="AO110" s="417"/>
      <c r="AP110" s="417"/>
      <c r="AQ110" s="417"/>
      <c r="AR110" s="417"/>
      <c r="AS110" s="85"/>
      <c r="AT110" s="85"/>
      <c r="AU110" s="85"/>
      <c r="AV110" s="85"/>
      <c r="AW110" s="85"/>
      <c r="AX110" s="85"/>
      <c r="AY110" s="85"/>
      <c r="AZ110" s="85"/>
      <c r="BA110" s="85"/>
      <c r="BB110" s="85"/>
      <c r="BC110" s="85"/>
      <c r="BD110" s="85"/>
      <c r="BE110" s="85"/>
      <c r="BF110" s="85"/>
      <c r="BG110" s="85"/>
      <c r="BH110" s="85"/>
      <c r="BI110" s="85"/>
      <c r="BJ110" s="85"/>
      <c r="BK110" s="85"/>
      <c r="BL110" s="85"/>
      <c r="BM110" s="85"/>
    </row>
    <row r="111" spans="7:65" s="57" customFormat="1" x14ac:dyDescent="0.25">
      <c r="G111" s="417"/>
      <c r="H111" s="417"/>
      <c r="I111" s="417"/>
      <c r="J111" s="417"/>
      <c r="K111" s="417"/>
      <c r="L111" s="417"/>
      <c r="M111" s="417"/>
      <c r="N111" s="417"/>
      <c r="O111" s="85"/>
      <c r="P111" s="417"/>
      <c r="Q111" s="417"/>
      <c r="R111" s="417"/>
      <c r="S111" s="417"/>
      <c r="T111" s="85"/>
      <c r="U111" s="417"/>
      <c r="V111" s="417"/>
      <c r="W111" s="417"/>
      <c r="X111" s="417"/>
      <c r="Y111" s="85"/>
      <c r="Z111" s="417"/>
      <c r="AA111" s="417"/>
      <c r="AB111" s="417"/>
      <c r="AC111" s="417"/>
      <c r="AD111" s="85"/>
      <c r="AE111" s="417"/>
      <c r="AF111" s="417"/>
      <c r="AG111" s="417"/>
      <c r="AH111" s="417"/>
      <c r="AI111" s="85"/>
      <c r="AJ111" s="417"/>
      <c r="AK111" s="417"/>
      <c r="AL111" s="417"/>
      <c r="AM111" s="417"/>
      <c r="AN111" s="85"/>
      <c r="AO111" s="417"/>
      <c r="AP111" s="417"/>
      <c r="AQ111" s="417"/>
      <c r="AR111" s="417"/>
      <c r="AS111" s="85"/>
      <c r="AT111" s="85"/>
      <c r="AU111" s="85"/>
      <c r="AV111" s="85"/>
      <c r="AW111" s="85"/>
      <c r="AX111" s="85"/>
      <c r="AY111" s="85"/>
      <c r="AZ111" s="85"/>
      <c r="BA111" s="85"/>
      <c r="BB111" s="85"/>
      <c r="BC111" s="85"/>
      <c r="BD111" s="85"/>
      <c r="BE111" s="85"/>
      <c r="BF111" s="85"/>
      <c r="BG111" s="85"/>
      <c r="BH111" s="85"/>
      <c r="BI111" s="85"/>
      <c r="BJ111" s="85"/>
      <c r="BK111" s="85"/>
      <c r="BL111" s="85"/>
      <c r="BM111" s="85"/>
    </row>
    <row r="112" spans="7:65" s="57" customFormat="1" x14ac:dyDescent="0.25">
      <c r="G112" s="417"/>
      <c r="H112" s="417"/>
      <c r="I112" s="417"/>
      <c r="J112" s="417"/>
      <c r="K112" s="417"/>
      <c r="L112" s="417"/>
      <c r="M112" s="417"/>
      <c r="N112" s="417"/>
      <c r="O112" s="85"/>
      <c r="P112" s="417"/>
      <c r="Q112" s="417"/>
      <c r="R112" s="417"/>
      <c r="S112" s="417"/>
      <c r="T112" s="85"/>
      <c r="U112" s="417"/>
      <c r="V112" s="417"/>
      <c r="W112" s="417"/>
      <c r="X112" s="417"/>
      <c r="Y112" s="85"/>
      <c r="Z112" s="417"/>
      <c r="AA112" s="417"/>
      <c r="AB112" s="417"/>
      <c r="AC112" s="417"/>
      <c r="AD112" s="85"/>
      <c r="AE112" s="417"/>
      <c r="AF112" s="417"/>
      <c r="AG112" s="417"/>
      <c r="AH112" s="417"/>
      <c r="AI112" s="85"/>
      <c r="AJ112" s="417"/>
      <c r="AK112" s="417"/>
      <c r="AL112" s="417"/>
      <c r="AM112" s="417"/>
      <c r="AN112" s="85"/>
      <c r="AO112" s="417"/>
      <c r="AP112" s="417"/>
      <c r="AQ112" s="417"/>
      <c r="AR112" s="417"/>
      <c r="AS112" s="85"/>
      <c r="AT112" s="85"/>
      <c r="AU112" s="85"/>
      <c r="AV112" s="85"/>
      <c r="AW112" s="85"/>
      <c r="AX112" s="85"/>
      <c r="AY112" s="85"/>
      <c r="AZ112" s="85"/>
      <c r="BA112" s="85"/>
      <c r="BB112" s="85"/>
      <c r="BC112" s="85"/>
      <c r="BD112" s="85"/>
      <c r="BE112" s="85"/>
      <c r="BF112" s="85"/>
      <c r="BG112" s="85"/>
      <c r="BH112" s="85"/>
      <c r="BI112" s="85"/>
      <c r="BJ112" s="85"/>
      <c r="BK112" s="85"/>
      <c r="BL112" s="85"/>
      <c r="BM112" s="85"/>
    </row>
    <row r="113" spans="7:65" s="57" customFormat="1" x14ac:dyDescent="0.25">
      <c r="G113" s="417"/>
      <c r="H113" s="417"/>
      <c r="I113" s="417"/>
      <c r="J113" s="417"/>
      <c r="K113" s="417"/>
      <c r="L113" s="417"/>
      <c r="M113" s="417"/>
      <c r="N113" s="417"/>
      <c r="O113" s="85"/>
      <c r="P113" s="417"/>
      <c r="Q113" s="417"/>
      <c r="R113" s="417"/>
      <c r="S113" s="417"/>
      <c r="T113" s="85"/>
      <c r="U113" s="417"/>
      <c r="V113" s="417"/>
      <c r="W113" s="417"/>
      <c r="X113" s="417"/>
      <c r="Y113" s="85"/>
      <c r="Z113" s="417"/>
      <c r="AA113" s="417"/>
      <c r="AB113" s="417"/>
      <c r="AC113" s="417"/>
      <c r="AD113" s="85"/>
      <c r="AE113" s="417"/>
      <c r="AF113" s="417"/>
      <c r="AG113" s="417"/>
      <c r="AH113" s="417"/>
      <c r="AI113" s="85"/>
      <c r="AJ113" s="417"/>
      <c r="AK113" s="417"/>
      <c r="AL113" s="417"/>
      <c r="AM113" s="417"/>
      <c r="AN113" s="85"/>
      <c r="AO113" s="417"/>
      <c r="AP113" s="417"/>
      <c r="AQ113" s="417"/>
      <c r="AR113" s="417"/>
      <c r="AS113" s="85"/>
      <c r="AT113" s="85"/>
      <c r="AU113" s="85"/>
      <c r="AV113" s="85"/>
      <c r="AW113" s="85"/>
      <c r="AX113" s="85"/>
      <c r="AY113" s="85"/>
      <c r="AZ113" s="85"/>
      <c r="BA113" s="85"/>
      <c r="BB113" s="85"/>
      <c r="BC113" s="85"/>
      <c r="BD113" s="85"/>
      <c r="BE113" s="85"/>
      <c r="BF113" s="85"/>
      <c r="BG113" s="85"/>
      <c r="BH113" s="85"/>
      <c r="BI113" s="85"/>
      <c r="BJ113" s="85"/>
      <c r="BK113" s="85"/>
      <c r="BL113" s="85"/>
      <c r="BM113" s="85"/>
    </row>
    <row r="114" spans="7:65" s="57" customFormat="1" x14ac:dyDescent="0.25">
      <c r="G114" s="417"/>
      <c r="H114" s="417"/>
      <c r="I114" s="417"/>
      <c r="J114" s="417"/>
      <c r="K114" s="417"/>
      <c r="L114" s="417"/>
      <c r="M114" s="417"/>
      <c r="N114" s="417"/>
      <c r="O114" s="85"/>
      <c r="P114" s="417"/>
      <c r="Q114" s="417"/>
      <c r="R114" s="417"/>
      <c r="S114" s="417"/>
      <c r="T114" s="85"/>
      <c r="U114" s="417"/>
      <c r="V114" s="417"/>
      <c r="W114" s="417"/>
      <c r="X114" s="417"/>
      <c r="Y114" s="85"/>
      <c r="Z114" s="417"/>
      <c r="AA114" s="417"/>
      <c r="AB114" s="417"/>
      <c r="AC114" s="417"/>
      <c r="AD114" s="85"/>
      <c r="AE114" s="417"/>
      <c r="AF114" s="417"/>
      <c r="AG114" s="417"/>
      <c r="AH114" s="417"/>
      <c r="AI114" s="85"/>
      <c r="AJ114" s="417"/>
      <c r="AK114" s="417"/>
      <c r="AL114" s="417"/>
      <c r="AM114" s="417"/>
      <c r="AN114" s="85"/>
      <c r="AO114" s="417"/>
      <c r="AP114" s="417"/>
      <c r="AQ114" s="417"/>
      <c r="AR114" s="417"/>
      <c r="AS114" s="85"/>
      <c r="AT114" s="85"/>
      <c r="AU114" s="85"/>
      <c r="AV114" s="85"/>
      <c r="AW114" s="85"/>
      <c r="AX114" s="85"/>
      <c r="AY114" s="85"/>
      <c r="AZ114" s="85"/>
      <c r="BA114" s="85"/>
      <c r="BB114" s="85"/>
      <c r="BC114" s="85"/>
      <c r="BD114" s="85"/>
      <c r="BE114" s="85"/>
      <c r="BF114" s="85"/>
      <c r="BG114" s="85"/>
      <c r="BH114" s="85"/>
      <c r="BI114" s="85"/>
      <c r="BJ114" s="85"/>
      <c r="BK114" s="85"/>
      <c r="BL114" s="85"/>
      <c r="BM114" s="85"/>
    </row>
    <row r="115" spans="7:65" s="57" customFormat="1" x14ac:dyDescent="0.25">
      <c r="G115" s="417"/>
      <c r="H115" s="417"/>
      <c r="I115" s="417"/>
      <c r="J115" s="417"/>
      <c r="K115" s="417"/>
      <c r="L115" s="417"/>
      <c r="M115" s="417"/>
      <c r="N115" s="417"/>
      <c r="O115" s="85"/>
      <c r="P115" s="417"/>
      <c r="Q115" s="417"/>
      <c r="R115" s="417"/>
      <c r="S115" s="417"/>
      <c r="T115" s="85"/>
      <c r="U115" s="417"/>
      <c r="V115" s="417"/>
      <c r="W115" s="417"/>
      <c r="X115" s="417"/>
      <c r="Y115" s="85"/>
      <c r="Z115" s="417"/>
      <c r="AA115" s="417"/>
      <c r="AB115" s="417"/>
      <c r="AC115" s="417"/>
      <c r="AD115" s="85"/>
      <c r="AE115" s="417"/>
      <c r="AF115" s="417"/>
      <c r="AG115" s="417"/>
      <c r="AH115" s="417"/>
      <c r="AI115" s="85"/>
      <c r="AJ115" s="417"/>
      <c r="AK115" s="417"/>
      <c r="AL115" s="417"/>
      <c r="AM115" s="417"/>
      <c r="AN115" s="85"/>
      <c r="AO115" s="417"/>
      <c r="AP115" s="417"/>
      <c r="AQ115" s="417"/>
      <c r="AR115" s="417"/>
      <c r="AS115" s="85"/>
      <c r="AT115" s="85"/>
      <c r="AU115" s="85"/>
      <c r="AV115" s="85"/>
      <c r="AW115" s="85"/>
      <c r="AX115" s="85"/>
      <c r="AY115" s="85"/>
      <c r="AZ115" s="85"/>
      <c r="BA115" s="85"/>
      <c r="BB115" s="85"/>
      <c r="BC115" s="85"/>
      <c r="BD115" s="85"/>
      <c r="BE115" s="85"/>
      <c r="BF115" s="85"/>
      <c r="BG115" s="85"/>
      <c r="BH115" s="85"/>
      <c r="BI115" s="85"/>
      <c r="BJ115" s="85"/>
      <c r="BK115" s="85"/>
      <c r="BL115" s="85"/>
      <c r="BM115" s="85"/>
    </row>
    <row r="116" spans="7:65" s="57" customFormat="1" x14ac:dyDescent="0.25">
      <c r="G116" s="417"/>
      <c r="H116" s="417"/>
      <c r="I116" s="417"/>
      <c r="J116" s="417"/>
      <c r="K116" s="417"/>
      <c r="L116" s="417"/>
      <c r="M116" s="417"/>
      <c r="N116" s="417"/>
      <c r="O116" s="85"/>
      <c r="P116" s="417"/>
      <c r="Q116" s="417"/>
      <c r="R116" s="417"/>
      <c r="S116" s="417"/>
      <c r="T116" s="85"/>
      <c r="U116" s="417"/>
      <c r="V116" s="417"/>
      <c r="W116" s="417"/>
      <c r="X116" s="417"/>
      <c r="Y116" s="85"/>
      <c r="Z116" s="417"/>
      <c r="AA116" s="417"/>
      <c r="AB116" s="417"/>
      <c r="AC116" s="417"/>
      <c r="AD116" s="85"/>
      <c r="AE116" s="417"/>
      <c r="AF116" s="417"/>
      <c r="AG116" s="417"/>
      <c r="AH116" s="417"/>
      <c r="AI116" s="85"/>
      <c r="AJ116" s="417"/>
      <c r="AK116" s="417"/>
      <c r="AL116" s="417"/>
      <c r="AM116" s="417"/>
      <c r="AN116" s="85"/>
      <c r="AO116" s="417"/>
      <c r="AP116" s="417"/>
      <c r="AQ116" s="417"/>
      <c r="AR116" s="417"/>
      <c r="AS116" s="85"/>
      <c r="AT116" s="85"/>
      <c r="AU116" s="85"/>
      <c r="AV116" s="85"/>
      <c r="AW116" s="85"/>
      <c r="AX116" s="85"/>
      <c r="AY116" s="85"/>
      <c r="AZ116" s="85"/>
      <c r="BA116" s="85"/>
      <c r="BB116" s="85"/>
      <c r="BC116" s="85"/>
      <c r="BD116" s="85"/>
      <c r="BE116" s="85"/>
      <c r="BF116" s="85"/>
      <c r="BG116" s="85"/>
      <c r="BH116" s="85"/>
      <c r="BI116" s="85"/>
      <c r="BJ116" s="85"/>
      <c r="BK116" s="85"/>
      <c r="BL116" s="85"/>
      <c r="BM116" s="85"/>
    </row>
    <row r="117" spans="7:65" s="57" customFormat="1" x14ac:dyDescent="0.25">
      <c r="G117" s="417"/>
      <c r="H117" s="417"/>
      <c r="I117" s="417"/>
      <c r="J117" s="417"/>
      <c r="K117" s="417"/>
      <c r="L117" s="417"/>
      <c r="M117" s="417"/>
      <c r="N117" s="417"/>
      <c r="O117" s="85"/>
      <c r="P117" s="417"/>
      <c r="Q117" s="417"/>
      <c r="R117" s="417"/>
      <c r="S117" s="417"/>
      <c r="T117" s="85"/>
      <c r="U117" s="417"/>
      <c r="V117" s="417"/>
      <c r="W117" s="417"/>
      <c r="X117" s="417"/>
      <c r="Y117" s="85"/>
      <c r="Z117" s="417"/>
      <c r="AA117" s="417"/>
      <c r="AB117" s="417"/>
      <c r="AC117" s="417"/>
      <c r="AD117" s="85"/>
      <c r="AE117" s="417"/>
      <c r="AF117" s="417"/>
      <c r="AG117" s="417"/>
      <c r="AH117" s="417"/>
      <c r="AI117" s="85"/>
      <c r="AJ117" s="417"/>
      <c r="AK117" s="417"/>
      <c r="AL117" s="417"/>
      <c r="AM117" s="417"/>
      <c r="AN117" s="85"/>
      <c r="AO117" s="417"/>
      <c r="AP117" s="417"/>
      <c r="AQ117" s="417"/>
      <c r="AR117" s="417"/>
      <c r="AS117" s="85"/>
      <c r="AT117" s="85"/>
      <c r="AU117" s="85"/>
      <c r="AV117" s="85"/>
      <c r="AW117" s="85"/>
      <c r="AX117" s="85"/>
      <c r="AY117" s="85"/>
      <c r="AZ117" s="85"/>
      <c r="BA117" s="85"/>
      <c r="BB117" s="85"/>
      <c r="BC117" s="85"/>
      <c r="BD117" s="85"/>
      <c r="BE117" s="85"/>
      <c r="BF117" s="85"/>
      <c r="BG117" s="85"/>
      <c r="BH117" s="85"/>
      <c r="BI117" s="85"/>
      <c r="BJ117" s="85"/>
      <c r="BK117" s="85"/>
      <c r="BL117" s="85"/>
      <c r="BM117" s="85"/>
    </row>
    <row r="118" spans="7:65" s="57" customFormat="1" x14ac:dyDescent="0.25">
      <c r="G118" s="417"/>
      <c r="H118" s="417"/>
      <c r="I118" s="417"/>
      <c r="J118" s="417"/>
      <c r="K118" s="417"/>
      <c r="L118" s="417"/>
      <c r="M118" s="417"/>
      <c r="N118" s="417"/>
      <c r="O118" s="85"/>
      <c r="P118" s="417"/>
      <c r="Q118" s="417"/>
      <c r="R118" s="417"/>
      <c r="S118" s="417"/>
      <c r="T118" s="85"/>
      <c r="U118" s="417"/>
      <c r="V118" s="417"/>
      <c r="W118" s="417"/>
      <c r="X118" s="417"/>
      <c r="Y118" s="85"/>
      <c r="Z118" s="417"/>
      <c r="AA118" s="417"/>
      <c r="AB118" s="417"/>
      <c r="AC118" s="417"/>
      <c r="AD118" s="85"/>
      <c r="AE118" s="417"/>
      <c r="AF118" s="417"/>
      <c r="AG118" s="417"/>
      <c r="AH118" s="417"/>
      <c r="AI118" s="85"/>
      <c r="AJ118" s="417"/>
      <c r="AK118" s="417"/>
      <c r="AL118" s="417"/>
      <c r="AM118" s="417"/>
      <c r="AN118" s="85"/>
      <c r="AO118" s="417"/>
      <c r="AP118" s="417"/>
      <c r="AQ118" s="417"/>
      <c r="AR118" s="417"/>
      <c r="AS118" s="85"/>
      <c r="AT118" s="85"/>
      <c r="AU118" s="85"/>
      <c r="AV118" s="85"/>
      <c r="AW118" s="85"/>
      <c r="AX118" s="85"/>
      <c r="AY118" s="85"/>
      <c r="AZ118" s="85"/>
      <c r="BA118" s="85"/>
      <c r="BB118" s="85"/>
      <c r="BC118" s="85"/>
      <c r="BD118" s="85"/>
      <c r="BE118" s="85"/>
      <c r="BF118" s="85"/>
      <c r="BG118" s="85"/>
      <c r="BH118" s="85"/>
      <c r="BI118" s="85"/>
      <c r="BJ118" s="85"/>
      <c r="BK118" s="85"/>
      <c r="BL118" s="85"/>
      <c r="BM118" s="85"/>
    </row>
    <row r="119" spans="7:65" s="57" customFormat="1" x14ac:dyDescent="0.25">
      <c r="G119" s="417"/>
      <c r="H119" s="417"/>
      <c r="I119" s="417"/>
      <c r="J119" s="417"/>
      <c r="K119" s="417"/>
      <c r="L119" s="417"/>
      <c r="M119" s="417"/>
      <c r="N119" s="417"/>
      <c r="O119" s="85"/>
      <c r="P119" s="417"/>
      <c r="Q119" s="417"/>
      <c r="R119" s="417"/>
      <c r="S119" s="417"/>
      <c r="T119" s="85"/>
      <c r="U119" s="417"/>
      <c r="V119" s="417"/>
      <c r="W119" s="417"/>
      <c r="X119" s="417"/>
      <c r="Y119" s="85"/>
      <c r="Z119" s="417"/>
      <c r="AA119" s="417"/>
      <c r="AB119" s="417"/>
      <c r="AC119" s="417"/>
      <c r="AD119" s="85"/>
      <c r="AE119" s="417"/>
      <c r="AF119" s="417"/>
      <c r="AG119" s="417"/>
      <c r="AH119" s="417"/>
      <c r="AI119" s="85"/>
      <c r="AJ119" s="417"/>
      <c r="AK119" s="417"/>
      <c r="AL119" s="417"/>
      <c r="AM119" s="417"/>
      <c r="AN119" s="85"/>
      <c r="AO119" s="417"/>
      <c r="AP119" s="417"/>
      <c r="AQ119" s="417"/>
      <c r="AR119" s="417"/>
      <c r="AS119" s="85"/>
      <c r="AT119" s="85"/>
      <c r="AU119" s="85"/>
      <c r="AV119" s="85"/>
      <c r="AW119" s="85"/>
      <c r="AX119" s="85"/>
      <c r="AY119" s="85"/>
      <c r="AZ119" s="85"/>
      <c r="BA119" s="85"/>
      <c r="BB119" s="85"/>
      <c r="BC119" s="85"/>
      <c r="BD119" s="85"/>
      <c r="BE119" s="85"/>
      <c r="BF119" s="85"/>
      <c r="BG119" s="85"/>
      <c r="BH119" s="85"/>
      <c r="BI119" s="85"/>
      <c r="BJ119" s="85"/>
      <c r="BK119" s="85"/>
      <c r="BL119" s="85"/>
      <c r="BM119" s="85"/>
    </row>
    <row r="120" spans="7:65" s="57" customFormat="1" x14ac:dyDescent="0.25">
      <c r="G120" s="417"/>
      <c r="H120" s="417"/>
      <c r="I120" s="417"/>
      <c r="J120" s="417"/>
      <c r="K120" s="417"/>
      <c r="L120" s="417"/>
      <c r="M120" s="417"/>
      <c r="N120" s="417"/>
      <c r="O120" s="85"/>
      <c r="P120" s="417"/>
      <c r="Q120" s="417"/>
      <c r="R120" s="417"/>
      <c r="S120" s="417"/>
      <c r="T120" s="85"/>
      <c r="U120" s="417"/>
      <c r="V120" s="417"/>
      <c r="W120" s="417"/>
      <c r="X120" s="417"/>
      <c r="Y120" s="85"/>
      <c r="Z120" s="417"/>
      <c r="AA120" s="417"/>
      <c r="AB120" s="417"/>
      <c r="AC120" s="417"/>
      <c r="AD120" s="85"/>
      <c r="AE120" s="417"/>
      <c r="AF120" s="417"/>
      <c r="AG120" s="417"/>
      <c r="AH120" s="417"/>
      <c r="AI120" s="85"/>
      <c r="AJ120" s="417"/>
      <c r="AK120" s="417"/>
      <c r="AL120" s="417"/>
      <c r="AM120" s="417"/>
      <c r="AN120" s="85"/>
      <c r="AO120" s="417"/>
      <c r="AP120" s="417"/>
      <c r="AQ120" s="417"/>
      <c r="AR120" s="417"/>
      <c r="AS120" s="85"/>
      <c r="AT120" s="85"/>
      <c r="AU120" s="85"/>
      <c r="AV120" s="85"/>
      <c r="AW120" s="85"/>
      <c r="AX120" s="85"/>
      <c r="AY120" s="85"/>
      <c r="AZ120" s="85"/>
      <c r="BA120" s="85"/>
      <c r="BB120" s="85"/>
      <c r="BC120" s="85"/>
      <c r="BD120" s="85"/>
      <c r="BE120" s="85"/>
      <c r="BF120" s="85"/>
      <c r="BG120" s="85"/>
      <c r="BH120" s="85"/>
      <c r="BI120" s="85"/>
      <c r="BJ120" s="85"/>
      <c r="BK120" s="85"/>
      <c r="BL120" s="85"/>
      <c r="BM120" s="85"/>
    </row>
    <row r="121" spans="7:65" s="57" customFormat="1" x14ac:dyDescent="0.25">
      <c r="G121" s="417"/>
      <c r="H121" s="417"/>
      <c r="I121" s="417"/>
      <c r="J121" s="417"/>
      <c r="K121" s="417"/>
      <c r="L121" s="417"/>
      <c r="M121" s="417"/>
      <c r="N121" s="417"/>
      <c r="O121" s="85"/>
      <c r="P121" s="417"/>
      <c r="Q121" s="417"/>
      <c r="R121" s="417"/>
      <c r="S121" s="417"/>
      <c r="T121" s="85"/>
      <c r="U121" s="417"/>
      <c r="V121" s="417"/>
      <c r="W121" s="417"/>
      <c r="X121" s="417"/>
      <c r="Y121" s="85"/>
      <c r="Z121" s="417"/>
      <c r="AA121" s="417"/>
      <c r="AB121" s="417"/>
      <c r="AC121" s="417"/>
      <c r="AD121" s="85"/>
      <c r="AE121" s="417"/>
      <c r="AF121" s="417"/>
      <c r="AG121" s="417"/>
      <c r="AH121" s="417"/>
      <c r="AI121" s="85"/>
      <c r="AJ121" s="417"/>
      <c r="AK121" s="417"/>
      <c r="AL121" s="417"/>
      <c r="AM121" s="417"/>
      <c r="AN121" s="85"/>
      <c r="AO121" s="417"/>
      <c r="AP121" s="417"/>
      <c r="AQ121" s="417"/>
      <c r="AR121" s="417"/>
      <c r="AS121" s="85"/>
      <c r="AT121" s="85"/>
      <c r="AU121" s="85"/>
      <c r="AV121" s="85"/>
      <c r="AW121" s="85"/>
      <c r="AX121" s="85"/>
      <c r="AY121" s="85"/>
      <c r="AZ121" s="85"/>
      <c r="BA121" s="85"/>
      <c r="BB121" s="85"/>
      <c r="BC121" s="85"/>
      <c r="BD121" s="85"/>
      <c r="BE121" s="85"/>
      <c r="BF121" s="85"/>
      <c r="BG121" s="85"/>
      <c r="BH121" s="85"/>
      <c r="BI121" s="85"/>
      <c r="BJ121" s="85"/>
      <c r="BK121" s="85"/>
      <c r="BL121" s="85"/>
      <c r="BM121" s="85"/>
    </row>
    <row r="122" spans="7:65" s="57" customFormat="1" x14ac:dyDescent="0.25">
      <c r="G122" s="417"/>
      <c r="H122" s="417"/>
      <c r="I122" s="417"/>
      <c r="J122" s="417"/>
      <c r="K122" s="417"/>
      <c r="L122" s="417"/>
      <c r="M122" s="417"/>
      <c r="N122" s="417"/>
      <c r="O122" s="85"/>
      <c r="P122" s="417"/>
      <c r="Q122" s="417"/>
      <c r="R122" s="417"/>
      <c r="S122" s="417"/>
      <c r="T122" s="85"/>
      <c r="U122" s="417"/>
      <c r="V122" s="417"/>
      <c r="W122" s="417"/>
      <c r="X122" s="417"/>
      <c r="Y122" s="85"/>
      <c r="Z122" s="417"/>
      <c r="AA122" s="417"/>
      <c r="AB122" s="417"/>
      <c r="AC122" s="417"/>
      <c r="AD122" s="85"/>
      <c r="AE122" s="417"/>
      <c r="AF122" s="417"/>
      <c r="AG122" s="417"/>
      <c r="AH122" s="417"/>
      <c r="AI122" s="85"/>
      <c r="AJ122" s="417"/>
      <c r="AK122" s="417"/>
      <c r="AL122" s="417"/>
      <c r="AM122" s="417"/>
      <c r="AN122" s="85"/>
      <c r="AO122" s="417"/>
      <c r="AP122" s="417"/>
      <c r="AQ122" s="417"/>
      <c r="AR122" s="417"/>
      <c r="AS122" s="85"/>
      <c r="AT122" s="85"/>
      <c r="AU122" s="85"/>
      <c r="AV122" s="85"/>
      <c r="AW122" s="85"/>
      <c r="AX122" s="85"/>
      <c r="AY122" s="85"/>
      <c r="AZ122" s="85"/>
      <c r="BA122" s="85"/>
      <c r="BB122" s="85"/>
      <c r="BC122" s="85"/>
      <c r="BD122" s="85"/>
      <c r="BE122" s="85"/>
      <c r="BF122" s="85"/>
      <c r="BG122" s="85"/>
      <c r="BH122" s="85"/>
      <c r="BI122" s="85"/>
      <c r="BJ122" s="85"/>
      <c r="BK122" s="85"/>
      <c r="BL122" s="85"/>
      <c r="BM122" s="85"/>
    </row>
    <row r="123" spans="7:65" s="57" customFormat="1" x14ac:dyDescent="0.25">
      <c r="G123" s="417"/>
      <c r="H123" s="417"/>
      <c r="I123" s="417"/>
      <c r="J123" s="417"/>
      <c r="K123" s="417"/>
      <c r="L123" s="417"/>
      <c r="M123" s="417"/>
      <c r="N123" s="417"/>
      <c r="O123" s="85"/>
      <c r="P123" s="417"/>
      <c r="Q123" s="417"/>
      <c r="R123" s="417"/>
      <c r="S123" s="417"/>
      <c r="T123" s="85"/>
      <c r="U123" s="417"/>
      <c r="V123" s="417"/>
      <c r="W123" s="417"/>
      <c r="X123" s="417"/>
      <c r="Y123" s="85"/>
      <c r="Z123" s="417"/>
      <c r="AA123" s="417"/>
      <c r="AB123" s="417"/>
      <c r="AC123" s="417"/>
      <c r="AD123" s="85"/>
      <c r="AE123" s="417"/>
      <c r="AF123" s="417"/>
      <c r="AG123" s="417"/>
      <c r="AH123" s="417"/>
      <c r="AI123" s="85"/>
      <c r="AJ123" s="417"/>
      <c r="AK123" s="417"/>
      <c r="AL123" s="417"/>
      <c r="AM123" s="417"/>
      <c r="AN123" s="85"/>
      <c r="AO123" s="417"/>
      <c r="AP123" s="417"/>
      <c r="AQ123" s="417"/>
      <c r="AR123" s="417"/>
      <c r="AS123" s="85"/>
      <c r="AT123" s="85"/>
      <c r="AU123" s="85"/>
      <c r="AV123" s="85"/>
      <c r="AW123" s="85"/>
      <c r="AX123" s="85"/>
      <c r="AY123" s="85"/>
      <c r="AZ123" s="85"/>
      <c r="BA123" s="85"/>
      <c r="BB123" s="85"/>
      <c r="BC123" s="85"/>
      <c r="BD123" s="85"/>
      <c r="BE123" s="85"/>
      <c r="BF123" s="85"/>
      <c r="BG123" s="85"/>
      <c r="BH123" s="85"/>
      <c r="BI123" s="85"/>
      <c r="BJ123" s="85"/>
      <c r="BK123" s="85"/>
      <c r="BL123" s="85"/>
      <c r="BM123" s="85"/>
    </row>
    <row r="124" spans="7:65" s="57" customFormat="1" x14ac:dyDescent="0.25">
      <c r="G124" s="417"/>
      <c r="H124" s="417"/>
      <c r="I124" s="417"/>
      <c r="J124" s="417"/>
      <c r="K124" s="417"/>
      <c r="L124" s="417"/>
      <c r="M124" s="417"/>
      <c r="N124" s="417"/>
      <c r="O124" s="85"/>
      <c r="P124" s="417"/>
      <c r="Q124" s="417"/>
      <c r="R124" s="417"/>
      <c r="S124" s="417"/>
      <c r="T124" s="85"/>
      <c r="U124" s="417"/>
      <c r="V124" s="417"/>
      <c r="W124" s="417"/>
      <c r="X124" s="417"/>
      <c r="Y124" s="85"/>
      <c r="Z124" s="417"/>
      <c r="AA124" s="417"/>
      <c r="AB124" s="417"/>
      <c r="AC124" s="417"/>
      <c r="AD124" s="85"/>
      <c r="AE124" s="417"/>
      <c r="AF124" s="417"/>
      <c r="AG124" s="417"/>
      <c r="AH124" s="417"/>
      <c r="AI124" s="85"/>
      <c r="AJ124" s="417"/>
      <c r="AK124" s="417"/>
      <c r="AL124" s="417"/>
      <c r="AM124" s="417"/>
      <c r="AN124" s="85"/>
      <c r="AO124" s="417"/>
      <c r="AP124" s="417"/>
      <c r="AQ124" s="417"/>
      <c r="AR124" s="417"/>
      <c r="AS124" s="85"/>
      <c r="AT124" s="85"/>
      <c r="AU124" s="85"/>
      <c r="AV124" s="85"/>
      <c r="AW124" s="85"/>
      <c r="AX124" s="85"/>
      <c r="AY124" s="85"/>
      <c r="AZ124" s="85"/>
      <c r="BA124" s="85"/>
      <c r="BB124" s="85"/>
      <c r="BC124" s="85"/>
      <c r="BD124" s="85"/>
      <c r="BE124" s="85"/>
      <c r="BF124" s="85"/>
      <c r="BG124" s="85"/>
      <c r="BH124" s="85"/>
      <c r="BI124" s="85"/>
      <c r="BJ124" s="85"/>
      <c r="BK124" s="85"/>
      <c r="BL124" s="85"/>
      <c r="BM124" s="85"/>
    </row>
    <row r="125" spans="7:65" s="57" customFormat="1" x14ac:dyDescent="0.25">
      <c r="G125" s="417"/>
      <c r="H125" s="417"/>
      <c r="I125" s="417"/>
      <c r="J125" s="417"/>
      <c r="K125" s="417"/>
      <c r="L125" s="417"/>
      <c r="M125" s="417"/>
      <c r="N125" s="417"/>
      <c r="O125" s="85"/>
      <c r="P125" s="417"/>
      <c r="Q125" s="417"/>
      <c r="R125" s="417"/>
      <c r="S125" s="417"/>
      <c r="T125" s="85"/>
      <c r="U125" s="417"/>
      <c r="V125" s="417"/>
      <c r="W125" s="417"/>
      <c r="X125" s="417"/>
      <c r="Y125" s="85"/>
      <c r="Z125" s="417"/>
      <c r="AA125" s="417"/>
      <c r="AB125" s="417"/>
      <c r="AC125" s="417"/>
      <c r="AD125" s="85"/>
      <c r="AE125" s="417"/>
      <c r="AF125" s="417"/>
      <c r="AG125" s="417"/>
      <c r="AH125" s="417"/>
      <c r="AI125" s="85"/>
      <c r="AJ125" s="417"/>
      <c r="AK125" s="417"/>
      <c r="AL125" s="417"/>
      <c r="AM125" s="417"/>
      <c r="AN125" s="85"/>
      <c r="AO125" s="417"/>
      <c r="AP125" s="417"/>
      <c r="AQ125" s="417"/>
      <c r="AR125" s="417"/>
      <c r="AS125" s="85"/>
      <c r="AT125" s="85"/>
      <c r="AU125" s="85"/>
      <c r="AV125" s="85"/>
      <c r="AW125" s="85"/>
      <c r="AX125" s="85"/>
      <c r="AY125" s="85"/>
      <c r="AZ125" s="85"/>
      <c r="BA125" s="85"/>
      <c r="BB125" s="85"/>
      <c r="BC125" s="85"/>
      <c r="BD125" s="85"/>
      <c r="BE125" s="85"/>
      <c r="BF125" s="85"/>
      <c r="BG125" s="85"/>
      <c r="BH125" s="85"/>
      <c r="BI125" s="85"/>
      <c r="BJ125" s="85"/>
      <c r="BK125" s="85"/>
      <c r="BL125" s="85"/>
      <c r="BM125" s="85"/>
    </row>
    <row r="126" spans="7:65" s="57" customFormat="1" x14ac:dyDescent="0.25">
      <c r="G126" s="417"/>
      <c r="H126" s="417"/>
      <c r="I126" s="417"/>
      <c r="J126" s="417"/>
      <c r="K126" s="417"/>
      <c r="L126" s="417"/>
      <c r="M126" s="417"/>
      <c r="N126" s="417"/>
      <c r="O126" s="85"/>
      <c r="P126" s="417"/>
      <c r="Q126" s="417"/>
      <c r="R126" s="417"/>
      <c r="S126" s="417"/>
      <c r="T126" s="85"/>
      <c r="U126" s="417"/>
      <c r="V126" s="417"/>
      <c r="W126" s="417"/>
      <c r="X126" s="417"/>
      <c r="Y126" s="85"/>
      <c r="Z126" s="417"/>
      <c r="AA126" s="417"/>
      <c r="AB126" s="417"/>
      <c r="AC126" s="417"/>
      <c r="AD126" s="85"/>
      <c r="AE126" s="417"/>
      <c r="AF126" s="417"/>
      <c r="AG126" s="417"/>
      <c r="AH126" s="417"/>
      <c r="AI126" s="85"/>
      <c r="AJ126" s="417"/>
      <c r="AK126" s="417"/>
      <c r="AL126" s="417"/>
      <c r="AM126" s="417"/>
      <c r="AN126" s="85"/>
      <c r="AO126" s="417"/>
      <c r="AP126" s="417"/>
      <c r="AQ126" s="417"/>
      <c r="AR126" s="417"/>
      <c r="AS126" s="85"/>
      <c r="AT126" s="85"/>
      <c r="AU126" s="85"/>
      <c r="AV126" s="85"/>
      <c r="AW126" s="85"/>
      <c r="AX126" s="85"/>
      <c r="AY126" s="85"/>
      <c r="AZ126" s="85"/>
      <c r="BA126" s="85"/>
      <c r="BB126" s="85"/>
      <c r="BC126" s="85"/>
      <c r="BD126" s="85"/>
      <c r="BE126" s="85"/>
      <c r="BF126" s="85"/>
      <c r="BG126" s="85"/>
      <c r="BH126" s="85"/>
      <c r="BI126" s="85"/>
      <c r="BJ126" s="85"/>
      <c r="BK126" s="85"/>
      <c r="BL126" s="85"/>
      <c r="BM126" s="85"/>
    </row>
    <row r="127" spans="7:65" s="57" customFormat="1" x14ac:dyDescent="0.25">
      <c r="G127" s="417"/>
      <c r="H127" s="417"/>
      <c r="I127" s="417"/>
      <c r="J127" s="417"/>
      <c r="K127" s="417"/>
      <c r="L127" s="417"/>
      <c r="M127" s="417"/>
      <c r="N127" s="417"/>
      <c r="O127" s="85"/>
      <c r="P127" s="417"/>
      <c r="Q127" s="417"/>
      <c r="R127" s="417"/>
      <c r="S127" s="417"/>
      <c r="T127" s="85"/>
      <c r="U127" s="417"/>
      <c r="V127" s="417"/>
      <c r="W127" s="417"/>
      <c r="X127" s="417"/>
      <c r="Y127" s="85"/>
      <c r="Z127" s="417"/>
      <c r="AA127" s="417"/>
      <c r="AB127" s="417"/>
      <c r="AC127" s="417"/>
      <c r="AD127" s="85"/>
      <c r="AE127" s="417"/>
      <c r="AF127" s="417"/>
      <c r="AG127" s="417"/>
      <c r="AH127" s="417"/>
      <c r="AI127" s="85"/>
      <c r="AJ127" s="417"/>
      <c r="AK127" s="417"/>
      <c r="AL127" s="417"/>
      <c r="AM127" s="417"/>
      <c r="AN127" s="85"/>
      <c r="AO127" s="417"/>
      <c r="AP127" s="417"/>
      <c r="AQ127" s="417"/>
      <c r="AR127" s="417"/>
      <c r="AS127" s="85"/>
      <c r="AT127" s="85"/>
      <c r="AU127" s="85"/>
      <c r="AV127" s="85"/>
      <c r="AW127" s="85"/>
      <c r="AX127" s="85"/>
      <c r="AY127" s="85"/>
      <c r="AZ127" s="85"/>
      <c r="BA127" s="85"/>
      <c r="BB127" s="85"/>
      <c r="BC127" s="85"/>
      <c r="BD127" s="85"/>
      <c r="BE127" s="85"/>
      <c r="BF127" s="85"/>
      <c r="BG127" s="85"/>
      <c r="BH127" s="85"/>
      <c r="BI127" s="85"/>
      <c r="BJ127" s="85"/>
      <c r="BK127" s="85"/>
      <c r="BL127" s="85"/>
      <c r="BM127" s="85"/>
    </row>
    <row r="128" spans="7:65" s="57" customFormat="1" x14ac:dyDescent="0.25">
      <c r="G128" s="417"/>
      <c r="H128" s="417"/>
      <c r="I128" s="417"/>
      <c r="J128" s="417"/>
      <c r="K128" s="417"/>
      <c r="L128" s="417"/>
      <c r="M128" s="417"/>
      <c r="N128" s="417"/>
      <c r="O128" s="85"/>
      <c r="P128" s="417"/>
      <c r="Q128" s="417"/>
      <c r="R128" s="417"/>
      <c r="S128" s="417"/>
      <c r="T128" s="85"/>
      <c r="U128" s="417"/>
      <c r="V128" s="417"/>
      <c r="W128" s="417"/>
      <c r="X128" s="417"/>
      <c r="Y128" s="85"/>
      <c r="Z128" s="417"/>
      <c r="AA128" s="417"/>
      <c r="AB128" s="417"/>
      <c r="AC128" s="417"/>
      <c r="AD128" s="85"/>
      <c r="AE128" s="417"/>
      <c r="AF128" s="417"/>
      <c r="AG128" s="417"/>
      <c r="AH128" s="417"/>
      <c r="AI128" s="85"/>
      <c r="AJ128" s="417"/>
      <c r="AK128" s="417"/>
      <c r="AL128" s="417"/>
      <c r="AM128" s="417"/>
      <c r="AN128" s="85"/>
      <c r="AO128" s="417"/>
      <c r="AP128" s="417"/>
      <c r="AQ128" s="417"/>
      <c r="AR128" s="417"/>
      <c r="AS128" s="85"/>
      <c r="AT128" s="85"/>
      <c r="AU128" s="85"/>
      <c r="AV128" s="85"/>
      <c r="AW128" s="85"/>
      <c r="AX128" s="85"/>
      <c r="AY128" s="85"/>
      <c r="AZ128" s="85"/>
      <c r="BA128" s="85"/>
      <c r="BB128" s="85"/>
      <c r="BC128" s="85"/>
      <c r="BD128" s="85"/>
      <c r="BE128" s="85"/>
      <c r="BF128" s="85"/>
      <c r="BG128" s="85"/>
      <c r="BH128" s="85"/>
      <c r="BI128" s="85"/>
      <c r="BJ128" s="85"/>
      <c r="BK128" s="85"/>
      <c r="BL128" s="85"/>
      <c r="BM128" s="85"/>
    </row>
    <row r="129" spans="7:65" s="57" customFormat="1" x14ac:dyDescent="0.25">
      <c r="G129" s="417"/>
      <c r="H129" s="417"/>
      <c r="I129" s="417"/>
      <c r="J129" s="417"/>
      <c r="K129" s="417"/>
      <c r="L129" s="417"/>
      <c r="M129" s="417"/>
      <c r="N129" s="417"/>
      <c r="O129" s="85"/>
      <c r="P129" s="417"/>
      <c r="Q129" s="417"/>
      <c r="R129" s="417"/>
      <c r="S129" s="417"/>
      <c r="T129" s="85"/>
      <c r="U129" s="417"/>
      <c r="V129" s="417"/>
      <c r="W129" s="417"/>
      <c r="X129" s="417"/>
      <c r="Y129" s="85"/>
      <c r="Z129" s="417"/>
      <c r="AA129" s="417"/>
      <c r="AB129" s="417"/>
      <c r="AC129" s="417"/>
      <c r="AD129" s="85"/>
      <c r="AE129" s="417"/>
      <c r="AF129" s="417"/>
      <c r="AG129" s="417"/>
      <c r="AH129" s="417"/>
      <c r="AI129" s="85"/>
      <c r="AJ129" s="417"/>
      <c r="AK129" s="417"/>
      <c r="AL129" s="417"/>
      <c r="AM129" s="417"/>
      <c r="AN129" s="85"/>
      <c r="AO129" s="417"/>
      <c r="AP129" s="417"/>
      <c r="AQ129" s="417"/>
      <c r="AR129" s="417"/>
      <c r="AS129" s="85"/>
      <c r="AT129" s="85"/>
      <c r="AU129" s="85"/>
      <c r="AV129" s="85"/>
      <c r="AW129" s="85"/>
      <c r="AX129" s="85"/>
      <c r="AY129" s="85"/>
      <c r="AZ129" s="85"/>
      <c r="BA129" s="85"/>
      <c r="BB129" s="85"/>
      <c r="BC129" s="85"/>
      <c r="BD129" s="85"/>
      <c r="BE129" s="85"/>
      <c r="BF129" s="85"/>
      <c r="BG129" s="85"/>
      <c r="BH129" s="85"/>
      <c r="BI129" s="85"/>
      <c r="BJ129" s="85"/>
      <c r="BK129" s="85"/>
      <c r="BL129" s="85"/>
      <c r="BM129" s="85"/>
    </row>
    <row r="130" spans="7:65" s="57" customFormat="1" x14ac:dyDescent="0.25">
      <c r="G130" s="417"/>
      <c r="H130" s="417"/>
      <c r="I130" s="417"/>
      <c r="J130" s="417"/>
      <c r="K130" s="417"/>
      <c r="L130" s="417"/>
      <c r="M130" s="417"/>
      <c r="N130" s="417"/>
      <c r="O130" s="85"/>
      <c r="P130" s="417"/>
      <c r="Q130" s="417"/>
      <c r="R130" s="417"/>
      <c r="S130" s="417"/>
      <c r="T130" s="85"/>
      <c r="U130" s="417"/>
      <c r="V130" s="417"/>
      <c r="W130" s="417"/>
      <c r="X130" s="417"/>
      <c r="Y130" s="85"/>
      <c r="Z130" s="417"/>
      <c r="AA130" s="417"/>
      <c r="AB130" s="417"/>
      <c r="AC130" s="417"/>
      <c r="AD130" s="85"/>
      <c r="AE130" s="417"/>
      <c r="AF130" s="417"/>
      <c r="AG130" s="417"/>
      <c r="AH130" s="417"/>
      <c r="AI130" s="85"/>
      <c r="AJ130" s="417"/>
      <c r="AK130" s="417"/>
      <c r="AL130" s="417"/>
      <c r="AM130" s="417"/>
      <c r="AN130" s="85"/>
      <c r="AO130" s="417"/>
      <c r="AP130" s="417"/>
      <c r="AQ130" s="417"/>
      <c r="AR130" s="417"/>
      <c r="AS130" s="85"/>
      <c r="AT130" s="85"/>
      <c r="AU130" s="85"/>
      <c r="AV130" s="85"/>
      <c r="AW130" s="85"/>
      <c r="AX130" s="85"/>
      <c r="AY130" s="85"/>
      <c r="AZ130" s="85"/>
      <c r="BA130" s="85"/>
      <c r="BB130" s="85"/>
      <c r="BC130" s="85"/>
      <c r="BD130" s="85"/>
      <c r="BE130" s="85"/>
      <c r="BF130" s="85"/>
      <c r="BG130" s="85"/>
      <c r="BH130" s="85"/>
      <c r="BI130" s="85"/>
      <c r="BJ130" s="85"/>
      <c r="BK130" s="85"/>
      <c r="BL130" s="85"/>
      <c r="BM130" s="85"/>
    </row>
    <row r="131" spans="7:65" s="57" customFormat="1" x14ac:dyDescent="0.25">
      <c r="G131" s="417"/>
      <c r="H131" s="417"/>
      <c r="I131" s="417"/>
      <c r="J131" s="417"/>
      <c r="K131" s="417"/>
      <c r="L131" s="417"/>
      <c r="M131" s="417"/>
      <c r="N131" s="417"/>
      <c r="O131" s="85"/>
      <c r="P131" s="417"/>
      <c r="Q131" s="417"/>
      <c r="R131" s="417"/>
      <c r="S131" s="417"/>
      <c r="T131" s="85"/>
      <c r="U131" s="417"/>
      <c r="V131" s="417"/>
      <c r="W131" s="417"/>
      <c r="X131" s="417"/>
      <c r="Y131" s="85"/>
      <c r="Z131" s="417"/>
      <c r="AA131" s="417"/>
      <c r="AB131" s="417"/>
      <c r="AC131" s="417"/>
      <c r="AD131" s="85"/>
      <c r="AE131" s="417"/>
      <c r="AF131" s="417"/>
      <c r="AG131" s="417"/>
      <c r="AH131" s="417"/>
      <c r="AI131" s="85"/>
      <c r="AJ131" s="417"/>
      <c r="AK131" s="417"/>
      <c r="AL131" s="417"/>
      <c r="AM131" s="417"/>
      <c r="AN131" s="85"/>
      <c r="AO131" s="417"/>
      <c r="AP131" s="417"/>
      <c r="AQ131" s="417"/>
      <c r="AR131" s="417"/>
      <c r="AS131" s="85"/>
      <c r="AT131" s="85"/>
      <c r="AU131" s="85"/>
      <c r="AV131" s="85"/>
      <c r="AW131" s="85"/>
      <c r="AX131" s="85"/>
      <c r="AY131" s="85"/>
      <c r="AZ131" s="85"/>
      <c r="BA131" s="85"/>
      <c r="BB131" s="85"/>
      <c r="BC131" s="85"/>
      <c r="BD131" s="85"/>
      <c r="BE131" s="85"/>
      <c r="BF131" s="85"/>
      <c r="BG131" s="85"/>
      <c r="BH131" s="85"/>
      <c r="BI131" s="85"/>
      <c r="BJ131" s="85"/>
      <c r="BK131" s="85"/>
      <c r="BL131" s="85"/>
      <c r="BM131" s="85"/>
    </row>
    <row r="132" spans="7:65" s="57" customFormat="1" x14ac:dyDescent="0.25">
      <c r="G132" s="417"/>
      <c r="H132" s="417"/>
      <c r="I132" s="417"/>
      <c r="J132" s="417"/>
      <c r="K132" s="417"/>
      <c r="L132" s="417"/>
      <c r="M132" s="417"/>
      <c r="N132" s="417"/>
      <c r="O132" s="85"/>
      <c r="P132" s="417"/>
      <c r="Q132" s="417"/>
      <c r="R132" s="417"/>
      <c r="S132" s="417"/>
      <c r="T132" s="85"/>
      <c r="U132" s="417"/>
      <c r="V132" s="417"/>
      <c r="W132" s="417"/>
      <c r="X132" s="417"/>
      <c r="Y132" s="85"/>
      <c r="Z132" s="417"/>
      <c r="AA132" s="417"/>
      <c r="AB132" s="417"/>
      <c r="AC132" s="417"/>
      <c r="AD132" s="85"/>
      <c r="AE132" s="417"/>
      <c r="AF132" s="417"/>
      <c r="AG132" s="417"/>
      <c r="AH132" s="417"/>
      <c r="AI132" s="85"/>
      <c r="AJ132" s="417"/>
      <c r="AK132" s="417"/>
      <c r="AL132" s="417"/>
      <c r="AM132" s="417"/>
      <c r="AN132" s="85"/>
      <c r="AO132" s="417"/>
      <c r="AP132" s="417"/>
      <c r="AQ132" s="417"/>
      <c r="AR132" s="417"/>
      <c r="AS132" s="85"/>
      <c r="AT132" s="85"/>
      <c r="AU132" s="85"/>
      <c r="AV132" s="85"/>
      <c r="AW132" s="85"/>
      <c r="AX132" s="85"/>
      <c r="AY132" s="85"/>
      <c r="AZ132" s="85"/>
      <c r="BA132" s="85"/>
      <c r="BB132" s="85"/>
      <c r="BC132" s="85"/>
      <c r="BD132" s="85"/>
      <c r="BE132" s="85"/>
      <c r="BF132" s="85"/>
      <c r="BG132" s="85"/>
      <c r="BH132" s="85"/>
      <c r="BI132" s="85"/>
      <c r="BJ132" s="85"/>
      <c r="BK132" s="85"/>
      <c r="BL132" s="85"/>
      <c r="BM132" s="85"/>
    </row>
    <row r="133" spans="7:65" s="57" customFormat="1" x14ac:dyDescent="0.25">
      <c r="G133" s="417"/>
      <c r="H133" s="417"/>
      <c r="I133" s="417"/>
      <c r="J133" s="417"/>
      <c r="K133" s="417"/>
      <c r="L133" s="417"/>
      <c r="M133" s="417"/>
      <c r="N133" s="417"/>
      <c r="O133" s="85"/>
      <c r="P133" s="417"/>
      <c r="Q133" s="417"/>
      <c r="R133" s="417"/>
      <c r="S133" s="417"/>
      <c r="T133" s="85"/>
      <c r="U133" s="417"/>
      <c r="V133" s="417"/>
      <c r="W133" s="417"/>
      <c r="X133" s="417"/>
      <c r="Y133" s="85"/>
      <c r="Z133" s="417"/>
      <c r="AA133" s="417"/>
      <c r="AB133" s="417"/>
      <c r="AC133" s="417"/>
      <c r="AD133" s="85"/>
      <c r="AE133" s="417"/>
      <c r="AF133" s="417"/>
      <c r="AG133" s="417"/>
      <c r="AH133" s="417"/>
      <c r="AI133" s="85"/>
      <c r="AJ133" s="417"/>
      <c r="AK133" s="417"/>
      <c r="AL133" s="417"/>
      <c r="AM133" s="417"/>
      <c r="AN133" s="85"/>
      <c r="AO133" s="417"/>
      <c r="AP133" s="417"/>
      <c r="AQ133" s="417"/>
      <c r="AR133" s="417"/>
      <c r="AS133" s="85"/>
      <c r="AT133" s="85"/>
      <c r="AU133" s="85"/>
      <c r="AV133" s="85"/>
      <c r="AW133" s="85"/>
      <c r="AX133" s="85"/>
      <c r="AY133" s="85"/>
      <c r="AZ133" s="85"/>
      <c r="BA133" s="85"/>
      <c r="BB133" s="85"/>
      <c r="BC133" s="85"/>
      <c r="BD133" s="85"/>
      <c r="BE133" s="85"/>
      <c r="BF133" s="85"/>
      <c r="BG133" s="85"/>
      <c r="BH133" s="85"/>
      <c r="BI133" s="85"/>
      <c r="BJ133" s="85"/>
      <c r="BK133" s="85"/>
      <c r="BL133" s="85"/>
      <c r="BM133" s="85"/>
    </row>
    <row r="134" spans="7:65" s="57" customFormat="1" x14ac:dyDescent="0.25">
      <c r="G134" s="417"/>
      <c r="H134" s="417"/>
      <c r="I134" s="417"/>
      <c r="J134" s="417"/>
      <c r="K134" s="417"/>
      <c r="L134" s="417"/>
      <c r="M134" s="417"/>
      <c r="N134" s="417"/>
      <c r="O134" s="85"/>
      <c r="P134" s="417"/>
      <c r="Q134" s="417"/>
      <c r="R134" s="417"/>
      <c r="S134" s="417"/>
      <c r="T134" s="85"/>
      <c r="U134" s="417"/>
      <c r="V134" s="417"/>
      <c r="W134" s="417"/>
      <c r="X134" s="417"/>
      <c r="Y134" s="85"/>
      <c r="Z134" s="417"/>
      <c r="AA134" s="417"/>
      <c r="AB134" s="417"/>
      <c r="AC134" s="417"/>
      <c r="AD134" s="85"/>
      <c r="AE134" s="417"/>
      <c r="AF134" s="417"/>
      <c r="AG134" s="417"/>
      <c r="AH134" s="417"/>
      <c r="AI134" s="85"/>
      <c r="AJ134" s="417"/>
      <c r="AK134" s="417"/>
      <c r="AL134" s="417"/>
      <c r="AM134" s="417"/>
      <c r="AN134" s="85"/>
      <c r="AO134" s="417"/>
      <c r="AP134" s="417"/>
      <c r="AQ134" s="417"/>
      <c r="AR134" s="417"/>
      <c r="AS134" s="85"/>
      <c r="AT134" s="85"/>
      <c r="AU134" s="85"/>
      <c r="AV134" s="85"/>
      <c r="AW134" s="85"/>
      <c r="AX134" s="85"/>
      <c r="AY134" s="85"/>
      <c r="AZ134" s="85"/>
      <c r="BA134" s="85"/>
      <c r="BB134" s="85"/>
      <c r="BC134" s="85"/>
      <c r="BD134" s="85"/>
      <c r="BE134" s="85"/>
      <c r="BF134" s="85"/>
      <c r="BG134" s="85"/>
      <c r="BH134" s="85"/>
      <c r="BI134" s="85"/>
      <c r="BJ134" s="85"/>
      <c r="BK134" s="85"/>
      <c r="BL134" s="85"/>
      <c r="BM134" s="85"/>
    </row>
    <row r="135" spans="7:65" s="57" customFormat="1" x14ac:dyDescent="0.25">
      <c r="G135" s="417"/>
      <c r="H135" s="417"/>
      <c r="I135" s="417"/>
      <c r="J135" s="417"/>
      <c r="K135" s="417"/>
      <c r="L135" s="417"/>
      <c r="M135" s="417"/>
      <c r="N135" s="417"/>
      <c r="O135" s="85"/>
      <c r="P135" s="417"/>
      <c r="Q135" s="417"/>
      <c r="R135" s="417"/>
      <c r="S135" s="417"/>
      <c r="T135" s="85"/>
      <c r="U135" s="417"/>
      <c r="V135" s="417"/>
      <c r="W135" s="417"/>
      <c r="X135" s="417"/>
      <c r="Y135" s="85"/>
      <c r="Z135" s="417"/>
      <c r="AA135" s="417"/>
      <c r="AB135" s="417"/>
      <c r="AC135" s="417"/>
      <c r="AD135" s="85"/>
      <c r="AE135" s="417"/>
      <c r="AF135" s="417"/>
      <c r="AG135" s="417"/>
      <c r="AH135" s="417"/>
      <c r="AI135" s="85"/>
      <c r="AJ135" s="417"/>
      <c r="AK135" s="417"/>
      <c r="AL135" s="417"/>
      <c r="AM135" s="417"/>
      <c r="AN135" s="85"/>
      <c r="AO135" s="417"/>
      <c r="AP135" s="417"/>
      <c r="AQ135" s="417"/>
      <c r="AR135" s="417"/>
      <c r="AS135" s="85"/>
      <c r="AT135" s="85"/>
      <c r="AU135" s="85"/>
      <c r="AV135" s="85"/>
      <c r="AW135" s="85"/>
      <c r="AX135" s="85"/>
      <c r="AY135" s="85"/>
      <c r="AZ135" s="85"/>
      <c r="BA135" s="85"/>
      <c r="BB135" s="85"/>
      <c r="BC135" s="85"/>
      <c r="BD135" s="85"/>
      <c r="BE135" s="85"/>
      <c r="BF135" s="85"/>
      <c r="BG135" s="85"/>
      <c r="BH135" s="85"/>
      <c r="BI135" s="85"/>
      <c r="BJ135" s="85"/>
      <c r="BK135" s="85"/>
      <c r="BL135" s="85"/>
      <c r="BM135" s="85"/>
    </row>
    <row r="136" spans="7:65" s="57" customFormat="1" x14ac:dyDescent="0.25">
      <c r="G136" s="417"/>
      <c r="H136" s="417"/>
      <c r="I136" s="417"/>
      <c r="J136" s="417"/>
      <c r="K136" s="417"/>
      <c r="L136" s="417"/>
      <c r="M136" s="417"/>
      <c r="N136" s="417"/>
      <c r="O136" s="85"/>
      <c r="P136" s="417"/>
      <c r="Q136" s="417"/>
      <c r="R136" s="417"/>
      <c r="S136" s="417"/>
      <c r="T136" s="85"/>
      <c r="U136" s="417"/>
      <c r="V136" s="417"/>
      <c r="W136" s="417"/>
      <c r="X136" s="417"/>
      <c r="Y136" s="85"/>
      <c r="Z136" s="417"/>
      <c r="AA136" s="417"/>
      <c r="AB136" s="417"/>
      <c r="AC136" s="417"/>
      <c r="AD136" s="85"/>
      <c r="AE136" s="417"/>
      <c r="AF136" s="417"/>
      <c r="AG136" s="417"/>
      <c r="AH136" s="417"/>
      <c r="AI136" s="85"/>
      <c r="AJ136" s="417"/>
      <c r="AK136" s="417"/>
      <c r="AL136" s="417"/>
      <c r="AM136" s="417"/>
      <c r="AN136" s="85"/>
      <c r="AO136" s="417"/>
      <c r="AP136" s="417"/>
      <c r="AQ136" s="417"/>
      <c r="AR136" s="417"/>
      <c r="AS136" s="85"/>
      <c r="AT136" s="85"/>
      <c r="AU136" s="85"/>
      <c r="AV136" s="85"/>
      <c r="AW136" s="85"/>
      <c r="AX136" s="85"/>
      <c r="AY136" s="85"/>
      <c r="AZ136" s="85"/>
      <c r="BA136" s="85"/>
      <c r="BB136" s="85"/>
      <c r="BC136" s="85"/>
      <c r="BD136" s="85"/>
      <c r="BE136" s="85"/>
      <c r="BF136" s="85"/>
      <c r="BG136" s="85"/>
      <c r="BH136" s="85"/>
      <c r="BI136" s="85"/>
      <c r="BJ136" s="85"/>
      <c r="BK136" s="85"/>
      <c r="BL136" s="85"/>
      <c r="BM136" s="85"/>
    </row>
    <row r="137" spans="7:65" s="57" customFormat="1" x14ac:dyDescent="0.25">
      <c r="G137" s="417"/>
      <c r="H137" s="417"/>
      <c r="I137" s="417"/>
      <c r="J137" s="417"/>
      <c r="K137" s="417"/>
      <c r="L137" s="417"/>
      <c r="M137" s="417"/>
      <c r="N137" s="417"/>
      <c r="O137" s="85"/>
      <c r="P137" s="417"/>
      <c r="Q137" s="417"/>
      <c r="R137" s="417"/>
      <c r="S137" s="417"/>
      <c r="T137" s="85"/>
      <c r="U137" s="417"/>
      <c r="V137" s="417"/>
      <c r="W137" s="417"/>
      <c r="X137" s="417"/>
      <c r="Y137" s="85"/>
      <c r="Z137" s="417"/>
      <c r="AA137" s="417"/>
      <c r="AB137" s="417"/>
      <c r="AC137" s="417"/>
      <c r="AD137" s="85"/>
      <c r="AE137" s="417"/>
      <c r="AF137" s="417"/>
      <c r="AG137" s="417"/>
      <c r="AH137" s="417"/>
      <c r="AI137" s="85"/>
      <c r="AJ137" s="417"/>
      <c r="AK137" s="417"/>
      <c r="AL137" s="417"/>
      <c r="AM137" s="417"/>
      <c r="AN137" s="85"/>
      <c r="AO137" s="417"/>
      <c r="AP137" s="417"/>
      <c r="AQ137" s="417"/>
      <c r="AR137" s="417"/>
      <c r="AS137" s="85"/>
      <c r="AT137" s="85"/>
      <c r="AU137" s="85"/>
      <c r="AV137" s="85"/>
      <c r="AW137" s="85"/>
      <c r="AX137" s="85"/>
      <c r="AY137" s="85"/>
      <c r="AZ137" s="85"/>
      <c r="BA137" s="85"/>
      <c r="BB137" s="85"/>
      <c r="BC137" s="85"/>
      <c r="BD137" s="85"/>
      <c r="BE137" s="85"/>
      <c r="BF137" s="85"/>
      <c r="BG137" s="85"/>
      <c r="BH137" s="85"/>
      <c r="BI137" s="85"/>
      <c r="BJ137" s="85"/>
      <c r="BK137" s="85"/>
      <c r="BL137" s="85"/>
      <c r="BM137" s="85"/>
    </row>
    <row r="138" spans="7:65" s="57" customFormat="1" x14ac:dyDescent="0.25">
      <c r="G138" s="417"/>
      <c r="H138" s="417"/>
      <c r="I138" s="417"/>
      <c r="J138" s="417"/>
      <c r="K138" s="417"/>
      <c r="L138" s="417"/>
      <c r="M138" s="417"/>
      <c r="N138" s="417"/>
      <c r="O138" s="85"/>
      <c r="P138" s="417"/>
      <c r="Q138" s="417"/>
      <c r="R138" s="417"/>
      <c r="S138" s="417"/>
      <c r="T138" s="85"/>
      <c r="U138" s="417"/>
      <c r="V138" s="417"/>
      <c r="W138" s="417"/>
      <c r="X138" s="417"/>
      <c r="Y138" s="85"/>
      <c r="Z138" s="417"/>
      <c r="AA138" s="417"/>
      <c r="AB138" s="417"/>
      <c r="AC138" s="417"/>
      <c r="AD138" s="85"/>
      <c r="AE138" s="417"/>
      <c r="AF138" s="417"/>
      <c r="AG138" s="417"/>
      <c r="AH138" s="417"/>
      <c r="AI138" s="85"/>
      <c r="AJ138" s="417"/>
      <c r="AK138" s="417"/>
      <c r="AL138" s="417"/>
      <c r="AM138" s="417"/>
      <c r="AN138" s="85"/>
      <c r="AO138" s="417"/>
      <c r="AP138" s="417"/>
      <c r="AQ138" s="417"/>
      <c r="AR138" s="417"/>
      <c r="AS138" s="85"/>
      <c r="AT138" s="85"/>
      <c r="AU138" s="85"/>
      <c r="AV138" s="85"/>
      <c r="AW138" s="85"/>
      <c r="AX138" s="85"/>
      <c r="AY138" s="85"/>
      <c r="AZ138" s="85"/>
      <c r="BA138" s="85"/>
      <c r="BB138" s="85"/>
      <c r="BC138" s="85"/>
      <c r="BD138" s="85"/>
      <c r="BE138" s="85"/>
      <c r="BF138" s="85"/>
      <c r="BG138" s="85"/>
      <c r="BH138" s="85"/>
      <c r="BI138" s="85"/>
      <c r="BJ138" s="85"/>
      <c r="BK138" s="85"/>
      <c r="BL138" s="85"/>
      <c r="BM138" s="85"/>
    </row>
    <row r="139" spans="7:65" s="57" customFormat="1" x14ac:dyDescent="0.25">
      <c r="G139" s="417"/>
      <c r="H139" s="417"/>
      <c r="I139" s="417"/>
      <c r="J139" s="417"/>
      <c r="K139" s="417"/>
      <c r="L139" s="417"/>
      <c r="M139" s="417"/>
      <c r="N139" s="417"/>
      <c r="O139" s="85"/>
      <c r="P139" s="417"/>
      <c r="Q139" s="417"/>
      <c r="R139" s="417"/>
      <c r="S139" s="417"/>
      <c r="T139" s="85"/>
      <c r="U139" s="417"/>
      <c r="V139" s="417"/>
      <c r="W139" s="417"/>
      <c r="X139" s="417"/>
      <c r="Y139" s="85"/>
      <c r="Z139" s="417"/>
      <c r="AA139" s="417"/>
      <c r="AB139" s="417"/>
      <c r="AC139" s="417"/>
      <c r="AD139" s="85"/>
      <c r="AE139" s="417"/>
      <c r="AF139" s="417"/>
      <c r="AG139" s="417"/>
      <c r="AH139" s="417"/>
      <c r="AI139" s="85"/>
      <c r="AJ139" s="417"/>
      <c r="AK139" s="417"/>
      <c r="AL139" s="417"/>
      <c r="AM139" s="417"/>
      <c r="AN139" s="85"/>
      <c r="AO139" s="417"/>
      <c r="AP139" s="417"/>
      <c r="AQ139" s="417"/>
      <c r="AR139" s="417"/>
      <c r="AS139" s="85"/>
      <c r="AT139" s="85"/>
      <c r="AU139" s="85"/>
      <c r="AV139" s="85"/>
      <c r="AW139" s="85"/>
      <c r="AX139" s="85"/>
      <c r="AY139" s="85"/>
      <c r="AZ139" s="85"/>
      <c r="BA139" s="85"/>
      <c r="BB139" s="85"/>
      <c r="BC139" s="85"/>
      <c r="BD139" s="85"/>
      <c r="BE139" s="85"/>
      <c r="BF139" s="85"/>
      <c r="BG139" s="85"/>
      <c r="BH139" s="85"/>
      <c r="BI139" s="85"/>
      <c r="BJ139" s="85"/>
      <c r="BK139" s="85"/>
      <c r="BL139" s="85"/>
      <c r="BM139" s="85"/>
    </row>
    <row r="140" spans="7:65" s="57" customFormat="1" x14ac:dyDescent="0.25">
      <c r="G140" s="417"/>
      <c r="H140" s="417"/>
      <c r="I140" s="417"/>
      <c r="J140" s="417"/>
      <c r="K140" s="417"/>
      <c r="L140" s="417"/>
      <c r="M140" s="417"/>
      <c r="N140" s="417"/>
      <c r="O140" s="85"/>
      <c r="P140" s="417"/>
      <c r="Q140" s="417"/>
      <c r="R140" s="417"/>
      <c r="S140" s="417"/>
      <c r="T140" s="85"/>
      <c r="U140" s="417"/>
      <c r="V140" s="417"/>
      <c r="W140" s="417"/>
      <c r="X140" s="417"/>
      <c r="Y140" s="85"/>
      <c r="Z140" s="417"/>
      <c r="AA140" s="417"/>
      <c r="AB140" s="417"/>
      <c r="AC140" s="417"/>
      <c r="AD140" s="85"/>
      <c r="AE140" s="417"/>
      <c r="AF140" s="417"/>
      <c r="AG140" s="417"/>
      <c r="AH140" s="417"/>
      <c r="AI140" s="85"/>
      <c r="AJ140" s="417"/>
      <c r="AK140" s="417"/>
      <c r="AL140" s="417"/>
      <c r="AM140" s="417"/>
      <c r="AN140" s="85"/>
      <c r="AO140" s="417"/>
      <c r="AP140" s="417"/>
      <c r="AQ140" s="417"/>
      <c r="AR140" s="417"/>
      <c r="AS140" s="85"/>
      <c r="AT140" s="85"/>
      <c r="AU140" s="85"/>
      <c r="AV140" s="85"/>
      <c r="AW140" s="85"/>
      <c r="AX140" s="85"/>
      <c r="AY140" s="85"/>
      <c r="AZ140" s="85"/>
      <c r="BA140" s="85"/>
      <c r="BB140" s="85"/>
      <c r="BC140" s="85"/>
      <c r="BD140" s="85"/>
      <c r="BE140" s="85"/>
      <c r="BF140" s="85"/>
      <c r="BG140" s="85"/>
      <c r="BH140" s="85"/>
      <c r="BI140" s="85"/>
      <c r="BJ140" s="85"/>
      <c r="BK140" s="85"/>
      <c r="BL140" s="85"/>
      <c r="BM140" s="85"/>
    </row>
    <row r="141" spans="7:65" s="57" customFormat="1" x14ac:dyDescent="0.25">
      <c r="G141" s="417"/>
      <c r="H141" s="417"/>
      <c r="I141" s="417"/>
      <c r="J141" s="417"/>
      <c r="K141" s="417"/>
      <c r="L141" s="417"/>
      <c r="M141" s="417"/>
      <c r="N141" s="417"/>
      <c r="O141" s="85"/>
      <c r="P141" s="417"/>
      <c r="Q141" s="417"/>
      <c r="R141" s="417"/>
      <c r="S141" s="417"/>
      <c r="T141" s="85"/>
      <c r="U141" s="417"/>
      <c r="V141" s="417"/>
      <c r="W141" s="417"/>
      <c r="X141" s="417"/>
      <c r="Y141" s="85"/>
      <c r="Z141" s="417"/>
      <c r="AA141" s="417"/>
      <c r="AB141" s="417"/>
      <c r="AC141" s="417"/>
      <c r="AD141" s="85"/>
      <c r="AE141" s="417"/>
      <c r="AF141" s="417"/>
      <c r="AG141" s="417"/>
      <c r="AH141" s="417"/>
      <c r="AI141" s="85"/>
      <c r="AJ141" s="417"/>
      <c r="AK141" s="417"/>
      <c r="AL141" s="417"/>
      <c r="AM141" s="417"/>
      <c r="AN141" s="85"/>
      <c r="AO141" s="417"/>
      <c r="AP141" s="417"/>
      <c r="AQ141" s="417"/>
      <c r="AR141" s="417"/>
      <c r="AS141" s="85"/>
      <c r="AT141" s="85"/>
      <c r="AU141" s="85"/>
      <c r="AV141" s="85"/>
      <c r="AW141" s="85"/>
      <c r="AX141" s="85"/>
      <c r="AY141" s="85"/>
      <c r="AZ141" s="85"/>
      <c r="BA141" s="85"/>
      <c r="BB141" s="85"/>
      <c r="BC141" s="85"/>
      <c r="BD141" s="85"/>
      <c r="BE141" s="85"/>
      <c r="BF141" s="85"/>
      <c r="BG141" s="85"/>
      <c r="BH141" s="85"/>
      <c r="BI141" s="85"/>
      <c r="BJ141" s="85"/>
      <c r="BK141" s="85"/>
      <c r="BL141" s="85"/>
      <c r="BM141" s="85"/>
    </row>
    <row r="142" spans="7:65" s="57" customFormat="1" x14ac:dyDescent="0.25">
      <c r="G142" s="417"/>
      <c r="H142" s="417"/>
      <c r="I142" s="417"/>
      <c r="J142" s="417"/>
      <c r="K142" s="417"/>
      <c r="L142" s="417"/>
      <c r="M142" s="417"/>
      <c r="N142" s="417"/>
      <c r="O142" s="85"/>
      <c r="P142" s="417"/>
      <c r="Q142" s="417"/>
      <c r="R142" s="417"/>
      <c r="S142" s="417"/>
      <c r="T142" s="85"/>
      <c r="U142" s="417"/>
      <c r="V142" s="417"/>
      <c r="W142" s="417"/>
      <c r="X142" s="417"/>
      <c r="Y142" s="85"/>
      <c r="Z142" s="417"/>
      <c r="AA142" s="417"/>
      <c r="AB142" s="417"/>
      <c r="AC142" s="417"/>
      <c r="AD142" s="85"/>
      <c r="AE142" s="417"/>
      <c r="AF142" s="417"/>
      <c r="AG142" s="417"/>
      <c r="AH142" s="417"/>
      <c r="AI142" s="85"/>
      <c r="AJ142" s="417"/>
      <c r="AK142" s="417"/>
      <c r="AL142" s="417"/>
      <c r="AM142" s="417"/>
      <c r="AN142" s="85"/>
      <c r="AO142" s="417"/>
      <c r="AP142" s="417"/>
      <c r="AQ142" s="417"/>
      <c r="AR142" s="417"/>
      <c r="AS142" s="85"/>
      <c r="AT142" s="85"/>
      <c r="AU142" s="85"/>
      <c r="AV142" s="85"/>
      <c r="AW142" s="85"/>
      <c r="AX142" s="85"/>
      <c r="AY142" s="85"/>
      <c r="AZ142" s="85"/>
      <c r="BA142" s="85"/>
      <c r="BB142" s="85"/>
      <c r="BC142" s="85"/>
      <c r="BD142" s="85"/>
      <c r="BE142" s="85"/>
      <c r="BF142" s="85"/>
      <c r="BG142" s="85"/>
      <c r="BH142" s="85"/>
      <c r="BI142" s="85"/>
      <c r="BJ142" s="85"/>
      <c r="BK142" s="85"/>
      <c r="BL142" s="85"/>
      <c r="BM142" s="85"/>
    </row>
    <row r="143" spans="7:65" s="57" customFormat="1" x14ac:dyDescent="0.25">
      <c r="G143" s="417"/>
      <c r="H143" s="417"/>
      <c r="I143" s="417"/>
      <c r="J143" s="417"/>
      <c r="K143" s="417"/>
      <c r="L143" s="417"/>
      <c r="M143" s="417"/>
      <c r="N143" s="417"/>
      <c r="O143" s="85"/>
      <c r="P143" s="417"/>
      <c r="Q143" s="417"/>
      <c r="R143" s="417"/>
      <c r="S143" s="417"/>
      <c r="T143" s="85"/>
      <c r="U143" s="417"/>
      <c r="V143" s="417"/>
      <c r="W143" s="417"/>
      <c r="X143" s="417"/>
      <c r="Y143" s="85"/>
      <c r="Z143" s="417"/>
      <c r="AA143" s="417"/>
      <c r="AB143" s="417"/>
      <c r="AC143" s="417"/>
      <c r="AD143" s="85"/>
      <c r="AE143" s="417"/>
      <c r="AF143" s="417"/>
      <c r="AG143" s="417"/>
      <c r="AH143" s="417"/>
      <c r="AI143" s="85"/>
      <c r="AJ143" s="417"/>
      <c r="AK143" s="417"/>
      <c r="AL143" s="417"/>
      <c r="AM143" s="417"/>
      <c r="AN143" s="85"/>
      <c r="AO143" s="417"/>
      <c r="AP143" s="417"/>
      <c r="AQ143" s="417"/>
      <c r="AR143" s="417"/>
      <c r="AS143" s="85"/>
      <c r="AT143" s="85"/>
      <c r="AU143" s="85"/>
      <c r="AV143" s="85"/>
      <c r="AW143" s="85"/>
      <c r="AX143" s="85"/>
      <c r="AY143" s="85"/>
      <c r="AZ143" s="85"/>
      <c r="BA143" s="85"/>
      <c r="BB143" s="85"/>
      <c r="BC143" s="85"/>
      <c r="BD143" s="85"/>
      <c r="BE143" s="85"/>
      <c r="BF143" s="85"/>
      <c r="BG143" s="85"/>
      <c r="BH143" s="85"/>
      <c r="BI143" s="85"/>
      <c r="BJ143" s="85"/>
      <c r="BK143" s="85"/>
      <c r="BL143" s="85"/>
      <c r="BM143" s="85"/>
    </row>
    <row r="144" spans="7:65" s="57" customFormat="1" x14ac:dyDescent="0.25">
      <c r="G144" s="417"/>
      <c r="H144" s="417"/>
      <c r="I144" s="417"/>
      <c r="J144" s="417"/>
      <c r="K144" s="417"/>
      <c r="L144" s="417"/>
      <c r="M144" s="417"/>
      <c r="N144" s="417"/>
      <c r="O144" s="85"/>
      <c r="P144" s="417"/>
      <c r="Q144" s="417"/>
      <c r="R144" s="417"/>
      <c r="S144" s="417"/>
      <c r="T144" s="85"/>
      <c r="U144" s="417"/>
      <c r="V144" s="417"/>
      <c r="W144" s="417"/>
      <c r="X144" s="417"/>
      <c r="Y144" s="85"/>
      <c r="Z144" s="417"/>
      <c r="AA144" s="417"/>
      <c r="AB144" s="417"/>
      <c r="AC144" s="417"/>
      <c r="AD144" s="85"/>
      <c r="AE144" s="417"/>
      <c r="AF144" s="417"/>
      <c r="AG144" s="417"/>
      <c r="AH144" s="417"/>
      <c r="AI144" s="85"/>
      <c r="AJ144" s="417"/>
      <c r="AK144" s="417"/>
      <c r="AL144" s="417"/>
      <c r="AM144" s="417"/>
      <c r="AN144" s="85"/>
      <c r="AO144" s="417"/>
      <c r="AP144" s="417"/>
      <c r="AQ144" s="417"/>
      <c r="AR144" s="417"/>
      <c r="AS144" s="85"/>
      <c r="AT144" s="85"/>
      <c r="AU144" s="85"/>
      <c r="AV144" s="85"/>
      <c r="AW144" s="85"/>
      <c r="AX144" s="85"/>
      <c r="AY144" s="85"/>
      <c r="AZ144" s="85"/>
      <c r="BA144" s="85"/>
      <c r="BB144" s="85"/>
      <c r="BC144" s="85"/>
      <c r="BD144" s="85"/>
      <c r="BE144" s="85"/>
      <c r="BF144" s="85"/>
      <c r="BG144" s="85"/>
      <c r="BH144" s="85"/>
      <c r="BI144" s="85"/>
      <c r="BJ144" s="85"/>
      <c r="BK144" s="85"/>
      <c r="BL144" s="85"/>
      <c r="BM144" s="85"/>
    </row>
    <row r="145" spans="7:65" s="57" customFormat="1" x14ac:dyDescent="0.25">
      <c r="G145" s="417"/>
      <c r="H145" s="417"/>
      <c r="I145" s="417"/>
      <c r="J145" s="417"/>
      <c r="K145" s="417"/>
      <c r="L145" s="417"/>
      <c r="M145" s="417"/>
      <c r="N145" s="417"/>
      <c r="O145" s="85"/>
      <c r="P145" s="417"/>
      <c r="Q145" s="417"/>
      <c r="R145" s="417"/>
      <c r="S145" s="417"/>
      <c r="T145" s="85"/>
      <c r="U145" s="417"/>
      <c r="V145" s="417"/>
      <c r="W145" s="417"/>
      <c r="X145" s="417"/>
      <c r="Y145" s="85"/>
      <c r="Z145" s="417"/>
      <c r="AA145" s="417"/>
      <c r="AB145" s="417"/>
      <c r="AC145" s="417"/>
      <c r="AD145" s="85"/>
      <c r="AE145" s="417"/>
      <c r="AF145" s="417"/>
      <c r="AG145" s="417"/>
      <c r="AH145" s="417"/>
      <c r="AI145" s="85"/>
      <c r="AJ145" s="417"/>
      <c r="AK145" s="417"/>
      <c r="AL145" s="417"/>
      <c r="AM145" s="417"/>
      <c r="AN145" s="85"/>
      <c r="AO145" s="417"/>
      <c r="AP145" s="417"/>
      <c r="AQ145" s="417"/>
      <c r="AR145" s="417"/>
      <c r="AS145" s="85"/>
      <c r="AT145" s="85"/>
      <c r="AU145" s="85"/>
      <c r="AV145" s="85"/>
      <c r="AW145" s="85"/>
      <c r="AX145" s="85"/>
      <c r="AY145" s="85"/>
      <c r="AZ145" s="85"/>
      <c r="BA145" s="85"/>
      <c r="BB145" s="85"/>
      <c r="BC145" s="85"/>
      <c r="BD145" s="85"/>
      <c r="BE145" s="85"/>
      <c r="BF145" s="85"/>
      <c r="BG145" s="85"/>
      <c r="BH145" s="85"/>
      <c r="BI145" s="85"/>
      <c r="BJ145" s="85"/>
      <c r="BK145" s="85"/>
      <c r="BL145" s="85"/>
      <c r="BM145" s="85"/>
    </row>
    <row r="146" spans="7:65" s="57" customFormat="1" x14ac:dyDescent="0.25">
      <c r="G146" s="417"/>
      <c r="H146" s="417"/>
      <c r="I146" s="417"/>
      <c r="J146" s="417"/>
      <c r="K146" s="417"/>
      <c r="L146" s="417"/>
      <c r="M146" s="417"/>
      <c r="N146" s="417"/>
      <c r="O146" s="85"/>
      <c r="P146" s="417"/>
      <c r="Q146" s="417"/>
      <c r="R146" s="417"/>
      <c r="S146" s="417"/>
      <c r="T146" s="85"/>
      <c r="U146" s="417"/>
      <c r="V146" s="417"/>
      <c r="W146" s="417"/>
      <c r="X146" s="417"/>
      <c r="Y146" s="85"/>
      <c r="Z146" s="417"/>
      <c r="AA146" s="417"/>
      <c r="AB146" s="417"/>
      <c r="AC146" s="417"/>
      <c r="AD146" s="85"/>
      <c r="AE146" s="417"/>
      <c r="AF146" s="417"/>
      <c r="AG146" s="417"/>
      <c r="AH146" s="417"/>
      <c r="AI146" s="85"/>
      <c r="AJ146" s="417"/>
      <c r="AK146" s="417"/>
      <c r="AL146" s="417"/>
      <c r="AM146" s="417"/>
      <c r="AN146" s="85"/>
      <c r="AO146" s="417"/>
      <c r="AP146" s="417"/>
      <c r="AQ146" s="417"/>
      <c r="AR146" s="417"/>
      <c r="AS146" s="85"/>
      <c r="AT146" s="85"/>
      <c r="AU146" s="85"/>
      <c r="AV146" s="85"/>
      <c r="AW146" s="85"/>
      <c r="AX146" s="85"/>
      <c r="AY146" s="85"/>
      <c r="AZ146" s="85"/>
      <c r="BA146" s="85"/>
      <c r="BB146" s="85"/>
      <c r="BC146" s="85"/>
      <c r="BD146" s="85"/>
      <c r="BE146" s="85"/>
      <c r="BF146" s="85"/>
      <c r="BG146" s="85"/>
      <c r="BH146" s="85"/>
      <c r="BI146" s="85"/>
      <c r="BJ146" s="85"/>
      <c r="BK146" s="85"/>
      <c r="BL146" s="85"/>
      <c r="BM146" s="85"/>
    </row>
    <row r="147" spans="7:65" s="57" customFormat="1" x14ac:dyDescent="0.25">
      <c r="G147" s="417"/>
      <c r="H147" s="417"/>
      <c r="I147" s="417"/>
      <c r="J147" s="417"/>
      <c r="K147" s="417"/>
      <c r="L147" s="417"/>
      <c r="M147" s="417"/>
      <c r="N147" s="417"/>
      <c r="O147" s="85"/>
      <c r="P147" s="417"/>
      <c r="Q147" s="417"/>
      <c r="R147" s="417"/>
      <c r="S147" s="417"/>
      <c r="T147" s="85"/>
      <c r="U147" s="417"/>
      <c r="V147" s="417"/>
      <c r="W147" s="417"/>
      <c r="X147" s="417"/>
      <c r="Y147" s="85"/>
      <c r="Z147" s="417"/>
      <c r="AA147" s="417"/>
      <c r="AB147" s="417"/>
      <c r="AC147" s="417"/>
      <c r="AD147" s="85"/>
      <c r="AE147" s="417"/>
      <c r="AF147" s="417"/>
      <c r="AG147" s="417"/>
      <c r="AH147" s="417"/>
      <c r="AI147" s="85"/>
      <c r="AJ147" s="417"/>
      <c r="AK147" s="417"/>
      <c r="AL147" s="417"/>
      <c r="AM147" s="417"/>
      <c r="AN147" s="85"/>
      <c r="AO147" s="417"/>
      <c r="AP147" s="417"/>
      <c r="AQ147" s="417"/>
      <c r="AR147" s="417"/>
      <c r="AS147" s="85"/>
      <c r="AT147" s="85"/>
      <c r="AU147" s="85"/>
      <c r="AV147" s="85"/>
      <c r="AW147" s="85"/>
      <c r="AX147" s="85"/>
      <c r="AY147" s="85"/>
      <c r="AZ147" s="85"/>
      <c r="BA147" s="85"/>
      <c r="BB147" s="85"/>
      <c r="BC147" s="85"/>
      <c r="BD147" s="85"/>
      <c r="BE147" s="85"/>
      <c r="BF147" s="85"/>
      <c r="BG147" s="85"/>
      <c r="BH147" s="85"/>
      <c r="BI147" s="85"/>
      <c r="BJ147" s="85"/>
      <c r="BK147" s="85"/>
      <c r="BL147" s="85"/>
      <c r="BM147" s="85"/>
    </row>
    <row r="148" spans="7:65" s="57" customFormat="1" x14ac:dyDescent="0.25">
      <c r="G148" s="417"/>
      <c r="H148" s="417"/>
      <c r="I148" s="417"/>
      <c r="J148" s="417"/>
      <c r="K148" s="417"/>
      <c r="L148" s="417"/>
      <c r="M148" s="417"/>
      <c r="N148" s="417"/>
      <c r="O148" s="85"/>
      <c r="P148" s="417"/>
      <c r="Q148" s="417"/>
      <c r="R148" s="417"/>
      <c r="S148" s="417"/>
      <c r="T148" s="85"/>
      <c r="U148" s="417"/>
      <c r="V148" s="417"/>
      <c r="W148" s="417"/>
      <c r="X148" s="417"/>
      <c r="Y148" s="85"/>
      <c r="Z148" s="417"/>
      <c r="AA148" s="417"/>
      <c r="AB148" s="417"/>
      <c r="AC148" s="417"/>
      <c r="AD148" s="85"/>
      <c r="AE148" s="417"/>
      <c r="AF148" s="417"/>
      <c r="AG148" s="417"/>
      <c r="AH148" s="417"/>
      <c r="AI148" s="85"/>
      <c r="AJ148" s="417"/>
      <c r="AK148" s="417"/>
      <c r="AL148" s="417"/>
      <c r="AM148" s="417"/>
      <c r="AN148" s="85"/>
      <c r="AO148" s="417"/>
      <c r="AP148" s="417"/>
      <c r="AQ148" s="417"/>
      <c r="AR148" s="417"/>
      <c r="AS148" s="85"/>
      <c r="AT148" s="85"/>
      <c r="AU148" s="85"/>
      <c r="AV148" s="85"/>
      <c r="AW148" s="85"/>
      <c r="AX148" s="85"/>
      <c r="AY148" s="85"/>
      <c r="AZ148" s="85"/>
      <c r="BA148" s="85"/>
      <c r="BB148" s="85"/>
      <c r="BC148" s="85"/>
      <c r="BD148" s="85"/>
      <c r="BE148" s="85"/>
      <c r="BF148" s="85"/>
      <c r="BG148" s="85"/>
      <c r="BH148" s="85"/>
      <c r="BI148" s="85"/>
      <c r="BJ148" s="85"/>
      <c r="BK148" s="85"/>
      <c r="BL148" s="85"/>
      <c r="BM148" s="85"/>
    </row>
    <row r="149" spans="7:65" s="57" customFormat="1" x14ac:dyDescent="0.25">
      <c r="G149" s="417"/>
      <c r="H149" s="417"/>
      <c r="I149" s="417"/>
      <c r="J149" s="417"/>
      <c r="K149" s="417"/>
      <c r="L149" s="417"/>
      <c r="M149" s="417"/>
      <c r="N149" s="417"/>
      <c r="O149" s="85"/>
      <c r="P149" s="417"/>
      <c r="Q149" s="417"/>
      <c r="R149" s="417"/>
      <c r="S149" s="417"/>
      <c r="T149" s="85"/>
      <c r="U149" s="417"/>
      <c r="V149" s="417"/>
      <c r="W149" s="417"/>
      <c r="X149" s="417"/>
      <c r="Y149" s="85"/>
      <c r="Z149" s="417"/>
      <c r="AA149" s="417"/>
      <c r="AB149" s="417"/>
      <c r="AC149" s="417"/>
      <c r="AD149" s="85"/>
      <c r="AE149" s="417"/>
      <c r="AF149" s="417"/>
      <c r="AG149" s="417"/>
      <c r="AH149" s="417"/>
      <c r="AI149" s="85"/>
      <c r="AJ149" s="417"/>
      <c r="AK149" s="417"/>
      <c r="AL149" s="417"/>
      <c r="AM149" s="417"/>
      <c r="AN149" s="85"/>
      <c r="AO149" s="417"/>
      <c r="AP149" s="417"/>
      <c r="AQ149" s="417"/>
      <c r="AR149" s="417"/>
      <c r="AS149" s="85"/>
      <c r="AT149" s="85"/>
      <c r="AU149" s="85"/>
      <c r="AV149" s="85"/>
      <c r="AW149" s="85"/>
      <c r="AX149" s="85"/>
      <c r="AY149" s="85"/>
      <c r="AZ149" s="85"/>
      <c r="BA149" s="85"/>
      <c r="BB149" s="85"/>
      <c r="BC149" s="85"/>
      <c r="BD149" s="85"/>
      <c r="BE149" s="85"/>
      <c r="BF149" s="85"/>
      <c r="BG149" s="85"/>
      <c r="BH149" s="85"/>
      <c r="BI149" s="85"/>
      <c r="BJ149" s="85"/>
      <c r="BK149" s="85"/>
      <c r="BL149" s="85"/>
      <c r="BM149" s="85"/>
    </row>
    <row r="150" spans="7:65" s="57" customFormat="1" x14ac:dyDescent="0.25">
      <c r="G150" s="417"/>
      <c r="H150" s="417"/>
      <c r="I150" s="417"/>
      <c r="J150" s="417"/>
      <c r="K150" s="417"/>
      <c r="L150" s="417"/>
      <c r="M150" s="417"/>
      <c r="N150" s="417"/>
      <c r="O150" s="85"/>
      <c r="P150" s="417"/>
      <c r="Q150" s="417"/>
      <c r="R150" s="417"/>
      <c r="S150" s="417"/>
      <c r="T150" s="85"/>
      <c r="U150" s="417"/>
      <c r="V150" s="417"/>
      <c r="W150" s="417"/>
      <c r="X150" s="417"/>
      <c r="Y150" s="85"/>
      <c r="Z150" s="417"/>
      <c r="AA150" s="417"/>
      <c r="AB150" s="417"/>
      <c r="AC150" s="417"/>
      <c r="AD150" s="85"/>
      <c r="AE150" s="417"/>
      <c r="AF150" s="417"/>
      <c r="AG150" s="417"/>
      <c r="AH150" s="417"/>
      <c r="AI150" s="85"/>
      <c r="AJ150" s="417"/>
      <c r="AK150" s="417"/>
      <c r="AL150" s="417"/>
      <c r="AM150" s="417"/>
      <c r="AN150" s="85"/>
      <c r="AO150" s="417"/>
      <c r="AP150" s="417"/>
      <c r="AQ150" s="417"/>
      <c r="AR150" s="417"/>
      <c r="AS150" s="85"/>
      <c r="AT150" s="85"/>
      <c r="AU150" s="85"/>
      <c r="AV150" s="85"/>
      <c r="AW150" s="85"/>
      <c r="AX150" s="85"/>
      <c r="AY150" s="85"/>
      <c r="AZ150" s="85"/>
      <c r="BA150" s="85"/>
      <c r="BB150" s="85"/>
      <c r="BC150" s="85"/>
      <c r="BD150" s="85"/>
      <c r="BE150" s="85"/>
      <c r="BF150" s="85"/>
      <c r="BG150" s="85"/>
      <c r="BH150" s="85"/>
      <c r="BI150" s="85"/>
      <c r="BJ150" s="85"/>
      <c r="BK150" s="85"/>
      <c r="BL150" s="85"/>
      <c r="BM150" s="85"/>
    </row>
    <row r="151" spans="7:65" s="57" customFormat="1" x14ac:dyDescent="0.25">
      <c r="G151" s="417"/>
      <c r="H151" s="417"/>
      <c r="I151" s="417"/>
      <c r="J151" s="417"/>
      <c r="K151" s="417"/>
      <c r="L151" s="417"/>
      <c r="M151" s="417"/>
      <c r="N151" s="417"/>
      <c r="O151" s="85"/>
      <c r="P151" s="417"/>
      <c r="Q151" s="417"/>
      <c r="R151" s="417"/>
      <c r="S151" s="417"/>
      <c r="T151" s="85"/>
      <c r="U151" s="417"/>
      <c r="V151" s="417"/>
      <c r="W151" s="417"/>
      <c r="X151" s="417"/>
      <c r="Y151" s="85"/>
      <c r="Z151" s="417"/>
      <c r="AA151" s="417"/>
      <c r="AB151" s="417"/>
      <c r="AC151" s="417"/>
      <c r="AD151" s="85"/>
      <c r="AE151" s="417"/>
      <c r="AF151" s="417"/>
      <c r="AG151" s="417"/>
      <c r="AH151" s="417"/>
      <c r="AI151" s="85"/>
      <c r="AJ151" s="417"/>
      <c r="AK151" s="417"/>
      <c r="AL151" s="417"/>
      <c r="AM151" s="417"/>
      <c r="AN151" s="85"/>
      <c r="AO151" s="417"/>
      <c r="AP151" s="417"/>
      <c r="AQ151" s="417"/>
      <c r="AR151" s="417"/>
      <c r="AS151" s="85"/>
      <c r="AT151" s="85"/>
      <c r="AU151" s="85"/>
      <c r="AV151" s="85"/>
      <c r="AW151" s="85"/>
      <c r="AX151" s="85"/>
      <c r="AY151" s="85"/>
      <c r="AZ151" s="85"/>
      <c r="BA151" s="85"/>
      <c r="BB151" s="85"/>
      <c r="BC151" s="85"/>
      <c r="BD151" s="85"/>
      <c r="BE151" s="85"/>
      <c r="BF151" s="85"/>
      <c r="BG151" s="85"/>
      <c r="BH151" s="85"/>
      <c r="BI151" s="85"/>
      <c r="BJ151" s="85"/>
      <c r="BK151" s="85"/>
      <c r="BL151" s="85"/>
      <c r="BM151" s="85"/>
    </row>
    <row r="152" spans="7:65" s="57" customFormat="1" x14ac:dyDescent="0.25">
      <c r="G152" s="417"/>
      <c r="H152" s="417"/>
      <c r="I152" s="417"/>
      <c r="J152" s="417"/>
      <c r="K152" s="417"/>
      <c r="L152" s="417"/>
      <c r="M152" s="417"/>
      <c r="N152" s="417"/>
      <c r="O152" s="85"/>
      <c r="P152" s="417"/>
      <c r="Q152" s="417"/>
      <c r="R152" s="417"/>
      <c r="S152" s="417"/>
      <c r="T152" s="85"/>
      <c r="U152" s="417"/>
      <c r="V152" s="417"/>
      <c r="W152" s="417"/>
      <c r="X152" s="417"/>
      <c r="Y152" s="85"/>
      <c r="Z152" s="417"/>
      <c r="AA152" s="417"/>
      <c r="AB152" s="417"/>
      <c r="AC152" s="417"/>
      <c r="AD152" s="85"/>
      <c r="AE152" s="417"/>
      <c r="AF152" s="417"/>
      <c r="AG152" s="417"/>
      <c r="AH152" s="417"/>
      <c r="AI152" s="85"/>
      <c r="AJ152" s="417"/>
      <c r="AK152" s="417"/>
      <c r="AL152" s="417"/>
      <c r="AM152" s="417"/>
      <c r="AN152" s="85"/>
      <c r="AO152" s="417"/>
      <c r="AP152" s="417"/>
      <c r="AQ152" s="417"/>
      <c r="AR152" s="417"/>
      <c r="AS152" s="85"/>
      <c r="AT152" s="85"/>
      <c r="AU152" s="85"/>
      <c r="AV152" s="85"/>
      <c r="AW152" s="85"/>
      <c r="AX152" s="85"/>
      <c r="AY152" s="85"/>
      <c r="AZ152" s="85"/>
      <c r="BA152" s="85"/>
      <c r="BB152" s="85"/>
      <c r="BC152" s="85"/>
      <c r="BD152" s="85"/>
      <c r="BE152" s="85"/>
      <c r="BF152" s="85"/>
      <c r="BG152" s="85"/>
      <c r="BH152" s="85"/>
      <c r="BI152" s="85"/>
      <c r="BJ152" s="85"/>
      <c r="BK152" s="85"/>
      <c r="BL152" s="85"/>
      <c r="BM152" s="85"/>
    </row>
    <row r="153" spans="7:65" s="57" customFormat="1" x14ac:dyDescent="0.25">
      <c r="G153" s="417"/>
      <c r="H153" s="417"/>
      <c r="I153" s="417"/>
      <c r="J153" s="417"/>
      <c r="K153" s="417"/>
      <c r="L153" s="417"/>
      <c r="M153" s="417"/>
      <c r="N153" s="417"/>
      <c r="O153" s="85"/>
      <c r="P153" s="417"/>
      <c r="Q153" s="417"/>
      <c r="R153" s="417"/>
      <c r="S153" s="417"/>
      <c r="T153" s="85"/>
      <c r="U153" s="417"/>
      <c r="V153" s="417"/>
      <c r="W153" s="417"/>
      <c r="X153" s="417"/>
      <c r="Y153" s="85"/>
      <c r="Z153" s="417"/>
      <c r="AA153" s="417"/>
      <c r="AB153" s="417"/>
      <c r="AC153" s="417"/>
      <c r="AD153" s="85"/>
      <c r="AE153" s="417"/>
      <c r="AF153" s="417"/>
      <c r="AG153" s="417"/>
      <c r="AH153" s="417"/>
      <c r="AI153" s="85"/>
      <c r="AJ153" s="417"/>
      <c r="AK153" s="417"/>
      <c r="AL153" s="417"/>
      <c r="AM153" s="417"/>
      <c r="AN153" s="85"/>
      <c r="AO153" s="417"/>
      <c r="AP153" s="417"/>
      <c r="AQ153" s="417"/>
      <c r="AR153" s="417"/>
      <c r="AS153" s="85"/>
      <c r="AT153" s="85"/>
      <c r="AU153" s="85"/>
      <c r="AV153" s="85"/>
      <c r="AW153" s="85"/>
      <c r="AX153" s="85"/>
      <c r="AY153" s="85"/>
      <c r="AZ153" s="85"/>
      <c r="BA153" s="85"/>
      <c r="BB153" s="85"/>
      <c r="BC153" s="85"/>
      <c r="BD153" s="85"/>
      <c r="BE153" s="85"/>
      <c r="BF153" s="85"/>
      <c r="BG153" s="85"/>
      <c r="BH153" s="85"/>
      <c r="BI153" s="85"/>
      <c r="BJ153" s="85"/>
      <c r="BK153" s="85"/>
      <c r="BL153" s="85"/>
      <c r="BM153" s="85"/>
    </row>
    <row r="154" spans="7:65" s="57" customFormat="1" x14ac:dyDescent="0.25">
      <c r="G154" s="417"/>
      <c r="H154" s="417"/>
      <c r="I154" s="417"/>
      <c r="J154" s="417"/>
      <c r="K154" s="417"/>
      <c r="L154" s="417"/>
      <c r="M154" s="417"/>
      <c r="N154" s="417"/>
      <c r="O154" s="85"/>
      <c r="P154" s="417"/>
      <c r="Q154" s="417"/>
      <c r="R154" s="417"/>
      <c r="S154" s="417"/>
      <c r="T154" s="85"/>
      <c r="U154" s="417"/>
      <c r="V154" s="417"/>
      <c r="W154" s="417"/>
      <c r="X154" s="417"/>
      <c r="Y154" s="85"/>
      <c r="Z154" s="417"/>
      <c r="AA154" s="417"/>
      <c r="AB154" s="417"/>
      <c r="AC154" s="417"/>
      <c r="AD154" s="85"/>
      <c r="AE154" s="417"/>
      <c r="AF154" s="417"/>
      <c r="AG154" s="417"/>
      <c r="AH154" s="417"/>
      <c r="AI154" s="85"/>
      <c r="AJ154" s="417"/>
      <c r="AK154" s="417"/>
      <c r="AL154" s="417"/>
      <c r="AM154" s="417"/>
      <c r="AN154" s="85"/>
      <c r="AO154" s="417"/>
      <c r="AP154" s="417"/>
      <c r="AQ154" s="417"/>
      <c r="AR154" s="417"/>
      <c r="AS154" s="85"/>
      <c r="AT154" s="85"/>
      <c r="AU154" s="85"/>
      <c r="AV154" s="85"/>
      <c r="AW154" s="85"/>
      <c r="AX154" s="85"/>
      <c r="AY154" s="85"/>
      <c r="AZ154" s="85"/>
      <c r="BA154" s="85"/>
      <c r="BB154" s="85"/>
      <c r="BC154" s="85"/>
      <c r="BD154" s="85"/>
      <c r="BE154" s="85"/>
      <c r="BF154" s="85"/>
      <c r="BG154" s="85"/>
      <c r="BH154" s="85"/>
      <c r="BI154" s="85"/>
      <c r="BJ154" s="85"/>
      <c r="BK154" s="85"/>
      <c r="BL154" s="85"/>
      <c r="BM154" s="85"/>
    </row>
    <row r="155" spans="7:65" s="57" customFormat="1" x14ac:dyDescent="0.25">
      <c r="G155" s="417"/>
      <c r="H155" s="417"/>
      <c r="I155" s="417"/>
      <c r="J155" s="417"/>
      <c r="K155" s="417"/>
      <c r="L155" s="417"/>
      <c r="M155" s="417"/>
      <c r="N155" s="417"/>
      <c r="O155" s="85"/>
      <c r="P155" s="417"/>
      <c r="Q155" s="417"/>
      <c r="R155" s="417"/>
      <c r="S155" s="417"/>
      <c r="T155" s="85"/>
      <c r="U155" s="417"/>
      <c r="V155" s="417"/>
      <c r="W155" s="417"/>
      <c r="X155" s="417"/>
      <c r="Y155" s="85"/>
      <c r="Z155" s="417"/>
      <c r="AA155" s="417"/>
      <c r="AB155" s="417"/>
      <c r="AC155" s="417"/>
      <c r="AD155" s="85"/>
      <c r="AE155" s="417"/>
      <c r="AF155" s="417"/>
      <c r="AG155" s="417"/>
      <c r="AH155" s="417"/>
      <c r="AI155" s="85"/>
      <c r="AJ155" s="417"/>
      <c r="AK155" s="417"/>
      <c r="AL155" s="417"/>
      <c r="AM155" s="417"/>
      <c r="AN155" s="85"/>
      <c r="AO155" s="417"/>
      <c r="AP155" s="417"/>
      <c r="AQ155" s="417"/>
      <c r="AR155" s="417"/>
      <c r="AS155" s="85"/>
      <c r="AT155" s="85"/>
      <c r="AU155" s="85"/>
      <c r="AV155" s="85"/>
      <c r="AW155" s="85"/>
      <c r="AX155" s="85"/>
      <c r="AY155" s="85"/>
      <c r="AZ155" s="85"/>
      <c r="BA155" s="85"/>
      <c r="BB155" s="85"/>
      <c r="BC155" s="85"/>
      <c r="BD155" s="85"/>
      <c r="BE155" s="85"/>
      <c r="BF155" s="85"/>
      <c r="BG155" s="85"/>
      <c r="BH155" s="85"/>
      <c r="BI155" s="85"/>
      <c r="BJ155" s="85"/>
      <c r="BK155" s="85"/>
      <c r="BL155" s="85"/>
      <c r="BM155" s="85"/>
    </row>
    <row r="156" spans="7:65" s="57" customFormat="1" x14ac:dyDescent="0.25">
      <c r="G156" s="417"/>
      <c r="H156" s="417"/>
      <c r="I156" s="417"/>
      <c r="J156" s="417"/>
      <c r="K156" s="417"/>
      <c r="L156" s="417"/>
      <c r="M156" s="417"/>
      <c r="N156" s="417"/>
      <c r="O156" s="85"/>
      <c r="P156" s="417"/>
      <c r="Q156" s="417"/>
      <c r="R156" s="417"/>
      <c r="S156" s="417"/>
      <c r="T156" s="85"/>
      <c r="U156" s="417"/>
      <c r="V156" s="417"/>
      <c r="W156" s="417"/>
      <c r="X156" s="417"/>
      <c r="Y156" s="85"/>
      <c r="Z156" s="417"/>
      <c r="AA156" s="417"/>
      <c r="AB156" s="417"/>
      <c r="AC156" s="417"/>
      <c r="AD156" s="85"/>
      <c r="AE156" s="417"/>
      <c r="AF156" s="417"/>
      <c r="AG156" s="417"/>
      <c r="AH156" s="417"/>
      <c r="AI156" s="85"/>
      <c r="AJ156" s="417"/>
      <c r="AK156" s="417"/>
      <c r="AL156" s="417"/>
      <c r="AM156" s="417"/>
      <c r="AN156" s="85"/>
      <c r="AO156" s="417"/>
      <c r="AP156" s="417"/>
      <c r="AQ156" s="417"/>
      <c r="AR156" s="417"/>
      <c r="AS156" s="85"/>
      <c r="AT156" s="85"/>
      <c r="AU156" s="85"/>
      <c r="AV156" s="85"/>
      <c r="AW156" s="85"/>
      <c r="AX156" s="85"/>
      <c r="AY156" s="85"/>
      <c r="AZ156" s="85"/>
      <c r="BA156" s="85"/>
      <c r="BB156" s="85"/>
      <c r="BC156" s="85"/>
      <c r="BD156" s="85"/>
      <c r="BE156" s="85"/>
      <c r="BF156" s="85"/>
      <c r="BG156" s="85"/>
      <c r="BH156" s="85"/>
      <c r="BI156" s="85"/>
      <c r="BJ156" s="85"/>
      <c r="BK156" s="85"/>
      <c r="BL156" s="85"/>
      <c r="BM156" s="85"/>
    </row>
    <row r="157" spans="7:65" s="57" customFormat="1" x14ac:dyDescent="0.25">
      <c r="G157" s="417"/>
      <c r="H157" s="417"/>
      <c r="I157" s="417"/>
      <c r="J157" s="417"/>
      <c r="K157" s="417"/>
      <c r="L157" s="417"/>
      <c r="M157" s="417"/>
      <c r="N157" s="417"/>
      <c r="O157" s="85"/>
      <c r="P157" s="417"/>
      <c r="Q157" s="417"/>
      <c r="R157" s="417"/>
      <c r="S157" s="417"/>
      <c r="T157" s="85"/>
      <c r="U157" s="417"/>
      <c r="V157" s="417"/>
      <c r="W157" s="417"/>
      <c r="X157" s="417"/>
      <c r="Y157" s="85"/>
      <c r="Z157" s="417"/>
      <c r="AA157" s="417"/>
      <c r="AB157" s="417"/>
      <c r="AC157" s="417"/>
      <c r="AD157" s="85"/>
      <c r="AE157" s="417"/>
      <c r="AF157" s="417"/>
      <c r="AG157" s="417"/>
      <c r="AH157" s="417"/>
      <c r="AI157" s="85"/>
      <c r="AJ157" s="417"/>
      <c r="AK157" s="417"/>
      <c r="AL157" s="417"/>
      <c r="AM157" s="417"/>
      <c r="AN157" s="85"/>
      <c r="AO157" s="417"/>
      <c r="AP157" s="417"/>
      <c r="AQ157" s="417"/>
      <c r="AR157" s="417"/>
      <c r="AS157" s="85"/>
      <c r="AT157" s="85"/>
      <c r="AU157" s="85"/>
      <c r="AV157" s="85"/>
      <c r="AW157" s="85"/>
      <c r="AX157" s="85"/>
      <c r="AY157" s="85"/>
      <c r="AZ157" s="85"/>
      <c r="BA157" s="85"/>
      <c r="BB157" s="85"/>
      <c r="BC157" s="85"/>
      <c r="BD157" s="85"/>
      <c r="BE157" s="85"/>
      <c r="BF157" s="85"/>
      <c r="BG157" s="85"/>
      <c r="BH157" s="85"/>
      <c r="BI157" s="85"/>
      <c r="BJ157" s="85"/>
      <c r="BK157" s="85"/>
      <c r="BL157" s="85"/>
      <c r="BM157" s="85"/>
    </row>
    <row r="158" spans="7:65" s="57" customFormat="1" x14ac:dyDescent="0.25">
      <c r="G158" s="417"/>
      <c r="H158" s="417"/>
      <c r="I158" s="417"/>
      <c r="J158" s="417"/>
      <c r="K158" s="417"/>
      <c r="L158" s="417"/>
      <c r="M158" s="417"/>
      <c r="N158" s="417"/>
      <c r="O158" s="85"/>
      <c r="P158" s="417"/>
      <c r="Q158" s="417"/>
      <c r="R158" s="417"/>
      <c r="S158" s="417"/>
      <c r="T158" s="85"/>
      <c r="U158" s="417"/>
      <c r="V158" s="417"/>
      <c r="W158" s="417"/>
      <c r="X158" s="417"/>
      <c r="Y158" s="85"/>
      <c r="Z158" s="417"/>
      <c r="AA158" s="417"/>
      <c r="AB158" s="417"/>
      <c r="AC158" s="417"/>
      <c r="AD158" s="85"/>
      <c r="AE158" s="417"/>
      <c r="AF158" s="417"/>
      <c r="AG158" s="417"/>
      <c r="AH158" s="417"/>
      <c r="AI158" s="85"/>
      <c r="AJ158" s="417"/>
      <c r="AK158" s="417"/>
      <c r="AL158" s="417"/>
      <c r="AM158" s="417"/>
      <c r="AN158" s="85"/>
      <c r="AO158" s="417"/>
      <c r="AP158" s="417"/>
      <c r="AQ158" s="417"/>
      <c r="AR158" s="417"/>
      <c r="AS158" s="85"/>
      <c r="AT158" s="85"/>
      <c r="AU158" s="85"/>
      <c r="AV158" s="85"/>
      <c r="AW158" s="85"/>
      <c r="AX158" s="85"/>
      <c r="AY158" s="85"/>
      <c r="AZ158" s="85"/>
      <c r="BA158" s="85"/>
      <c r="BB158" s="85"/>
      <c r="BC158" s="85"/>
      <c r="BD158" s="85"/>
      <c r="BE158" s="85"/>
      <c r="BF158" s="85"/>
      <c r="BG158" s="85"/>
      <c r="BH158" s="85"/>
      <c r="BI158" s="85"/>
      <c r="BJ158" s="85"/>
      <c r="BK158" s="85"/>
      <c r="BL158" s="85"/>
      <c r="BM158" s="85"/>
    </row>
    <row r="159" spans="7:65" s="57" customFormat="1" x14ac:dyDescent="0.25">
      <c r="G159" s="417"/>
      <c r="H159" s="417"/>
      <c r="I159" s="417"/>
      <c r="J159" s="417"/>
      <c r="K159" s="417"/>
      <c r="L159" s="417"/>
      <c r="M159" s="417"/>
      <c r="N159" s="417"/>
      <c r="O159" s="85"/>
      <c r="P159" s="417"/>
      <c r="Q159" s="417"/>
      <c r="R159" s="417"/>
      <c r="S159" s="417"/>
      <c r="T159" s="85"/>
      <c r="U159" s="417"/>
      <c r="V159" s="417"/>
      <c r="W159" s="417"/>
      <c r="X159" s="417"/>
      <c r="Y159" s="85"/>
      <c r="Z159" s="417"/>
      <c r="AA159" s="417"/>
      <c r="AB159" s="417"/>
      <c r="AC159" s="417"/>
      <c r="AD159" s="85"/>
      <c r="AE159" s="417"/>
      <c r="AF159" s="417"/>
      <c r="AG159" s="417"/>
      <c r="AH159" s="417"/>
      <c r="AI159" s="85"/>
      <c r="AJ159" s="417"/>
      <c r="AK159" s="417"/>
      <c r="AL159" s="417"/>
      <c r="AM159" s="417"/>
      <c r="AN159" s="85"/>
      <c r="AO159" s="417"/>
      <c r="AP159" s="417"/>
      <c r="AQ159" s="417"/>
      <c r="AR159" s="417"/>
      <c r="AS159" s="85"/>
      <c r="AT159" s="85"/>
      <c r="AU159" s="85"/>
      <c r="AV159" s="85"/>
      <c r="AW159" s="85"/>
      <c r="AX159" s="85"/>
      <c r="AY159" s="85"/>
      <c r="AZ159" s="85"/>
      <c r="BA159" s="85"/>
      <c r="BB159" s="85"/>
      <c r="BC159" s="85"/>
      <c r="BD159" s="85"/>
      <c r="BE159" s="85"/>
      <c r="BF159" s="85"/>
      <c r="BG159" s="85"/>
      <c r="BH159" s="85"/>
      <c r="BI159" s="85"/>
      <c r="BJ159" s="85"/>
      <c r="BK159" s="85"/>
      <c r="BL159" s="85"/>
      <c r="BM159" s="85"/>
    </row>
    <row r="160" spans="7:65" s="57" customFormat="1" x14ac:dyDescent="0.25">
      <c r="G160" s="417"/>
      <c r="H160" s="417"/>
      <c r="I160" s="417"/>
      <c r="J160" s="417"/>
      <c r="K160" s="417"/>
      <c r="L160" s="417"/>
      <c r="M160" s="417"/>
      <c r="N160" s="417"/>
      <c r="O160" s="85"/>
      <c r="P160" s="417"/>
      <c r="Q160" s="417"/>
      <c r="R160" s="417"/>
      <c r="S160" s="417"/>
      <c r="T160" s="85"/>
      <c r="U160" s="417"/>
      <c r="V160" s="417"/>
      <c r="W160" s="417"/>
      <c r="X160" s="417"/>
      <c r="Y160" s="85"/>
      <c r="Z160" s="417"/>
      <c r="AA160" s="417"/>
      <c r="AB160" s="417"/>
      <c r="AC160" s="417"/>
      <c r="AD160" s="85"/>
      <c r="AE160" s="417"/>
      <c r="AF160" s="417"/>
      <c r="AG160" s="417"/>
      <c r="AH160" s="417"/>
      <c r="AI160" s="85"/>
      <c r="AJ160" s="417"/>
      <c r="AK160" s="417"/>
      <c r="AL160" s="417"/>
      <c r="AM160" s="417"/>
      <c r="AN160" s="85"/>
      <c r="AO160" s="417"/>
      <c r="AP160" s="417"/>
      <c r="AQ160" s="417"/>
      <c r="AR160" s="417"/>
      <c r="AS160" s="85"/>
      <c r="AT160" s="85"/>
      <c r="AU160" s="85"/>
      <c r="AV160" s="85"/>
      <c r="AW160" s="85"/>
      <c r="AX160" s="85"/>
      <c r="AY160" s="85"/>
      <c r="AZ160" s="85"/>
      <c r="BA160" s="85"/>
      <c r="BB160" s="85"/>
      <c r="BC160" s="85"/>
      <c r="BD160" s="85"/>
      <c r="BE160" s="85"/>
      <c r="BF160" s="85"/>
      <c r="BG160" s="85"/>
      <c r="BH160" s="85"/>
      <c r="BI160" s="85"/>
      <c r="BJ160" s="85"/>
      <c r="BK160" s="85"/>
      <c r="BL160" s="85"/>
      <c r="BM160" s="85"/>
    </row>
    <row r="161" spans="7:65" s="57" customFormat="1" x14ac:dyDescent="0.25">
      <c r="G161" s="417"/>
      <c r="H161" s="417"/>
      <c r="I161" s="417"/>
      <c r="J161" s="417"/>
      <c r="K161" s="417"/>
      <c r="L161" s="417"/>
      <c r="M161" s="417"/>
      <c r="N161" s="417"/>
      <c r="O161" s="85"/>
      <c r="P161" s="417"/>
      <c r="Q161" s="417"/>
      <c r="R161" s="417"/>
      <c r="S161" s="417"/>
      <c r="T161" s="85"/>
      <c r="U161" s="417"/>
      <c r="V161" s="417"/>
      <c r="W161" s="417"/>
      <c r="X161" s="417"/>
      <c r="Y161" s="85"/>
      <c r="Z161" s="417"/>
      <c r="AA161" s="417"/>
      <c r="AB161" s="417"/>
      <c r="AC161" s="417"/>
      <c r="AD161" s="85"/>
      <c r="AE161" s="417"/>
      <c r="AF161" s="417"/>
      <c r="AG161" s="417"/>
      <c r="AH161" s="417"/>
      <c r="AI161" s="85"/>
      <c r="AJ161" s="417"/>
      <c r="AK161" s="417"/>
      <c r="AL161" s="417"/>
      <c r="AM161" s="417"/>
      <c r="AN161" s="85"/>
      <c r="AO161" s="417"/>
      <c r="AP161" s="417"/>
      <c r="AQ161" s="417"/>
      <c r="AR161" s="417"/>
      <c r="AS161" s="85"/>
      <c r="AT161" s="85"/>
      <c r="AU161" s="85"/>
      <c r="AV161" s="85"/>
      <c r="AW161" s="85"/>
      <c r="AX161" s="85"/>
      <c r="AY161" s="85"/>
      <c r="AZ161" s="85"/>
      <c r="BA161" s="85"/>
      <c r="BB161" s="85"/>
      <c r="BC161" s="85"/>
      <c r="BD161" s="85"/>
      <c r="BE161" s="85"/>
      <c r="BF161" s="85"/>
      <c r="BG161" s="85"/>
      <c r="BH161" s="85"/>
      <c r="BI161" s="85"/>
      <c r="BJ161" s="85"/>
      <c r="BK161" s="85"/>
      <c r="BL161" s="85"/>
      <c r="BM161" s="85"/>
    </row>
    <row r="162" spans="7:65" s="57" customFormat="1" x14ac:dyDescent="0.25">
      <c r="G162" s="417"/>
      <c r="H162" s="417"/>
      <c r="I162" s="417"/>
      <c r="J162" s="417"/>
      <c r="K162" s="417"/>
      <c r="L162" s="417"/>
      <c r="M162" s="417"/>
      <c r="N162" s="417"/>
      <c r="O162" s="85"/>
      <c r="P162" s="417"/>
      <c r="Q162" s="417"/>
      <c r="R162" s="417"/>
      <c r="S162" s="417"/>
      <c r="T162" s="85"/>
      <c r="U162" s="417"/>
      <c r="V162" s="417"/>
      <c r="W162" s="417"/>
      <c r="X162" s="417"/>
      <c r="Y162" s="85"/>
      <c r="Z162" s="417"/>
      <c r="AA162" s="417"/>
      <c r="AB162" s="417"/>
      <c r="AC162" s="417"/>
      <c r="AD162" s="85"/>
      <c r="AE162" s="417"/>
      <c r="AF162" s="417"/>
      <c r="AG162" s="417"/>
      <c r="AH162" s="417"/>
      <c r="AI162" s="85"/>
      <c r="AJ162" s="417"/>
      <c r="AK162" s="417"/>
      <c r="AL162" s="417"/>
      <c r="AM162" s="417"/>
      <c r="AN162" s="85"/>
      <c r="AO162" s="417"/>
      <c r="AP162" s="417"/>
      <c r="AQ162" s="417"/>
      <c r="AR162" s="417"/>
      <c r="AS162" s="85"/>
      <c r="AT162" s="85"/>
      <c r="AU162" s="85"/>
      <c r="AV162" s="85"/>
      <c r="AW162" s="85"/>
      <c r="AX162" s="85"/>
      <c r="AY162" s="85"/>
      <c r="AZ162" s="85"/>
      <c r="BA162" s="85"/>
      <c r="BB162" s="85"/>
      <c r="BC162" s="85"/>
      <c r="BD162" s="85"/>
      <c r="BE162" s="85"/>
      <c r="BF162" s="85"/>
      <c r="BG162" s="85"/>
      <c r="BH162" s="85"/>
      <c r="BI162" s="85"/>
      <c r="BJ162" s="85"/>
      <c r="BK162" s="85"/>
      <c r="BL162" s="85"/>
      <c r="BM162" s="85"/>
    </row>
    <row r="163" spans="7:65" s="57" customFormat="1" x14ac:dyDescent="0.25">
      <c r="G163" s="417"/>
      <c r="H163" s="417"/>
      <c r="I163" s="417"/>
      <c r="J163" s="417"/>
      <c r="K163" s="417"/>
      <c r="L163" s="417"/>
      <c r="M163" s="417"/>
      <c r="N163" s="417"/>
      <c r="O163" s="85"/>
      <c r="P163" s="417"/>
      <c r="Q163" s="417"/>
      <c r="R163" s="417"/>
      <c r="S163" s="417"/>
      <c r="T163" s="85"/>
      <c r="U163" s="417"/>
      <c r="V163" s="417"/>
      <c r="W163" s="417"/>
      <c r="X163" s="417"/>
      <c r="Y163" s="85"/>
      <c r="Z163" s="417"/>
      <c r="AA163" s="417"/>
      <c r="AB163" s="417"/>
      <c r="AC163" s="417"/>
      <c r="AD163" s="85"/>
      <c r="AE163" s="417"/>
      <c r="AF163" s="417"/>
      <c r="AG163" s="417"/>
      <c r="AH163" s="417"/>
      <c r="AI163" s="85"/>
      <c r="AJ163" s="417"/>
      <c r="AK163" s="417"/>
      <c r="AL163" s="417"/>
      <c r="AM163" s="417"/>
      <c r="AN163" s="85"/>
      <c r="AO163" s="417"/>
      <c r="AP163" s="417"/>
      <c r="AQ163" s="417"/>
      <c r="AR163" s="417"/>
      <c r="AS163" s="85"/>
      <c r="AT163" s="85"/>
      <c r="AU163" s="85"/>
      <c r="AV163" s="85"/>
      <c r="AW163" s="85"/>
      <c r="AX163" s="85"/>
      <c r="AY163" s="85"/>
      <c r="AZ163" s="85"/>
      <c r="BA163" s="85"/>
      <c r="BB163" s="85"/>
      <c r="BC163" s="85"/>
      <c r="BD163" s="85"/>
      <c r="BE163" s="85"/>
      <c r="BF163" s="85"/>
      <c r="BG163" s="85"/>
      <c r="BH163" s="85"/>
      <c r="BI163" s="85"/>
      <c r="BJ163" s="85"/>
      <c r="BK163" s="85"/>
      <c r="BL163" s="85"/>
      <c r="BM163" s="85"/>
    </row>
    <row r="164" spans="7:65" s="57" customFormat="1" x14ac:dyDescent="0.25">
      <c r="G164" s="417"/>
      <c r="H164" s="417"/>
      <c r="I164" s="417"/>
      <c r="J164" s="417"/>
      <c r="K164" s="417"/>
      <c r="L164" s="417"/>
      <c r="M164" s="417"/>
      <c r="N164" s="417"/>
      <c r="O164" s="85"/>
      <c r="P164" s="417"/>
      <c r="Q164" s="417"/>
      <c r="R164" s="417"/>
      <c r="S164" s="417"/>
      <c r="T164" s="85"/>
      <c r="U164" s="417"/>
      <c r="V164" s="417"/>
      <c r="W164" s="417"/>
      <c r="X164" s="417"/>
      <c r="Y164" s="85"/>
      <c r="Z164" s="417"/>
      <c r="AA164" s="417"/>
      <c r="AB164" s="417"/>
      <c r="AC164" s="417"/>
      <c r="AD164" s="85"/>
      <c r="AE164" s="417"/>
      <c r="AF164" s="417"/>
      <c r="AG164" s="417"/>
      <c r="AH164" s="417"/>
      <c r="AI164" s="85"/>
      <c r="AJ164" s="417"/>
      <c r="AK164" s="417"/>
      <c r="AL164" s="417"/>
      <c r="AM164" s="417"/>
      <c r="AN164" s="85"/>
      <c r="AO164" s="417"/>
      <c r="AP164" s="417"/>
      <c r="AQ164" s="417"/>
      <c r="AR164" s="417"/>
      <c r="AS164" s="85"/>
      <c r="AT164" s="85"/>
      <c r="AU164" s="85"/>
      <c r="AV164" s="85"/>
      <c r="AW164" s="85"/>
      <c r="AX164" s="85"/>
      <c r="AY164" s="85"/>
      <c r="AZ164" s="85"/>
      <c r="BA164" s="85"/>
      <c r="BB164" s="85"/>
      <c r="BC164" s="85"/>
      <c r="BD164" s="85"/>
      <c r="BE164" s="85"/>
      <c r="BF164" s="85"/>
      <c r="BG164" s="85"/>
      <c r="BH164" s="85"/>
      <c r="BI164" s="85"/>
      <c r="BJ164" s="85"/>
      <c r="BK164" s="85"/>
      <c r="BL164" s="85"/>
      <c r="BM164" s="85"/>
    </row>
    <row r="165" spans="7:65" s="57" customFormat="1" x14ac:dyDescent="0.25">
      <c r="G165" s="417"/>
      <c r="H165" s="417"/>
      <c r="I165" s="417"/>
      <c r="J165" s="417"/>
      <c r="K165" s="417"/>
      <c r="L165" s="417"/>
      <c r="M165" s="417"/>
      <c r="N165" s="417"/>
      <c r="O165" s="85"/>
      <c r="P165" s="417"/>
      <c r="Q165" s="417"/>
      <c r="R165" s="417"/>
      <c r="S165" s="417"/>
      <c r="T165" s="85"/>
      <c r="U165" s="417"/>
      <c r="V165" s="417"/>
      <c r="W165" s="417"/>
      <c r="X165" s="417"/>
      <c r="Y165" s="85"/>
      <c r="Z165" s="417"/>
      <c r="AA165" s="417"/>
      <c r="AB165" s="417"/>
      <c r="AC165" s="417"/>
      <c r="AD165" s="85"/>
      <c r="AE165" s="417"/>
      <c r="AF165" s="417"/>
      <c r="AG165" s="417"/>
      <c r="AH165" s="417"/>
      <c r="AI165" s="85"/>
      <c r="AJ165" s="417"/>
      <c r="AK165" s="417"/>
      <c r="AL165" s="417"/>
      <c r="AM165" s="417"/>
      <c r="AN165" s="85"/>
      <c r="AO165" s="417"/>
      <c r="AP165" s="417"/>
      <c r="AQ165" s="417"/>
      <c r="AR165" s="417"/>
      <c r="AS165" s="85"/>
      <c r="AT165" s="85"/>
      <c r="AU165" s="85"/>
      <c r="AV165" s="85"/>
      <c r="AW165" s="85"/>
      <c r="AX165" s="85"/>
      <c r="AY165" s="85"/>
      <c r="AZ165" s="85"/>
      <c r="BA165" s="85"/>
      <c r="BB165" s="85"/>
      <c r="BC165" s="85"/>
      <c r="BD165" s="85"/>
      <c r="BE165" s="85"/>
      <c r="BF165" s="85"/>
      <c r="BG165" s="85"/>
      <c r="BH165" s="85"/>
      <c r="BI165" s="85"/>
      <c r="BJ165" s="85"/>
      <c r="BK165" s="85"/>
      <c r="BL165" s="85"/>
      <c r="BM165" s="85"/>
    </row>
    <row r="166" spans="7:65" s="57" customFormat="1" x14ac:dyDescent="0.25">
      <c r="G166" s="417"/>
      <c r="H166" s="417"/>
      <c r="I166" s="417"/>
      <c r="J166" s="417"/>
      <c r="K166" s="417"/>
      <c r="L166" s="417"/>
      <c r="M166" s="417"/>
      <c r="N166" s="417"/>
      <c r="O166" s="85"/>
      <c r="P166" s="417"/>
      <c r="Q166" s="417"/>
      <c r="R166" s="417"/>
      <c r="S166" s="417"/>
      <c r="T166" s="85"/>
      <c r="U166" s="417"/>
      <c r="V166" s="417"/>
      <c r="W166" s="417"/>
      <c r="X166" s="417"/>
      <c r="Y166" s="85"/>
      <c r="Z166" s="417"/>
      <c r="AA166" s="417"/>
      <c r="AB166" s="417"/>
      <c r="AC166" s="417"/>
      <c r="AD166" s="85"/>
      <c r="AE166" s="417"/>
      <c r="AF166" s="417"/>
      <c r="AG166" s="417"/>
      <c r="AH166" s="417"/>
      <c r="AI166" s="85"/>
      <c r="AJ166" s="417"/>
      <c r="AK166" s="417"/>
      <c r="AL166" s="417"/>
      <c r="AM166" s="417"/>
      <c r="AN166" s="85"/>
      <c r="AO166" s="417"/>
      <c r="AP166" s="417"/>
      <c r="AQ166" s="417"/>
      <c r="AR166" s="417"/>
      <c r="AS166" s="85"/>
      <c r="AT166" s="85"/>
      <c r="AU166" s="85"/>
      <c r="AV166" s="85"/>
      <c r="AW166" s="85"/>
      <c r="AX166" s="85"/>
      <c r="AY166" s="85"/>
      <c r="AZ166" s="85"/>
      <c r="BA166" s="85"/>
      <c r="BB166" s="85"/>
      <c r="BC166" s="85"/>
      <c r="BD166" s="85"/>
      <c r="BE166" s="85"/>
      <c r="BF166" s="85"/>
      <c r="BG166" s="85"/>
      <c r="BH166" s="85"/>
      <c r="BI166" s="85"/>
      <c r="BJ166" s="85"/>
      <c r="BK166" s="85"/>
      <c r="BL166" s="85"/>
      <c r="BM166" s="85"/>
    </row>
    <row r="167" spans="7:65" s="57" customFormat="1" x14ac:dyDescent="0.25">
      <c r="G167" s="417"/>
      <c r="H167" s="417"/>
      <c r="I167" s="417"/>
      <c r="J167" s="417"/>
      <c r="K167" s="417"/>
      <c r="L167" s="417"/>
      <c r="M167" s="417"/>
      <c r="N167" s="417"/>
      <c r="O167" s="85"/>
      <c r="P167" s="417"/>
      <c r="Q167" s="417"/>
      <c r="R167" s="417"/>
      <c r="S167" s="417"/>
      <c r="T167" s="85"/>
      <c r="U167" s="417"/>
      <c r="V167" s="417"/>
      <c r="W167" s="417"/>
      <c r="X167" s="417"/>
      <c r="Y167" s="85"/>
      <c r="Z167" s="417"/>
      <c r="AA167" s="417"/>
      <c r="AB167" s="417"/>
      <c r="AC167" s="417"/>
      <c r="AD167" s="85"/>
      <c r="AE167" s="417"/>
      <c r="AF167" s="417"/>
      <c r="AG167" s="417"/>
      <c r="AH167" s="417"/>
      <c r="AI167" s="85"/>
      <c r="AJ167" s="417"/>
      <c r="AK167" s="417"/>
      <c r="AL167" s="417"/>
      <c r="AM167" s="417"/>
      <c r="AN167" s="85"/>
      <c r="AO167" s="417"/>
      <c r="AP167" s="417"/>
      <c r="AQ167" s="417"/>
      <c r="AR167" s="417"/>
      <c r="AS167" s="85"/>
      <c r="AT167" s="85"/>
      <c r="AU167" s="85"/>
      <c r="AV167" s="85"/>
      <c r="AW167" s="85"/>
      <c r="AX167" s="85"/>
      <c r="AY167" s="85"/>
      <c r="AZ167" s="85"/>
      <c r="BA167" s="85"/>
      <c r="BB167" s="85"/>
      <c r="BC167" s="85"/>
      <c r="BD167" s="85"/>
      <c r="BE167" s="85"/>
      <c r="BF167" s="85"/>
      <c r="BG167" s="85"/>
      <c r="BH167" s="85"/>
      <c r="BI167" s="85"/>
      <c r="BJ167" s="85"/>
      <c r="BK167" s="85"/>
      <c r="BL167" s="85"/>
      <c r="BM167" s="85"/>
    </row>
    <row r="168" spans="7:65" s="57" customFormat="1" x14ac:dyDescent="0.25">
      <c r="G168" s="417"/>
      <c r="H168" s="417"/>
      <c r="I168" s="417"/>
      <c r="J168" s="417"/>
      <c r="K168" s="417"/>
      <c r="L168" s="417"/>
      <c r="M168" s="417"/>
      <c r="N168" s="417"/>
      <c r="O168" s="85"/>
      <c r="P168" s="417"/>
      <c r="Q168" s="417"/>
      <c r="R168" s="417"/>
      <c r="S168" s="417"/>
      <c r="T168" s="85"/>
      <c r="U168" s="417"/>
      <c r="V168" s="417"/>
      <c r="W168" s="417"/>
      <c r="X168" s="417"/>
      <c r="Y168" s="85"/>
      <c r="Z168" s="417"/>
      <c r="AA168" s="417"/>
      <c r="AB168" s="417"/>
      <c r="AC168" s="417"/>
      <c r="AD168" s="85"/>
      <c r="AE168" s="417"/>
      <c r="AF168" s="417"/>
      <c r="AG168" s="417"/>
      <c r="AH168" s="417"/>
      <c r="AI168" s="85"/>
      <c r="AJ168" s="417"/>
      <c r="AK168" s="417"/>
      <c r="AL168" s="417"/>
      <c r="AM168" s="417"/>
      <c r="AN168" s="85"/>
      <c r="AO168" s="417"/>
      <c r="AP168" s="417"/>
      <c r="AQ168" s="417"/>
      <c r="AR168" s="417"/>
      <c r="AS168" s="85"/>
      <c r="AT168" s="85"/>
      <c r="AU168" s="85"/>
      <c r="AV168" s="85"/>
      <c r="AW168" s="85"/>
      <c r="AX168" s="85"/>
      <c r="AY168" s="85"/>
      <c r="AZ168" s="85"/>
      <c r="BA168" s="85"/>
      <c r="BB168" s="85"/>
      <c r="BC168" s="85"/>
      <c r="BD168" s="85"/>
      <c r="BE168" s="85"/>
      <c r="BF168" s="85"/>
      <c r="BG168" s="85"/>
      <c r="BH168" s="85"/>
      <c r="BI168" s="85"/>
      <c r="BJ168" s="85"/>
      <c r="BK168" s="85"/>
      <c r="BL168" s="85"/>
      <c r="BM168" s="85"/>
    </row>
    <row r="169" spans="7:65" s="57" customFormat="1" x14ac:dyDescent="0.25">
      <c r="G169" s="417"/>
      <c r="H169" s="417"/>
      <c r="I169" s="417"/>
      <c r="J169" s="417"/>
      <c r="K169" s="417"/>
      <c r="L169" s="417"/>
      <c r="M169" s="417"/>
      <c r="N169" s="417"/>
      <c r="O169" s="85"/>
      <c r="P169" s="417"/>
      <c r="Q169" s="417"/>
      <c r="R169" s="417"/>
      <c r="S169" s="417"/>
      <c r="T169" s="85"/>
      <c r="U169" s="417"/>
      <c r="V169" s="417"/>
      <c r="W169" s="417"/>
      <c r="X169" s="417"/>
      <c r="Y169" s="85"/>
      <c r="Z169" s="417"/>
      <c r="AA169" s="417"/>
      <c r="AB169" s="417"/>
      <c r="AC169" s="417"/>
      <c r="AD169" s="85"/>
      <c r="AE169" s="417"/>
      <c r="AF169" s="417"/>
      <c r="AG169" s="417"/>
      <c r="AH169" s="417"/>
      <c r="AI169" s="85"/>
      <c r="AJ169" s="417"/>
      <c r="AK169" s="417"/>
      <c r="AL169" s="417"/>
      <c r="AM169" s="417"/>
      <c r="AN169" s="85"/>
      <c r="AO169" s="417"/>
      <c r="AP169" s="417"/>
      <c r="AQ169" s="417"/>
      <c r="AR169" s="417"/>
      <c r="AS169" s="85"/>
      <c r="AT169" s="85"/>
      <c r="AU169" s="85"/>
      <c r="AV169" s="85"/>
      <c r="AW169" s="85"/>
      <c r="AX169" s="85"/>
      <c r="AY169" s="85"/>
      <c r="AZ169" s="85"/>
      <c r="BA169" s="85"/>
      <c r="BB169" s="85"/>
      <c r="BC169" s="85"/>
      <c r="BD169" s="85"/>
      <c r="BE169" s="85"/>
      <c r="BF169" s="85"/>
      <c r="BG169" s="85"/>
      <c r="BH169" s="85"/>
      <c r="BI169" s="85"/>
      <c r="BJ169" s="85"/>
      <c r="BK169" s="85"/>
      <c r="BL169" s="85"/>
      <c r="BM169" s="85"/>
    </row>
    <row r="170" spans="7:65" s="57" customFormat="1" x14ac:dyDescent="0.25">
      <c r="G170" s="417"/>
      <c r="H170" s="417"/>
      <c r="I170" s="417"/>
      <c r="J170" s="417"/>
      <c r="K170" s="417"/>
      <c r="L170" s="417"/>
      <c r="M170" s="417"/>
      <c r="N170" s="417"/>
      <c r="O170" s="85"/>
      <c r="P170" s="417"/>
      <c r="Q170" s="417"/>
      <c r="R170" s="417"/>
      <c r="S170" s="417"/>
      <c r="T170" s="85"/>
      <c r="U170" s="417"/>
      <c r="V170" s="417"/>
      <c r="W170" s="417"/>
      <c r="X170" s="417"/>
      <c r="Y170" s="85"/>
      <c r="Z170" s="417"/>
      <c r="AA170" s="417"/>
      <c r="AB170" s="417"/>
      <c r="AC170" s="417"/>
      <c r="AD170" s="85"/>
      <c r="AE170" s="417"/>
      <c r="AF170" s="417"/>
      <c r="AG170" s="417"/>
      <c r="AH170" s="417"/>
      <c r="AI170" s="85"/>
      <c r="AJ170" s="417"/>
      <c r="AK170" s="417"/>
      <c r="AL170" s="417"/>
      <c r="AM170" s="417"/>
      <c r="AN170" s="85"/>
      <c r="AO170" s="417"/>
      <c r="AP170" s="417"/>
      <c r="AQ170" s="417"/>
      <c r="AR170" s="417"/>
      <c r="AS170" s="85"/>
      <c r="AT170" s="85"/>
      <c r="AU170" s="85"/>
      <c r="AV170" s="85"/>
      <c r="AW170" s="85"/>
      <c r="AX170" s="85"/>
      <c r="AY170" s="85"/>
      <c r="AZ170" s="85"/>
      <c r="BA170" s="85"/>
      <c r="BB170" s="85"/>
      <c r="BC170" s="85"/>
      <c r="BD170" s="85"/>
      <c r="BE170" s="85"/>
      <c r="BF170" s="85"/>
      <c r="BG170" s="85"/>
      <c r="BH170" s="85"/>
      <c r="BI170" s="85"/>
      <c r="BJ170" s="85"/>
      <c r="BK170" s="85"/>
      <c r="BL170" s="85"/>
      <c r="BM170" s="85"/>
    </row>
    <row r="171" spans="7:65" s="57" customFormat="1" x14ac:dyDescent="0.25">
      <c r="G171" s="417"/>
      <c r="H171" s="417"/>
      <c r="I171" s="417"/>
      <c r="J171" s="417"/>
      <c r="K171" s="417"/>
      <c r="L171" s="417"/>
      <c r="M171" s="417"/>
      <c r="N171" s="417"/>
      <c r="O171" s="85"/>
      <c r="P171" s="417"/>
      <c r="Q171" s="417"/>
      <c r="R171" s="417"/>
      <c r="S171" s="417"/>
      <c r="T171" s="85"/>
      <c r="U171" s="417"/>
      <c r="V171" s="417"/>
      <c r="W171" s="417"/>
      <c r="X171" s="417"/>
      <c r="Y171" s="85"/>
      <c r="Z171" s="417"/>
      <c r="AA171" s="417"/>
      <c r="AB171" s="417"/>
      <c r="AC171" s="417"/>
      <c r="AD171" s="85"/>
      <c r="AE171" s="417"/>
      <c r="AF171" s="417"/>
      <c r="AG171" s="417"/>
      <c r="AH171" s="417"/>
      <c r="AI171" s="85"/>
      <c r="AJ171" s="417"/>
      <c r="AK171" s="417"/>
      <c r="AL171" s="417"/>
      <c r="AM171" s="417"/>
      <c r="AN171" s="85"/>
      <c r="AO171" s="417"/>
      <c r="AP171" s="417"/>
      <c r="AQ171" s="417"/>
      <c r="AR171" s="417"/>
      <c r="AS171" s="85"/>
      <c r="AT171" s="85"/>
      <c r="AU171" s="85"/>
      <c r="AV171" s="85"/>
      <c r="AW171" s="85"/>
      <c r="AX171" s="85"/>
      <c r="AY171" s="85"/>
      <c r="AZ171" s="85"/>
      <c r="BA171" s="85"/>
      <c r="BB171" s="85"/>
      <c r="BC171" s="85"/>
      <c r="BD171" s="85"/>
      <c r="BE171" s="85"/>
      <c r="BF171" s="85"/>
      <c r="BG171" s="85"/>
      <c r="BH171" s="85"/>
      <c r="BI171" s="85"/>
      <c r="BJ171" s="85"/>
      <c r="BK171" s="85"/>
      <c r="BL171" s="85"/>
      <c r="BM171" s="85"/>
    </row>
    <row r="172" spans="7:65" s="57" customFormat="1" x14ac:dyDescent="0.25">
      <c r="G172" s="417"/>
      <c r="H172" s="417"/>
      <c r="I172" s="417"/>
      <c r="J172" s="417"/>
      <c r="K172" s="417"/>
      <c r="L172" s="417"/>
      <c r="M172" s="417"/>
      <c r="N172" s="417"/>
      <c r="O172" s="85"/>
      <c r="P172" s="417"/>
      <c r="Q172" s="417"/>
      <c r="R172" s="417"/>
      <c r="S172" s="417"/>
      <c r="T172" s="85"/>
      <c r="U172" s="417"/>
      <c r="V172" s="417"/>
      <c r="W172" s="417"/>
      <c r="X172" s="417"/>
      <c r="Y172" s="85"/>
      <c r="Z172" s="417"/>
      <c r="AA172" s="417"/>
      <c r="AB172" s="417"/>
      <c r="AC172" s="417"/>
      <c r="AD172" s="85"/>
      <c r="AE172" s="417"/>
      <c r="AF172" s="417"/>
      <c r="AG172" s="417"/>
      <c r="AH172" s="417"/>
      <c r="AI172" s="85"/>
      <c r="AJ172" s="417"/>
      <c r="AK172" s="417"/>
      <c r="AL172" s="417"/>
      <c r="AM172" s="417"/>
      <c r="AN172" s="85"/>
      <c r="AO172" s="417"/>
      <c r="AP172" s="417"/>
      <c r="AQ172" s="417"/>
      <c r="AR172" s="417"/>
      <c r="AS172" s="85"/>
      <c r="AT172" s="85"/>
      <c r="AU172" s="85"/>
      <c r="AV172" s="85"/>
      <c r="AW172" s="85"/>
      <c r="AX172" s="85"/>
      <c r="AY172" s="85"/>
      <c r="AZ172" s="85"/>
      <c r="BA172" s="85"/>
      <c r="BB172" s="85"/>
      <c r="BC172" s="85"/>
      <c r="BD172" s="85"/>
      <c r="BE172" s="85"/>
      <c r="BF172" s="85"/>
      <c r="BG172" s="85"/>
      <c r="BH172" s="85"/>
      <c r="BI172" s="85"/>
      <c r="BJ172" s="85"/>
      <c r="BK172" s="85"/>
      <c r="BL172" s="85"/>
      <c r="BM172" s="85"/>
    </row>
    <row r="173" spans="7:65" s="57" customFormat="1" x14ac:dyDescent="0.25">
      <c r="G173" s="417"/>
      <c r="H173" s="417"/>
      <c r="I173" s="417"/>
      <c r="J173" s="417"/>
      <c r="K173" s="417"/>
      <c r="L173" s="417"/>
      <c r="M173" s="417"/>
      <c r="N173" s="417"/>
      <c r="O173" s="85"/>
      <c r="P173" s="417"/>
      <c r="Q173" s="417"/>
      <c r="R173" s="417"/>
      <c r="S173" s="417"/>
      <c r="T173" s="85"/>
      <c r="U173" s="417"/>
      <c r="V173" s="417"/>
      <c r="W173" s="417"/>
      <c r="X173" s="417"/>
      <c r="Y173" s="85"/>
      <c r="Z173" s="417"/>
      <c r="AA173" s="417"/>
      <c r="AB173" s="417"/>
      <c r="AC173" s="417"/>
      <c r="AD173" s="85"/>
      <c r="AE173" s="417"/>
      <c r="AF173" s="417"/>
      <c r="AG173" s="417"/>
      <c r="AH173" s="417"/>
      <c r="AI173" s="85"/>
      <c r="AJ173" s="417"/>
      <c r="AK173" s="417"/>
      <c r="AL173" s="417"/>
      <c r="AM173" s="417"/>
      <c r="AN173" s="85"/>
      <c r="AO173" s="417"/>
      <c r="AP173" s="417"/>
      <c r="AQ173" s="417"/>
      <c r="AR173" s="417"/>
      <c r="AS173" s="85"/>
      <c r="AT173" s="85"/>
      <c r="AU173" s="85"/>
      <c r="AV173" s="85"/>
      <c r="AW173" s="85"/>
      <c r="AX173" s="85"/>
      <c r="AY173" s="85"/>
      <c r="AZ173" s="85"/>
      <c r="BA173" s="85"/>
      <c r="BB173" s="85"/>
      <c r="BC173" s="85"/>
      <c r="BD173" s="85"/>
      <c r="BE173" s="85"/>
      <c r="BF173" s="85"/>
      <c r="BG173" s="85"/>
      <c r="BH173" s="85"/>
      <c r="BI173" s="85"/>
      <c r="BJ173" s="85"/>
      <c r="BK173" s="85"/>
      <c r="BL173" s="85"/>
      <c r="BM173" s="85"/>
    </row>
    <row r="174" spans="7:65" s="57" customFormat="1" x14ac:dyDescent="0.25">
      <c r="G174" s="417"/>
      <c r="H174" s="417"/>
      <c r="I174" s="417"/>
      <c r="J174" s="417"/>
      <c r="K174" s="417"/>
      <c r="L174" s="417"/>
      <c r="M174" s="417"/>
      <c r="N174" s="417"/>
      <c r="O174" s="85"/>
      <c r="P174" s="417"/>
      <c r="Q174" s="417"/>
      <c r="R174" s="417"/>
      <c r="S174" s="417"/>
      <c r="T174" s="85"/>
      <c r="U174" s="417"/>
      <c r="V174" s="417"/>
      <c r="W174" s="417"/>
      <c r="X174" s="417"/>
      <c r="Y174" s="85"/>
      <c r="Z174" s="417"/>
      <c r="AA174" s="417"/>
      <c r="AB174" s="417"/>
      <c r="AC174" s="417"/>
      <c r="AD174" s="85"/>
      <c r="AE174" s="417"/>
      <c r="AF174" s="417"/>
      <c r="AG174" s="417"/>
      <c r="AH174" s="417"/>
      <c r="AI174" s="85"/>
      <c r="AJ174" s="417"/>
      <c r="AK174" s="417"/>
      <c r="AL174" s="417"/>
      <c r="AM174" s="417"/>
      <c r="AN174" s="85"/>
      <c r="AO174" s="417"/>
      <c r="AP174" s="417"/>
      <c r="AQ174" s="417"/>
      <c r="AR174" s="417"/>
      <c r="AS174" s="85"/>
      <c r="AT174" s="85"/>
      <c r="AU174" s="85"/>
      <c r="AV174" s="85"/>
      <c r="AW174" s="85"/>
      <c r="AX174" s="85"/>
      <c r="AY174" s="85"/>
      <c r="AZ174" s="85"/>
      <c r="BA174" s="85"/>
      <c r="BB174" s="85"/>
      <c r="BC174" s="85"/>
      <c r="BD174" s="85"/>
      <c r="BE174" s="85"/>
      <c r="BF174" s="85"/>
      <c r="BG174" s="85"/>
      <c r="BH174" s="85"/>
      <c r="BI174" s="85"/>
      <c r="BJ174" s="85"/>
      <c r="BK174" s="85"/>
      <c r="BL174" s="85"/>
      <c r="BM174" s="85"/>
    </row>
    <row r="175" spans="7:65" s="57" customFormat="1" x14ac:dyDescent="0.25">
      <c r="G175" s="417"/>
      <c r="H175" s="417"/>
      <c r="I175" s="417"/>
      <c r="J175" s="417"/>
      <c r="K175" s="417"/>
      <c r="L175" s="417"/>
      <c r="M175" s="417"/>
      <c r="N175" s="417"/>
      <c r="O175" s="85"/>
      <c r="P175" s="417"/>
      <c r="Q175" s="417"/>
      <c r="R175" s="417"/>
      <c r="S175" s="417"/>
      <c r="T175" s="85"/>
      <c r="U175" s="417"/>
      <c r="V175" s="417"/>
      <c r="W175" s="417"/>
      <c r="X175" s="417"/>
      <c r="Y175" s="85"/>
      <c r="Z175" s="417"/>
      <c r="AA175" s="417"/>
      <c r="AB175" s="417"/>
      <c r="AC175" s="417"/>
      <c r="AD175" s="85"/>
      <c r="AE175" s="417"/>
      <c r="AF175" s="417"/>
      <c r="AG175" s="417"/>
      <c r="AH175" s="417"/>
      <c r="AI175" s="85"/>
      <c r="AJ175" s="417"/>
      <c r="AK175" s="417"/>
      <c r="AL175" s="417"/>
      <c r="AM175" s="417"/>
      <c r="AN175" s="85"/>
      <c r="AO175" s="417"/>
      <c r="AP175" s="417"/>
      <c r="AQ175" s="417"/>
      <c r="AR175" s="417"/>
      <c r="AS175" s="85"/>
      <c r="AT175" s="85"/>
      <c r="AU175" s="85"/>
      <c r="AV175" s="85"/>
      <c r="AW175" s="85"/>
      <c r="AX175" s="85"/>
      <c r="AY175" s="85"/>
      <c r="AZ175" s="85"/>
      <c r="BA175" s="85"/>
      <c r="BB175" s="85"/>
      <c r="BC175" s="85"/>
      <c r="BD175" s="85"/>
      <c r="BE175" s="85"/>
      <c r="BF175" s="85"/>
      <c r="BG175" s="85"/>
      <c r="BH175" s="85"/>
      <c r="BI175" s="85"/>
      <c r="BJ175" s="85"/>
      <c r="BK175" s="85"/>
      <c r="BL175" s="85"/>
      <c r="BM175" s="85"/>
    </row>
    <row r="176" spans="7:65" s="57" customFormat="1" x14ac:dyDescent="0.25">
      <c r="G176" s="417"/>
      <c r="H176" s="417"/>
      <c r="I176" s="417"/>
      <c r="J176" s="417"/>
      <c r="K176" s="417"/>
      <c r="L176" s="417"/>
      <c r="M176" s="417"/>
      <c r="N176" s="417"/>
      <c r="O176" s="85"/>
      <c r="P176" s="417"/>
      <c r="Q176" s="417"/>
      <c r="R176" s="417"/>
      <c r="S176" s="417"/>
      <c r="T176" s="85"/>
      <c r="U176" s="417"/>
      <c r="V176" s="417"/>
      <c r="W176" s="417"/>
      <c r="X176" s="417"/>
      <c r="Y176" s="85"/>
      <c r="Z176" s="417"/>
      <c r="AA176" s="417"/>
      <c r="AB176" s="417"/>
      <c r="AC176" s="417"/>
      <c r="AD176" s="85"/>
      <c r="AE176" s="417"/>
      <c r="AF176" s="417"/>
      <c r="AG176" s="417"/>
      <c r="AH176" s="417"/>
      <c r="AI176" s="85"/>
      <c r="AJ176" s="417"/>
      <c r="AK176" s="417"/>
      <c r="AL176" s="417"/>
      <c r="AM176" s="417"/>
      <c r="AN176" s="85"/>
      <c r="AO176" s="417"/>
      <c r="AP176" s="417"/>
      <c r="AQ176" s="417"/>
      <c r="AR176" s="417"/>
      <c r="AS176" s="85"/>
      <c r="AT176" s="85"/>
      <c r="AU176" s="85"/>
      <c r="AV176" s="85"/>
      <c r="AW176" s="85"/>
      <c r="AX176" s="85"/>
      <c r="AY176" s="85"/>
      <c r="AZ176" s="85"/>
      <c r="BA176" s="85"/>
      <c r="BB176" s="85"/>
      <c r="BC176" s="85"/>
      <c r="BD176" s="85"/>
      <c r="BE176" s="85"/>
      <c r="BF176" s="85"/>
      <c r="BG176" s="85"/>
      <c r="BH176" s="85"/>
      <c r="BI176" s="85"/>
      <c r="BJ176" s="85"/>
      <c r="BK176" s="85"/>
      <c r="BL176" s="85"/>
      <c r="BM176" s="85"/>
    </row>
    <row r="177" spans="7:65" s="57" customFormat="1" x14ac:dyDescent="0.25">
      <c r="G177" s="417"/>
      <c r="H177" s="417"/>
      <c r="I177" s="417"/>
      <c r="J177" s="417"/>
      <c r="K177" s="417"/>
      <c r="L177" s="417"/>
      <c r="M177" s="417"/>
      <c r="N177" s="417"/>
      <c r="O177" s="85"/>
      <c r="P177" s="417"/>
      <c r="Q177" s="417"/>
      <c r="R177" s="417"/>
      <c r="S177" s="417"/>
      <c r="T177" s="85"/>
      <c r="U177" s="417"/>
      <c r="V177" s="417"/>
      <c r="W177" s="417"/>
      <c r="X177" s="417"/>
      <c r="Y177" s="85"/>
      <c r="Z177" s="417"/>
      <c r="AA177" s="417"/>
      <c r="AB177" s="417"/>
      <c r="AC177" s="417"/>
      <c r="AD177" s="85"/>
      <c r="AE177" s="417"/>
      <c r="AF177" s="417"/>
      <c r="AG177" s="417"/>
      <c r="AH177" s="417"/>
      <c r="AI177" s="85"/>
      <c r="AJ177" s="417"/>
      <c r="AK177" s="417"/>
      <c r="AL177" s="417"/>
      <c r="AM177" s="417"/>
      <c r="AN177" s="85"/>
      <c r="AO177" s="417"/>
      <c r="AP177" s="417"/>
      <c r="AQ177" s="417"/>
      <c r="AR177" s="417"/>
      <c r="AS177" s="85"/>
      <c r="AT177" s="85"/>
      <c r="AU177" s="85"/>
      <c r="AV177" s="85"/>
      <c r="AW177" s="85"/>
      <c r="AX177" s="85"/>
      <c r="AY177" s="85"/>
      <c r="AZ177" s="85"/>
      <c r="BA177" s="85"/>
      <c r="BB177" s="85"/>
      <c r="BC177" s="85"/>
      <c r="BD177" s="85"/>
      <c r="BE177" s="85"/>
      <c r="BF177" s="85"/>
      <c r="BG177" s="85"/>
      <c r="BH177" s="85"/>
      <c r="BI177" s="85"/>
      <c r="BJ177" s="85"/>
      <c r="BK177" s="85"/>
      <c r="BL177" s="85"/>
      <c r="BM177" s="85"/>
    </row>
    <row r="178" spans="7:65" s="57" customFormat="1" x14ac:dyDescent="0.25">
      <c r="G178" s="417"/>
      <c r="H178" s="417"/>
      <c r="I178" s="417"/>
      <c r="J178" s="417"/>
      <c r="K178" s="417"/>
      <c r="L178" s="417"/>
      <c r="M178" s="417"/>
      <c r="N178" s="417"/>
      <c r="O178" s="85"/>
      <c r="P178" s="417"/>
      <c r="Q178" s="417"/>
      <c r="R178" s="417"/>
      <c r="S178" s="417"/>
      <c r="T178" s="85"/>
      <c r="U178" s="417"/>
      <c r="V178" s="417"/>
      <c r="W178" s="417"/>
      <c r="X178" s="417"/>
      <c r="Y178" s="85"/>
      <c r="Z178" s="417"/>
      <c r="AA178" s="417"/>
      <c r="AB178" s="417"/>
      <c r="AC178" s="417"/>
      <c r="AD178" s="85"/>
      <c r="AE178" s="417"/>
      <c r="AF178" s="417"/>
      <c r="AG178" s="417"/>
      <c r="AH178" s="417"/>
      <c r="AI178" s="85"/>
      <c r="AJ178" s="417"/>
      <c r="AK178" s="417"/>
      <c r="AL178" s="417"/>
      <c r="AM178" s="417"/>
      <c r="AN178" s="85"/>
      <c r="AO178" s="417"/>
      <c r="AP178" s="417"/>
      <c r="AQ178" s="417"/>
      <c r="AR178" s="417"/>
      <c r="AS178" s="85"/>
      <c r="AT178" s="85"/>
      <c r="AU178" s="85"/>
      <c r="AV178" s="85"/>
      <c r="AW178" s="85"/>
      <c r="AX178" s="85"/>
      <c r="AY178" s="85"/>
      <c r="AZ178" s="85"/>
      <c r="BA178" s="85"/>
      <c r="BB178" s="85"/>
      <c r="BC178" s="85"/>
      <c r="BD178" s="85"/>
      <c r="BE178" s="85"/>
      <c r="BF178" s="85"/>
      <c r="BG178" s="85"/>
      <c r="BH178" s="85"/>
      <c r="BI178" s="85"/>
      <c r="BJ178" s="85"/>
      <c r="BK178" s="85"/>
      <c r="BL178" s="85"/>
      <c r="BM178" s="85"/>
    </row>
    <row r="179" spans="7:65" s="57" customFormat="1" x14ac:dyDescent="0.25">
      <c r="G179" s="417"/>
      <c r="H179" s="417"/>
      <c r="I179" s="417"/>
      <c r="J179" s="417"/>
      <c r="K179" s="417"/>
      <c r="L179" s="417"/>
      <c r="M179" s="417"/>
      <c r="N179" s="417"/>
      <c r="O179" s="85"/>
      <c r="P179" s="417"/>
      <c r="Q179" s="417"/>
      <c r="R179" s="417"/>
      <c r="S179" s="417"/>
      <c r="T179" s="85"/>
      <c r="U179" s="417"/>
      <c r="V179" s="417"/>
      <c r="W179" s="417"/>
      <c r="X179" s="417"/>
      <c r="Y179" s="85"/>
      <c r="Z179" s="417"/>
      <c r="AA179" s="417"/>
      <c r="AB179" s="417"/>
      <c r="AC179" s="417"/>
      <c r="AD179" s="85"/>
      <c r="AE179" s="417"/>
      <c r="AF179" s="417"/>
      <c r="AG179" s="417"/>
      <c r="AH179" s="417"/>
      <c r="AI179" s="85"/>
      <c r="AJ179" s="417"/>
      <c r="AK179" s="417"/>
      <c r="AL179" s="417"/>
      <c r="AM179" s="417"/>
      <c r="AN179" s="85"/>
      <c r="AO179" s="417"/>
      <c r="AP179" s="417"/>
      <c r="AQ179" s="417"/>
      <c r="AR179" s="417"/>
      <c r="AS179" s="85"/>
      <c r="AT179" s="85"/>
      <c r="AU179" s="85"/>
      <c r="AV179" s="85"/>
      <c r="AW179" s="85"/>
      <c r="AX179" s="85"/>
      <c r="AY179" s="85"/>
      <c r="AZ179" s="85"/>
      <c r="BA179" s="85"/>
      <c r="BB179" s="85"/>
      <c r="BC179" s="85"/>
      <c r="BD179" s="85"/>
      <c r="BE179" s="85"/>
      <c r="BF179" s="85"/>
      <c r="BG179" s="85"/>
      <c r="BH179" s="85"/>
      <c r="BI179" s="85"/>
      <c r="BJ179" s="85"/>
      <c r="BK179" s="85"/>
      <c r="BL179" s="85"/>
      <c r="BM179" s="85"/>
    </row>
    <row r="180" spans="7:65" s="57" customFormat="1" x14ac:dyDescent="0.25">
      <c r="G180" s="417"/>
      <c r="H180" s="417"/>
      <c r="I180" s="417"/>
      <c r="J180" s="417"/>
      <c r="K180" s="417"/>
      <c r="L180" s="417"/>
      <c r="M180" s="417"/>
      <c r="N180" s="417"/>
      <c r="O180" s="85"/>
      <c r="P180" s="417"/>
      <c r="Q180" s="417"/>
      <c r="R180" s="417"/>
      <c r="S180" s="417"/>
      <c r="T180" s="85"/>
      <c r="U180" s="417"/>
      <c r="V180" s="417"/>
      <c r="W180" s="417"/>
      <c r="X180" s="417"/>
      <c r="Y180" s="85"/>
      <c r="Z180" s="417"/>
      <c r="AA180" s="417"/>
      <c r="AB180" s="417"/>
      <c r="AC180" s="417"/>
      <c r="AD180" s="85"/>
      <c r="AE180" s="417"/>
      <c r="AF180" s="417"/>
      <c r="AG180" s="417"/>
      <c r="AH180" s="417"/>
      <c r="AI180" s="85"/>
      <c r="AJ180" s="417"/>
      <c r="AK180" s="417"/>
      <c r="AL180" s="417"/>
      <c r="AM180" s="417"/>
      <c r="AN180" s="85"/>
      <c r="AO180" s="417"/>
      <c r="AP180" s="417"/>
      <c r="AQ180" s="417"/>
      <c r="AR180" s="417"/>
      <c r="AS180" s="85"/>
      <c r="AT180" s="85"/>
      <c r="AU180" s="85"/>
      <c r="AV180" s="85"/>
      <c r="AW180" s="85"/>
      <c r="AX180" s="85"/>
      <c r="AY180" s="85"/>
      <c r="AZ180" s="85"/>
      <c r="BA180" s="85"/>
      <c r="BB180" s="85"/>
      <c r="BC180" s="85"/>
      <c r="BD180" s="85"/>
      <c r="BE180" s="85"/>
      <c r="BF180" s="85"/>
      <c r="BG180" s="85"/>
      <c r="BH180" s="85"/>
      <c r="BI180" s="85"/>
      <c r="BJ180" s="85"/>
      <c r="BK180" s="85"/>
      <c r="BL180" s="85"/>
      <c r="BM180" s="85"/>
    </row>
    <row r="181" spans="7:65" s="57" customFormat="1" x14ac:dyDescent="0.25">
      <c r="G181" s="417"/>
      <c r="H181" s="417"/>
      <c r="I181" s="417"/>
      <c r="J181" s="417"/>
      <c r="K181" s="417"/>
      <c r="L181" s="417"/>
      <c r="M181" s="417"/>
      <c r="N181" s="417"/>
      <c r="O181" s="85"/>
      <c r="P181" s="417"/>
      <c r="Q181" s="417"/>
      <c r="R181" s="417"/>
      <c r="S181" s="417"/>
      <c r="T181" s="85"/>
      <c r="U181" s="417"/>
      <c r="V181" s="417"/>
      <c r="W181" s="417"/>
      <c r="X181" s="417"/>
      <c r="Y181" s="85"/>
      <c r="Z181" s="417"/>
      <c r="AA181" s="417"/>
      <c r="AB181" s="417"/>
      <c r="AC181" s="417"/>
      <c r="AD181" s="85"/>
      <c r="AE181" s="417"/>
      <c r="AF181" s="417"/>
      <c r="AG181" s="417"/>
      <c r="AH181" s="417"/>
      <c r="AI181" s="85"/>
      <c r="AJ181" s="417"/>
      <c r="AK181" s="417"/>
      <c r="AL181" s="417"/>
      <c r="AM181" s="417"/>
      <c r="AN181" s="85"/>
      <c r="AO181" s="417"/>
      <c r="AP181" s="417"/>
      <c r="AQ181" s="417"/>
      <c r="AR181" s="417"/>
      <c r="AS181" s="85"/>
      <c r="AT181" s="85"/>
      <c r="AU181" s="85"/>
      <c r="AV181" s="85"/>
      <c r="AW181" s="85"/>
      <c r="AX181" s="85"/>
      <c r="AY181" s="85"/>
      <c r="AZ181" s="85"/>
      <c r="BA181" s="85"/>
      <c r="BB181" s="85"/>
      <c r="BC181" s="85"/>
      <c r="BD181" s="85"/>
      <c r="BE181" s="85"/>
      <c r="BF181" s="85"/>
      <c r="BG181" s="85"/>
      <c r="BH181" s="85"/>
      <c r="BI181" s="85"/>
      <c r="BJ181" s="85"/>
      <c r="BK181" s="85"/>
      <c r="BL181" s="85"/>
      <c r="BM181" s="85"/>
    </row>
    <row r="182" spans="7:65" s="57" customFormat="1" x14ac:dyDescent="0.25">
      <c r="G182" s="417"/>
      <c r="H182" s="417"/>
      <c r="I182" s="417"/>
      <c r="J182" s="417"/>
      <c r="K182" s="417"/>
      <c r="L182" s="417"/>
      <c r="M182" s="417"/>
      <c r="N182" s="417"/>
      <c r="O182" s="85"/>
      <c r="P182" s="417"/>
      <c r="Q182" s="417"/>
      <c r="R182" s="417"/>
      <c r="S182" s="417"/>
      <c r="T182" s="85"/>
      <c r="U182" s="417"/>
      <c r="V182" s="417"/>
      <c r="W182" s="417"/>
      <c r="X182" s="417"/>
      <c r="Y182" s="85"/>
      <c r="Z182" s="417"/>
      <c r="AA182" s="417"/>
      <c r="AB182" s="417"/>
      <c r="AC182" s="417"/>
      <c r="AD182" s="85"/>
      <c r="AE182" s="417"/>
      <c r="AF182" s="417"/>
      <c r="AG182" s="417"/>
      <c r="AH182" s="417"/>
      <c r="AI182" s="85"/>
      <c r="AJ182" s="417"/>
      <c r="AK182" s="417"/>
      <c r="AL182" s="417"/>
      <c r="AM182" s="417"/>
      <c r="AN182" s="85"/>
      <c r="AO182" s="417"/>
      <c r="AP182" s="417"/>
      <c r="AQ182" s="417"/>
      <c r="AR182" s="417"/>
      <c r="AS182" s="85"/>
      <c r="AT182" s="85"/>
      <c r="AU182" s="85"/>
      <c r="AV182" s="85"/>
      <c r="AW182" s="85"/>
      <c r="AX182" s="85"/>
      <c r="AY182" s="85"/>
      <c r="AZ182" s="85"/>
      <c r="BA182" s="85"/>
      <c r="BB182" s="85"/>
      <c r="BC182" s="85"/>
      <c r="BD182" s="85"/>
      <c r="BE182" s="85"/>
      <c r="BF182" s="85"/>
      <c r="BG182" s="85"/>
      <c r="BH182" s="85"/>
      <c r="BI182" s="85"/>
      <c r="BJ182" s="85"/>
      <c r="BK182" s="85"/>
      <c r="BL182" s="85"/>
      <c r="BM182" s="85"/>
    </row>
    <row r="183" spans="7:65" s="57" customFormat="1" x14ac:dyDescent="0.25">
      <c r="G183" s="417"/>
      <c r="H183" s="417"/>
      <c r="I183" s="417"/>
      <c r="J183" s="417"/>
      <c r="K183" s="417"/>
      <c r="L183" s="417"/>
      <c r="M183" s="417"/>
      <c r="N183" s="417"/>
      <c r="O183" s="85"/>
      <c r="P183" s="417"/>
      <c r="Q183" s="417"/>
      <c r="R183" s="417"/>
      <c r="S183" s="417"/>
      <c r="T183" s="85"/>
      <c r="U183" s="417"/>
      <c r="V183" s="417"/>
      <c r="W183" s="417"/>
      <c r="X183" s="417"/>
      <c r="Y183" s="85"/>
      <c r="Z183" s="417"/>
      <c r="AA183" s="417"/>
      <c r="AB183" s="417"/>
      <c r="AC183" s="417"/>
      <c r="AD183" s="85"/>
      <c r="AE183" s="417"/>
      <c r="AF183" s="417"/>
      <c r="AG183" s="417"/>
      <c r="AH183" s="417"/>
      <c r="AI183" s="85"/>
      <c r="AJ183" s="417"/>
      <c r="AK183" s="417"/>
      <c r="AL183" s="417"/>
      <c r="AM183" s="417"/>
      <c r="AN183" s="85"/>
      <c r="AO183" s="417"/>
      <c r="AP183" s="417"/>
      <c r="AQ183" s="417"/>
      <c r="AR183" s="417"/>
      <c r="AS183" s="85"/>
      <c r="AT183" s="85"/>
      <c r="AU183" s="85"/>
      <c r="AV183" s="85"/>
      <c r="AW183" s="85"/>
      <c r="AX183" s="85"/>
      <c r="AY183" s="85"/>
      <c r="AZ183" s="85"/>
      <c r="BA183" s="85"/>
      <c r="BB183" s="85"/>
      <c r="BC183" s="85"/>
      <c r="BD183" s="85"/>
      <c r="BE183" s="85"/>
      <c r="BF183" s="85"/>
      <c r="BG183" s="85"/>
      <c r="BH183" s="85"/>
      <c r="BI183" s="85"/>
      <c r="BJ183" s="85"/>
      <c r="BK183" s="85"/>
      <c r="BL183" s="85"/>
      <c r="BM183" s="85"/>
    </row>
    <row r="184" spans="7:65" s="57" customFormat="1" x14ac:dyDescent="0.25">
      <c r="G184" s="417"/>
      <c r="H184" s="417"/>
      <c r="I184" s="417"/>
      <c r="J184" s="417"/>
      <c r="K184" s="417"/>
      <c r="L184" s="417"/>
      <c r="M184" s="417"/>
      <c r="N184" s="417"/>
      <c r="O184" s="85"/>
      <c r="P184" s="417"/>
      <c r="Q184" s="417"/>
      <c r="R184" s="417"/>
      <c r="S184" s="417"/>
      <c r="T184" s="85"/>
      <c r="U184" s="417"/>
      <c r="V184" s="417"/>
      <c r="W184" s="417"/>
      <c r="X184" s="417"/>
      <c r="Y184" s="85"/>
      <c r="Z184" s="417"/>
      <c r="AA184" s="417"/>
      <c r="AB184" s="417"/>
      <c r="AC184" s="417"/>
      <c r="AD184" s="85"/>
      <c r="AE184" s="417"/>
      <c r="AF184" s="417"/>
      <c r="AG184" s="417"/>
      <c r="AH184" s="417"/>
      <c r="AI184" s="85"/>
      <c r="AJ184" s="417"/>
      <c r="AK184" s="417"/>
      <c r="AL184" s="417"/>
      <c r="AM184" s="417"/>
      <c r="AN184" s="85"/>
      <c r="AO184" s="417"/>
      <c r="AP184" s="417"/>
      <c r="AQ184" s="417"/>
      <c r="AR184" s="417"/>
      <c r="AS184" s="85"/>
      <c r="AT184" s="85"/>
      <c r="AU184" s="85"/>
      <c r="AV184" s="85"/>
      <c r="AW184" s="85"/>
      <c r="AX184" s="85"/>
      <c r="AY184" s="85"/>
      <c r="AZ184" s="85"/>
      <c r="BA184" s="85"/>
      <c r="BB184" s="85"/>
      <c r="BC184" s="85"/>
      <c r="BD184" s="85"/>
      <c r="BE184" s="85"/>
      <c r="BF184" s="85"/>
      <c r="BG184" s="85"/>
      <c r="BH184" s="85"/>
      <c r="BI184" s="85"/>
      <c r="BJ184" s="85"/>
      <c r="BK184" s="85"/>
      <c r="BL184" s="85"/>
      <c r="BM184" s="85"/>
    </row>
    <row r="185" spans="7:65" s="57" customFormat="1" x14ac:dyDescent="0.25">
      <c r="G185" s="417"/>
      <c r="H185" s="417"/>
      <c r="I185" s="417"/>
      <c r="J185" s="417"/>
      <c r="K185" s="417"/>
      <c r="L185" s="417"/>
      <c r="M185" s="417"/>
      <c r="N185" s="417"/>
      <c r="O185" s="85"/>
      <c r="P185" s="417"/>
      <c r="Q185" s="417"/>
      <c r="R185" s="417"/>
      <c r="S185" s="417"/>
      <c r="T185" s="85"/>
      <c r="U185" s="417"/>
      <c r="V185" s="417"/>
      <c r="W185" s="417"/>
      <c r="X185" s="417"/>
      <c r="Y185" s="85"/>
      <c r="Z185" s="417"/>
      <c r="AA185" s="417"/>
      <c r="AB185" s="417"/>
      <c r="AC185" s="417"/>
      <c r="AD185" s="85"/>
      <c r="AE185" s="417"/>
      <c r="AF185" s="417"/>
      <c r="AG185" s="417"/>
      <c r="AH185" s="417"/>
      <c r="AI185" s="85"/>
      <c r="AJ185" s="417"/>
      <c r="AK185" s="417"/>
      <c r="AL185" s="417"/>
      <c r="AM185" s="417"/>
      <c r="AN185" s="85"/>
      <c r="AO185" s="417"/>
      <c r="AP185" s="417"/>
      <c r="AQ185" s="417"/>
      <c r="AR185" s="417"/>
      <c r="AS185" s="85"/>
      <c r="AT185" s="85"/>
      <c r="AU185" s="85"/>
      <c r="AV185" s="85"/>
      <c r="AW185" s="85"/>
      <c r="AX185" s="85"/>
      <c r="AY185" s="85"/>
      <c r="AZ185" s="85"/>
      <c r="BA185" s="85"/>
      <c r="BB185" s="85"/>
      <c r="BC185" s="85"/>
      <c r="BD185" s="85"/>
      <c r="BE185" s="85"/>
      <c r="BF185" s="85"/>
      <c r="BG185" s="85"/>
      <c r="BH185" s="85"/>
      <c r="BI185" s="85"/>
      <c r="BJ185" s="85"/>
      <c r="BK185" s="85"/>
      <c r="BL185" s="85"/>
      <c r="BM185" s="85"/>
    </row>
    <row r="186" spans="7:65" s="57" customFormat="1" x14ac:dyDescent="0.25">
      <c r="G186" s="417"/>
      <c r="H186" s="417"/>
      <c r="I186" s="417"/>
      <c r="J186" s="417"/>
      <c r="K186" s="417"/>
      <c r="L186" s="417"/>
      <c r="M186" s="417"/>
      <c r="N186" s="417"/>
      <c r="O186" s="85"/>
      <c r="P186" s="417"/>
      <c r="Q186" s="417"/>
      <c r="R186" s="417"/>
      <c r="S186" s="417"/>
      <c r="T186" s="85"/>
      <c r="U186" s="417"/>
      <c r="V186" s="417"/>
      <c r="W186" s="417"/>
      <c r="X186" s="417"/>
      <c r="Y186" s="85"/>
      <c r="Z186" s="417"/>
      <c r="AA186" s="417"/>
      <c r="AB186" s="417"/>
      <c r="AC186" s="417"/>
      <c r="AD186" s="85"/>
      <c r="AE186" s="417"/>
      <c r="AF186" s="417"/>
      <c r="AG186" s="417"/>
      <c r="AH186" s="417"/>
      <c r="AI186" s="85"/>
      <c r="AJ186" s="417"/>
      <c r="AK186" s="417"/>
      <c r="AL186" s="417"/>
      <c r="AM186" s="417"/>
      <c r="AN186" s="85"/>
      <c r="AO186" s="417"/>
      <c r="AP186" s="417"/>
      <c r="AQ186" s="417"/>
      <c r="AR186" s="417"/>
      <c r="AS186" s="85"/>
      <c r="AT186" s="85"/>
      <c r="AU186" s="85"/>
      <c r="AV186" s="85"/>
      <c r="AW186" s="85"/>
      <c r="AX186" s="85"/>
      <c r="AY186" s="85"/>
      <c r="AZ186" s="85"/>
      <c r="BA186" s="85"/>
      <c r="BB186" s="85"/>
      <c r="BC186" s="85"/>
      <c r="BD186" s="85"/>
      <c r="BE186" s="85"/>
      <c r="BF186" s="85"/>
      <c r="BG186" s="85"/>
      <c r="BH186" s="85"/>
      <c r="BI186" s="85"/>
      <c r="BJ186" s="85"/>
      <c r="BK186" s="85"/>
      <c r="BL186" s="85"/>
      <c r="BM186" s="85"/>
    </row>
    <row r="187" spans="7:65" s="57" customFormat="1" x14ac:dyDescent="0.25">
      <c r="G187" s="417"/>
      <c r="H187" s="417"/>
      <c r="I187" s="417"/>
      <c r="J187" s="417"/>
      <c r="K187" s="417"/>
      <c r="L187" s="417"/>
      <c r="M187" s="417"/>
      <c r="N187" s="417"/>
      <c r="O187" s="85"/>
      <c r="P187" s="417"/>
      <c r="Q187" s="417"/>
      <c r="R187" s="417"/>
      <c r="S187" s="417"/>
      <c r="T187" s="85"/>
      <c r="U187" s="417"/>
      <c r="V187" s="417"/>
      <c r="W187" s="417"/>
      <c r="X187" s="417"/>
      <c r="Y187" s="85"/>
      <c r="Z187" s="417"/>
      <c r="AA187" s="417"/>
      <c r="AB187" s="417"/>
      <c r="AC187" s="417"/>
      <c r="AD187" s="85"/>
      <c r="AE187" s="417"/>
      <c r="AF187" s="417"/>
      <c r="AG187" s="417"/>
      <c r="AH187" s="417"/>
      <c r="AI187" s="85"/>
      <c r="AJ187" s="417"/>
      <c r="AK187" s="417"/>
      <c r="AL187" s="417"/>
      <c r="AM187" s="417"/>
      <c r="AN187" s="85"/>
      <c r="AO187" s="417"/>
      <c r="AP187" s="417"/>
      <c r="AQ187" s="417"/>
      <c r="AR187" s="417"/>
      <c r="AS187" s="85"/>
      <c r="AT187" s="85"/>
      <c r="AU187" s="85"/>
      <c r="AV187" s="85"/>
      <c r="AW187" s="85"/>
      <c r="AX187" s="85"/>
      <c r="AY187" s="85"/>
      <c r="AZ187" s="85"/>
      <c r="BA187" s="85"/>
      <c r="BB187" s="85"/>
      <c r="BC187" s="85"/>
      <c r="BD187" s="85"/>
      <c r="BE187" s="85"/>
      <c r="BF187" s="85"/>
      <c r="BG187" s="85"/>
      <c r="BH187" s="85"/>
      <c r="BI187" s="85"/>
      <c r="BJ187" s="85"/>
      <c r="BK187" s="85"/>
      <c r="BL187" s="85"/>
      <c r="BM187" s="85"/>
    </row>
    <row r="188" spans="7:65" s="57" customFormat="1" x14ac:dyDescent="0.25">
      <c r="G188" s="417"/>
      <c r="H188" s="417"/>
      <c r="I188" s="417"/>
      <c r="J188" s="417"/>
      <c r="K188" s="417"/>
      <c r="L188" s="417"/>
      <c r="M188" s="417"/>
      <c r="N188" s="417"/>
      <c r="O188" s="85"/>
      <c r="P188" s="417"/>
      <c r="Q188" s="417"/>
      <c r="R188" s="417"/>
      <c r="S188" s="417"/>
      <c r="T188" s="85"/>
      <c r="U188" s="417"/>
      <c r="V188" s="417"/>
      <c r="W188" s="417"/>
      <c r="X188" s="417"/>
      <c r="Y188" s="85"/>
      <c r="Z188" s="417"/>
      <c r="AA188" s="417"/>
      <c r="AB188" s="417"/>
      <c r="AC188" s="417"/>
      <c r="AD188" s="85"/>
      <c r="AE188" s="417"/>
      <c r="AF188" s="417"/>
      <c r="AG188" s="417"/>
      <c r="AH188" s="417"/>
      <c r="AI188" s="85"/>
      <c r="AJ188" s="417"/>
      <c r="AK188" s="417"/>
      <c r="AL188" s="417"/>
      <c r="AM188" s="417"/>
      <c r="AN188" s="85"/>
      <c r="AO188" s="417"/>
      <c r="AP188" s="417"/>
      <c r="AQ188" s="417"/>
      <c r="AR188" s="417"/>
      <c r="AS188" s="85"/>
      <c r="AT188" s="85"/>
      <c r="AU188" s="85"/>
      <c r="AV188" s="85"/>
      <c r="AW188" s="85"/>
      <c r="AX188" s="85"/>
      <c r="AY188" s="85"/>
      <c r="AZ188" s="85"/>
      <c r="BA188" s="85"/>
      <c r="BB188" s="85"/>
      <c r="BC188" s="85"/>
      <c r="BD188" s="85"/>
      <c r="BE188" s="85"/>
      <c r="BF188" s="85"/>
      <c r="BG188" s="85"/>
      <c r="BH188" s="85"/>
      <c r="BI188" s="85"/>
      <c r="BJ188" s="85"/>
      <c r="BK188" s="85"/>
      <c r="BL188" s="85"/>
      <c r="BM188" s="85"/>
    </row>
    <row r="189" spans="7:65" s="57" customFormat="1" x14ac:dyDescent="0.25">
      <c r="G189" s="417"/>
      <c r="H189" s="417"/>
      <c r="I189" s="417"/>
      <c r="J189" s="417"/>
      <c r="K189" s="417"/>
      <c r="L189" s="417"/>
      <c r="M189" s="417"/>
      <c r="N189" s="417"/>
      <c r="O189" s="85"/>
      <c r="P189" s="417"/>
      <c r="Q189" s="417"/>
      <c r="R189" s="417"/>
      <c r="S189" s="417"/>
      <c r="T189" s="85"/>
      <c r="U189" s="417"/>
      <c r="V189" s="417"/>
      <c r="W189" s="417"/>
      <c r="X189" s="417"/>
      <c r="Y189" s="85"/>
      <c r="Z189" s="417"/>
      <c r="AA189" s="417"/>
      <c r="AB189" s="417"/>
      <c r="AC189" s="417"/>
      <c r="AD189" s="85"/>
      <c r="AE189" s="417"/>
      <c r="AF189" s="417"/>
      <c r="AG189" s="417"/>
      <c r="AH189" s="417"/>
      <c r="AI189" s="85"/>
      <c r="AJ189" s="417"/>
      <c r="AK189" s="417"/>
      <c r="AL189" s="417"/>
      <c r="AM189" s="417"/>
      <c r="AN189" s="85"/>
      <c r="AO189" s="417"/>
      <c r="AP189" s="417"/>
      <c r="AQ189" s="417"/>
      <c r="AR189" s="417"/>
      <c r="AS189" s="85"/>
      <c r="AT189" s="85"/>
      <c r="AU189" s="85"/>
      <c r="AV189" s="85"/>
      <c r="AW189" s="85"/>
      <c r="AX189" s="85"/>
      <c r="AY189" s="85"/>
      <c r="AZ189" s="85"/>
      <c r="BA189" s="85"/>
      <c r="BB189" s="85"/>
      <c r="BC189" s="85"/>
      <c r="BD189" s="85"/>
      <c r="BE189" s="85"/>
      <c r="BF189" s="85"/>
      <c r="BG189" s="85"/>
      <c r="BH189" s="85"/>
      <c r="BI189" s="85"/>
      <c r="BJ189" s="85"/>
      <c r="BK189" s="85"/>
      <c r="BL189" s="85"/>
      <c r="BM189" s="85"/>
    </row>
    <row r="190" spans="7:65" s="57" customFormat="1" x14ac:dyDescent="0.25">
      <c r="G190" s="417"/>
      <c r="H190" s="417"/>
      <c r="I190" s="417"/>
      <c r="J190" s="417"/>
      <c r="K190" s="417"/>
      <c r="L190" s="417"/>
      <c r="M190" s="417"/>
      <c r="N190" s="417"/>
      <c r="O190" s="85"/>
      <c r="P190" s="417"/>
      <c r="Q190" s="417"/>
      <c r="R190" s="417"/>
      <c r="S190" s="417"/>
      <c r="T190" s="85"/>
      <c r="U190" s="417"/>
      <c r="V190" s="417"/>
      <c r="W190" s="417"/>
      <c r="X190" s="417"/>
      <c r="Y190" s="85"/>
      <c r="Z190" s="417"/>
      <c r="AA190" s="417"/>
      <c r="AB190" s="417"/>
      <c r="AC190" s="417"/>
      <c r="AD190" s="85"/>
      <c r="AE190" s="417"/>
      <c r="AF190" s="417"/>
      <c r="AG190" s="417"/>
      <c r="AH190" s="417"/>
      <c r="AI190" s="85"/>
      <c r="AJ190" s="417"/>
      <c r="AK190" s="417"/>
      <c r="AL190" s="417"/>
      <c r="AM190" s="417"/>
      <c r="AN190" s="85"/>
      <c r="AO190" s="417"/>
      <c r="AP190" s="417"/>
      <c r="AQ190" s="417"/>
      <c r="AR190" s="417"/>
      <c r="AS190" s="85"/>
      <c r="AT190" s="85"/>
      <c r="AU190" s="85"/>
      <c r="AV190" s="85"/>
      <c r="AW190" s="85"/>
      <c r="AX190" s="85"/>
      <c r="AY190" s="85"/>
      <c r="AZ190" s="85"/>
      <c r="BA190" s="85"/>
      <c r="BB190" s="85"/>
      <c r="BC190" s="85"/>
      <c r="BD190" s="85"/>
      <c r="BE190" s="85"/>
      <c r="BF190" s="85"/>
      <c r="BG190" s="85"/>
      <c r="BH190" s="85"/>
      <c r="BI190" s="85"/>
      <c r="BJ190" s="85"/>
      <c r="BK190" s="85"/>
      <c r="BL190" s="85"/>
      <c r="BM190" s="85"/>
    </row>
    <row r="191" spans="7:65" s="57" customFormat="1" x14ac:dyDescent="0.25">
      <c r="G191" s="417"/>
      <c r="H191" s="417"/>
      <c r="I191" s="417"/>
      <c r="J191" s="417"/>
      <c r="K191" s="417"/>
      <c r="L191" s="417"/>
      <c r="M191" s="417"/>
      <c r="N191" s="417"/>
      <c r="O191" s="85"/>
      <c r="P191" s="417"/>
      <c r="Q191" s="417"/>
      <c r="R191" s="417"/>
      <c r="S191" s="417"/>
      <c r="T191" s="85"/>
      <c r="U191" s="417"/>
      <c r="V191" s="417"/>
      <c r="W191" s="417"/>
      <c r="X191" s="417"/>
      <c r="Y191" s="85"/>
      <c r="Z191" s="417"/>
      <c r="AA191" s="417"/>
      <c r="AB191" s="417"/>
      <c r="AC191" s="417"/>
      <c r="AD191" s="85"/>
      <c r="AE191" s="417"/>
      <c r="AF191" s="417"/>
      <c r="AG191" s="417"/>
      <c r="AH191" s="417"/>
      <c r="AI191" s="85"/>
      <c r="AJ191" s="417"/>
      <c r="AK191" s="417"/>
      <c r="AL191" s="417"/>
      <c r="AM191" s="417"/>
      <c r="AN191" s="85"/>
      <c r="AO191" s="417"/>
      <c r="AP191" s="417"/>
      <c r="AQ191" s="417"/>
      <c r="AR191" s="417"/>
      <c r="AS191" s="85"/>
      <c r="AT191" s="85"/>
      <c r="AU191" s="85"/>
      <c r="AV191" s="85"/>
      <c r="AW191" s="85"/>
      <c r="AX191" s="85"/>
      <c r="AY191" s="85"/>
      <c r="AZ191" s="85"/>
      <c r="BA191" s="85"/>
      <c r="BB191" s="85"/>
      <c r="BC191" s="85"/>
      <c r="BD191" s="85"/>
      <c r="BE191" s="85"/>
      <c r="BF191" s="85"/>
      <c r="BG191" s="85"/>
      <c r="BH191" s="85"/>
      <c r="BI191" s="85"/>
      <c r="BJ191" s="85"/>
      <c r="BK191" s="85"/>
      <c r="BL191" s="85"/>
      <c r="BM191" s="85"/>
    </row>
    <row r="192" spans="7:65" s="57" customFormat="1" x14ac:dyDescent="0.25">
      <c r="G192" s="417"/>
      <c r="H192" s="417"/>
      <c r="I192" s="417"/>
      <c r="J192" s="417"/>
      <c r="K192" s="417"/>
      <c r="L192" s="417"/>
      <c r="M192" s="417"/>
      <c r="N192" s="417"/>
      <c r="O192" s="85"/>
      <c r="P192" s="417"/>
      <c r="Q192" s="417"/>
      <c r="R192" s="417"/>
      <c r="S192" s="417"/>
      <c r="T192" s="85"/>
      <c r="U192" s="417"/>
      <c r="V192" s="417"/>
      <c r="W192" s="417"/>
      <c r="X192" s="417"/>
      <c r="Y192" s="85"/>
      <c r="Z192" s="417"/>
      <c r="AA192" s="417"/>
      <c r="AB192" s="417"/>
      <c r="AC192" s="417"/>
      <c r="AD192" s="85"/>
      <c r="AE192" s="417"/>
      <c r="AF192" s="417"/>
      <c r="AG192" s="417"/>
      <c r="AH192" s="417"/>
      <c r="AI192" s="85"/>
      <c r="AJ192" s="417"/>
      <c r="AK192" s="417"/>
      <c r="AL192" s="417"/>
      <c r="AM192" s="417"/>
      <c r="AN192" s="85"/>
      <c r="AO192" s="417"/>
      <c r="AP192" s="417"/>
      <c r="AQ192" s="417"/>
      <c r="AR192" s="417"/>
      <c r="AS192" s="85"/>
      <c r="AT192" s="85"/>
      <c r="AU192" s="85"/>
      <c r="AV192" s="85"/>
      <c r="AW192" s="85"/>
      <c r="AX192" s="85"/>
      <c r="AY192" s="85"/>
      <c r="AZ192" s="85"/>
      <c r="BA192" s="85"/>
      <c r="BB192" s="85"/>
      <c r="BC192" s="85"/>
      <c r="BD192" s="85"/>
      <c r="BE192" s="85"/>
      <c r="BF192" s="85"/>
      <c r="BG192" s="85"/>
      <c r="BH192" s="85"/>
      <c r="BI192" s="85"/>
      <c r="BJ192" s="85"/>
      <c r="BK192" s="85"/>
      <c r="BL192" s="85"/>
      <c r="BM192" s="85"/>
    </row>
    <row r="193" spans="7:65" s="57" customFormat="1" x14ac:dyDescent="0.25">
      <c r="G193" s="417"/>
      <c r="H193" s="417"/>
      <c r="I193" s="417"/>
      <c r="J193" s="417"/>
      <c r="K193" s="417"/>
      <c r="L193" s="417"/>
      <c r="M193" s="417"/>
      <c r="N193" s="417"/>
      <c r="O193" s="85"/>
      <c r="P193" s="417"/>
      <c r="Q193" s="417"/>
      <c r="R193" s="417"/>
      <c r="S193" s="417"/>
      <c r="T193" s="85"/>
      <c r="U193" s="417"/>
      <c r="V193" s="417"/>
      <c r="W193" s="417"/>
      <c r="X193" s="417"/>
      <c r="Y193" s="85"/>
      <c r="Z193" s="417"/>
      <c r="AA193" s="417"/>
      <c r="AB193" s="417"/>
      <c r="AC193" s="417"/>
      <c r="AD193" s="85"/>
      <c r="AE193" s="417"/>
      <c r="AF193" s="417"/>
      <c r="AG193" s="417"/>
      <c r="AH193" s="417"/>
      <c r="AI193" s="85"/>
      <c r="AJ193" s="417"/>
      <c r="AK193" s="417"/>
      <c r="AL193" s="417"/>
      <c r="AM193" s="417"/>
      <c r="AN193" s="85"/>
      <c r="AO193" s="417"/>
      <c r="AP193" s="417"/>
      <c r="AQ193" s="417"/>
      <c r="AR193" s="417"/>
      <c r="AS193" s="85"/>
      <c r="AT193" s="85"/>
      <c r="AU193" s="85"/>
      <c r="AV193" s="85"/>
      <c r="AW193" s="85"/>
      <c r="AX193" s="85"/>
      <c r="AY193" s="85"/>
      <c r="AZ193" s="85"/>
      <c r="BA193" s="85"/>
      <c r="BB193" s="85"/>
      <c r="BC193" s="85"/>
      <c r="BD193" s="85"/>
      <c r="BE193" s="85"/>
      <c r="BF193" s="85"/>
      <c r="BG193" s="85"/>
      <c r="BH193" s="85"/>
      <c r="BI193" s="85"/>
      <c r="BJ193" s="85"/>
      <c r="BK193" s="85"/>
      <c r="BL193" s="85"/>
      <c r="BM193" s="85"/>
    </row>
    <row r="194" spans="7:65" s="57" customFormat="1" x14ac:dyDescent="0.25">
      <c r="G194" s="417"/>
      <c r="H194" s="417"/>
      <c r="I194" s="417"/>
      <c r="J194" s="417"/>
      <c r="K194" s="417"/>
      <c r="L194" s="417"/>
      <c r="M194" s="417"/>
      <c r="N194" s="417"/>
      <c r="O194" s="85"/>
      <c r="P194" s="417"/>
      <c r="Q194" s="417"/>
      <c r="R194" s="417"/>
      <c r="S194" s="417"/>
      <c r="T194" s="85"/>
      <c r="U194" s="417"/>
      <c r="V194" s="417"/>
      <c r="W194" s="417"/>
      <c r="X194" s="417"/>
      <c r="Y194" s="85"/>
      <c r="Z194" s="417"/>
      <c r="AA194" s="417"/>
      <c r="AB194" s="417"/>
      <c r="AC194" s="417"/>
      <c r="AD194" s="85"/>
      <c r="AE194" s="417"/>
      <c r="AF194" s="417"/>
      <c r="AG194" s="417"/>
      <c r="AH194" s="417"/>
      <c r="AI194" s="85"/>
      <c r="AJ194" s="417"/>
      <c r="AK194" s="417"/>
      <c r="AL194" s="417"/>
      <c r="AM194" s="417"/>
      <c r="AN194" s="85"/>
      <c r="AO194" s="417"/>
      <c r="AP194" s="417"/>
      <c r="AQ194" s="417"/>
      <c r="AR194" s="417"/>
      <c r="AS194" s="85"/>
      <c r="AT194" s="85"/>
      <c r="AU194" s="85"/>
      <c r="AV194" s="85"/>
      <c r="AW194" s="85"/>
      <c r="AX194" s="85"/>
      <c r="AY194" s="85"/>
      <c r="AZ194" s="85"/>
      <c r="BA194" s="85"/>
      <c r="BB194" s="85"/>
      <c r="BC194" s="85"/>
      <c r="BD194" s="85"/>
      <c r="BE194" s="85"/>
      <c r="BF194" s="85"/>
      <c r="BG194" s="85"/>
      <c r="BH194" s="85"/>
      <c r="BI194" s="85"/>
      <c r="BJ194" s="85"/>
      <c r="BK194" s="85"/>
      <c r="BL194" s="85"/>
      <c r="BM194" s="85"/>
    </row>
    <row r="195" spans="7:65" s="57" customFormat="1" x14ac:dyDescent="0.25">
      <c r="G195" s="417"/>
      <c r="H195" s="417"/>
      <c r="I195" s="417"/>
      <c r="J195" s="417"/>
      <c r="K195" s="417"/>
      <c r="L195" s="417"/>
      <c r="M195" s="417"/>
      <c r="N195" s="417"/>
      <c r="O195" s="85"/>
      <c r="P195" s="417"/>
      <c r="Q195" s="417"/>
      <c r="R195" s="417"/>
      <c r="S195" s="417"/>
      <c r="T195" s="85"/>
      <c r="U195" s="417"/>
      <c r="V195" s="417"/>
      <c r="W195" s="417"/>
      <c r="X195" s="417"/>
      <c r="Y195" s="85"/>
      <c r="Z195" s="417"/>
      <c r="AA195" s="417"/>
      <c r="AB195" s="417"/>
      <c r="AC195" s="417"/>
      <c r="AD195" s="85"/>
      <c r="AE195" s="417"/>
      <c r="AF195" s="417"/>
      <c r="AG195" s="417"/>
      <c r="AH195" s="417"/>
      <c r="AI195" s="85"/>
      <c r="AJ195" s="417"/>
      <c r="AK195" s="417"/>
      <c r="AL195" s="417"/>
      <c r="AM195" s="417"/>
      <c r="AN195" s="85"/>
      <c r="AO195" s="417"/>
      <c r="AP195" s="417"/>
      <c r="AQ195" s="417"/>
      <c r="AR195" s="417"/>
      <c r="AS195" s="85"/>
      <c r="AT195" s="85"/>
      <c r="AU195" s="85"/>
      <c r="AV195" s="85"/>
      <c r="AW195" s="85"/>
      <c r="AX195" s="85"/>
      <c r="AY195" s="85"/>
      <c r="AZ195" s="85"/>
      <c r="BA195" s="85"/>
      <c r="BB195" s="85"/>
      <c r="BC195" s="85"/>
      <c r="BD195" s="85"/>
      <c r="BE195" s="85"/>
      <c r="BF195" s="85"/>
      <c r="BG195" s="85"/>
      <c r="BH195" s="85"/>
      <c r="BI195" s="85"/>
      <c r="BJ195" s="85"/>
      <c r="BK195" s="85"/>
      <c r="BL195" s="85"/>
      <c r="BM195" s="85"/>
    </row>
    <row r="196" spans="7:65" s="57" customFormat="1" x14ac:dyDescent="0.25">
      <c r="G196" s="417"/>
      <c r="H196" s="417"/>
      <c r="I196" s="417"/>
      <c r="J196" s="417"/>
      <c r="K196" s="417"/>
      <c r="L196" s="417"/>
      <c r="M196" s="417"/>
      <c r="N196" s="417"/>
      <c r="O196" s="85"/>
      <c r="P196" s="417"/>
      <c r="Q196" s="417"/>
      <c r="R196" s="417"/>
      <c r="S196" s="417"/>
      <c r="T196" s="85"/>
      <c r="U196" s="417"/>
      <c r="V196" s="417"/>
      <c r="W196" s="417"/>
      <c r="X196" s="417"/>
      <c r="Y196" s="85"/>
      <c r="Z196" s="417"/>
      <c r="AA196" s="417"/>
      <c r="AB196" s="417"/>
      <c r="AC196" s="417"/>
      <c r="AD196" s="85"/>
      <c r="AE196" s="417"/>
      <c r="AF196" s="417"/>
      <c r="AG196" s="417"/>
      <c r="AH196" s="417"/>
      <c r="AI196" s="85"/>
      <c r="AJ196" s="417"/>
      <c r="AK196" s="417"/>
      <c r="AL196" s="417"/>
      <c r="AM196" s="417"/>
      <c r="AN196" s="85"/>
      <c r="AO196" s="417"/>
      <c r="AP196" s="417"/>
      <c r="AQ196" s="417"/>
      <c r="AR196" s="417"/>
      <c r="AS196" s="85"/>
      <c r="AT196" s="85"/>
      <c r="AU196" s="85"/>
      <c r="AV196" s="85"/>
      <c r="AW196" s="85"/>
      <c r="AX196" s="85"/>
      <c r="AY196" s="85"/>
      <c r="AZ196" s="85"/>
      <c r="BA196" s="85"/>
      <c r="BB196" s="85"/>
      <c r="BC196" s="85"/>
      <c r="BD196" s="85"/>
      <c r="BE196" s="85"/>
      <c r="BF196" s="85"/>
      <c r="BG196" s="85"/>
      <c r="BH196" s="85"/>
      <c r="BI196" s="85"/>
      <c r="BJ196" s="85"/>
      <c r="BK196" s="85"/>
      <c r="BL196" s="85"/>
      <c r="BM196" s="85"/>
    </row>
    <row r="197" spans="7:65" s="57" customFormat="1" x14ac:dyDescent="0.25">
      <c r="G197" s="417"/>
      <c r="H197" s="417"/>
      <c r="I197" s="417"/>
      <c r="J197" s="417"/>
      <c r="K197" s="417"/>
      <c r="L197" s="417"/>
      <c r="M197" s="417"/>
      <c r="N197" s="417"/>
      <c r="O197" s="85"/>
      <c r="P197" s="417"/>
      <c r="Q197" s="417"/>
      <c r="R197" s="417"/>
      <c r="S197" s="417"/>
      <c r="T197" s="85"/>
      <c r="U197" s="417"/>
      <c r="V197" s="417"/>
      <c r="W197" s="417"/>
      <c r="X197" s="417"/>
      <c r="Y197" s="85"/>
      <c r="Z197" s="417"/>
      <c r="AA197" s="417"/>
      <c r="AB197" s="417"/>
      <c r="AC197" s="417"/>
      <c r="AD197" s="85"/>
      <c r="AE197" s="417"/>
      <c r="AF197" s="417"/>
      <c r="AG197" s="417"/>
      <c r="AH197" s="417"/>
      <c r="AI197" s="85"/>
      <c r="AJ197" s="417"/>
      <c r="AK197" s="417"/>
      <c r="AL197" s="417"/>
      <c r="AM197" s="417"/>
      <c r="AN197" s="85"/>
      <c r="AO197" s="417"/>
      <c r="AP197" s="417"/>
      <c r="AQ197" s="417"/>
      <c r="AR197" s="417"/>
      <c r="AS197" s="85"/>
      <c r="AT197" s="85"/>
      <c r="AU197" s="85"/>
      <c r="AV197" s="85"/>
      <c r="AW197" s="85"/>
      <c r="AX197" s="85"/>
      <c r="AY197" s="85"/>
      <c r="AZ197" s="85"/>
      <c r="BA197" s="85"/>
      <c r="BB197" s="85"/>
      <c r="BC197" s="85"/>
      <c r="BD197" s="85"/>
      <c r="BE197" s="85"/>
      <c r="BF197" s="85"/>
      <c r="BG197" s="85"/>
      <c r="BH197" s="85"/>
      <c r="BI197" s="85"/>
      <c r="BJ197" s="85"/>
      <c r="BK197" s="85"/>
      <c r="BL197" s="85"/>
      <c r="BM197" s="85"/>
    </row>
    <row r="198" spans="7:65" s="57" customFormat="1" x14ac:dyDescent="0.25">
      <c r="G198" s="417"/>
      <c r="H198" s="417"/>
      <c r="I198" s="417"/>
      <c r="J198" s="417"/>
      <c r="K198" s="417"/>
      <c r="L198" s="417"/>
      <c r="M198" s="417"/>
      <c r="N198" s="417"/>
      <c r="O198" s="85"/>
      <c r="P198" s="417"/>
      <c r="Q198" s="417"/>
      <c r="R198" s="417"/>
      <c r="S198" s="417"/>
      <c r="T198" s="85"/>
      <c r="U198" s="417"/>
      <c r="V198" s="417"/>
      <c r="W198" s="417"/>
      <c r="X198" s="417"/>
      <c r="Y198" s="85"/>
      <c r="Z198" s="417"/>
      <c r="AA198" s="417"/>
      <c r="AB198" s="417"/>
      <c r="AC198" s="417"/>
      <c r="AD198" s="85"/>
      <c r="AE198" s="417"/>
      <c r="AF198" s="417"/>
      <c r="AG198" s="417"/>
      <c r="AH198" s="417"/>
      <c r="AI198" s="85"/>
      <c r="AJ198" s="417"/>
      <c r="AK198" s="417"/>
      <c r="AL198" s="417"/>
      <c r="AM198" s="417"/>
      <c r="AN198" s="85"/>
      <c r="AO198" s="417"/>
      <c r="AP198" s="417"/>
      <c r="AQ198" s="417"/>
      <c r="AR198" s="417"/>
      <c r="AS198" s="85"/>
      <c r="AT198" s="85"/>
      <c r="AU198" s="85"/>
      <c r="AV198" s="85"/>
      <c r="AW198" s="85"/>
      <c r="AX198" s="85"/>
      <c r="AY198" s="85"/>
      <c r="AZ198" s="85"/>
      <c r="BA198" s="85"/>
      <c r="BB198" s="85"/>
      <c r="BC198" s="85"/>
      <c r="BD198" s="85"/>
      <c r="BE198" s="85"/>
      <c r="BF198" s="85"/>
      <c r="BG198" s="85"/>
      <c r="BH198" s="85"/>
      <c r="BI198" s="85"/>
      <c r="BJ198" s="85"/>
      <c r="BK198" s="85"/>
      <c r="BL198" s="85"/>
      <c r="BM198" s="85"/>
    </row>
    <row r="199" spans="7:65" s="57" customFormat="1" x14ac:dyDescent="0.25">
      <c r="G199" s="417"/>
      <c r="H199" s="417"/>
      <c r="I199" s="417"/>
      <c r="J199" s="417"/>
      <c r="K199" s="417"/>
      <c r="L199" s="417"/>
      <c r="M199" s="417"/>
      <c r="N199" s="417"/>
      <c r="O199" s="85"/>
      <c r="P199" s="417"/>
      <c r="Q199" s="417"/>
      <c r="R199" s="417"/>
      <c r="S199" s="417"/>
      <c r="T199" s="85"/>
      <c r="U199" s="417"/>
      <c r="V199" s="417"/>
      <c r="W199" s="417"/>
      <c r="X199" s="417"/>
      <c r="Y199" s="85"/>
      <c r="Z199" s="417"/>
      <c r="AA199" s="417"/>
      <c r="AB199" s="417"/>
      <c r="AC199" s="417"/>
      <c r="AD199" s="85"/>
      <c r="AE199" s="417"/>
      <c r="AF199" s="417"/>
      <c r="AG199" s="417"/>
      <c r="AH199" s="417"/>
      <c r="AI199" s="85"/>
      <c r="AJ199" s="417"/>
      <c r="AK199" s="417"/>
      <c r="AL199" s="417"/>
      <c r="AM199" s="417"/>
      <c r="AN199" s="85"/>
      <c r="AO199" s="417"/>
      <c r="AP199" s="417"/>
      <c r="AQ199" s="417"/>
      <c r="AR199" s="417"/>
      <c r="AS199" s="85"/>
      <c r="AT199" s="85"/>
      <c r="AU199" s="85"/>
      <c r="AV199" s="85"/>
      <c r="AW199" s="85"/>
      <c r="AX199" s="85"/>
      <c r="AY199" s="85"/>
      <c r="AZ199" s="85"/>
      <c r="BA199" s="85"/>
      <c r="BB199" s="85"/>
      <c r="BC199" s="85"/>
      <c r="BD199" s="85"/>
      <c r="BE199" s="85"/>
      <c r="BF199" s="85"/>
      <c r="BG199" s="85"/>
      <c r="BH199" s="85"/>
      <c r="BI199" s="85"/>
      <c r="BJ199" s="85"/>
      <c r="BK199" s="85"/>
      <c r="BL199" s="85"/>
      <c r="BM199" s="85"/>
    </row>
    <row r="200" spans="7:65" s="57" customFormat="1" x14ac:dyDescent="0.25">
      <c r="G200" s="417"/>
      <c r="H200" s="417"/>
      <c r="I200" s="417"/>
      <c r="J200" s="417"/>
      <c r="K200" s="417"/>
      <c r="L200" s="417"/>
      <c r="M200" s="417"/>
      <c r="N200" s="417"/>
      <c r="O200" s="85"/>
      <c r="P200" s="417"/>
      <c r="Q200" s="417"/>
      <c r="R200" s="417"/>
      <c r="S200" s="417"/>
      <c r="T200" s="85"/>
      <c r="U200" s="417"/>
      <c r="V200" s="417"/>
      <c r="W200" s="417"/>
      <c r="X200" s="417"/>
      <c r="Y200" s="85"/>
      <c r="Z200" s="417"/>
      <c r="AA200" s="417"/>
      <c r="AB200" s="417"/>
      <c r="AC200" s="417"/>
      <c r="AD200" s="85"/>
      <c r="AE200" s="417"/>
      <c r="AF200" s="417"/>
      <c r="AG200" s="417"/>
      <c r="AH200" s="417"/>
      <c r="AI200" s="85"/>
      <c r="AJ200" s="417"/>
      <c r="AK200" s="417"/>
      <c r="AL200" s="417"/>
      <c r="AM200" s="417"/>
      <c r="AN200" s="85"/>
      <c r="AO200" s="417"/>
      <c r="AP200" s="417"/>
      <c r="AQ200" s="417"/>
      <c r="AR200" s="417"/>
      <c r="AS200" s="85"/>
      <c r="AT200" s="85"/>
      <c r="AU200" s="85"/>
      <c r="AV200" s="85"/>
      <c r="AW200" s="85"/>
      <c r="AX200" s="85"/>
      <c r="AY200" s="85"/>
      <c r="AZ200" s="85"/>
      <c r="BA200" s="85"/>
      <c r="BB200" s="85"/>
      <c r="BC200" s="85"/>
      <c r="BD200" s="85"/>
      <c r="BE200" s="85"/>
      <c r="BF200" s="85"/>
      <c r="BG200" s="85"/>
      <c r="BH200" s="85"/>
      <c r="BI200" s="85"/>
      <c r="BJ200" s="85"/>
      <c r="BK200" s="85"/>
      <c r="BL200" s="85"/>
      <c r="BM200" s="85"/>
    </row>
    <row r="201" spans="7:65" s="57" customFormat="1" x14ac:dyDescent="0.25">
      <c r="G201" s="417"/>
      <c r="H201" s="417"/>
      <c r="I201" s="417"/>
      <c r="J201" s="417"/>
      <c r="K201" s="417"/>
      <c r="L201" s="417"/>
      <c r="M201" s="417"/>
      <c r="N201" s="417"/>
      <c r="O201" s="85"/>
      <c r="P201" s="417"/>
      <c r="Q201" s="417"/>
      <c r="R201" s="417"/>
      <c r="S201" s="417"/>
      <c r="T201" s="85"/>
      <c r="U201" s="417"/>
      <c r="V201" s="417"/>
      <c r="W201" s="417"/>
      <c r="X201" s="417"/>
      <c r="Y201" s="85"/>
      <c r="Z201" s="417"/>
      <c r="AA201" s="417"/>
      <c r="AB201" s="417"/>
      <c r="AC201" s="417"/>
      <c r="AD201" s="85"/>
      <c r="AE201" s="417"/>
      <c r="AF201" s="417"/>
      <c r="AG201" s="417"/>
      <c r="AH201" s="417"/>
      <c r="AI201" s="85"/>
      <c r="AJ201" s="417"/>
      <c r="AK201" s="417"/>
      <c r="AL201" s="417"/>
      <c r="AM201" s="417"/>
      <c r="AN201" s="85"/>
      <c r="AO201" s="417"/>
      <c r="AP201" s="417"/>
      <c r="AQ201" s="417"/>
      <c r="AR201" s="417"/>
      <c r="AS201" s="85"/>
      <c r="AT201" s="85"/>
      <c r="AU201" s="85"/>
      <c r="AV201" s="85"/>
      <c r="AW201" s="85"/>
      <c r="AX201" s="85"/>
      <c r="AY201" s="85"/>
      <c r="AZ201" s="85"/>
      <c r="BA201" s="85"/>
      <c r="BB201" s="85"/>
      <c r="BC201" s="85"/>
      <c r="BD201" s="85"/>
      <c r="BE201" s="85"/>
      <c r="BF201" s="85"/>
      <c r="BG201" s="85"/>
      <c r="BH201" s="85"/>
      <c r="BI201" s="85"/>
      <c r="BJ201" s="85"/>
      <c r="BK201" s="85"/>
      <c r="BL201" s="85"/>
      <c r="BM201" s="85"/>
    </row>
    <row r="202" spans="7:65" s="57" customFormat="1" x14ac:dyDescent="0.25">
      <c r="G202" s="417"/>
      <c r="H202" s="417"/>
      <c r="I202" s="417"/>
      <c r="J202" s="417"/>
      <c r="K202" s="417"/>
      <c r="L202" s="417"/>
      <c r="M202" s="417"/>
      <c r="N202" s="417"/>
      <c r="O202" s="85"/>
      <c r="P202" s="417"/>
      <c r="Q202" s="417"/>
      <c r="R202" s="417"/>
      <c r="S202" s="417"/>
      <c r="T202" s="85"/>
      <c r="U202" s="417"/>
      <c r="V202" s="417"/>
      <c r="W202" s="417"/>
      <c r="X202" s="417"/>
      <c r="Y202" s="85"/>
      <c r="Z202" s="417"/>
      <c r="AA202" s="417"/>
      <c r="AB202" s="417"/>
      <c r="AC202" s="417"/>
      <c r="AD202" s="85"/>
      <c r="AE202" s="417"/>
      <c r="AF202" s="417"/>
      <c r="AG202" s="417"/>
      <c r="AH202" s="417"/>
      <c r="AI202" s="85"/>
      <c r="AJ202" s="417"/>
      <c r="AK202" s="417"/>
      <c r="AL202" s="417"/>
      <c r="AM202" s="417"/>
      <c r="AN202" s="85"/>
      <c r="AO202" s="417"/>
      <c r="AP202" s="417"/>
      <c r="AQ202" s="417"/>
      <c r="AR202" s="417"/>
      <c r="AS202" s="85"/>
      <c r="AT202" s="85"/>
      <c r="AU202" s="85"/>
      <c r="AV202" s="85"/>
      <c r="AW202" s="85"/>
      <c r="AX202" s="85"/>
      <c r="AY202" s="85"/>
      <c r="AZ202" s="85"/>
      <c r="BA202" s="85"/>
      <c r="BB202" s="85"/>
      <c r="BC202" s="85"/>
      <c r="BD202" s="85"/>
      <c r="BE202" s="85"/>
      <c r="BF202" s="85"/>
      <c r="BG202" s="85"/>
      <c r="BH202" s="85"/>
      <c r="BI202" s="85"/>
      <c r="BJ202" s="85"/>
      <c r="BK202" s="85"/>
      <c r="BL202" s="85"/>
      <c r="BM202" s="85"/>
    </row>
    <row r="203" spans="7:65" s="57" customFormat="1" x14ac:dyDescent="0.25">
      <c r="G203" s="417"/>
      <c r="H203" s="417"/>
      <c r="I203" s="417"/>
      <c r="J203" s="417"/>
      <c r="K203" s="417"/>
      <c r="L203" s="417"/>
      <c r="M203" s="417"/>
      <c r="N203" s="417"/>
      <c r="O203" s="85"/>
      <c r="P203" s="417"/>
      <c r="Q203" s="417"/>
      <c r="R203" s="417"/>
      <c r="S203" s="417"/>
      <c r="T203" s="85"/>
      <c r="U203" s="417"/>
      <c r="V203" s="417"/>
      <c r="W203" s="417"/>
      <c r="X203" s="417"/>
      <c r="Y203" s="85"/>
      <c r="Z203" s="417"/>
      <c r="AA203" s="417"/>
      <c r="AB203" s="417"/>
      <c r="AC203" s="417"/>
      <c r="AD203" s="85"/>
      <c r="AE203" s="417"/>
      <c r="AF203" s="417"/>
      <c r="AG203" s="417"/>
      <c r="AH203" s="417"/>
      <c r="AI203" s="85"/>
      <c r="AJ203" s="417"/>
      <c r="AK203" s="417"/>
      <c r="AL203" s="417"/>
      <c r="AM203" s="417"/>
      <c r="AN203" s="85"/>
      <c r="AO203" s="417"/>
      <c r="AP203" s="417"/>
      <c r="AQ203" s="417"/>
      <c r="AR203" s="417"/>
      <c r="AS203" s="85"/>
      <c r="AT203" s="85"/>
      <c r="AU203" s="85"/>
      <c r="AV203" s="85"/>
      <c r="AW203" s="85"/>
      <c r="AX203" s="85"/>
      <c r="AY203" s="85"/>
      <c r="AZ203" s="85"/>
      <c r="BA203" s="85"/>
      <c r="BB203" s="85"/>
      <c r="BC203" s="85"/>
      <c r="BD203" s="85"/>
      <c r="BE203" s="85"/>
      <c r="BF203" s="85"/>
      <c r="BG203" s="85"/>
      <c r="BH203" s="85"/>
      <c r="BI203" s="85"/>
      <c r="BJ203" s="85"/>
      <c r="BK203" s="85"/>
      <c r="BL203" s="85"/>
      <c r="BM203" s="85"/>
    </row>
    <row r="204" spans="7:65" s="57" customFormat="1" x14ac:dyDescent="0.25">
      <c r="G204" s="417"/>
      <c r="H204" s="417"/>
      <c r="I204" s="417"/>
      <c r="J204" s="417"/>
      <c r="K204" s="417"/>
      <c r="L204" s="417"/>
      <c r="M204" s="417"/>
      <c r="N204" s="417"/>
      <c r="O204" s="85"/>
      <c r="P204" s="417"/>
      <c r="Q204" s="417"/>
      <c r="R204" s="417"/>
      <c r="S204" s="417"/>
      <c r="T204" s="85"/>
      <c r="U204" s="417"/>
      <c r="V204" s="417"/>
      <c r="W204" s="417"/>
      <c r="X204" s="417"/>
      <c r="Y204" s="85"/>
      <c r="Z204" s="417"/>
      <c r="AA204" s="417"/>
      <c r="AB204" s="417"/>
      <c r="AC204" s="417"/>
      <c r="AD204" s="85"/>
      <c r="AE204" s="417"/>
      <c r="AF204" s="417"/>
      <c r="AG204" s="417"/>
      <c r="AH204" s="417"/>
      <c r="AI204" s="85"/>
      <c r="AJ204" s="417"/>
      <c r="AK204" s="417"/>
      <c r="AL204" s="417"/>
      <c r="AM204" s="417"/>
      <c r="AN204" s="85"/>
      <c r="AO204" s="417"/>
      <c r="AP204" s="417"/>
      <c r="AQ204" s="417"/>
      <c r="AR204" s="417"/>
      <c r="AS204" s="85"/>
      <c r="AT204" s="85"/>
      <c r="AU204" s="85"/>
      <c r="AV204" s="85"/>
      <c r="AW204" s="85"/>
      <c r="AX204" s="85"/>
      <c r="AY204" s="85"/>
      <c r="AZ204" s="85"/>
      <c r="BA204" s="85"/>
      <c r="BB204" s="85"/>
      <c r="BC204" s="85"/>
      <c r="BD204" s="85"/>
      <c r="BE204" s="85"/>
      <c r="BF204" s="85"/>
      <c r="BG204" s="85"/>
      <c r="BH204" s="85"/>
      <c r="BI204" s="85"/>
      <c r="BJ204" s="85"/>
      <c r="BK204" s="85"/>
      <c r="BL204" s="85"/>
      <c r="BM204" s="85"/>
    </row>
    <row r="205" spans="7:65" s="57" customFormat="1" x14ac:dyDescent="0.25">
      <c r="G205" s="417"/>
      <c r="H205" s="417"/>
      <c r="I205" s="417"/>
      <c r="J205" s="417"/>
      <c r="K205" s="417"/>
      <c r="L205" s="417"/>
      <c r="M205" s="417"/>
      <c r="N205" s="417"/>
      <c r="O205" s="85"/>
      <c r="P205" s="417"/>
      <c r="Q205" s="417"/>
      <c r="R205" s="417"/>
      <c r="S205" s="417"/>
      <c r="T205" s="85"/>
      <c r="U205" s="417"/>
      <c r="V205" s="417"/>
      <c r="W205" s="417"/>
      <c r="X205" s="417"/>
      <c r="Y205" s="85"/>
      <c r="Z205" s="417"/>
      <c r="AA205" s="417"/>
      <c r="AB205" s="417"/>
      <c r="AC205" s="417"/>
      <c r="AD205" s="85"/>
      <c r="AE205" s="417"/>
      <c r="AF205" s="417"/>
      <c r="AG205" s="417"/>
      <c r="AH205" s="417"/>
      <c r="AI205" s="85"/>
      <c r="AJ205" s="417"/>
      <c r="AK205" s="417"/>
      <c r="AL205" s="417"/>
      <c r="AM205" s="417"/>
      <c r="AN205" s="85"/>
      <c r="AO205" s="417"/>
      <c r="AP205" s="417"/>
      <c r="AQ205" s="417"/>
      <c r="AR205" s="417"/>
      <c r="AS205" s="85"/>
      <c r="AT205" s="85"/>
      <c r="AU205" s="85"/>
      <c r="AV205" s="85"/>
      <c r="AW205" s="85"/>
      <c r="AX205" s="85"/>
      <c r="AY205" s="85"/>
      <c r="AZ205" s="85"/>
      <c r="BA205" s="85"/>
      <c r="BB205" s="85"/>
      <c r="BC205" s="85"/>
      <c r="BD205" s="85"/>
      <c r="BE205" s="85"/>
      <c r="BF205" s="85"/>
      <c r="BG205" s="85"/>
      <c r="BH205" s="85"/>
      <c r="BI205" s="85"/>
      <c r="BJ205" s="85"/>
      <c r="BK205" s="85"/>
      <c r="BL205" s="85"/>
      <c r="BM205" s="85"/>
    </row>
    <row r="206" spans="7:65" s="57" customFormat="1" x14ac:dyDescent="0.25">
      <c r="G206" s="417"/>
      <c r="H206" s="417"/>
      <c r="I206" s="417"/>
      <c r="J206" s="417"/>
      <c r="K206" s="417"/>
      <c r="L206" s="417"/>
      <c r="M206" s="417"/>
      <c r="N206" s="417"/>
      <c r="O206" s="85"/>
      <c r="P206" s="417"/>
      <c r="Q206" s="417"/>
      <c r="R206" s="417"/>
      <c r="S206" s="417"/>
      <c r="T206" s="85"/>
      <c r="U206" s="417"/>
      <c r="V206" s="417"/>
      <c r="W206" s="417"/>
      <c r="X206" s="417"/>
      <c r="Y206" s="85"/>
      <c r="Z206" s="417"/>
      <c r="AA206" s="417"/>
      <c r="AB206" s="417"/>
      <c r="AC206" s="417"/>
      <c r="AD206" s="85"/>
      <c r="AE206" s="417"/>
      <c r="AF206" s="417"/>
      <c r="AG206" s="417"/>
      <c r="AH206" s="417"/>
      <c r="AI206" s="85"/>
      <c r="AJ206" s="417"/>
      <c r="AK206" s="417"/>
      <c r="AL206" s="417"/>
      <c r="AM206" s="417"/>
      <c r="AN206" s="85"/>
      <c r="AO206" s="417"/>
      <c r="AP206" s="417"/>
      <c r="AQ206" s="417"/>
      <c r="AR206" s="417"/>
      <c r="AS206" s="85"/>
      <c r="AT206" s="85"/>
      <c r="AU206" s="85"/>
      <c r="AV206" s="85"/>
      <c r="AW206" s="85"/>
      <c r="AX206" s="85"/>
      <c r="AY206" s="85"/>
      <c r="AZ206" s="85"/>
      <c r="BA206" s="85"/>
      <c r="BB206" s="85"/>
      <c r="BC206" s="85"/>
      <c r="BD206" s="85"/>
      <c r="BE206" s="85"/>
      <c r="BF206" s="85"/>
      <c r="BG206" s="85"/>
      <c r="BH206" s="85"/>
      <c r="BI206" s="85"/>
      <c r="BJ206" s="85"/>
      <c r="BK206" s="85"/>
      <c r="BL206" s="85"/>
      <c r="BM206" s="85"/>
    </row>
    <row r="207" spans="7:65" s="57" customFormat="1" x14ac:dyDescent="0.25">
      <c r="G207" s="417"/>
      <c r="H207" s="417"/>
      <c r="I207" s="417"/>
      <c r="J207" s="417"/>
      <c r="K207" s="417"/>
      <c r="L207" s="417"/>
      <c r="M207" s="417"/>
      <c r="N207" s="417"/>
      <c r="O207" s="85"/>
      <c r="P207" s="417"/>
      <c r="Q207" s="417"/>
      <c r="R207" s="417"/>
      <c r="S207" s="417"/>
      <c r="T207" s="85"/>
      <c r="U207" s="417"/>
      <c r="V207" s="417"/>
      <c r="W207" s="417"/>
      <c r="X207" s="417"/>
      <c r="Y207" s="85"/>
      <c r="Z207" s="417"/>
      <c r="AA207" s="417"/>
      <c r="AB207" s="417"/>
      <c r="AC207" s="417"/>
      <c r="AD207" s="85"/>
      <c r="AE207" s="417"/>
      <c r="AF207" s="417"/>
      <c r="AG207" s="417"/>
      <c r="AH207" s="417"/>
      <c r="AI207" s="85"/>
      <c r="AJ207" s="417"/>
      <c r="AK207" s="417"/>
      <c r="AL207" s="417"/>
      <c r="AM207" s="417"/>
      <c r="AN207" s="85"/>
      <c r="AO207" s="417"/>
      <c r="AP207" s="417"/>
      <c r="AQ207" s="417"/>
      <c r="AR207" s="417"/>
      <c r="AS207" s="85"/>
      <c r="AT207" s="85"/>
      <c r="AU207" s="85"/>
      <c r="AV207" s="85"/>
      <c r="AW207" s="85"/>
      <c r="AX207" s="85"/>
      <c r="AY207" s="85"/>
      <c r="AZ207" s="85"/>
      <c r="BA207" s="85"/>
      <c r="BB207" s="85"/>
      <c r="BC207" s="85"/>
      <c r="BD207" s="85"/>
      <c r="BE207" s="85"/>
      <c r="BF207" s="85"/>
      <c r="BG207" s="85"/>
      <c r="BH207" s="85"/>
      <c r="BI207" s="85"/>
      <c r="BJ207" s="85"/>
      <c r="BK207" s="85"/>
      <c r="BL207" s="85"/>
      <c r="BM207" s="85"/>
    </row>
    <row r="208" spans="7:65" s="57" customFormat="1" x14ac:dyDescent="0.25">
      <c r="G208" s="417"/>
      <c r="H208" s="417"/>
      <c r="I208" s="417"/>
      <c r="J208" s="417"/>
      <c r="K208" s="417"/>
      <c r="L208" s="417"/>
      <c r="M208" s="417"/>
      <c r="N208" s="417"/>
      <c r="O208" s="85"/>
      <c r="P208" s="417"/>
      <c r="Q208" s="417"/>
      <c r="R208" s="417"/>
      <c r="S208" s="417"/>
      <c r="T208" s="85"/>
      <c r="U208" s="417"/>
      <c r="V208" s="417"/>
      <c r="W208" s="417"/>
      <c r="X208" s="417"/>
      <c r="Y208" s="85"/>
      <c r="Z208" s="417"/>
      <c r="AA208" s="417"/>
      <c r="AB208" s="417"/>
      <c r="AC208" s="417"/>
      <c r="AD208" s="85"/>
      <c r="AE208" s="417"/>
      <c r="AF208" s="417"/>
      <c r="AG208" s="417"/>
      <c r="AH208" s="417"/>
      <c r="AI208" s="85"/>
      <c r="AJ208" s="417"/>
      <c r="AK208" s="417"/>
      <c r="AL208" s="417"/>
      <c r="AM208" s="417"/>
      <c r="AN208" s="85"/>
      <c r="AO208" s="417"/>
      <c r="AP208" s="417"/>
      <c r="AQ208" s="417"/>
      <c r="AR208" s="417"/>
      <c r="AS208" s="85"/>
      <c r="AT208" s="85"/>
      <c r="AU208" s="85"/>
      <c r="AV208" s="85"/>
      <c r="AW208" s="85"/>
      <c r="AX208" s="85"/>
      <c r="AY208" s="85"/>
      <c r="AZ208" s="85"/>
      <c r="BA208" s="85"/>
      <c r="BB208" s="85"/>
      <c r="BC208" s="85"/>
      <c r="BD208" s="85"/>
      <c r="BE208" s="85"/>
      <c r="BF208" s="85"/>
      <c r="BG208" s="85"/>
      <c r="BH208" s="85"/>
      <c r="BI208" s="85"/>
      <c r="BJ208" s="85"/>
      <c r="BK208" s="85"/>
      <c r="BL208" s="85"/>
      <c r="BM208" s="85"/>
    </row>
    <row r="209" spans="7:65" s="57" customFormat="1" x14ac:dyDescent="0.25">
      <c r="G209" s="417"/>
      <c r="H209" s="417"/>
      <c r="I209" s="417"/>
      <c r="J209" s="417"/>
      <c r="K209" s="417"/>
      <c r="L209" s="417"/>
      <c r="M209" s="417"/>
      <c r="N209" s="417"/>
      <c r="O209" s="85"/>
      <c r="P209" s="417"/>
      <c r="Q209" s="417"/>
      <c r="R209" s="417"/>
      <c r="S209" s="417"/>
      <c r="T209" s="85"/>
      <c r="U209" s="417"/>
      <c r="V209" s="417"/>
      <c r="W209" s="417"/>
      <c r="X209" s="417"/>
      <c r="Y209" s="85"/>
      <c r="Z209" s="417"/>
      <c r="AA209" s="417"/>
      <c r="AB209" s="417"/>
      <c r="AC209" s="417"/>
      <c r="AD209" s="85"/>
      <c r="AE209" s="417"/>
      <c r="AF209" s="417"/>
      <c r="AG209" s="417"/>
      <c r="AH209" s="417"/>
      <c r="AI209" s="85"/>
      <c r="AJ209" s="417"/>
      <c r="AK209" s="417"/>
      <c r="AL209" s="417"/>
      <c r="AM209" s="417"/>
      <c r="AN209" s="85"/>
      <c r="AO209" s="417"/>
      <c r="AP209" s="417"/>
      <c r="AQ209" s="417"/>
      <c r="AR209" s="417"/>
      <c r="AS209" s="85"/>
      <c r="AT209" s="85"/>
      <c r="AU209" s="85"/>
      <c r="AV209" s="85"/>
      <c r="AW209" s="85"/>
      <c r="AX209" s="85"/>
      <c r="AY209" s="85"/>
      <c r="AZ209" s="85"/>
      <c r="BA209" s="85"/>
      <c r="BB209" s="85"/>
      <c r="BC209" s="85"/>
      <c r="BD209" s="85"/>
      <c r="BE209" s="85"/>
      <c r="BF209" s="85"/>
      <c r="BG209" s="85"/>
      <c r="BH209" s="85"/>
      <c r="BI209" s="85"/>
      <c r="BJ209" s="85"/>
      <c r="BK209" s="85"/>
      <c r="BL209" s="85"/>
      <c r="BM209" s="85"/>
    </row>
    <row r="210" spans="7:65" s="57" customFormat="1" x14ac:dyDescent="0.25">
      <c r="G210" s="417"/>
      <c r="H210" s="417"/>
      <c r="I210" s="417"/>
      <c r="J210" s="417"/>
      <c r="K210" s="417"/>
      <c r="L210" s="417"/>
      <c r="M210" s="417"/>
      <c r="N210" s="417"/>
      <c r="O210" s="85"/>
      <c r="P210" s="417"/>
      <c r="Q210" s="417"/>
      <c r="R210" s="417"/>
      <c r="S210" s="417"/>
      <c r="T210" s="85"/>
      <c r="U210" s="417"/>
      <c r="V210" s="417"/>
      <c r="W210" s="417"/>
      <c r="X210" s="417"/>
      <c r="Y210" s="85"/>
      <c r="Z210" s="417"/>
      <c r="AA210" s="417"/>
      <c r="AB210" s="417"/>
      <c r="AC210" s="417"/>
      <c r="AD210" s="85"/>
      <c r="AE210" s="417"/>
      <c r="AF210" s="417"/>
      <c r="AG210" s="417"/>
      <c r="AH210" s="417"/>
      <c r="AI210" s="85"/>
      <c r="AJ210" s="417"/>
      <c r="AK210" s="417"/>
      <c r="AL210" s="417"/>
      <c r="AM210" s="417"/>
      <c r="AN210" s="85"/>
      <c r="AO210" s="417"/>
      <c r="AP210" s="417"/>
      <c r="AQ210" s="417"/>
      <c r="AR210" s="417"/>
      <c r="AS210" s="85"/>
      <c r="AT210" s="85"/>
      <c r="AU210" s="85"/>
      <c r="AV210" s="85"/>
      <c r="AW210" s="85"/>
      <c r="AX210" s="85"/>
      <c r="AY210" s="85"/>
      <c r="AZ210" s="85"/>
      <c r="BA210" s="85"/>
      <c r="BB210" s="85"/>
      <c r="BC210" s="85"/>
      <c r="BD210" s="85"/>
      <c r="BE210" s="85"/>
      <c r="BF210" s="85"/>
      <c r="BG210" s="85"/>
      <c r="BH210" s="85"/>
      <c r="BI210" s="85"/>
      <c r="BJ210" s="85"/>
      <c r="BK210" s="85"/>
      <c r="BL210" s="85"/>
      <c r="BM210" s="85"/>
    </row>
    <row r="211" spans="7:65" s="57" customFormat="1" x14ac:dyDescent="0.25">
      <c r="G211" s="417"/>
      <c r="H211" s="417"/>
      <c r="I211" s="417"/>
      <c r="J211" s="417"/>
      <c r="K211" s="417"/>
      <c r="L211" s="417"/>
      <c r="M211" s="417"/>
      <c r="N211" s="417"/>
      <c r="O211" s="85"/>
      <c r="P211" s="417"/>
      <c r="Q211" s="417"/>
      <c r="R211" s="417"/>
      <c r="S211" s="417"/>
      <c r="T211" s="85"/>
      <c r="U211" s="417"/>
      <c r="V211" s="417"/>
      <c r="W211" s="417"/>
      <c r="X211" s="417"/>
      <c r="Y211" s="85"/>
      <c r="Z211" s="417"/>
      <c r="AA211" s="417"/>
      <c r="AB211" s="417"/>
      <c r="AC211" s="417"/>
      <c r="AD211" s="85"/>
      <c r="AE211" s="417"/>
      <c r="AF211" s="417"/>
      <c r="AG211" s="417"/>
      <c r="AH211" s="417"/>
      <c r="AI211" s="85"/>
      <c r="AJ211" s="417"/>
      <c r="AK211" s="417"/>
      <c r="AL211" s="417"/>
      <c r="AM211" s="417"/>
      <c r="AN211" s="85"/>
      <c r="AO211" s="417"/>
      <c r="AP211" s="417"/>
      <c r="AQ211" s="417"/>
      <c r="AR211" s="417"/>
      <c r="AS211" s="85"/>
      <c r="AT211" s="85"/>
      <c r="AU211" s="85"/>
      <c r="AV211" s="85"/>
      <c r="AW211" s="85"/>
      <c r="AX211" s="85"/>
      <c r="AY211" s="85"/>
      <c r="AZ211" s="85"/>
      <c r="BA211" s="85"/>
      <c r="BB211" s="85"/>
      <c r="BC211" s="85"/>
      <c r="BD211" s="85"/>
      <c r="BE211" s="85"/>
      <c r="BF211" s="85"/>
      <c r="BG211" s="85"/>
      <c r="BH211" s="85"/>
      <c r="BI211" s="85"/>
      <c r="BJ211" s="85"/>
      <c r="BK211" s="85"/>
      <c r="BL211" s="85"/>
      <c r="BM211" s="85"/>
    </row>
    <row r="212" spans="7:65" s="57" customFormat="1" x14ac:dyDescent="0.25">
      <c r="G212" s="417"/>
      <c r="H212" s="417"/>
      <c r="I212" s="417"/>
      <c r="J212" s="417"/>
      <c r="K212" s="417"/>
      <c r="L212" s="417"/>
      <c r="M212" s="417"/>
      <c r="N212" s="417"/>
      <c r="O212" s="85"/>
      <c r="P212" s="417"/>
      <c r="Q212" s="417"/>
      <c r="R212" s="417"/>
      <c r="S212" s="417"/>
      <c r="T212" s="85"/>
      <c r="U212" s="417"/>
      <c r="V212" s="417"/>
      <c r="W212" s="417"/>
      <c r="X212" s="417"/>
      <c r="Y212" s="85"/>
      <c r="Z212" s="417"/>
      <c r="AA212" s="417"/>
      <c r="AB212" s="417"/>
      <c r="AC212" s="417"/>
      <c r="AD212" s="85"/>
      <c r="AE212" s="417"/>
      <c r="AF212" s="417"/>
      <c r="AG212" s="417"/>
      <c r="AH212" s="417"/>
      <c r="AI212" s="85"/>
      <c r="AJ212" s="417"/>
      <c r="AK212" s="417"/>
      <c r="AL212" s="417"/>
      <c r="AM212" s="417"/>
      <c r="AN212" s="85"/>
      <c r="AO212" s="417"/>
      <c r="AP212" s="417"/>
      <c r="AQ212" s="417"/>
      <c r="AR212" s="417"/>
      <c r="AS212" s="85"/>
      <c r="AT212" s="85"/>
      <c r="AU212" s="85"/>
      <c r="AV212" s="85"/>
      <c r="AW212" s="85"/>
      <c r="AX212" s="85"/>
      <c r="AY212" s="85"/>
      <c r="AZ212" s="85"/>
      <c r="BA212" s="85"/>
      <c r="BB212" s="85"/>
      <c r="BC212" s="85"/>
      <c r="BD212" s="85"/>
      <c r="BE212" s="85"/>
      <c r="BF212" s="85"/>
      <c r="BG212" s="85"/>
      <c r="BH212" s="85"/>
      <c r="BI212" s="85"/>
      <c r="BJ212" s="85"/>
      <c r="BK212" s="85"/>
      <c r="BL212" s="85"/>
      <c r="BM212" s="85"/>
    </row>
    <row r="213" spans="7:65" s="57" customFormat="1" x14ac:dyDescent="0.25">
      <c r="G213" s="417"/>
      <c r="H213" s="417"/>
      <c r="I213" s="417"/>
      <c r="J213" s="417"/>
      <c r="K213" s="417"/>
      <c r="L213" s="417"/>
      <c r="M213" s="417"/>
      <c r="N213" s="417"/>
      <c r="O213" s="85"/>
      <c r="P213" s="417"/>
      <c r="Q213" s="417"/>
      <c r="R213" s="417"/>
      <c r="S213" s="417"/>
      <c r="T213" s="85"/>
      <c r="U213" s="417"/>
      <c r="V213" s="417"/>
      <c r="W213" s="417"/>
      <c r="X213" s="417"/>
      <c r="Y213" s="85"/>
      <c r="Z213" s="417"/>
      <c r="AA213" s="417"/>
      <c r="AB213" s="417"/>
      <c r="AC213" s="417"/>
      <c r="AD213" s="85"/>
      <c r="AE213" s="417"/>
      <c r="AF213" s="417"/>
      <c r="AG213" s="417"/>
      <c r="AH213" s="417"/>
      <c r="AI213" s="85"/>
      <c r="AJ213" s="417"/>
      <c r="AK213" s="417"/>
      <c r="AL213" s="417"/>
      <c r="AM213" s="417"/>
      <c r="AN213" s="85"/>
      <c r="AO213" s="417"/>
      <c r="AP213" s="417"/>
      <c r="AQ213" s="417"/>
      <c r="AR213" s="417"/>
      <c r="AS213" s="85"/>
      <c r="AT213" s="85"/>
      <c r="AU213" s="85"/>
      <c r="AV213" s="85"/>
      <c r="AW213" s="85"/>
      <c r="AX213" s="85"/>
      <c r="AY213" s="85"/>
      <c r="AZ213" s="85"/>
      <c r="BA213" s="85"/>
      <c r="BB213" s="85"/>
      <c r="BC213" s="85"/>
      <c r="BD213" s="85"/>
      <c r="BE213" s="85"/>
      <c r="BF213" s="85"/>
      <c r="BG213" s="85"/>
      <c r="BH213" s="85"/>
      <c r="BI213" s="85"/>
      <c r="BJ213" s="85"/>
      <c r="BK213" s="85"/>
      <c r="BL213" s="85"/>
      <c r="BM213" s="85"/>
    </row>
    <row r="214" spans="7:65" s="57" customFormat="1" x14ac:dyDescent="0.25">
      <c r="G214" s="417"/>
      <c r="H214" s="417"/>
      <c r="I214" s="417"/>
      <c r="J214" s="417"/>
      <c r="K214" s="417"/>
      <c r="L214" s="417"/>
      <c r="M214" s="417"/>
      <c r="N214" s="417"/>
      <c r="O214" s="85"/>
      <c r="P214" s="417"/>
      <c r="Q214" s="417"/>
      <c r="R214" s="417"/>
      <c r="S214" s="417"/>
      <c r="T214" s="85"/>
      <c r="U214" s="417"/>
      <c r="V214" s="417"/>
      <c r="W214" s="417"/>
      <c r="X214" s="417"/>
      <c r="Y214" s="85"/>
      <c r="Z214" s="417"/>
      <c r="AA214" s="417"/>
      <c r="AB214" s="417"/>
      <c r="AC214" s="417"/>
      <c r="AD214" s="85"/>
      <c r="AE214" s="417"/>
      <c r="AF214" s="417"/>
      <c r="AG214" s="417"/>
      <c r="AH214" s="417"/>
      <c r="AI214" s="85"/>
      <c r="AJ214" s="417"/>
      <c r="AK214" s="417"/>
      <c r="AL214" s="417"/>
      <c r="AM214" s="417"/>
      <c r="AN214" s="85"/>
      <c r="AO214" s="417"/>
      <c r="AP214" s="417"/>
      <c r="AQ214" s="417"/>
      <c r="AR214" s="417"/>
      <c r="AS214" s="85"/>
      <c r="AT214" s="85"/>
      <c r="AU214" s="85"/>
      <c r="AV214" s="85"/>
      <c r="AW214" s="85"/>
      <c r="AX214" s="85"/>
      <c r="AY214" s="85"/>
      <c r="AZ214" s="85"/>
      <c r="BA214" s="85"/>
      <c r="BB214" s="85"/>
      <c r="BC214" s="85"/>
      <c r="BD214" s="85"/>
      <c r="BE214" s="85"/>
      <c r="BF214" s="85"/>
      <c r="BG214" s="85"/>
      <c r="BH214" s="85"/>
      <c r="BI214" s="85"/>
      <c r="BJ214" s="85"/>
      <c r="BK214" s="85"/>
      <c r="BL214" s="85"/>
      <c r="BM214" s="85"/>
    </row>
    <row r="215" spans="7:65" s="57" customFormat="1" x14ac:dyDescent="0.25">
      <c r="G215" s="417"/>
      <c r="H215" s="417"/>
      <c r="I215" s="417"/>
      <c r="J215" s="417"/>
      <c r="K215" s="417"/>
      <c r="L215" s="417"/>
      <c r="M215" s="417"/>
      <c r="N215" s="417"/>
      <c r="O215" s="85"/>
      <c r="P215" s="417"/>
      <c r="Q215" s="417"/>
      <c r="R215" s="417"/>
      <c r="S215" s="417"/>
      <c r="T215" s="85"/>
      <c r="U215" s="417"/>
      <c r="V215" s="417"/>
      <c r="W215" s="417"/>
      <c r="X215" s="417"/>
      <c r="Y215" s="85"/>
      <c r="Z215" s="417"/>
      <c r="AA215" s="417"/>
      <c r="AB215" s="417"/>
      <c r="AC215" s="417"/>
      <c r="AD215" s="85"/>
      <c r="AE215" s="417"/>
      <c r="AF215" s="417"/>
      <c r="AG215" s="417"/>
      <c r="AH215" s="417"/>
      <c r="AI215" s="85"/>
      <c r="AJ215" s="417"/>
      <c r="AK215" s="417"/>
      <c r="AL215" s="417"/>
      <c r="AM215" s="417"/>
      <c r="AN215" s="85"/>
      <c r="AO215" s="417"/>
      <c r="AP215" s="417"/>
      <c r="AQ215" s="417"/>
      <c r="AR215" s="417"/>
      <c r="AS215" s="85"/>
      <c r="AT215" s="85"/>
      <c r="AU215" s="85"/>
      <c r="AV215" s="85"/>
      <c r="AW215" s="85"/>
      <c r="AX215" s="85"/>
      <c r="AY215" s="85"/>
      <c r="AZ215" s="85"/>
      <c r="BA215" s="85"/>
      <c r="BB215" s="85"/>
      <c r="BC215" s="85"/>
      <c r="BD215" s="85"/>
      <c r="BE215" s="85"/>
      <c r="BF215" s="85"/>
      <c r="BG215" s="85"/>
      <c r="BH215" s="85"/>
      <c r="BI215" s="85"/>
      <c r="BJ215" s="85"/>
      <c r="BK215" s="85"/>
      <c r="BL215" s="85"/>
      <c r="BM215" s="85"/>
    </row>
    <row r="216" spans="7:65" s="57" customFormat="1" x14ac:dyDescent="0.25">
      <c r="G216" s="417"/>
      <c r="H216" s="417"/>
      <c r="I216" s="417"/>
      <c r="J216" s="417"/>
      <c r="K216" s="417"/>
      <c r="L216" s="417"/>
      <c r="M216" s="417"/>
      <c r="N216" s="417"/>
      <c r="O216" s="85"/>
      <c r="P216" s="417"/>
      <c r="Q216" s="417"/>
      <c r="R216" s="417"/>
      <c r="S216" s="417"/>
      <c r="T216" s="85"/>
      <c r="U216" s="417"/>
      <c r="V216" s="417"/>
      <c r="W216" s="417"/>
      <c r="X216" s="417"/>
      <c r="Y216" s="85"/>
      <c r="Z216" s="417"/>
      <c r="AA216" s="417"/>
      <c r="AB216" s="417"/>
      <c r="AC216" s="417"/>
      <c r="AD216" s="85"/>
      <c r="AE216" s="417"/>
      <c r="AF216" s="417"/>
      <c r="AG216" s="417"/>
      <c r="AH216" s="417"/>
      <c r="AI216" s="85"/>
      <c r="AJ216" s="417"/>
      <c r="AK216" s="417"/>
      <c r="AL216" s="417"/>
      <c r="AM216" s="417"/>
      <c r="AN216" s="85"/>
      <c r="AO216" s="417"/>
      <c r="AP216" s="417"/>
      <c r="AQ216" s="417"/>
      <c r="AR216" s="417"/>
      <c r="AS216" s="85"/>
      <c r="AT216" s="85"/>
      <c r="AU216" s="85"/>
      <c r="AV216" s="85"/>
      <c r="AW216" s="85"/>
      <c r="AX216" s="85"/>
      <c r="AY216" s="85"/>
      <c r="AZ216" s="85"/>
      <c r="BA216" s="85"/>
      <c r="BB216" s="85"/>
      <c r="BC216" s="85"/>
      <c r="BD216" s="85"/>
      <c r="BE216" s="85"/>
      <c r="BF216" s="85"/>
      <c r="BG216" s="85"/>
      <c r="BH216" s="85"/>
      <c r="BI216" s="85"/>
      <c r="BJ216" s="85"/>
      <c r="BK216" s="85"/>
      <c r="BL216" s="85"/>
      <c r="BM216" s="85"/>
    </row>
    <row r="217" spans="7:65" s="57" customFormat="1" x14ac:dyDescent="0.25">
      <c r="G217" s="417"/>
      <c r="H217" s="417"/>
      <c r="I217" s="417"/>
      <c r="J217" s="417"/>
      <c r="K217" s="417"/>
      <c r="L217" s="417"/>
      <c r="M217" s="417"/>
      <c r="N217" s="417"/>
      <c r="O217" s="85"/>
      <c r="P217" s="417"/>
      <c r="Q217" s="417"/>
      <c r="R217" s="417"/>
      <c r="S217" s="417"/>
      <c r="T217" s="85"/>
      <c r="U217" s="417"/>
      <c r="V217" s="417"/>
      <c r="W217" s="417"/>
      <c r="X217" s="417"/>
      <c r="Y217" s="85"/>
      <c r="Z217" s="417"/>
      <c r="AA217" s="417"/>
      <c r="AB217" s="417"/>
      <c r="AC217" s="417"/>
      <c r="AD217" s="85"/>
      <c r="AE217" s="417"/>
      <c r="AF217" s="417"/>
      <c r="AG217" s="417"/>
      <c r="AH217" s="417"/>
      <c r="AI217" s="85"/>
      <c r="AJ217" s="417"/>
      <c r="AK217" s="417"/>
      <c r="AL217" s="417"/>
      <c r="AM217" s="417"/>
      <c r="AN217" s="85"/>
      <c r="AO217" s="417"/>
      <c r="AP217" s="417"/>
      <c r="AQ217" s="417"/>
      <c r="AR217" s="417"/>
      <c r="AS217" s="85"/>
      <c r="AT217" s="85"/>
      <c r="AU217" s="85"/>
      <c r="AV217" s="85"/>
      <c r="AW217" s="85"/>
      <c r="AX217" s="85"/>
      <c r="AY217" s="85"/>
      <c r="AZ217" s="85"/>
      <c r="BA217" s="85"/>
      <c r="BB217" s="85"/>
      <c r="BC217" s="85"/>
      <c r="BD217" s="85"/>
      <c r="BE217" s="85"/>
      <c r="BF217" s="85"/>
      <c r="BG217" s="85"/>
      <c r="BH217" s="85"/>
      <c r="BI217" s="85"/>
      <c r="BJ217" s="85"/>
      <c r="BK217" s="85"/>
      <c r="BL217" s="85"/>
      <c r="BM217" s="85"/>
    </row>
    <row r="218" spans="7:65" s="57" customFormat="1" x14ac:dyDescent="0.25">
      <c r="G218" s="417"/>
      <c r="H218" s="417"/>
      <c r="I218" s="417"/>
      <c r="J218" s="417"/>
      <c r="K218" s="417"/>
      <c r="L218" s="417"/>
      <c r="M218" s="417"/>
      <c r="N218" s="417"/>
      <c r="O218" s="85"/>
      <c r="P218" s="417"/>
      <c r="Q218" s="417"/>
      <c r="R218" s="417"/>
      <c r="S218" s="417"/>
      <c r="T218" s="85"/>
      <c r="U218" s="417"/>
      <c r="V218" s="417"/>
      <c r="W218" s="417"/>
      <c r="X218" s="417"/>
      <c r="Y218" s="85"/>
      <c r="Z218" s="417"/>
      <c r="AA218" s="417"/>
      <c r="AB218" s="417"/>
      <c r="AC218" s="417"/>
      <c r="AD218" s="85"/>
      <c r="AE218" s="417"/>
      <c r="AF218" s="417"/>
      <c r="AG218" s="417"/>
      <c r="AH218" s="417"/>
      <c r="AI218" s="85"/>
      <c r="AJ218" s="417"/>
      <c r="AK218" s="417"/>
      <c r="AL218" s="417"/>
      <c r="AM218" s="417"/>
      <c r="AN218" s="85"/>
      <c r="AO218" s="417"/>
      <c r="AP218" s="417"/>
      <c r="AQ218" s="417"/>
      <c r="AR218" s="417"/>
      <c r="AS218" s="85"/>
      <c r="AT218" s="85"/>
      <c r="AU218" s="85"/>
      <c r="AV218" s="85"/>
      <c r="AW218" s="85"/>
      <c r="AX218" s="85"/>
      <c r="AY218" s="85"/>
      <c r="AZ218" s="85"/>
      <c r="BA218" s="85"/>
      <c r="BB218" s="85"/>
      <c r="BC218" s="85"/>
      <c r="BD218" s="85"/>
      <c r="BE218" s="85"/>
      <c r="BF218" s="85"/>
      <c r="BG218" s="85"/>
      <c r="BH218" s="85"/>
      <c r="BI218" s="85"/>
      <c r="BJ218" s="85"/>
      <c r="BK218" s="85"/>
      <c r="BL218" s="85"/>
      <c r="BM218" s="85"/>
    </row>
    <row r="219" spans="7:65" s="57" customFormat="1" x14ac:dyDescent="0.25">
      <c r="G219" s="417"/>
      <c r="H219" s="417"/>
      <c r="I219" s="417"/>
      <c r="J219" s="417"/>
      <c r="K219" s="417"/>
      <c r="L219" s="417"/>
      <c r="M219" s="417"/>
      <c r="N219" s="417"/>
      <c r="O219" s="85"/>
      <c r="P219" s="417"/>
      <c r="Q219" s="417"/>
      <c r="R219" s="417"/>
      <c r="S219" s="417"/>
      <c r="T219" s="85"/>
      <c r="U219" s="417"/>
      <c r="V219" s="417"/>
      <c r="W219" s="417"/>
      <c r="X219" s="417"/>
      <c r="Y219" s="85"/>
      <c r="Z219" s="417"/>
      <c r="AA219" s="417"/>
      <c r="AB219" s="417"/>
      <c r="AC219" s="417"/>
      <c r="AD219" s="85"/>
      <c r="AE219" s="417"/>
      <c r="AF219" s="417"/>
      <c r="AG219" s="417"/>
      <c r="AH219" s="417"/>
      <c r="AI219" s="85"/>
      <c r="AJ219" s="417"/>
      <c r="AK219" s="417"/>
      <c r="AL219" s="417"/>
      <c r="AM219" s="417"/>
      <c r="AN219" s="85"/>
      <c r="AO219" s="417"/>
      <c r="AP219" s="417"/>
      <c r="AQ219" s="417"/>
      <c r="AR219" s="417"/>
      <c r="AS219" s="85"/>
      <c r="AT219" s="85"/>
      <c r="AU219" s="85"/>
      <c r="AV219" s="85"/>
      <c r="AW219" s="85"/>
      <c r="AX219" s="85"/>
      <c r="AY219" s="85"/>
      <c r="AZ219" s="85"/>
      <c r="BA219" s="85"/>
      <c r="BB219" s="85"/>
      <c r="BC219" s="85"/>
      <c r="BD219" s="85"/>
      <c r="BE219" s="85"/>
      <c r="BF219" s="85"/>
      <c r="BG219" s="85"/>
      <c r="BH219" s="85"/>
      <c r="BI219" s="85"/>
      <c r="BJ219" s="85"/>
      <c r="BK219" s="85"/>
      <c r="BL219" s="85"/>
      <c r="BM219" s="85"/>
    </row>
    <row r="220" spans="7:65" s="57" customFormat="1" x14ac:dyDescent="0.25">
      <c r="G220" s="417"/>
      <c r="H220" s="417"/>
      <c r="I220" s="417"/>
      <c r="J220" s="417"/>
      <c r="K220" s="417"/>
      <c r="L220" s="417"/>
      <c r="M220" s="417"/>
      <c r="N220" s="417"/>
      <c r="O220" s="85"/>
      <c r="P220" s="417"/>
      <c r="Q220" s="417"/>
      <c r="R220" s="417"/>
      <c r="S220" s="417"/>
      <c r="T220" s="85"/>
      <c r="U220" s="417"/>
      <c r="V220" s="417"/>
      <c r="W220" s="417"/>
      <c r="X220" s="417"/>
      <c r="Y220" s="85"/>
      <c r="Z220" s="417"/>
      <c r="AA220" s="417"/>
      <c r="AB220" s="417"/>
      <c r="AC220" s="417"/>
      <c r="AD220" s="85"/>
      <c r="AE220" s="417"/>
      <c r="AF220" s="417"/>
      <c r="AG220" s="417"/>
      <c r="AH220" s="417"/>
      <c r="AI220" s="85"/>
      <c r="AJ220" s="417"/>
      <c r="AK220" s="417"/>
      <c r="AL220" s="417"/>
      <c r="AM220" s="417"/>
      <c r="AN220" s="85"/>
      <c r="AO220" s="417"/>
      <c r="AP220" s="417"/>
      <c r="AQ220" s="417"/>
      <c r="AR220" s="417"/>
      <c r="AS220" s="85"/>
      <c r="AT220" s="85"/>
      <c r="AU220" s="85"/>
      <c r="AV220" s="85"/>
      <c r="AW220" s="85"/>
      <c r="AX220" s="85"/>
      <c r="AY220" s="85"/>
      <c r="AZ220" s="85"/>
      <c r="BA220" s="85"/>
      <c r="BB220" s="85"/>
      <c r="BC220" s="85"/>
      <c r="BD220" s="85"/>
      <c r="BE220" s="85"/>
      <c r="BF220" s="85"/>
      <c r="BG220" s="85"/>
      <c r="BH220" s="85"/>
      <c r="BI220" s="85"/>
      <c r="BJ220" s="85"/>
      <c r="BK220" s="85"/>
      <c r="BL220" s="85"/>
      <c r="BM220" s="85"/>
    </row>
    <row r="221" spans="7:65" s="57" customFormat="1" x14ac:dyDescent="0.25">
      <c r="G221" s="417"/>
      <c r="H221" s="417"/>
      <c r="I221" s="417"/>
      <c r="J221" s="417"/>
      <c r="K221" s="417"/>
      <c r="L221" s="417"/>
      <c r="M221" s="417"/>
      <c r="N221" s="417"/>
      <c r="O221" s="85"/>
      <c r="P221" s="417"/>
      <c r="Q221" s="417"/>
      <c r="R221" s="417"/>
      <c r="S221" s="417"/>
      <c r="T221" s="85"/>
      <c r="U221" s="417"/>
      <c r="V221" s="417"/>
      <c r="W221" s="417"/>
      <c r="X221" s="417"/>
      <c r="Y221" s="85"/>
      <c r="Z221" s="417"/>
      <c r="AA221" s="417"/>
      <c r="AB221" s="417"/>
      <c r="AC221" s="417"/>
      <c r="AD221" s="85"/>
      <c r="AE221" s="417"/>
      <c r="AF221" s="417"/>
      <c r="AG221" s="417"/>
      <c r="AH221" s="417"/>
      <c r="AI221" s="85"/>
      <c r="AJ221" s="417"/>
      <c r="AK221" s="417"/>
      <c r="AL221" s="417"/>
      <c r="AM221" s="417"/>
      <c r="AN221" s="85"/>
      <c r="AO221" s="417"/>
      <c r="AP221" s="417"/>
      <c r="AQ221" s="417"/>
      <c r="AR221" s="417"/>
      <c r="AS221" s="85"/>
      <c r="AT221" s="85"/>
      <c r="AU221" s="85"/>
      <c r="AV221" s="85"/>
      <c r="AW221" s="85"/>
      <c r="AX221" s="85"/>
      <c r="AY221" s="85"/>
      <c r="AZ221" s="85"/>
      <c r="BA221" s="85"/>
      <c r="BB221" s="85"/>
      <c r="BC221" s="85"/>
      <c r="BD221" s="85"/>
      <c r="BE221" s="85"/>
      <c r="BF221" s="85"/>
      <c r="BG221" s="85"/>
      <c r="BH221" s="85"/>
      <c r="BI221" s="85"/>
      <c r="BJ221" s="85"/>
      <c r="BK221" s="85"/>
      <c r="BL221" s="85"/>
      <c r="BM221" s="85"/>
    </row>
    <row r="222" spans="7:65" s="57" customFormat="1" x14ac:dyDescent="0.25">
      <c r="G222" s="417"/>
      <c r="H222" s="417"/>
      <c r="I222" s="417"/>
      <c r="J222" s="417"/>
      <c r="K222" s="417"/>
      <c r="L222" s="417"/>
      <c r="M222" s="417"/>
      <c r="N222" s="417"/>
      <c r="O222" s="85"/>
      <c r="P222" s="417"/>
      <c r="Q222" s="417"/>
      <c r="R222" s="417"/>
      <c r="S222" s="417"/>
      <c r="T222" s="85"/>
      <c r="U222" s="417"/>
      <c r="V222" s="417"/>
      <c r="W222" s="417"/>
      <c r="X222" s="417"/>
      <c r="Y222" s="85"/>
      <c r="Z222" s="417"/>
      <c r="AA222" s="417"/>
      <c r="AB222" s="417"/>
      <c r="AC222" s="417"/>
      <c r="AD222" s="85"/>
      <c r="AE222" s="417"/>
      <c r="AF222" s="417"/>
      <c r="AG222" s="417"/>
      <c r="AH222" s="417"/>
      <c r="AI222" s="85"/>
      <c r="AJ222" s="417"/>
      <c r="AK222" s="417"/>
      <c r="AL222" s="417"/>
      <c r="AM222" s="417"/>
      <c r="AN222" s="85"/>
      <c r="AO222" s="417"/>
      <c r="AP222" s="417"/>
      <c r="AQ222" s="417"/>
      <c r="AR222" s="417"/>
      <c r="AS222" s="85"/>
      <c r="AT222" s="85"/>
      <c r="AU222" s="85"/>
      <c r="AV222" s="85"/>
      <c r="AW222" s="85"/>
      <c r="AX222" s="85"/>
      <c r="AY222" s="85"/>
      <c r="AZ222" s="85"/>
      <c r="BA222" s="85"/>
      <c r="BB222" s="85"/>
      <c r="BC222" s="85"/>
      <c r="BD222" s="85"/>
      <c r="BE222" s="85"/>
      <c r="BF222" s="85"/>
      <c r="BG222" s="85"/>
      <c r="BH222" s="85"/>
      <c r="BI222" s="85"/>
      <c r="BJ222" s="85"/>
      <c r="BK222" s="85"/>
      <c r="BL222" s="85"/>
      <c r="BM222" s="85"/>
    </row>
    <row r="223" spans="7:65" s="57" customFormat="1" x14ac:dyDescent="0.25">
      <c r="G223" s="417"/>
      <c r="H223" s="417"/>
      <c r="I223" s="417"/>
      <c r="J223" s="417"/>
      <c r="K223" s="417"/>
      <c r="L223" s="417"/>
      <c r="M223" s="417"/>
      <c r="N223" s="417"/>
      <c r="O223" s="85"/>
      <c r="P223" s="417"/>
      <c r="Q223" s="417"/>
      <c r="R223" s="417"/>
      <c r="S223" s="417"/>
      <c r="T223" s="85"/>
      <c r="U223" s="417"/>
      <c r="V223" s="417"/>
      <c r="W223" s="417"/>
      <c r="X223" s="417"/>
      <c r="Y223" s="85"/>
      <c r="Z223" s="417"/>
      <c r="AA223" s="417"/>
      <c r="AB223" s="417"/>
      <c r="AC223" s="417"/>
      <c r="AD223" s="85"/>
      <c r="AE223" s="417"/>
      <c r="AF223" s="417"/>
      <c r="AG223" s="417"/>
      <c r="AH223" s="417"/>
      <c r="AI223" s="85"/>
      <c r="AJ223" s="417"/>
      <c r="AK223" s="417"/>
      <c r="AL223" s="417"/>
      <c r="AM223" s="417"/>
      <c r="AN223" s="85"/>
      <c r="AO223" s="417"/>
      <c r="AP223" s="417"/>
      <c r="AQ223" s="417"/>
      <c r="AR223" s="417"/>
      <c r="AS223" s="85"/>
      <c r="AT223" s="85"/>
      <c r="AU223" s="85"/>
      <c r="AV223" s="85"/>
      <c r="AW223" s="85"/>
      <c r="AX223" s="85"/>
      <c r="AY223" s="85"/>
      <c r="AZ223" s="85"/>
      <c r="BA223" s="85"/>
      <c r="BB223" s="85"/>
      <c r="BC223" s="85"/>
      <c r="BD223" s="85"/>
      <c r="BE223" s="85"/>
      <c r="BF223" s="85"/>
      <c r="BG223" s="85"/>
      <c r="BH223" s="85"/>
      <c r="BI223" s="85"/>
      <c r="BJ223" s="85"/>
      <c r="BK223" s="85"/>
      <c r="BL223" s="85"/>
      <c r="BM223" s="85"/>
    </row>
    <row r="224" spans="7:65" s="57" customFormat="1" x14ac:dyDescent="0.25">
      <c r="G224" s="417"/>
      <c r="H224" s="417"/>
      <c r="I224" s="417"/>
      <c r="J224" s="417"/>
      <c r="K224" s="417"/>
      <c r="L224" s="417"/>
      <c r="M224" s="417"/>
      <c r="N224" s="417"/>
      <c r="O224" s="85"/>
      <c r="P224" s="417"/>
      <c r="Q224" s="417"/>
      <c r="R224" s="417"/>
      <c r="S224" s="417"/>
      <c r="T224" s="85"/>
      <c r="U224" s="417"/>
      <c r="V224" s="417"/>
      <c r="W224" s="417"/>
      <c r="X224" s="417"/>
      <c r="Y224" s="85"/>
      <c r="Z224" s="417"/>
      <c r="AA224" s="417"/>
      <c r="AB224" s="417"/>
      <c r="AC224" s="417"/>
      <c r="AD224" s="85"/>
      <c r="AE224" s="417"/>
      <c r="AF224" s="417"/>
      <c r="AG224" s="417"/>
      <c r="AH224" s="417"/>
      <c r="AI224" s="85"/>
      <c r="AJ224" s="417"/>
      <c r="AK224" s="417"/>
      <c r="AL224" s="417"/>
      <c r="AM224" s="417"/>
      <c r="AN224" s="85"/>
      <c r="AO224" s="417"/>
      <c r="AP224" s="417"/>
      <c r="AQ224" s="417"/>
      <c r="AR224" s="417"/>
      <c r="AS224" s="85"/>
      <c r="AT224" s="85"/>
      <c r="AU224" s="85"/>
      <c r="AV224" s="85"/>
      <c r="AW224" s="85"/>
      <c r="AX224" s="85"/>
      <c r="AY224" s="85"/>
      <c r="AZ224" s="85"/>
      <c r="BA224" s="85"/>
      <c r="BB224" s="85"/>
      <c r="BC224" s="85"/>
      <c r="BD224" s="85"/>
      <c r="BE224" s="85"/>
      <c r="BF224" s="85"/>
      <c r="BG224" s="85"/>
      <c r="BH224" s="85"/>
      <c r="BI224" s="85"/>
      <c r="BJ224" s="85"/>
      <c r="BK224" s="85"/>
      <c r="BL224" s="85"/>
      <c r="BM224" s="85"/>
    </row>
    <row r="225" spans="7:65" s="57" customFormat="1" x14ac:dyDescent="0.25">
      <c r="G225" s="417"/>
      <c r="H225" s="417"/>
      <c r="I225" s="417"/>
      <c r="J225" s="417"/>
      <c r="K225" s="417"/>
      <c r="L225" s="417"/>
      <c r="M225" s="417"/>
      <c r="N225" s="417"/>
      <c r="O225" s="85"/>
      <c r="P225" s="417"/>
      <c r="Q225" s="417"/>
      <c r="R225" s="417"/>
      <c r="S225" s="417"/>
      <c r="T225" s="85"/>
      <c r="U225" s="417"/>
      <c r="V225" s="417"/>
      <c r="W225" s="417"/>
      <c r="X225" s="417"/>
      <c r="Y225" s="85"/>
      <c r="Z225" s="417"/>
      <c r="AA225" s="417"/>
      <c r="AB225" s="417"/>
      <c r="AC225" s="417"/>
      <c r="AD225" s="85"/>
      <c r="AE225" s="417"/>
      <c r="AF225" s="417"/>
      <c r="AG225" s="417"/>
      <c r="AH225" s="417"/>
      <c r="AI225" s="85"/>
      <c r="AJ225" s="417"/>
      <c r="AK225" s="417"/>
      <c r="AL225" s="417"/>
      <c r="AM225" s="417"/>
      <c r="AN225" s="85"/>
      <c r="AO225" s="417"/>
      <c r="AP225" s="417"/>
      <c r="AQ225" s="417"/>
      <c r="AR225" s="417"/>
      <c r="AS225" s="85"/>
      <c r="AT225" s="85"/>
      <c r="AU225" s="85"/>
      <c r="AV225" s="85"/>
      <c r="AW225" s="85"/>
      <c r="AX225" s="85"/>
      <c r="AY225" s="85"/>
      <c r="AZ225" s="85"/>
      <c r="BA225" s="85"/>
      <c r="BB225" s="85"/>
      <c r="BC225" s="85"/>
      <c r="BD225" s="85"/>
      <c r="BE225" s="85"/>
      <c r="BF225" s="85"/>
      <c r="BG225" s="85"/>
      <c r="BH225" s="85"/>
      <c r="BI225" s="85"/>
      <c r="BJ225" s="85"/>
      <c r="BK225" s="85"/>
      <c r="BL225" s="85"/>
      <c r="BM225" s="85"/>
    </row>
    <row r="226" spans="7:65" s="57" customFormat="1" x14ac:dyDescent="0.25">
      <c r="G226" s="417"/>
      <c r="H226" s="417"/>
      <c r="I226" s="417"/>
      <c r="J226" s="417"/>
      <c r="K226" s="417"/>
      <c r="L226" s="417"/>
      <c r="M226" s="417"/>
      <c r="N226" s="417"/>
      <c r="O226" s="85"/>
      <c r="P226" s="417"/>
      <c r="Q226" s="417"/>
      <c r="R226" s="417"/>
      <c r="S226" s="417"/>
      <c r="T226" s="85"/>
      <c r="U226" s="417"/>
      <c r="V226" s="417"/>
      <c r="W226" s="417"/>
      <c r="X226" s="417"/>
      <c r="Y226" s="85"/>
      <c r="Z226" s="417"/>
      <c r="AA226" s="417"/>
      <c r="AB226" s="417"/>
      <c r="AC226" s="417"/>
      <c r="AD226" s="85"/>
      <c r="AE226" s="417"/>
      <c r="AF226" s="417"/>
      <c r="AG226" s="417"/>
      <c r="AH226" s="417"/>
      <c r="AI226" s="85"/>
      <c r="AJ226" s="417"/>
      <c r="AK226" s="417"/>
      <c r="AL226" s="417"/>
      <c r="AM226" s="417"/>
      <c r="AN226" s="85"/>
      <c r="AO226" s="417"/>
      <c r="AP226" s="417"/>
      <c r="AQ226" s="417"/>
      <c r="AR226" s="417"/>
      <c r="AS226" s="85"/>
      <c r="AT226" s="85"/>
      <c r="AU226" s="85"/>
      <c r="AV226" s="85"/>
      <c r="AW226" s="85"/>
      <c r="AX226" s="85"/>
      <c r="AY226" s="85"/>
      <c r="AZ226" s="85"/>
      <c r="BA226" s="85"/>
      <c r="BB226" s="85"/>
      <c r="BC226" s="85"/>
      <c r="BD226" s="85"/>
      <c r="BE226" s="85"/>
      <c r="BF226" s="85"/>
      <c r="BG226" s="85"/>
      <c r="BH226" s="85"/>
      <c r="BI226" s="85"/>
      <c r="BJ226" s="85"/>
      <c r="BK226" s="85"/>
      <c r="BL226" s="85"/>
      <c r="BM226" s="85"/>
    </row>
    <row r="227" spans="7:65" s="57" customFormat="1" x14ac:dyDescent="0.25">
      <c r="G227" s="417"/>
      <c r="H227" s="417"/>
      <c r="I227" s="417"/>
      <c r="J227" s="417"/>
      <c r="K227" s="417"/>
      <c r="L227" s="417"/>
      <c r="M227" s="417"/>
      <c r="N227" s="417"/>
      <c r="O227" s="85"/>
      <c r="P227" s="417"/>
      <c r="Q227" s="417"/>
      <c r="R227" s="417"/>
      <c r="S227" s="417"/>
      <c r="T227" s="85"/>
      <c r="U227" s="417"/>
      <c r="V227" s="417"/>
      <c r="W227" s="417"/>
      <c r="X227" s="417"/>
      <c r="Y227" s="85"/>
      <c r="Z227" s="417"/>
      <c r="AA227" s="417"/>
      <c r="AB227" s="417"/>
      <c r="AC227" s="417"/>
      <c r="AD227" s="85"/>
      <c r="AE227" s="417"/>
      <c r="AF227" s="417"/>
      <c r="AG227" s="417"/>
      <c r="AH227" s="417"/>
      <c r="AI227" s="85"/>
      <c r="AJ227" s="417"/>
      <c r="AK227" s="417"/>
      <c r="AL227" s="417"/>
      <c r="AM227" s="417"/>
      <c r="AN227" s="85"/>
      <c r="AO227" s="417"/>
      <c r="AP227" s="417"/>
      <c r="AQ227" s="417"/>
      <c r="AR227" s="417"/>
      <c r="AS227" s="85"/>
      <c r="AT227" s="85"/>
      <c r="AU227" s="85"/>
      <c r="AV227" s="85"/>
      <c r="AW227" s="85"/>
      <c r="AX227" s="85"/>
      <c r="AY227" s="85"/>
      <c r="AZ227" s="85"/>
      <c r="BA227" s="85"/>
      <c r="BB227" s="85"/>
      <c r="BC227" s="85"/>
      <c r="BD227" s="85"/>
      <c r="BE227" s="85"/>
      <c r="BF227" s="85"/>
      <c r="BG227" s="85"/>
      <c r="BH227" s="85"/>
      <c r="BI227" s="85"/>
      <c r="BJ227" s="85"/>
      <c r="BK227" s="85"/>
      <c r="BL227" s="85"/>
      <c r="BM227" s="85"/>
    </row>
    <row r="228" spans="7:65" s="57" customFormat="1" x14ac:dyDescent="0.25">
      <c r="G228" s="417"/>
      <c r="H228" s="417"/>
      <c r="I228" s="417"/>
      <c r="J228" s="417"/>
      <c r="K228" s="417"/>
      <c r="L228" s="417"/>
      <c r="M228" s="417"/>
      <c r="N228" s="417"/>
      <c r="O228" s="85"/>
      <c r="P228" s="417"/>
      <c r="Q228" s="417"/>
      <c r="R228" s="417"/>
      <c r="S228" s="417"/>
      <c r="T228" s="85"/>
      <c r="U228" s="417"/>
      <c r="V228" s="417"/>
      <c r="W228" s="417"/>
      <c r="X228" s="417"/>
      <c r="Y228" s="85"/>
      <c r="Z228" s="417"/>
      <c r="AA228" s="417"/>
      <c r="AB228" s="417"/>
      <c r="AC228" s="417"/>
      <c r="AD228" s="85"/>
      <c r="AE228" s="417"/>
      <c r="AF228" s="417"/>
      <c r="AG228" s="417"/>
      <c r="AH228" s="417"/>
      <c r="AI228" s="85"/>
      <c r="AJ228" s="417"/>
      <c r="AK228" s="417"/>
      <c r="AL228" s="417"/>
      <c r="AM228" s="417"/>
      <c r="AN228" s="85"/>
      <c r="AO228" s="417"/>
      <c r="AP228" s="417"/>
      <c r="AQ228" s="417"/>
      <c r="AR228" s="417"/>
      <c r="AS228" s="85"/>
      <c r="AT228" s="85"/>
      <c r="AU228" s="85"/>
      <c r="AV228" s="85"/>
      <c r="AW228" s="85"/>
      <c r="AX228" s="85"/>
      <c r="AY228" s="85"/>
      <c r="AZ228" s="85"/>
      <c r="BA228" s="85"/>
      <c r="BB228" s="85"/>
      <c r="BC228" s="85"/>
      <c r="BD228" s="85"/>
      <c r="BE228" s="85"/>
      <c r="BF228" s="85"/>
      <c r="BG228" s="85"/>
      <c r="BH228" s="85"/>
      <c r="BI228" s="85"/>
      <c r="BJ228" s="85"/>
      <c r="BK228" s="85"/>
      <c r="BL228" s="85"/>
      <c r="BM228" s="85"/>
    </row>
    <row r="229" spans="7:65" s="57" customFormat="1" x14ac:dyDescent="0.25">
      <c r="G229" s="417"/>
      <c r="H229" s="417"/>
      <c r="I229" s="417"/>
      <c r="J229" s="417"/>
      <c r="K229" s="417"/>
      <c r="L229" s="417"/>
      <c r="M229" s="417"/>
      <c r="N229" s="417"/>
      <c r="O229" s="85"/>
      <c r="P229" s="417"/>
      <c r="Q229" s="417"/>
      <c r="R229" s="417"/>
      <c r="S229" s="417"/>
      <c r="T229" s="85"/>
      <c r="U229" s="417"/>
      <c r="V229" s="417"/>
      <c r="W229" s="417"/>
      <c r="X229" s="417"/>
      <c r="Y229" s="85"/>
      <c r="Z229" s="417"/>
      <c r="AA229" s="417"/>
      <c r="AB229" s="417"/>
      <c r="AC229" s="417"/>
      <c r="AD229" s="85"/>
      <c r="AE229" s="417"/>
      <c r="AF229" s="417"/>
      <c r="AG229" s="417"/>
      <c r="AH229" s="417"/>
      <c r="AI229" s="85"/>
      <c r="AJ229" s="417"/>
      <c r="AK229" s="417"/>
      <c r="AL229" s="417"/>
      <c r="AM229" s="417"/>
      <c r="AN229" s="85"/>
      <c r="AO229" s="417"/>
      <c r="AP229" s="417"/>
      <c r="AQ229" s="417"/>
      <c r="AR229" s="417"/>
      <c r="AS229" s="85"/>
      <c r="AT229" s="85"/>
      <c r="AU229" s="85"/>
      <c r="AV229" s="85"/>
      <c r="AW229" s="85"/>
      <c r="AX229" s="85"/>
      <c r="AY229" s="85"/>
      <c r="AZ229" s="85"/>
      <c r="BA229" s="85"/>
      <c r="BB229" s="85"/>
      <c r="BC229" s="85"/>
      <c r="BD229" s="85"/>
      <c r="BE229" s="85"/>
      <c r="BF229" s="85"/>
      <c r="BG229" s="85"/>
      <c r="BH229" s="85"/>
      <c r="BI229" s="85"/>
      <c r="BJ229" s="85"/>
      <c r="BK229" s="85"/>
      <c r="BL229" s="85"/>
      <c r="BM229" s="85"/>
    </row>
    <row r="230" spans="7:65" s="57" customFormat="1" x14ac:dyDescent="0.25">
      <c r="G230" s="417"/>
      <c r="H230" s="417"/>
      <c r="I230" s="417"/>
      <c r="J230" s="417"/>
      <c r="K230" s="417"/>
      <c r="L230" s="417"/>
      <c r="M230" s="417"/>
      <c r="N230" s="417"/>
      <c r="O230" s="85"/>
      <c r="P230" s="417"/>
      <c r="Q230" s="417"/>
      <c r="R230" s="417"/>
      <c r="S230" s="417"/>
      <c r="T230" s="85"/>
      <c r="U230" s="417"/>
      <c r="V230" s="417"/>
      <c r="W230" s="417"/>
      <c r="X230" s="417"/>
      <c r="Y230" s="85"/>
      <c r="Z230" s="417"/>
      <c r="AA230" s="417"/>
      <c r="AB230" s="417"/>
      <c r="AC230" s="417"/>
      <c r="AD230" s="85"/>
      <c r="AE230" s="417"/>
      <c r="AF230" s="417"/>
      <c r="AG230" s="417"/>
      <c r="AH230" s="417"/>
      <c r="AI230" s="85"/>
      <c r="AJ230" s="417"/>
      <c r="AK230" s="417"/>
      <c r="AL230" s="417"/>
      <c r="AM230" s="417"/>
      <c r="AN230" s="85"/>
      <c r="AO230" s="417"/>
      <c r="AP230" s="417"/>
      <c r="AQ230" s="417"/>
      <c r="AR230" s="417"/>
      <c r="AS230" s="85"/>
      <c r="AT230" s="85"/>
      <c r="AU230" s="85"/>
      <c r="AV230" s="85"/>
      <c r="AW230" s="85"/>
      <c r="AX230" s="85"/>
      <c r="AY230" s="85"/>
      <c r="AZ230" s="85"/>
      <c r="BA230" s="85"/>
      <c r="BB230" s="85"/>
      <c r="BC230" s="85"/>
      <c r="BD230" s="85"/>
      <c r="BE230" s="85"/>
      <c r="BF230" s="85"/>
      <c r="BG230" s="85"/>
      <c r="BH230" s="85"/>
      <c r="BI230" s="85"/>
      <c r="BJ230" s="85"/>
      <c r="BK230" s="85"/>
      <c r="BL230" s="85"/>
      <c r="BM230" s="85"/>
    </row>
    <row r="231" spans="7:65" s="57" customFormat="1" x14ac:dyDescent="0.25">
      <c r="G231" s="417"/>
      <c r="H231" s="417"/>
      <c r="I231" s="417"/>
      <c r="J231" s="417"/>
      <c r="K231" s="417"/>
      <c r="L231" s="417"/>
      <c r="M231" s="417"/>
      <c r="N231" s="417"/>
      <c r="O231" s="85"/>
      <c r="P231" s="417"/>
      <c r="Q231" s="417"/>
      <c r="R231" s="417"/>
      <c r="S231" s="417"/>
      <c r="T231" s="85"/>
      <c r="U231" s="417"/>
      <c r="V231" s="417"/>
      <c r="W231" s="417"/>
      <c r="X231" s="417"/>
      <c r="Y231" s="85"/>
      <c r="Z231" s="417"/>
      <c r="AA231" s="417"/>
      <c r="AB231" s="417"/>
      <c r="AC231" s="417"/>
      <c r="AD231" s="85"/>
      <c r="AE231" s="417"/>
      <c r="AF231" s="417"/>
      <c r="AG231" s="417"/>
      <c r="AH231" s="417"/>
      <c r="AI231" s="85"/>
      <c r="AJ231" s="417"/>
      <c r="AK231" s="417"/>
      <c r="AL231" s="417"/>
      <c r="AM231" s="417"/>
      <c r="AN231" s="85"/>
      <c r="AO231" s="417"/>
      <c r="AP231" s="417"/>
      <c r="AQ231" s="417"/>
      <c r="AR231" s="417"/>
      <c r="AS231" s="85"/>
      <c r="AT231" s="85"/>
      <c r="AU231" s="85"/>
      <c r="AV231" s="85"/>
      <c r="AW231" s="85"/>
      <c r="AX231" s="85"/>
      <c r="AY231" s="85"/>
      <c r="AZ231" s="85"/>
      <c r="BA231" s="85"/>
      <c r="BB231" s="85"/>
      <c r="BC231" s="85"/>
      <c r="BD231" s="85"/>
      <c r="BE231" s="85"/>
      <c r="BF231" s="85"/>
      <c r="BG231" s="85"/>
      <c r="BH231" s="85"/>
      <c r="BI231" s="85"/>
      <c r="BJ231" s="85"/>
      <c r="BK231" s="85"/>
      <c r="BL231" s="85"/>
      <c r="BM231" s="85"/>
    </row>
    <row r="232" spans="7:65" s="57" customFormat="1" x14ac:dyDescent="0.25">
      <c r="G232" s="417"/>
      <c r="H232" s="417"/>
      <c r="I232" s="417"/>
      <c r="J232" s="417"/>
      <c r="K232" s="417"/>
      <c r="L232" s="417"/>
      <c r="M232" s="417"/>
      <c r="N232" s="417"/>
      <c r="O232" s="85"/>
      <c r="P232" s="417"/>
      <c r="Q232" s="417"/>
      <c r="R232" s="417"/>
      <c r="S232" s="417"/>
      <c r="T232" s="85"/>
      <c r="U232" s="417"/>
      <c r="V232" s="417"/>
      <c r="W232" s="417"/>
      <c r="X232" s="417"/>
      <c r="Y232" s="85"/>
      <c r="Z232" s="417"/>
      <c r="AA232" s="417"/>
      <c r="AB232" s="417"/>
      <c r="AC232" s="417"/>
      <c r="AD232" s="85"/>
      <c r="AE232" s="417"/>
      <c r="AF232" s="417"/>
      <c r="AG232" s="417"/>
      <c r="AH232" s="417"/>
      <c r="AI232" s="85"/>
      <c r="AJ232" s="417"/>
      <c r="AK232" s="417"/>
      <c r="AL232" s="417"/>
      <c r="AM232" s="417"/>
      <c r="AN232" s="85"/>
      <c r="AO232" s="417"/>
      <c r="AP232" s="417"/>
      <c r="AQ232" s="417"/>
      <c r="AR232" s="417"/>
      <c r="AS232" s="85"/>
      <c r="AT232" s="85"/>
      <c r="AU232" s="85"/>
      <c r="AV232" s="85"/>
      <c r="AW232" s="85"/>
      <c r="AX232" s="85"/>
      <c r="AY232" s="85"/>
      <c r="AZ232" s="85"/>
      <c r="BA232" s="85"/>
      <c r="BB232" s="85"/>
      <c r="BC232" s="85"/>
      <c r="BD232" s="85"/>
      <c r="BE232" s="85"/>
      <c r="BF232" s="85"/>
      <c r="BG232" s="85"/>
      <c r="BH232" s="85"/>
      <c r="BI232" s="85"/>
      <c r="BJ232" s="85"/>
      <c r="BK232" s="85"/>
      <c r="BL232" s="85"/>
      <c r="BM232" s="85"/>
    </row>
    <row r="233" spans="7:65" s="57" customFormat="1" x14ac:dyDescent="0.25">
      <c r="G233" s="417"/>
      <c r="H233" s="417"/>
      <c r="I233" s="417"/>
      <c r="J233" s="417"/>
      <c r="K233" s="417"/>
      <c r="L233" s="417"/>
      <c r="M233" s="417"/>
      <c r="N233" s="417"/>
      <c r="O233" s="85"/>
      <c r="P233" s="417"/>
      <c r="Q233" s="417"/>
      <c r="R233" s="417"/>
      <c r="S233" s="417"/>
      <c r="T233" s="85"/>
      <c r="U233" s="417"/>
      <c r="V233" s="417"/>
      <c r="W233" s="417"/>
      <c r="X233" s="417"/>
      <c r="Y233" s="85"/>
      <c r="Z233" s="417"/>
      <c r="AA233" s="417"/>
      <c r="AB233" s="417"/>
      <c r="AC233" s="417"/>
      <c r="AD233" s="85"/>
      <c r="AE233" s="417"/>
      <c r="AF233" s="417"/>
      <c r="AG233" s="417"/>
      <c r="AH233" s="417"/>
      <c r="AI233" s="85"/>
      <c r="AJ233" s="417"/>
      <c r="AK233" s="417"/>
      <c r="AL233" s="417"/>
      <c r="AM233" s="417"/>
      <c r="AN233" s="85"/>
      <c r="AO233" s="417"/>
      <c r="AP233" s="417"/>
      <c r="AQ233" s="417"/>
      <c r="AR233" s="417"/>
      <c r="AS233" s="85"/>
      <c r="AT233" s="85"/>
      <c r="AU233" s="85"/>
      <c r="AV233" s="85"/>
      <c r="AW233" s="85"/>
      <c r="AX233" s="85"/>
      <c r="AY233" s="85"/>
      <c r="AZ233" s="85"/>
      <c r="BA233" s="85"/>
      <c r="BB233" s="85"/>
      <c r="BC233" s="85"/>
      <c r="BD233" s="85"/>
      <c r="BE233" s="85"/>
      <c r="BF233" s="85"/>
      <c r="BG233" s="85"/>
      <c r="BH233" s="85"/>
      <c r="BI233" s="85"/>
      <c r="BJ233" s="85"/>
      <c r="BK233" s="85"/>
      <c r="BL233" s="85"/>
      <c r="BM233" s="85"/>
    </row>
    <row r="234" spans="7:65" s="57" customFormat="1" x14ac:dyDescent="0.25">
      <c r="G234" s="417"/>
      <c r="H234" s="417"/>
      <c r="I234" s="417"/>
      <c r="J234" s="417"/>
      <c r="K234" s="417"/>
      <c r="L234" s="417"/>
      <c r="M234" s="417"/>
      <c r="N234" s="417"/>
      <c r="O234" s="85"/>
      <c r="P234" s="417"/>
      <c r="Q234" s="417"/>
      <c r="R234" s="417"/>
      <c r="S234" s="417"/>
      <c r="T234" s="85"/>
      <c r="U234" s="417"/>
      <c r="V234" s="417"/>
      <c r="W234" s="417"/>
      <c r="X234" s="417"/>
      <c r="Y234" s="85"/>
      <c r="Z234" s="417"/>
      <c r="AA234" s="417"/>
      <c r="AB234" s="417"/>
      <c r="AC234" s="417"/>
      <c r="AD234" s="85"/>
      <c r="AE234" s="417"/>
      <c r="AF234" s="417"/>
      <c r="AG234" s="417"/>
      <c r="AH234" s="417"/>
      <c r="AI234" s="85"/>
      <c r="AJ234" s="417"/>
      <c r="AK234" s="417"/>
      <c r="AL234" s="417"/>
      <c r="AM234" s="417"/>
      <c r="AN234" s="85"/>
      <c r="AO234" s="417"/>
      <c r="AP234" s="417"/>
      <c r="AQ234" s="417"/>
      <c r="AR234" s="417"/>
      <c r="AS234" s="85"/>
      <c r="AT234" s="85"/>
      <c r="AU234" s="85"/>
      <c r="AV234" s="85"/>
      <c r="AW234" s="85"/>
      <c r="AX234" s="85"/>
      <c r="AY234" s="85"/>
      <c r="AZ234" s="85"/>
      <c r="BA234" s="85"/>
      <c r="BB234" s="85"/>
      <c r="BC234" s="85"/>
      <c r="BD234" s="85"/>
      <c r="BE234" s="85"/>
      <c r="BF234" s="85"/>
      <c r="BG234" s="85"/>
      <c r="BH234" s="85"/>
      <c r="BI234" s="85"/>
      <c r="BJ234" s="85"/>
      <c r="BK234" s="85"/>
      <c r="BL234" s="85"/>
      <c r="BM234" s="85"/>
    </row>
    <row r="235" spans="7:65" s="57" customFormat="1" x14ac:dyDescent="0.25">
      <c r="G235" s="417"/>
      <c r="H235" s="417"/>
      <c r="I235" s="417"/>
      <c r="J235" s="417"/>
      <c r="K235" s="417"/>
      <c r="L235" s="417"/>
      <c r="M235" s="417"/>
      <c r="N235" s="417"/>
      <c r="O235" s="85"/>
      <c r="P235" s="417"/>
      <c r="Q235" s="417"/>
      <c r="R235" s="417"/>
      <c r="S235" s="417"/>
      <c r="T235" s="85"/>
      <c r="U235" s="417"/>
      <c r="V235" s="417"/>
      <c r="W235" s="417"/>
      <c r="X235" s="417"/>
      <c r="Y235" s="85"/>
      <c r="Z235" s="417"/>
      <c r="AA235" s="417"/>
      <c r="AB235" s="417"/>
      <c r="AC235" s="417"/>
      <c r="AD235" s="85"/>
      <c r="AE235" s="417"/>
      <c r="AF235" s="417"/>
      <c r="AG235" s="417"/>
      <c r="AH235" s="417"/>
      <c r="AI235" s="85"/>
      <c r="AJ235" s="417"/>
      <c r="AK235" s="417"/>
      <c r="AL235" s="417"/>
      <c r="AM235" s="417"/>
      <c r="AN235" s="85"/>
      <c r="AO235" s="417"/>
      <c r="AP235" s="417"/>
      <c r="AQ235" s="417"/>
      <c r="AR235" s="417"/>
      <c r="AS235" s="85"/>
      <c r="AT235" s="85"/>
      <c r="AU235" s="85"/>
      <c r="AV235" s="85"/>
      <c r="AW235" s="85"/>
      <c r="AX235" s="85"/>
      <c r="AY235" s="85"/>
      <c r="AZ235" s="85"/>
      <c r="BA235" s="85"/>
      <c r="BB235" s="85"/>
      <c r="BC235" s="85"/>
      <c r="BD235" s="85"/>
      <c r="BE235" s="85"/>
      <c r="BF235" s="85"/>
      <c r="BG235" s="85"/>
      <c r="BH235" s="85"/>
      <c r="BI235" s="85"/>
      <c r="BJ235" s="85"/>
      <c r="BK235" s="85"/>
      <c r="BL235" s="85"/>
      <c r="BM235" s="85"/>
    </row>
    <row r="236" spans="7:65" s="57" customFormat="1" x14ac:dyDescent="0.25">
      <c r="G236" s="417"/>
      <c r="H236" s="417"/>
      <c r="I236" s="417"/>
      <c r="J236" s="417"/>
      <c r="K236" s="417"/>
      <c r="L236" s="417"/>
      <c r="M236" s="417"/>
      <c r="N236" s="417"/>
      <c r="O236" s="85"/>
      <c r="P236" s="417"/>
      <c r="Q236" s="417"/>
      <c r="R236" s="417"/>
      <c r="S236" s="417"/>
      <c r="T236" s="85"/>
      <c r="U236" s="417"/>
      <c r="V236" s="417"/>
      <c r="W236" s="417"/>
      <c r="X236" s="417"/>
      <c r="Y236" s="85"/>
      <c r="Z236" s="417"/>
      <c r="AA236" s="417"/>
      <c r="AB236" s="417"/>
      <c r="AC236" s="417"/>
      <c r="AD236" s="85"/>
      <c r="AE236" s="417"/>
      <c r="AF236" s="417"/>
      <c r="AG236" s="417"/>
      <c r="AH236" s="417"/>
      <c r="AI236" s="85"/>
      <c r="AJ236" s="417"/>
      <c r="AK236" s="417"/>
      <c r="AL236" s="417"/>
      <c r="AM236" s="417"/>
      <c r="AN236" s="85"/>
      <c r="AO236" s="417"/>
      <c r="AP236" s="417"/>
      <c r="AQ236" s="417"/>
      <c r="AR236" s="417"/>
      <c r="AS236" s="85"/>
      <c r="AT236" s="85"/>
      <c r="AU236" s="85"/>
      <c r="AV236" s="85"/>
      <c r="AW236" s="85"/>
      <c r="AX236" s="85"/>
      <c r="AY236" s="85"/>
      <c r="AZ236" s="85"/>
      <c r="BA236" s="85"/>
      <c r="BB236" s="85"/>
      <c r="BC236" s="85"/>
      <c r="BD236" s="85"/>
      <c r="BE236" s="85"/>
      <c r="BF236" s="85"/>
      <c r="BG236" s="85"/>
      <c r="BH236" s="85"/>
      <c r="BI236" s="85"/>
      <c r="BJ236" s="85"/>
      <c r="BK236" s="85"/>
      <c r="BL236" s="85"/>
      <c r="BM236" s="85"/>
    </row>
    <row r="237" spans="7:65" s="57" customFormat="1" x14ac:dyDescent="0.25">
      <c r="G237" s="417"/>
      <c r="H237" s="417"/>
      <c r="I237" s="417"/>
      <c r="J237" s="417"/>
      <c r="K237" s="417"/>
      <c r="L237" s="417"/>
      <c r="M237" s="417"/>
      <c r="N237" s="417"/>
      <c r="O237" s="85"/>
      <c r="P237" s="417"/>
      <c r="Q237" s="417"/>
      <c r="R237" s="417"/>
      <c r="S237" s="417"/>
      <c r="T237" s="85"/>
      <c r="U237" s="417"/>
      <c r="V237" s="417"/>
      <c r="W237" s="417"/>
      <c r="X237" s="417"/>
      <c r="Y237" s="85"/>
      <c r="Z237" s="417"/>
      <c r="AA237" s="417"/>
      <c r="AB237" s="417"/>
      <c r="AC237" s="417"/>
      <c r="AD237" s="85"/>
      <c r="AE237" s="417"/>
      <c r="AF237" s="417"/>
      <c r="AG237" s="417"/>
      <c r="AH237" s="417"/>
      <c r="AI237" s="85"/>
      <c r="AJ237" s="417"/>
      <c r="AK237" s="417"/>
      <c r="AL237" s="417"/>
      <c r="AM237" s="417"/>
      <c r="AN237" s="85"/>
      <c r="AO237" s="417"/>
      <c r="AP237" s="417"/>
      <c r="AQ237" s="417"/>
      <c r="AR237" s="417"/>
      <c r="AS237" s="85"/>
      <c r="AT237" s="85"/>
      <c r="AU237" s="85"/>
      <c r="AV237" s="85"/>
      <c r="AW237" s="85"/>
      <c r="AX237" s="85"/>
      <c r="AY237" s="85"/>
      <c r="AZ237" s="85"/>
      <c r="BA237" s="85"/>
      <c r="BB237" s="85"/>
      <c r="BC237" s="85"/>
      <c r="BD237" s="85"/>
      <c r="BE237" s="85"/>
      <c r="BF237" s="85"/>
      <c r="BG237" s="85"/>
      <c r="BH237" s="85"/>
      <c r="BI237" s="85"/>
      <c r="BJ237" s="85"/>
      <c r="BK237" s="85"/>
      <c r="BL237" s="85"/>
      <c r="BM237" s="85"/>
    </row>
    <row r="238" spans="7:65" s="57" customFormat="1" x14ac:dyDescent="0.25">
      <c r="G238" s="417"/>
      <c r="H238" s="417"/>
      <c r="I238" s="417"/>
      <c r="J238" s="417"/>
      <c r="K238" s="417"/>
      <c r="L238" s="417"/>
      <c r="M238" s="417"/>
      <c r="N238" s="417"/>
      <c r="O238" s="85"/>
      <c r="P238" s="417"/>
      <c r="Q238" s="417"/>
      <c r="R238" s="417"/>
      <c r="S238" s="417"/>
      <c r="T238" s="85"/>
      <c r="U238" s="417"/>
      <c r="V238" s="417"/>
      <c r="W238" s="417"/>
      <c r="X238" s="417"/>
      <c r="Y238" s="85"/>
      <c r="Z238" s="417"/>
      <c r="AA238" s="417"/>
      <c r="AB238" s="417"/>
      <c r="AC238" s="417"/>
      <c r="AD238" s="85"/>
      <c r="AE238" s="417"/>
      <c r="AF238" s="417"/>
      <c r="AG238" s="417"/>
      <c r="AH238" s="417"/>
      <c r="AI238" s="85"/>
      <c r="AJ238" s="417"/>
      <c r="AK238" s="417"/>
      <c r="AL238" s="417"/>
      <c r="AM238" s="417"/>
      <c r="AN238" s="85"/>
      <c r="AO238" s="417"/>
      <c r="AP238" s="417"/>
      <c r="AQ238" s="417"/>
      <c r="AR238" s="417"/>
      <c r="AS238" s="85"/>
      <c r="AT238" s="85"/>
      <c r="AU238" s="85"/>
      <c r="AV238" s="85"/>
      <c r="AW238" s="85"/>
      <c r="AX238" s="85"/>
      <c r="AY238" s="85"/>
      <c r="AZ238" s="85"/>
      <c r="BA238" s="85"/>
      <c r="BB238" s="85"/>
      <c r="BC238" s="85"/>
      <c r="BD238" s="85"/>
      <c r="BE238" s="85"/>
      <c r="BF238" s="85"/>
      <c r="BG238" s="85"/>
      <c r="BH238" s="85"/>
      <c r="BI238" s="85"/>
      <c r="BJ238" s="85"/>
      <c r="BK238" s="85"/>
      <c r="BL238" s="85"/>
      <c r="BM238" s="85"/>
    </row>
    <row r="239" spans="7:65" s="57" customFormat="1" x14ac:dyDescent="0.25">
      <c r="G239" s="417"/>
      <c r="H239" s="417"/>
      <c r="I239" s="417"/>
      <c r="J239" s="417"/>
      <c r="K239" s="417"/>
      <c r="L239" s="417"/>
      <c r="M239" s="417"/>
      <c r="N239" s="417"/>
      <c r="O239" s="85"/>
      <c r="P239" s="417"/>
      <c r="Q239" s="417"/>
      <c r="R239" s="417"/>
      <c r="S239" s="417"/>
      <c r="T239" s="85"/>
      <c r="U239" s="417"/>
      <c r="V239" s="417"/>
      <c r="W239" s="417"/>
      <c r="X239" s="417"/>
      <c r="Y239" s="85"/>
      <c r="Z239" s="417"/>
      <c r="AA239" s="417"/>
      <c r="AB239" s="417"/>
      <c r="AC239" s="417"/>
      <c r="AD239" s="85"/>
      <c r="AE239" s="417"/>
      <c r="AF239" s="417"/>
      <c r="AG239" s="417"/>
      <c r="AH239" s="417"/>
      <c r="AI239" s="85"/>
      <c r="AJ239" s="417"/>
      <c r="AK239" s="417"/>
      <c r="AL239" s="417"/>
      <c r="AM239" s="417"/>
      <c r="AN239" s="85"/>
      <c r="AO239" s="417"/>
      <c r="AP239" s="417"/>
      <c r="AQ239" s="417"/>
      <c r="AR239" s="417"/>
      <c r="AS239" s="85"/>
      <c r="AT239" s="85"/>
      <c r="AU239" s="85"/>
      <c r="AV239" s="85"/>
      <c r="AW239" s="85"/>
      <c r="AX239" s="85"/>
      <c r="AY239" s="85"/>
      <c r="AZ239" s="85"/>
      <c r="BA239" s="85"/>
      <c r="BB239" s="85"/>
      <c r="BC239" s="85"/>
      <c r="BD239" s="85"/>
      <c r="BE239" s="85"/>
      <c r="BF239" s="85"/>
      <c r="BG239" s="85"/>
      <c r="BH239" s="85"/>
      <c r="BI239" s="85"/>
      <c r="BJ239" s="85"/>
      <c r="BK239" s="85"/>
      <c r="BL239" s="85"/>
      <c r="BM239" s="85"/>
    </row>
    <row r="240" spans="7:65" s="57" customFormat="1" x14ac:dyDescent="0.25">
      <c r="G240" s="417"/>
      <c r="H240" s="417"/>
      <c r="I240" s="417"/>
      <c r="J240" s="417"/>
      <c r="K240" s="417"/>
      <c r="L240" s="417"/>
      <c r="M240" s="417"/>
      <c r="N240" s="417"/>
      <c r="O240" s="85"/>
      <c r="P240" s="417"/>
      <c r="Q240" s="417"/>
      <c r="R240" s="417"/>
      <c r="S240" s="417"/>
      <c r="T240" s="85"/>
      <c r="U240" s="417"/>
      <c r="V240" s="417"/>
      <c r="W240" s="417"/>
      <c r="X240" s="417"/>
      <c r="Y240" s="85"/>
      <c r="Z240" s="417"/>
      <c r="AA240" s="417"/>
      <c r="AB240" s="417"/>
      <c r="AC240" s="417"/>
      <c r="AD240" s="85"/>
      <c r="AE240" s="417"/>
      <c r="AF240" s="417"/>
      <c r="AG240" s="417"/>
      <c r="AH240" s="417"/>
      <c r="AI240" s="85"/>
      <c r="AJ240" s="417"/>
      <c r="AK240" s="417"/>
      <c r="AL240" s="417"/>
      <c r="AM240" s="417"/>
      <c r="AN240" s="85"/>
      <c r="AO240" s="417"/>
      <c r="AP240" s="417"/>
      <c r="AQ240" s="417"/>
      <c r="AR240" s="417"/>
      <c r="AS240" s="85"/>
      <c r="AT240" s="85"/>
      <c r="AU240" s="85"/>
      <c r="AV240" s="85"/>
      <c r="AW240" s="85"/>
      <c r="AX240" s="85"/>
      <c r="AY240" s="85"/>
      <c r="AZ240" s="85"/>
      <c r="BA240" s="85"/>
      <c r="BB240" s="85"/>
      <c r="BC240" s="85"/>
      <c r="BD240" s="85"/>
      <c r="BE240" s="85"/>
      <c r="BF240" s="85"/>
      <c r="BG240" s="85"/>
      <c r="BH240" s="85"/>
      <c r="BI240" s="85"/>
      <c r="BJ240" s="85"/>
      <c r="BK240" s="85"/>
      <c r="BL240" s="85"/>
      <c r="BM240" s="85"/>
    </row>
    <row r="241" spans="7:65" s="57" customFormat="1" x14ac:dyDescent="0.25">
      <c r="G241" s="417"/>
      <c r="H241" s="417"/>
      <c r="I241" s="417"/>
      <c r="J241" s="417"/>
      <c r="K241" s="417"/>
      <c r="L241" s="417"/>
      <c r="M241" s="417"/>
      <c r="N241" s="417"/>
      <c r="O241" s="85"/>
      <c r="P241" s="417"/>
      <c r="Q241" s="417"/>
      <c r="R241" s="417"/>
      <c r="S241" s="417"/>
      <c r="T241" s="85"/>
      <c r="U241" s="417"/>
      <c r="V241" s="417"/>
      <c r="W241" s="417"/>
      <c r="X241" s="417"/>
      <c r="Y241" s="85"/>
      <c r="Z241" s="417"/>
      <c r="AA241" s="417"/>
      <c r="AB241" s="417"/>
      <c r="AC241" s="417"/>
      <c r="AD241" s="85"/>
      <c r="AE241" s="417"/>
      <c r="AF241" s="417"/>
      <c r="AG241" s="417"/>
      <c r="AH241" s="417"/>
      <c r="AI241" s="85"/>
      <c r="AJ241" s="417"/>
      <c r="AK241" s="417"/>
      <c r="AL241" s="417"/>
      <c r="AM241" s="417"/>
      <c r="AN241" s="85"/>
      <c r="AO241" s="417"/>
      <c r="AP241" s="417"/>
      <c r="AQ241" s="417"/>
      <c r="AR241" s="417"/>
      <c r="AS241" s="85"/>
      <c r="AT241" s="85"/>
      <c r="AU241" s="85"/>
      <c r="AV241" s="85"/>
      <c r="AW241" s="85"/>
      <c r="AX241" s="85"/>
      <c r="AY241" s="85"/>
      <c r="AZ241" s="85"/>
      <c r="BA241" s="85"/>
      <c r="BB241" s="85"/>
      <c r="BC241" s="85"/>
      <c r="BD241" s="85"/>
      <c r="BE241" s="85"/>
      <c r="BF241" s="85"/>
      <c r="BG241" s="85"/>
      <c r="BH241" s="85"/>
      <c r="BI241" s="85"/>
      <c r="BJ241" s="85"/>
      <c r="BK241" s="85"/>
      <c r="BL241" s="85"/>
      <c r="BM241" s="85"/>
    </row>
    <row r="242" spans="7:65" s="57" customFormat="1" x14ac:dyDescent="0.25">
      <c r="G242" s="417"/>
      <c r="H242" s="417"/>
      <c r="I242" s="417"/>
      <c r="J242" s="417"/>
      <c r="K242" s="417"/>
      <c r="L242" s="417"/>
      <c r="M242" s="417"/>
      <c r="N242" s="417"/>
      <c r="O242" s="85"/>
      <c r="P242" s="417"/>
      <c r="Q242" s="417"/>
      <c r="R242" s="417"/>
      <c r="S242" s="417"/>
      <c r="T242" s="85"/>
      <c r="U242" s="417"/>
      <c r="V242" s="417"/>
      <c r="W242" s="417"/>
      <c r="X242" s="417"/>
      <c r="Y242" s="85"/>
      <c r="Z242" s="417"/>
      <c r="AA242" s="417"/>
      <c r="AB242" s="417"/>
      <c r="AC242" s="417"/>
      <c r="AD242" s="85"/>
      <c r="AE242" s="417"/>
      <c r="AF242" s="417"/>
      <c r="AG242" s="417"/>
      <c r="AH242" s="417"/>
      <c r="AI242" s="85"/>
      <c r="AJ242" s="417"/>
      <c r="AK242" s="417"/>
      <c r="AL242" s="417"/>
      <c r="AM242" s="417"/>
      <c r="AN242" s="85"/>
      <c r="AO242" s="417"/>
      <c r="AP242" s="417"/>
      <c r="AQ242" s="417"/>
      <c r="AR242" s="417"/>
      <c r="AS242" s="85"/>
      <c r="AT242" s="85"/>
      <c r="AU242" s="85"/>
      <c r="AV242" s="85"/>
      <c r="AW242" s="85"/>
      <c r="AX242" s="85"/>
      <c r="AY242" s="85"/>
      <c r="AZ242" s="85"/>
      <c r="BA242" s="85"/>
      <c r="BB242" s="85"/>
      <c r="BC242" s="85"/>
      <c r="BD242" s="85"/>
      <c r="BE242" s="85"/>
      <c r="BF242" s="85"/>
      <c r="BG242" s="85"/>
      <c r="BH242" s="85"/>
      <c r="BI242" s="85"/>
      <c r="BJ242" s="85"/>
      <c r="BK242" s="85"/>
      <c r="BL242" s="85"/>
      <c r="BM242" s="85"/>
    </row>
    <row r="243" spans="7:65" s="57" customFormat="1" x14ac:dyDescent="0.25">
      <c r="G243" s="417"/>
      <c r="H243" s="417"/>
      <c r="I243" s="417"/>
      <c r="J243" s="417"/>
      <c r="K243" s="417"/>
      <c r="L243" s="417"/>
      <c r="M243" s="417"/>
      <c r="N243" s="417"/>
      <c r="O243" s="85"/>
      <c r="P243" s="417"/>
      <c r="Q243" s="417"/>
      <c r="R243" s="417"/>
      <c r="S243" s="417"/>
      <c r="T243" s="85"/>
      <c r="U243" s="417"/>
      <c r="V243" s="417"/>
      <c r="W243" s="417"/>
      <c r="X243" s="417"/>
      <c r="Y243" s="85"/>
      <c r="Z243" s="417"/>
      <c r="AA243" s="417"/>
      <c r="AB243" s="417"/>
      <c r="AC243" s="417"/>
      <c r="AD243" s="85"/>
      <c r="AE243" s="417"/>
      <c r="AF243" s="417"/>
      <c r="AG243" s="417"/>
      <c r="AH243" s="417"/>
      <c r="AI243" s="85"/>
      <c r="AJ243" s="417"/>
      <c r="AK243" s="417"/>
      <c r="AL243" s="417"/>
      <c r="AM243" s="417"/>
      <c r="AN243" s="85"/>
      <c r="AO243" s="417"/>
      <c r="AP243" s="417"/>
      <c r="AQ243" s="417"/>
      <c r="AR243" s="417"/>
      <c r="AS243" s="85"/>
      <c r="AT243" s="85"/>
      <c r="AU243" s="85"/>
      <c r="AV243" s="85"/>
      <c r="AW243" s="85"/>
      <c r="AX243" s="85"/>
      <c r="AY243" s="85"/>
      <c r="AZ243" s="85"/>
      <c r="BA243" s="85"/>
      <c r="BB243" s="85"/>
      <c r="BC243" s="85"/>
      <c r="BD243" s="85"/>
      <c r="BE243" s="85"/>
      <c r="BF243" s="85"/>
      <c r="BG243" s="85"/>
      <c r="BH243" s="85"/>
      <c r="BI243" s="85"/>
      <c r="BJ243" s="85"/>
      <c r="BK243" s="85"/>
      <c r="BL243" s="85"/>
      <c r="BM243" s="85"/>
    </row>
    <row r="244" spans="7:65" s="57" customFormat="1" x14ac:dyDescent="0.25">
      <c r="G244" s="417"/>
      <c r="H244" s="417"/>
      <c r="I244" s="417"/>
      <c r="J244" s="417"/>
      <c r="K244" s="417"/>
      <c r="L244" s="417"/>
      <c r="M244" s="417"/>
      <c r="N244" s="417"/>
      <c r="O244" s="85"/>
      <c r="P244" s="417"/>
      <c r="Q244" s="417"/>
      <c r="R244" s="417"/>
      <c r="S244" s="417"/>
      <c r="T244" s="85"/>
      <c r="U244" s="417"/>
      <c r="V244" s="417"/>
      <c r="W244" s="417"/>
      <c r="X244" s="417"/>
      <c r="Y244" s="85"/>
      <c r="Z244" s="417"/>
      <c r="AA244" s="417"/>
      <c r="AB244" s="417"/>
      <c r="AC244" s="417"/>
      <c r="AD244" s="85"/>
      <c r="AE244" s="417"/>
      <c r="AF244" s="417"/>
      <c r="AG244" s="417"/>
      <c r="AH244" s="417"/>
      <c r="AI244" s="85"/>
      <c r="AJ244" s="417"/>
      <c r="AK244" s="417"/>
      <c r="AL244" s="417"/>
      <c r="AM244" s="417"/>
      <c r="AN244" s="85"/>
      <c r="AO244" s="417"/>
      <c r="AP244" s="417"/>
      <c r="AQ244" s="417"/>
      <c r="AR244" s="417"/>
      <c r="AS244" s="85"/>
      <c r="AT244" s="85"/>
      <c r="AU244" s="85"/>
      <c r="AV244" s="85"/>
      <c r="AW244" s="85"/>
      <c r="AX244" s="85"/>
      <c r="AY244" s="85"/>
      <c r="AZ244" s="85"/>
      <c r="BA244" s="85"/>
      <c r="BB244" s="85"/>
      <c r="BC244" s="85"/>
      <c r="BD244" s="85"/>
      <c r="BE244" s="85"/>
      <c r="BF244" s="85"/>
      <c r="BG244" s="85"/>
      <c r="BH244" s="85"/>
      <c r="BI244" s="85"/>
      <c r="BJ244" s="85"/>
      <c r="BK244" s="85"/>
      <c r="BL244" s="85"/>
      <c r="BM244" s="85"/>
    </row>
    <row r="245" spans="7:65" s="57" customFormat="1" x14ac:dyDescent="0.25">
      <c r="G245" s="417"/>
      <c r="H245" s="417"/>
      <c r="I245" s="417"/>
      <c r="J245" s="417"/>
      <c r="K245" s="417"/>
      <c r="L245" s="417"/>
      <c r="M245" s="417"/>
      <c r="N245" s="417"/>
      <c r="O245" s="85"/>
      <c r="P245" s="417"/>
      <c r="Q245" s="417"/>
      <c r="R245" s="417"/>
      <c r="S245" s="417"/>
      <c r="T245" s="85"/>
      <c r="U245" s="417"/>
      <c r="V245" s="417"/>
      <c r="W245" s="417"/>
      <c r="X245" s="417"/>
      <c r="Y245" s="85"/>
      <c r="Z245" s="417"/>
      <c r="AA245" s="417"/>
      <c r="AB245" s="417"/>
      <c r="AC245" s="417"/>
      <c r="AD245" s="85"/>
      <c r="AE245" s="417"/>
      <c r="AF245" s="417"/>
      <c r="AG245" s="417"/>
      <c r="AH245" s="417"/>
      <c r="AI245" s="85"/>
      <c r="AJ245" s="417"/>
      <c r="AK245" s="417"/>
      <c r="AL245" s="417"/>
      <c r="AM245" s="417"/>
      <c r="AN245" s="85"/>
      <c r="AO245" s="417"/>
      <c r="AP245" s="417"/>
      <c r="AQ245" s="417"/>
      <c r="AR245" s="417"/>
      <c r="AS245" s="85"/>
      <c r="AT245" s="85"/>
      <c r="AU245" s="85"/>
      <c r="AV245" s="85"/>
      <c r="AW245" s="85"/>
      <c r="AX245" s="85"/>
      <c r="AY245" s="85"/>
      <c r="AZ245" s="85"/>
      <c r="BA245" s="85"/>
      <c r="BB245" s="85"/>
      <c r="BC245" s="85"/>
      <c r="BD245" s="85"/>
      <c r="BE245" s="85"/>
      <c r="BF245" s="85"/>
      <c r="BG245" s="85"/>
      <c r="BH245" s="85"/>
      <c r="BI245" s="85"/>
      <c r="BJ245" s="85"/>
      <c r="BK245" s="85"/>
      <c r="BL245" s="85"/>
      <c r="BM245" s="85"/>
    </row>
    <row r="246" spans="7:65" s="57" customFormat="1" x14ac:dyDescent="0.25">
      <c r="G246" s="417"/>
      <c r="H246" s="417"/>
      <c r="I246" s="417"/>
      <c r="J246" s="417"/>
      <c r="K246" s="417"/>
      <c r="L246" s="417"/>
      <c r="M246" s="417"/>
      <c r="N246" s="417"/>
      <c r="O246" s="85"/>
      <c r="P246" s="417"/>
      <c r="Q246" s="417"/>
      <c r="R246" s="417"/>
      <c r="S246" s="417"/>
      <c r="T246" s="85"/>
      <c r="U246" s="417"/>
      <c r="V246" s="417"/>
      <c r="W246" s="417"/>
      <c r="X246" s="417"/>
      <c r="Y246" s="85"/>
      <c r="Z246" s="417"/>
      <c r="AA246" s="417"/>
      <c r="AB246" s="417"/>
      <c r="AC246" s="417"/>
      <c r="AD246" s="85"/>
      <c r="AE246" s="417"/>
      <c r="AF246" s="417"/>
      <c r="AG246" s="417"/>
      <c r="AH246" s="417"/>
      <c r="AI246" s="85"/>
      <c r="AJ246" s="417"/>
      <c r="AK246" s="417"/>
      <c r="AL246" s="417"/>
      <c r="AM246" s="417"/>
      <c r="AN246" s="85"/>
      <c r="AO246" s="417"/>
      <c r="AP246" s="417"/>
      <c r="AQ246" s="417"/>
      <c r="AR246" s="417"/>
      <c r="AS246" s="85"/>
      <c r="AT246" s="85"/>
      <c r="AU246" s="85"/>
      <c r="AV246" s="85"/>
      <c r="AW246" s="85"/>
      <c r="AX246" s="85"/>
      <c r="AY246" s="85"/>
      <c r="AZ246" s="85"/>
      <c r="BA246" s="85"/>
      <c r="BB246" s="85"/>
      <c r="BC246" s="85"/>
      <c r="BD246" s="85"/>
      <c r="BE246" s="85"/>
      <c r="BF246" s="85"/>
      <c r="BG246" s="85"/>
      <c r="BH246" s="85"/>
      <c r="BI246" s="85"/>
      <c r="BJ246" s="85"/>
      <c r="BK246" s="85"/>
      <c r="BL246" s="85"/>
      <c r="BM246" s="85"/>
    </row>
    <row r="247" spans="7:65" s="57" customFormat="1" x14ac:dyDescent="0.25">
      <c r="G247" s="417"/>
      <c r="H247" s="417"/>
      <c r="I247" s="417"/>
      <c r="J247" s="417"/>
      <c r="K247" s="417"/>
      <c r="L247" s="417"/>
      <c r="M247" s="417"/>
      <c r="N247" s="417"/>
      <c r="O247" s="85"/>
      <c r="P247" s="417"/>
      <c r="Q247" s="417"/>
      <c r="R247" s="417"/>
      <c r="S247" s="417"/>
      <c r="T247" s="85"/>
      <c r="U247" s="417"/>
      <c r="V247" s="417"/>
      <c r="W247" s="417"/>
      <c r="X247" s="417"/>
      <c r="Y247" s="85"/>
      <c r="Z247" s="417"/>
      <c r="AA247" s="417"/>
      <c r="AB247" s="417"/>
      <c r="AC247" s="417"/>
      <c r="AD247" s="85"/>
      <c r="AE247" s="417"/>
      <c r="AF247" s="417"/>
      <c r="AG247" s="417"/>
      <c r="AH247" s="417"/>
      <c r="AI247" s="85"/>
      <c r="AJ247" s="417"/>
      <c r="AK247" s="417"/>
      <c r="AL247" s="417"/>
      <c r="AM247" s="417"/>
      <c r="AN247" s="85"/>
      <c r="AO247" s="417"/>
      <c r="AP247" s="417"/>
      <c r="AQ247" s="417"/>
      <c r="AR247" s="417"/>
      <c r="AS247" s="85"/>
      <c r="AT247" s="85"/>
      <c r="AU247" s="85"/>
      <c r="AV247" s="85"/>
      <c r="AW247" s="85"/>
      <c r="AX247" s="85"/>
      <c r="AY247" s="85"/>
      <c r="AZ247" s="85"/>
      <c r="BA247" s="85"/>
      <c r="BB247" s="85"/>
      <c r="BC247" s="85"/>
      <c r="BD247" s="85"/>
      <c r="BE247" s="85"/>
      <c r="BF247" s="85"/>
      <c r="BG247" s="85"/>
      <c r="BH247" s="85"/>
      <c r="BI247" s="85"/>
      <c r="BJ247" s="85"/>
      <c r="BK247" s="85"/>
      <c r="BL247" s="85"/>
      <c r="BM247" s="85"/>
    </row>
    <row r="248" spans="7:65" s="57" customFormat="1" x14ac:dyDescent="0.25">
      <c r="G248" s="417"/>
      <c r="H248" s="417"/>
      <c r="I248" s="417"/>
      <c r="J248" s="417"/>
      <c r="K248" s="417"/>
      <c r="L248" s="417"/>
      <c r="M248" s="417"/>
      <c r="N248" s="417"/>
      <c r="O248" s="85"/>
      <c r="P248" s="417"/>
      <c r="Q248" s="417"/>
      <c r="R248" s="417"/>
      <c r="S248" s="417"/>
      <c r="T248" s="85"/>
      <c r="U248" s="417"/>
      <c r="V248" s="417"/>
      <c r="W248" s="417"/>
      <c r="X248" s="417"/>
      <c r="Y248" s="85"/>
      <c r="Z248" s="417"/>
      <c r="AA248" s="417"/>
      <c r="AB248" s="417"/>
      <c r="AC248" s="417"/>
      <c r="AD248" s="85"/>
      <c r="AE248" s="417"/>
      <c r="AF248" s="417"/>
      <c r="AG248" s="417"/>
      <c r="AH248" s="417"/>
      <c r="AI248" s="85"/>
      <c r="AJ248" s="417"/>
      <c r="AK248" s="417"/>
      <c r="AL248" s="417"/>
      <c r="AM248" s="417"/>
      <c r="AN248" s="85"/>
      <c r="AO248" s="417"/>
      <c r="AP248" s="417"/>
      <c r="AQ248" s="417"/>
      <c r="AR248" s="417"/>
      <c r="AS248" s="85"/>
      <c r="AT248" s="85"/>
      <c r="AU248" s="85"/>
      <c r="AV248" s="85"/>
      <c r="AW248" s="85"/>
      <c r="AX248" s="85"/>
      <c r="AY248" s="85"/>
      <c r="AZ248" s="85"/>
      <c r="BA248" s="85"/>
      <c r="BB248" s="85"/>
      <c r="BC248" s="85"/>
      <c r="BD248" s="85"/>
      <c r="BE248" s="85"/>
      <c r="BF248" s="85"/>
      <c r="BG248" s="85"/>
      <c r="BH248" s="85"/>
      <c r="BI248" s="85"/>
      <c r="BJ248" s="85"/>
      <c r="BK248" s="85"/>
      <c r="BL248" s="85"/>
      <c r="BM248" s="85"/>
    </row>
    <row r="249" spans="7:65" s="57" customFormat="1" x14ac:dyDescent="0.25">
      <c r="G249" s="417"/>
      <c r="H249" s="417"/>
      <c r="I249" s="417"/>
      <c r="J249" s="417"/>
      <c r="K249" s="417"/>
      <c r="L249" s="417"/>
      <c r="M249" s="417"/>
      <c r="N249" s="417"/>
      <c r="O249" s="85"/>
      <c r="P249" s="417"/>
      <c r="Q249" s="417"/>
      <c r="R249" s="417"/>
      <c r="S249" s="417"/>
      <c r="T249" s="85"/>
      <c r="U249" s="417"/>
      <c r="V249" s="417"/>
      <c r="W249" s="417"/>
      <c r="X249" s="417"/>
      <c r="Y249" s="85"/>
      <c r="Z249" s="417"/>
      <c r="AA249" s="417"/>
      <c r="AB249" s="417"/>
      <c r="AC249" s="417"/>
      <c r="AD249" s="85"/>
      <c r="AE249" s="417"/>
      <c r="AF249" s="417"/>
      <c r="AG249" s="417"/>
      <c r="AH249" s="417"/>
      <c r="AI249" s="85"/>
      <c r="AJ249" s="417"/>
      <c r="AK249" s="417"/>
      <c r="AL249" s="417"/>
      <c r="AM249" s="417"/>
      <c r="AN249" s="85"/>
      <c r="AO249" s="417"/>
      <c r="AP249" s="417"/>
      <c r="AQ249" s="417"/>
      <c r="AR249" s="417"/>
      <c r="AS249" s="85"/>
      <c r="AT249" s="85"/>
      <c r="AU249" s="85"/>
      <c r="AV249" s="85"/>
      <c r="AW249" s="85"/>
      <c r="AX249" s="85"/>
      <c r="AY249" s="85"/>
      <c r="AZ249" s="85"/>
      <c r="BA249" s="85"/>
      <c r="BB249" s="85"/>
      <c r="BC249" s="85"/>
      <c r="BD249" s="85"/>
      <c r="BE249" s="85"/>
      <c r="BF249" s="85"/>
      <c r="BG249" s="85"/>
      <c r="BH249" s="85"/>
      <c r="BI249" s="85"/>
      <c r="BJ249" s="85"/>
      <c r="BK249" s="85"/>
      <c r="BL249" s="85"/>
      <c r="BM249" s="85"/>
    </row>
    <row r="250" spans="7:65" s="57" customFormat="1" x14ac:dyDescent="0.25">
      <c r="G250" s="417"/>
      <c r="H250" s="417"/>
      <c r="I250" s="417"/>
      <c r="J250" s="417"/>
      <c r="K250" s="417"/>
      <c r="L250" s="417"/>
      <c r="M250" s="417"/>
      <c r="N250" s="417"/>
      <c r="O250" s="85"/>
      <c r="P250" s="417"/>
      <c r="Q250" s="417"/>
      <c r="R250" s="417"/>
      <c r="S250" s="417"/>
      <c r="T250" s="85"/>
      <c r="U250" s="417"/>
      <c r="V250" s="417"/>
      <c r="W250" s="417"/>
      <c r="X250" s="417"/>
      <c r="Y250" s="85"/>
      <c r="Z250" s="417"/>
      <c r="AA250" s="417"/>
      <c r="AB250" s="417"/>
      <c r="AC250" s="417"/>
      <c r="AD250" s="85"/>
      <c r="AE250" s="417"/>
      <c r="AF250" s="417"/>
      <c r="AG250" s="417"/>
      <c r="AH250" s="417"/>
      <c r="AI250" s="85"/>
      <c r="AJ250" s="417"/>
      <c r="AK250" s="417"/>
      <c r="AL250" s="417"/>
      <c r="AM250" s="417"/>
      <c r="AN250" s="85"/>
      <c r="AO250" s="417"/>
      <c r="AP250" s="417"/>
      <c r="AQ250" s="417"/>
      <c r="AR250" s="417"/>
      <c r="AS250" s="85"/>
      <c r="AT250" s="85"/>
      <c r="AU250" s="85"/>
      <c r="AV250" s="85"/>
      <c r="AW250" s="85"/>
      <c r="AX250" s="85"/>
      <c r="AY250" s="85"/>
      <c r="AZ250" s="85"/>
      <c r="BA250" s="85"/>
      <c r="BB250" s="85"/>
      <c r="BC250" s="85"/>
      <c r="BD250" s="85"/>
      <c r="BE250" s="85"/>
      <c r="BF250" s="85"/>
      <c r="BG250" s="85"/>
      <c r="BH250" s="85"/>
      <c r="BI250" s="85"/>
      <c r="BJ250" s="85"/>
      <c r="BK250" s="85"/>
      <c r="BL250" s="85"/>
      <c r="BM250" s="85"/>
    </row>
    <row r="251" spans="7:65" s="57" customFormat="1" x14ac:dyDescent="0.25">
      <c r="G251" s="417"/>
      <c r="H251" s="417"/>
      <c r="I251" s="417"/>
      <c r="J251" s="417"/>
      <c r="K251" s="417"/>
      <c r="L251" s="417"/>
      <c r="M251" s="417"/>
      <c r="N251" s="417"/>
      <c r="O251" s="85"/>
      <c r="P251" s="417"/>
      <c r="Q251" s="417"/>
      <c r="R251" s="417"/>
      <c r="S251" s="417"/>
      <c r="T251" s="85"/>
      <c r="U251" s="417"/>
      <c r="V251" s="417"/>
      <c r="W251" s="417"/>
      <c r="X251" s="417"/>
      <c r="Y251" s="85"/>
      <c r="Z251" s="417"/>
      <c r="AA251" s="417"/>
      <c r="AB251" s="417"/>
      <c r="AC251" s="417"/>
      <c r="AD251" s="85"/>
      <c r="AE251" s="417"/>
      <c r="AF251" s="417"/>
      <c r="AG251" s="417"/>
      <c r="AH251" s="417"/>
      <c r="AI251" s="85"/>
      <c r="AJ251" s="417"/>
      <c r="AK251" s="417"/>
      <c r="AL251" s="417"/>
      <c r="AM251" s="417"/>
      <c r="AN251" s="85"/>
      <c r="AO251" s="417"/>
      <c r="AP251" s="417"/>
      <c r="AQ251" s="417"/>
      <c r="AR251" s="417"/>
      <c r="AS251" s="85"/>
      <c r="AT251" s="85"/>
      <c r="AU251" s="85"/>
      <c r="AV251" s="85"/>
      <c r="AW251" s="85"/>
      <c r="AX251" s="85"/>
      <c r="AY251" s="85"/>
      <c r="AZ251" s="85"/>
      <c r="BA251" s="85"/>
      <c r="BB251" s="85"/>
      <c r="BC251" s="85"/>
      <c r="BD251" s="85"/>
      <c r="BE251" s="85"/>
      <c r="BF251" s="85"/>
      <c r="BG251" s="85"/>
      <c r="BH251" s="85"/>
      <c r="BI251" s="85"/>
      <c r="BJ251" s="85"/>
      <c r="BK251" s="85"/>
      <c r="BL251" s="85"/>
      <c r="BM251" s="85"/>
    </row>
    <row r="252" spans="7:65" s="57" customFormat="1" x14ac:dyDescent="0.25">
      <c r="G252" s="417"/>
      <c r="H252" s="417"/>
      <c r="I252" s="417"/>
      <c r="J252" s="417"/>
      <c r="K252" s="417"/>
      <c r="L252" s="417"/>
      <c r="M252" s="417"/>
      <c r="N252" s="417"/>
      <c r="O252" s="85"/>
      <c r="P252" s="417"/>
      <c r="Q252" s="417"/>
      <c r="R252" s="417"/>
      <c r="S252" s="417"/>
      <c r="T252" s="85"/>
      <c r="U252" s="417"/>
      <c r="V252" s="417"/>
      <c r="W252" s="417"/>
      <c r="X252" s="417"/>
      <c r="Y252" s="85"/>
      <c r="Z252" s="417"/>
      <c r="AA252" s="417"/>
      <c r="AB252" s="417"/>
      <c r="AC252" s="417"/>
      <c r="AD252" s="85"/>
      <c r="AE252" s="417"/>
      <c r="AF252" s="417"/>
      <c r="AG252" s="417"/>
      <c r="AH252" s="417"/>
      <c r="AI252" s="85"/>
      <c r="AJ252" s="417"/>
      <c r="AK252" s="417"/>
      <c r="AL252" s="417"/>
      <c r="AM252" s="417"/>
      <c r="AN252" s="85"/>
      <c r="AO252" s="417"/>
      <c r="AP252" s="417"/>
      <c r="AQ252" s="417"/>
      <c r="AR252" s="417"/>
      <c r="AS252" s="85"/>
      <c r="AT252" s="85"/>
      <c r="AU252" s="85"/>
      <c r="AV252" s="85"/>
      <c r="AW252" s="85"/>
      <c r="AX252" s="85"/>
      <c r="AY252" s="85"/>
      <c r="AZ252" s="85"/>
      <c r="BA252" s="85"/>
      <c r="BB252" s="85"/>
      <c r="BC252" s="85"/>
      <c r="BD252" s="85"/>
      <c r="BE252" s="85"/>
      <c r="BF252" s="85"/>
      <c r="BG252" s="85"/>
      <c r="BH252" s="85"/>
      <c r="BI252" s="85"/>
      <c r="BJ252" s="85"/>
      <c r="BK252" s="85"/>
      <c r="BL252" s="85"/>
      <c r="BM252" s="85"/>
    </row>
    <row r="253" spans="7:65" s="57" customFormat="1" x14ac:dyDescent="0.25">
      <c r="G253" s="417"/>
      <c r="H253" s="417"/>
      <c r="I253" s="417"/>
      <c r="J253" s="417"/>
      <c r="K253" s="417"/>
      <c r="L253" s="417"/>
      <c r="M253" s="417"/>
      <c r="N253" s="417"/>
      <c r="O253" s="85"/>
      <c r="P253" s="417"/>
      <c r="Q253" s="417"/>
      <c r="R253" s="417"/>
      <c r="S253" s="417"/>
      <c r="T253" s="85"/>
      <c r="U253" s="417"/>
      <c r="V253" s="417"/>
      <c r="W253" s="417"/>
      <c r="X253" s="417"/>
      <c r="Y253" s="85"/>
      <c r="Z253" s="417"/>
      <c r="AA253" s="417"/>
      <c r="AB253" s="417"/>
      <c r="AC253" s="417"/>
      <c r="AD253" s="85"/>
      <c r="AE253" s="417"/>
      <c r="AF253" s="417"/>
      <c r="AG253" s="417"/>
      <c r="AH253" s="417"/>
      <c r="AI253" s="85"/>
      <c r="AJ253" s="417"/>
      <c r="AK253" s="417"/>
      <c r="AL253" s="417"/>
      <c r="AM253" s="417"/>
      <c r="AN253" s="85"/>
      <c r="AO253" s="417"/>
      <c r="AP253" s="417"/>
      <c r="AQ253" s="417"/>
      <c r="AR253" s="417"/>
      <c r="AS253" s="85"/>
      <c r="AT253" s="85"/>
      <c r="AU253" s="85"/>
      <c r="AV253" s="85"/>
      <c r="AW253" s="85"/>
      <c r="AX253" s="85"/>
      <c r="AY253" s="85"/>
      <c r="AZ253" s="85"/>
      <c r="BA253" s="85"/>
      <c r="BB253" s="85"/>
      <c r="BC253" s="85"/>
      <c r="BD253" s="85"/>
      <c r="BE253" s="85"/>
      <c r="BF253" s="85"/>
      <c r="BG253" s="85"/>
      <c r="BH253" s="85"/>
      <c r="BI253" s="85"/>
      <c r="BJ253" s="85"/>
      <c r="BK253" s="85"/>
      <c r="BL253" s="85"/>
      <c r="BM253" s="85"/>
    </row>
    <row r="254" spans="7:65" s="57" customFormat="1" x14ac:dyDescent="0.25">
      <c r="G254" s="417"/>
      <c r="H254" s="417"/>
      <c r="I254" s="417"/>
      <c r="J254" s="417"/>
      <c r="K254" s="417"/>
      <c r="L254" s="417"/>
      <c r="M254" s="417"/>
      <c r="N254" s="417"/>
      <c r="O254" s="85"/>
      <c r="P254" s="417"/>
      <c r="Q254" s="417"/>
      <c r="R254" s="417"/>
      <c r="S254" s="417"/>
      <c r="T254" s="85"/>
      <c r="U254" s="417"/>
      <c r="V254" s="417"/>
      <c r="W254" s="417"/>
      <c r="X254" s="417"/>
      <c r="Y254" s="85"/>
      <c r="Z254" s="417"/>
      <c r="AA254" s="417"/>
      <c r="AB254" s="417"/>
      <c r="AC254" s="417"/>
      <c r="AD254" s="85"/>
      <c r="AE254" s="417"/>
      <c r="AF254" s="417"/>
      <c r="AG254" s="417"/>
      <c r="AH254" s="417"/>
      <c r="AI254" s="85"/>
      <c r="AJ254" s="417"/>
      <c r="AK254" s="417"/>
      <c r="AL254" s="417"/>
      <c r="AM254" s="417"/>
      <c r="AN254" s="85"/>
      <c r="AO254" s="417"/>
      <c r="AP254" s="417"/>
      <c r="AQ254" s="417"/>
      <c r="AR254" s="417"/>
      <c r="AS254" s="85"/>
      <c r="AT254" s="85"/>
      <c r="AU254" s="85"/>
      <c r="AV254" s="85"/>
      <c r="AW254" s="85"/>
      <c r="AX254" s="85"/>
      <c r="AY254" s="85"/>
      <c r="AZ254" s="85"/>
      <c r="BA254" s="85"/>
      <c r="BB254" s="85"/>
      <c r="BC254" s="85"/>
      <c r="BD254" s="85"/>
      <c r="BE254" s="85"/>
      <c r="BF254" s="85"/>
      <c r="BG254" s="85"/>
      <c r="BH254" s="85"/>
      <c r="BI254" s="85"/>
      <c r="BJ254" s="85"/>
      <c r="BK254" s="85"/>
      <c r="BL254" s="85"/>
      <c r="BM254" s="85"/>
    </row>
    <row r="255" spans="7:65" s="57" customFormat="1" x14ac:dyDescent="0.25">
      <c r="G255" s="417"/>
      <c r="H255" s="417"/>
      <c r="I255" s="417"/>
      <c r="J255" s="417"/>
      <c r="K255" s="417"/>
      <c r="L255" s="417"/>
      <c r="M255" s="417"/>
      <c r="N255" s="417"/>
      <c r="O255" s="85"/>
      <c r="P255" s="417"/>
      <c r="Q255" s="417"/>
      <c r="R255" s="417"/>
      <c r="S255" s="417"/>
      <c r="T255" s="85"/>
      <c r="U255" s="417"/>
      <c r="V255" s="417"/>
      <c r="W255" s="417"/>
      <c r="X255" s="417"/>
      <c r="Y255" s="85"/>
      <c r="Z255" s="417"/>
      <c r="AA255" s="417"/>
      <c r="AB255" s="417"/>
      <c r="AC255" s="417"/>
      <c r="AD255" s="85"/>
      <c r="AE255" s="417"/>
      <c r="AF255" s="417"/>
      <c r="AG255" s="417"/>
      <c r="AH255" s="417"/>
      <c r="AI255" s="85"/>
      <c r="AJ255" s="417"/>
      <c r="AK255" s="417"/>
      <c r="AL255" s="417"/>
      <c r="AM255" s="417"/>
      <c r="AN255" s="85"/>
      <c r="AO255" s="417"/>
      <c r="AP255" s="417"/>
      <c r="AQ255" s="417"/>
      <c r="AR255" s="417"/>
      <c r="AS255" s="85"/>
      <c r="AT255" s="85"/>
      <c r="AU255" s="85"/>
      <c r="AV255" s="85"/>
      <c r="AW255" s="85"/>
      <c r="AX255" s="85"/>
      <c r="AY255" s="85"/>
      <c r="AZ255" s="85"/>
      <c r="BA255" s="85"/>
      <c r="BB255" s="85"/>
      <c r="BC255" s="85"/>
      <c r="BD255" s="85"/>
      <c r="BE255" s="85"/>
      <c r="BF255" s="85"/>
      <c r="BG255" s="85"/>
      <c r="BH255" s="85"/>
      <c r="BI255" s="85"/>
      <c r="BJ255" s="85"/>
      <c r="BK255" s="85"/>
      <c r="BL255" s="85"/>
      <c r="BM255" s="85"/>
    </row>
    <row r="256" spans="7:65" s="57" customFormat="1" x14ac:dyDescent="0.25">
      <c r="G256" s="417"/>
      <c r="H256" s="417"/>
      <c r="I256" s="417"/>
      <c r="J256" s="417"/>
      <c r="K256" s="417"/>
      <c r="L256" s="417"/>
      <c r="M256" s="417"/>
      <c r="N256" s="417"/>
      <c r="O256" s="85"/>
      <c r="P256" s="417"/>
      <c r="Q256" s="417"/>
      <c r="R256" s="417"/>
      <c r="S256" s="417"/>
      <c r="T256" s="85"/>
      <c r="U256" s="417"/>
      <c r="V256" s="417"/>
      <c r="W256" s="417"/>
      <c r="X256" s="417"/>
      <c r="Y256" s="85"/>
      <c r="Z256" s="417"/>
      <c r="AA256" s="417"/>
      <c r="AB256" s="417"/>
      <c r="AC256" s="417"/>
      <c r="AD256" s="85"/>
      <c r="AE256" s="417"/>
      <c r="AF256" s="417"/>
      <c r="AG256" s="417"/>
      <c r="AH256" s="417"/>
      <c r="AI256" s="85"/>
      <c r="AJ256" s="417"/>
      <c r="AK256" s="417"/>
      <c r="AL256" s="417"/>
      <c r="AM256" s="417"/>
      <c r="AN256" s="85"/>
      <c r="AO256" s="417"/>
      <c r="AP256" s="417"/>
      <c r="AQ256" s="417"/>
      <c r="AR256" s="417"/>
      <c r="AS256" s="85"/>
      <c r="AT256" s="85"/>
      <c r="AU256" s="85"/>
      <c r="AV256" s="85"/>
      <c r="AW256" s="85"/>
      <c r="AX256" s="85"/>
      <c r="AY256" s="85"/>
      <c r="AZ256" s="85"/>
      <c r="BA256" s="85"/>
      <c r="BB256" s="85"/>
      <c r="BC256" s="85"/>
      <c r="BD256" s="85"/>
      <c r="BE256" s="85"/>
      <c r="BF256" s="85"/>
      <c r="BG256" s="85"/>
      <c r="BH256" s="85"/>
      <c r="BI256" s="85"/>
      <c r="BJ256" s="85"/>
      <c r="BK256" s="85"/>
      <c r="BL256" s="85"/>
      <c r="BM256" s="85"/>
    </row>
    <row r="257" spans="7:65" s="57" customFormat="1" x14ac:dyDescent="0.25">
      <c r="G257" s="417"/>
      <c r="H257" s="417"/>
      <c r="I257" s="417"/>
      <c r="J257" s="417"/>
      <c r="K257" s="417"/>
      <c r="L257" s="417"/>
      <c r="M257" s="417"/>
      <c r="N257" s="417"/>
      <c r="O257" s="85"/>
      <c r="P257" s="417"/>
      <c r="Q257" s="417"/>
      <c r="R257" s="417"/>
      <c r="S257" s="417"/>
      <c r="T257" s="85"/>
      <c r="U257" s="417"/>
      <c r="V257" s="417"/>
      <c r="W257" s="417"/>
      <c r="X257" s="417"/>
      <c r="Y257" s="85"/>
      <c r="Z257" s="417"/>
      <c r="AA257" s="417"/>
      <c r="AB257" s="417"/>
      <c r="AC257" s="417"/>
      <c r="AD257" s="85"/>
      <c r="AE257" s="417"/>
      <c r="AF257" s="417"/>
      <c r="AG257" s="417"/>
      <c r="AH257" s="417"/>
      <c r="AI257" s="85"/>
      <c r="AJ257" s="417"/>
      <c r="AK257" s="417"/>
      <c r="AL257" s="417"/>
      <c r="AM257" s="417"/>
      <c r="AN257" s="85"/>
      <c r="AO257" s="417"/>
      <c r="AP257" s="417"/>
      <c r="AQ257" s="417"/>
      <c r="AR257" s="417"/>
      <c r="AS257" s="85"/>
      <c r="AT257" s="85"/>
      <c r="AU257" s="85"/>
      <c r="AV257" s="85"/>
      <c r="AW257" s="85"/>
      <c r="AX257" s="85"/>
      <c r="AY257" s="85"/>
      <c r="AZ257" s="85"/>
      <c r="BA257" s="85"/>
      <c r="BB257" s="85"/>
      <c r="BC257" s="85"/>
      <c r="BD257" s="85"/>
      <c r="BE257" s="85"/>
      <c r="BF257" s="85"/>
      <c r="BG257" s="85"/>
      <c r="BH257" s="85"/>
      <c r="BI257" s="85"/>
      <c r="BJ257" s="85"/>
      <c r="BK257" s="85"/>
      <c r="BL257" s="85"/>
      <c r="BM257" s="85"/>
    </row>
    <row r="258" spans="7:65" s="57" customFormat="1" x14ac:dyDescent="0.25">
      <c r="G258" s="417"/>
      <c r="H258" s="417"/>
      <c r="I258" s="417"/>
      <c r="J258" s="417"/>
      <c r="K258" s="417"/>
      <c r="L258" s="417"/>
      <c r="M258" s="417"/>
      <c r="N258" s="417"/>
      <c r="O258" s="85"/>
      <c r="P258" s="417"/>
      <c r="Q258" s="417"/>
      <c r="R258" s="417"/>
      <c r="S258" s="417"/>
      <c r="T258" s="85"/>
      <c r="U258" s="417"/>
      <c r="V258" s="417"/>
      <c r="W258" s="417"/>
      <c r="X258" s="417"/>
      <c r="Y258" s="85"/>
      <c r="Z258" s="417"/>
      <c r="AA258" s="417"/>
      <c r="AB258" s="417"/>
      <c r="AC258" s="417"/>
      <c r="AD258" s="85"/>
      <c r="AE258" s="417"/>
      <c r="AF258" s="417"/>
      <c r="AG258" s="417"/>
      <c r="AH258" s="417"/>
      <c r="AI258" s="85"/>
      <c r="AJ258" s="417"/>
      <c r="AK258" s="417"/>
      <c r="AL258" s="417"/>
      <c r="AM258" s="417"/>
      <c r="AN258" s="85"/>
      <c r="AO258" s="417"/>
      <c r="AP258" s="417"/>
      <c r="AQ258" s="417"/>
      <c r="AR258" s="417"/>
      <c r="AS258" s="85"/>
      <c r="AT258" s="85"/>
      <c r="AU258" s="85"/>
      <c r="AV258" s="85"/>
      <c r="AW258" s="85"/>
      <c r="AX258" s="85"/>
      <c r="AY258" s="85"/>
      <c r="AZ258" s="85"/>
      <c r="BA258" s="85"/>
      <c r="BB258" s="85"/>
      <c r="BC258" s="85"/>
      <c r="BD258" s="85"/>
      <c r="BE258" s="85"/>
      <c r="BF258" s="85"/>
      <c r="BG258" s="85"/>
      <c r="BH258" s="85"/>
      <c r="BI258" s="85"/>
      <c r="BJ258" s="85"/>
      <c r="BK258" s="85"/>
      <c r="BL258" s="85"/>
      <c r="BM258" s="85"/>
    </row>
    <row r="259" spans="7:65" s="57" customFormat="1" x14ac:dyDescent="0.25">
      <c r="G259" s="417"/>
      <c r="H259" s="417"/>
      <c r="I259" s="417"/>
      <c r="J259" s="417"/>
      <c r="K259" s="417"/>
      <c r="L259" s="417"/>
      <c r="M259" s="417"/>
      <c r="N259" s="417"/>
      <c r="O259" s="85"/>
      <c r="P259" s="417"/>
      <c r="Q259" s="417"/>
      <c r="R259" s="417"/>
      <c r="S259" s="417"/>
      <c r="T259" s="85"/>
      <c r="U259" s="417"/>
      <c r="V259" s="417"/>
      <c r="W259" s="417"/>
      <c r="X259" s="417"/>
      <c r="Y259" s="85"/>
      <c r="Z259" s="417"/>
      <c r="AA259" s="417"/>
      <c r="AB259" s="417"/>
      <c r="AC259" s="417"/>
      <c r="AD259" s="85"/>
      <c r="AE259" s="417"/>
      <c r="AF259" s="417"/>
      <c r="AG259" s="417"/>
      <c r="AH259" s="417"/>
      <c r="AI259" s="85"/>
      <c r="AJ259" s="417"/>
      <c r="AK259" s="417"/>
      <c r="AL259" s="417"/>
      <c r="AM259" s="417"/>
      <c r="AN259" s="85"/>
      <c r="AO259" s="417"/>
      <c r="AP259" s="417"/>
      <c r="AQ259" s="417"/>
      <c r="AR259" s="417"/>
      <c r="AS259" s="85"/>
      <c r="AT259" s="85"/>
      <c r="AU259" s="85"/>
      <c r="AV259" s="85"/>
      <c r="AW259" s="85"/>
      <c r="AX259" s="85"/>
      <c r="AY259" s="85"/>
      <c r="AZ259" s="85"/>
      <c r="BA259" s="85"/>
      <c r="BB259" s="85"/>
      <c r="BC259" s="85"/>
      <c r="BD259" s="85"/>
      <c r="BE259" s="85"/>
      <c r="BF259" s="85"/>
      <c r="BG259" s="85"/>
      <c r="BH259" s="85"/>
      <c r="BI259" s="85"/>
      <c r="BJ259" s="85"/>
      <c r="BK259" s="85"/>
      <c r="BL259" s="85"/>
      <c r="BM259" s="85"/>
    </row>
    <row r="260" spans="7:65" s="57" customFormat="1" x14ac:dyDescent="0.25">
      <c r="G260" s="417"/>
      <c r="H260" s="417"/>
      <c r="I260" s="417"/>
      <c r="J260" s="417"/>
      <c r="K260" s="417"/>
      <c r="L260" s="417"/>
      <c r="M260" s="417"/>
      <c r="N260" s="417"/>
      <c r="O260" s="85"/>
      <c r="P260" s="417"/>
      <c r="Q260" s="417"/>
      <c r="R260" s="417"/>
      <c r="S260" s="417"/>
      <c r="T260" s="85"/>
      <c r="U260" s="417"/>
      <c r="V260" s="417"/>
      <c r="W260" s="417"/>
      <c r="X260" s="417"/>
      <c r="Y260" s="85"/>
      <c r="Z260" s="417"/>
      <c r="AA260" s="417"/>
      <c r="AB260" s="417"/>
      <c r="AC260" s="417"/>
      <c r="AD260" s="85"/>
      <c r="AE260" s="417"/>
      <c r="AF260" s="417"/>
      <c r="AG260" s="417"/>
      <c r="AH260" s="417"/>
      <c r="AI260" s="85"/>
      <c r="AJ260" s="417"/>
      <c r="AK260" s="417"/>
      <c r="AL260" s="417"/>
      <c r="AM260" s="417"/>
      <c r="AN260" s="85"/>
      <c r="AO260" s="417"/>
      <c r="AP260" s="417"/>
      <c r="AQ260" s="417"/>
      <c r="AR260" s="417"/>
      <c r="AS260" s="85"/>
      <c r="AT260" s="85"/>
      <c r="AU260" s="85"/>
      <c r="AV260" s="85"/>
      <c r="AW260" s="85"/>
      <c r="AX260" s="85"/>
      <c r="AY260" s="85"/>
      <c r="AZ260" s="85"/>
      <c r="BA260" s="85"/>
      <c r="BB260" s="85"/>
      <c r="BC260" s="85"/>
      <c r="BD260" s="85"/>
      <c r="BE260" s="85"/>
      <c r="BF260" s="85"/>
      <c r="BG260" s="85"/>
      <c r="BH260" s="85"/>
      <c r="BI260" s="85"/>
      <c r="BJ260" s="85"/>
      <c r="BK260" s="85"/>
      <c r="BL260" s="85"/>
      <c r="BM260" s="85"/>
    </row>
    <row r="261" spans="7:65" s="57" customFormat="1" x14ac:dyDescent="0.25">
      <c r="G261" s="417"/>
      <c r="H261" s="417"/>
      <c r="I261" s="417"/>
      <c r="J261" s="417"/>
      <c r="K261" s="417"/>
      <c r="L261" s="417"/>
      <c r="M261" s="417"/>
      <c r="N261" s="417"/>
      <c r="O261" s="85"/>
      <c r="P261" s="417"/>
      <c r="Q261" s="417"/>
      <c r="R261" s="417"/>
      <c r="S261" s="417"/>
      <c r="T261" s="85"/>
      <c r="U261" s="417"/>
      <c r="V261" s="417"/>
      <c r="W261" s="417"/>
      <c r="X261" s="417"/>
      <c r="Y261" s="85"/>
      <c r="Z261" s="417"/>
      <c r="AA261" s="417"/>
      <c r="AB261" s="417"/>
      <c r="AC261" s="417"/>
      <c r="AD261" s="85"/>
      <c r="AE261" s="417"/>
      <c r="AF261" s="417"/>
      <c r="AG261" s="417"/>
      <c r="AH261" s="417"/>
      <c r="AI261" s="85"/>
      <c r="AJ261" s="417"/>
      <c r="AK261" s="417"/>
      <c r="AL261" s="417"/>
      <c r="AM261" s="417"/>
      <c r="AN261" s="85"/>
      <c r="AO261" s="417"/>
      <c r="AP261" s="417"/>
      <c r="AQ261" s="417"/>
      <c r="AR261" s="417"/>
      <c r="AS261" s="85"/>
      <c r="AT261" s="85"/>
      <c r="AU261" s="85"/>
      <c r="AV261" s="85"/>
      <c r="AW261" s="85"/>
      <c r="AX261" s="85"/>
      <c r="AY261" s="85"/>
      <c r="AZ261" s="85"/>
      <c r="BA261" s="85"/>
      <c r="BB261" s="85"/>
      <c r="BC261" s="85"/>
      <c r="BD261" s="85"/>
      <c r="BE261" s="85"/>
      <c r="BF261" s="85"/>
      <c r="BG261" s="85"/>
      <c r="BH261" s="85"/>
      <c r="BI261" s="85"/>
      <c r="BJ261" s="85"/>
      <c r="BK261" s="85"/>
      <c r="BL261" s="85"/>
      <c r="BM261" s="85"/>
    </row>
    <row r="262" spans="7:65" s="57" customFormat="1" x14ac:dyDescent="0.25">
      <c r="G262" s="417"/>
      <c r="H262" s="417"/>
      <c r="I262" s="417"/>
      <c r="J262" s="417"/>
      <c r="K262" s="417"/>
      <c r="L262" s="417"/>
      <c r="M262" s="417"/>
      <c r="N262" s="417"/>
      <c r="O262" s="85"/>
      <c r="P262" s="417"/>
      <c r="Q262" s="417"/>
      <c r="R262" s="417"/>
      <c r="S262" s="417"/>
      <c r="T262" s="85"/>
      <c r="U262" s="417"/>
      <c r="V262" s="417"/>
      <c r="W262" s="417"/>
      <c r="X262" s="417"/>
      <c r="Y262" s="85"/>
      <c r="Z262" s="417"/>
      <c r="AA262" s="417"/>
      <c r="AB262" s="417"/>
      <c r="AC262" s="417"/>
      <c r="AD262" s="85"/>
      <c r="AE262" s="417"/>
      <c r="AF262" s="417"/>
      <c r="AG262" s="417"/>
      <c r="AH262" s="417"/>
      <c r="AI262" s="85"/>
      <c r="AJ262" s="417"/>
      <c r="AK262" s="417"/>
      <c r="AL262" s="417"/>
      <c r="AM262" s="417"/>
      <c r="AN262" s="85"/>
      <c r="AO262" s="417"/>
      <c r="AP262" s="417"/>
      <c r="AQ262" s="417"/>
      <c r="AR262" s="417"/>
      <c r="AS262" s="85"/>
      <c r="AT262" s="85"/>
      <c r="AU262" s="85"/>
      <c r="AV262" s="85"/>
      <c r="AW262" s="85"/>
      <c r="AX262" s="85"/>
      <c r="AY262" s="85"/>
      <c r="AZ262" s="85"/>
      <c r="BA262" s="85"/>
      <c r="BB262" s="85"/>
      <c r="BC262" s="85"/>
      <c r="BD262" s="85"/>
      <c r="BE262" s="85"/>
      <c r="BF262" s="85"/>
      <c r="BG262" s="85"/>
      <c r="BH262" s="85"/>
      <c r="BI262" s="85"/>
      <c r="BJ262" s="85"/>
      <c r="BK262" s="85"/>
      <c r="BL262" s="85"/>
      <c r="BM262" s="85"/>
    </row>
    <row r="263" spans="7:65" s="57" customFormat="1" x14ac:dyDescent="0.25">
      <c r="G263" s="417"/>
      <c r="H263" s="417"/>
      <c r="I263" s="417"/>
      <c r="J263" s="417"/>
      <c r="K263" s="417"/>
      <c r="L263" s="417"/>
      <c r="M263" s="417"/>
      <c r="N263" s="417"/>
      <c r="O263" s="85"/>
      <c r="P263" s="417"/>
      <c r="Q263" s="417"/>
      <c r="R263" s="417"/>
      <c r="S263" s="417"/>
      <c r="T263" s="85"/>
      <c r="U263" s="417"/>
      <c r="V263" s="417"/>
      <c r="W263" s="417"/>
      <c r="X263" s="417"/>
      <c r="Y263" s="85"/>
      <c r="Z263" s="417"/>
      <c r="AA263" s="417"/>
      <c r="AB263" s="417"/>
      <c r="AC263" s="417"/>
      <c r="AD263" s="85"/>
      <c r="AE263" s="417"/>
      <c r="AF263" s="417"/>
      <c r="AG263" s="417"/>
      <c r="AH263" s="417"/>
      <c r="AI263" s="85"/>
      <c r="AJ263" s="417"/>
      <c r="AK263" s="417"/>
      <c r="AL263" s="417"/>
      <c r="AM263" s="417"/>
      <c r="AN263" s="85"/>
      <c r="AO263" s="417"/>
      <c r="AP263" s="417"/>
      <c r="AQ263" s="417"/>
      <c r="AR263" s="417"/>
      <c r="AS263" s="85"/>
      <c r="AT263" s="85"/>
      <c r="AU263" s="85"/>
      <c r="AV263" s="85"/>
      <c r="AW263" s="85"/>
      <c r="AX263" s="85"/>
      <c r="AY263" s="85"/>
      <c r="AZ263" s="85"/>
      <c r="BA263" s="85"/>
      <c r="BB263" s="85"/>
      <c r="BC263" s="85"/>
      <c r="BD263" s="85"/>
      <c r="BE263" s="85"/>
      <c r="BF263" s="85"/>
      <c r="BG263" s="85"/>
      <c r="BH263" s="85"/>
      <c r="BI263" s="85"/>
      <c r="BJ263" s="85"/>
      <c r="BK263" s="85"/>
      <c r="BL263" s="85"/>
      <c r="BM263" s="85"/>
    </row>
    <row r="264" spans="7:65" s="57" customFormat="1" x14ac:dyDescent="0.25">
      <c r="G264" s="417"/>
      <c r="H264" s="417"/>
      <c r="I264" s="417"/>
      <c r="J264" s="417"/>
      <c r="K264" s="417"/>
      <c r="L264" s="417"/>
      <c r="M264" s="417"/>
      <c r="N264" s="417"/>
      <c r="O264" s="85"/>
      <c r="P264" s="417"/>
      <c r="Q264" s="417"/>
      <c r="R264" s="417"/>
      <c r="S264" s="417"/>
      <c r="T264" s="85"/>
      <c r="U264" s="417"/>
      <c r="V264" s="417"/>
      <c r="W264" s="417"/>
      <c r="X264" s="417"/>
      <c r="Y264" s="85"/>
      <c r="Z264" s="417"/>
      <c r="AA264" s="417"/>
      <c r="AB264" s="417"/>
      <c r="AC264" s="417"/>
      <c r="AD264" s="85"/>
      <c r="AE264" s="417"/>
      <c r="AF264" s="417"/>
      <c r="AG264" s="417"/>
      <c r="AH264" s="417"/>
      <c r="AI264" s="85"/>
      <c r="AJ264" s="417"/>
      <c r="AK264" s="417"/>
      <c r="AL264" s="417"/>
      <c r="AM264" s="417"/>
      <c r="AN264" s="85"/>
      <c r="AO264" s="417"/>
      <c r="AP264" s="417"/>
      <c r="AQ264" s="417"/>
      <c r="AR264" s="417"/>
      <c r="AS264" s="85"/>
      <c r="AT264" s="85"/>
      <c r="AU264" s="85"/>
      <c r="AV264" s="85"/>
      <c r="AW264" s="85"/>
      <c r="AX264" s="85"/>
      <c r="AY264" s="85"/>
      <c r="AZ264" s="85"/>
      <c r="BA264" s="85"/>
      <c r="BB264" s="85"/>
      <c r="BC264" s="85"/>
      <c r="BD264" s="85"/>
      <c r="BE264" s="85"/>
      <c r="BF264" s="85"/>
      <c r="BG264" s="85"/>
      <c r="BH264" s="85"/>
      <c r="BI264" s="85"/>
      <c r="BJ264" s="85"/>
      <c r="BK264" s="85"/>
      <c r="BL264" s="85"/>
      <c r="BM264" s="85"/>
    </row>
    <row r="265" spans="7:65" s="57" customFormat="1" x14ac:dyDescent="0.25"/>
    <row r="266" spans="7:65" s="57" customFormat="1" x14ac:dyDescent="0.25"/>
    <row r="267" spans="7:65" s="57" customFormat="1" x14ac:dyDescent="0.25"/>
    <row r="268" spans="7:65" s="57" customFormat="1" x14ac:dyDescent="0.25"/>
    <row r="269" spans="7:65" s="57" customFormat="1" x14ac:dyDescent="0.25"/>
    <row r="270" spans="7:65" s="57" customFormat="1" x14ac:dyDescent="0.25"/>
    <row r="271" spans="7:65" s="57" customFormat="1" x14ac:dyDescent="0.25"/>
    <row r="272" spans="7:65"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sheetData>
  <phoneticPr fontId="7" type="noConversion"/>
  <pageMargins left="0.75" right="0.75" top="1" bottom="1" header="0.5" footer="0.5"/>
  <pageSetup scale="50" orientation="portrait" r:id="rId1"/>
  <headerFooter alignWithMargins="0">
    <oddFooter>&amp;R&amp;"Book Antiqua,Regular"&amp;8Daniel Salmon
BMO Capital Markets
 (212) 885-4029</oddFooter>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IV49"/>
  <sheetViews>
    <sheetView showGridLines="0" workbookViewId="0">
      <pane xSplit="5" ySplit="6" topLeftCell="F7" activePane="bottomRight" state="frozen"/>
      <selection activeCell="E1" sqref="E1"/>
      <selection pane="topRight" activeCell="F1" sqref="F1"/>
      <selection pane="bottomLeft" activeCell="E7" sqref="E7"/>
      <selection pane="bottomRight" activeCell="CO61" sqref="CO61"/>
    </sheetView>
  </sheetViews>
  <sheetFormatPr defaultColWidth="9.33203125" defaultRowHeight="12.75" x14ac:dyDescent="0.25"/>
  <cols>
    <col min="1" max="4" width="9.33203125" style="47" hidden="1" customWidth="1"/>
    <col min="5" max="5" width="33.33203125" style="47" customWidth="1"/>
    <col min="6" max="56" width="9.33203125" style="47" hidden="1" customWidth="1"/>
    <col min="57" max="57" width="10" style="47" hidden="1" customWidth="1"/>
    <col min="58" max="58" width="9.33203125" style="47" hidden="1" customWidth="1"/>
    <col min="59" max="59" width="9.1640625" style="47" hidden="1" customWidth="1"/>
    <col min="60" max="68" width="9.33203125" style="47" hidden="1" customWidth="1"/>
    <col min="69" max="69" width="8.1640625" style="47" hidden="1" customWidth="1"/>
    <col min="70" max="71" width="9.33203125" style="47" hidden="1" customWidth="1"/>
    <col min="72" max="72" width="10.5" style="47" hidden="1" customWidth="1"/>
    <col min="73" max="73" width="9.33203125" style="47" hidden="1" customWidth="1"/>
    <col min="74" max="74" width="10.1640625" style="47" hidden="1" customWidth="1"/>
    <col min="75" max="76" width="9.33203125" style="47" hidden="1" customWidth="1"/>
    <col min="77" max="77" width="10.5" style="47" hidden="1" customWidth="1"/>
    <col min="78" max="78" width="10.1640625" style="47" hidden="1" customWidth="1"/>
    <col min="79" max="79" width="10.33203125" style="47" hidden="1" customWidth="1"/>
    <col min="80" max="81" width="9.33203125" style="47" hidden="1" customWidth="1"/>
    <col min="82" max="82" width="10.1640625" style="47" hidden="1" customWidth="1"/>
    <col min="83" max="83" width="9.33203125" style="47" hidden="1" customWidth="1"/>
    <col min="84" max="84" width="10.1640625" style="47" hidden="1" customWidth="1"/>
    <col min="85" max="85" width="9.33203125" style="47"/>
    <col min="86" max="89" width="9.33203125" style="47" customWidth="1"/>
    <col min="90" max="90" width="9.33203125" style="47"/>
    <col min="91" max="94" width="9.33203125" style="47" customWidth="1"/>
    <col min="95" max="95" width="9.33203125" style="47"/>
    <col min="96" max="99" width="0" style="47" hidden="1" customWidth="1"/>
    <col min="100" max="16384" width="9.33203125" style="47"/>
  </cols>
  <sheetData>
    <row r="1" spans="1:256" s="2" customFormat="1" ht="12.75" customHeight="1" x14ac:dyDescent="0.25"/>
    <row r="2" spans="1:256" s="6" customFormat="1" ht="12.75" customHeight="1" x14ac:dyDescent="0.25">
      <c r="A2" s="2"/>
      <c r="B2" s="2"/>
      <c r="C2" s="2"/>
      <c r="D2" s="2"/>
      <c r="E2" s="13" t="str">
        <f>Income!E2</f>
        <v>LiveRamp</v>
      </c>
    </row>
    <row r="3" spans="1:256" s="6" customFormat="1" x14ac:dyDescent="0.25">
      <c r="A3" s="2"/>
      <c r="B3" s="2"/>
      <c r="C3" s="2"/>
      <c r="D3" s="2"/>
      <c r="E3" s="93" t="s">
        <v>113</v>
      </c>
    </row>
    <row r="4" spans="1:256" s="33" customFormat="1" ht="12" customHeight="1" x14ac:dyDescent="0.25">
      <c r="A4" s="2"/>
      <c r="B4" s="2"/>
      <c r="C4" s="2"/>
      <c r="D4" s="2"/>
      <c r="E4" s="111" t="str">
        <f>Income!E4</f>
        <v>$ in millions, except per share figures</v>
      </c>
      <c r="F4" s="106" t="str">
        <f>Income!F4</f>
        <v>Fiscal Year</v>
      </c>
      <c r="G4" s="106" t="str">
        <f>Income!G4</f>
        <v>Fiscal Year</v>
      </c>
      <c r="H4" s="106" t="str">
        <f>Income!H4</f>
        <v>Fiscal Year</v>
      </c>
      <c r="I4" s="106" t="str">
        <f>Income!I4</f>
        <v>Fiscal Year</v>
      </c>
      <c r="J4" s="106" t="str">
        <f>Income!J4</f>
        <v>Fiscal Year</v>
      </c>
      <c r="K4" s="102" t="str">
        <f>Income!K4</f>
        <v>F2004A</v>
      </c>
      <c r="L4" s="102"/>
      <c r="M4" s="102"/>
      <c r="N4" s="102"/>
      <c r="O4" s="106" t="str">
        <f>Income!O4</f>
        <v>Fiscal Year</v>
      </c>
      <c r="P4" s="102" t="str">
        <f>Income!P4</f>
        <v>F2005A</v>
      </c>
      <c r="Q4" s="102"/>
      <c r="R4" s="102"/>
      <c r="S4" s="102"/>
      <c r="T4" s="106" t="str">
        <f>Income!T4</f>
        <v>Fiscal Year</v>
      </c>
      <c r="U4" s="102" t="str">
        <f>Income!U4</f>
        <v>F2006A</v>
      </c>
      <c r="V4" s="102"/>
      <c r="W4" s="102"/>
      <c r="X4" s="102"/>
      <c r="Y4" s="106" t="str">
        <f>Income!Y4</f>
        <v>Fiscal Year</v>
      </c>
      <c r="Z4" s="102" t="str">
        <f>Income!Z4</f>
        <v>F2007A</v>
      </c>
      <c r="AA4" s="102"/>
      <c r="AB4" s="102"/>
      <c r="AC4" s="102"/>
      <c r="AD4" s="106" t="str">
        <f>Income!AD4</f>
        <v>Fiscal Year</v>
      </c>
      <c r="AE4" s="102" t="str">
        <f>Income!AE4</f>
        <v>F2008A</v>
      </c>
      <c r="AF4" s="102"/>
      <c r="AG4" s="102"/>
      <c r="AH4" s="102"/>
      <c r="AI4" s="106" t="str">
        <f>Income!AI4</f>
        <v>Fiscal Year</v>
      </c>
      <c r="AJ4" s="102" t="str">
        <f>Income!AJ4</f>
        <v>F2009A</v>
      </c>
      <c r="AK4" s="102"/>
      <c r="AL4" s="102"/>
      <c r="AM4" s="102"/>
      <c r="AN4" s="106" t="str">
        <f>Income!AN4</f>
        <v>Fiscal Year</v>
      </c>
      <c r="AO4" s="102" t="str">
        <f>Income!AO4</f>
        <v>F2010A</v>
      </c>
      <c r="AP4" s="102"/>
      <c r="AQ4" s="102"/>
      <c r="AR4" s="102"/>
      <c r="AS4" s="106" t="str">
        <f>Income!AS4</f>
        <v>Fiscal Year</v>
      </c>
      <c r="AT4" s="102" t="str">
        <f>Income!AT4</f>
        <v>F2011A</v>
      </c>
      <c r="AU4" s="102"/>
      <c r="AV4" s="102"/>
      <c r="AW4" s="102"/>
      <c r="AX4" s="106" t="str">
        <f>Income!AX4</f>
        <v>Fiscal Year</v>
      </c>
      <c r="AY4" s="102" t="str">
        <f>Income!AY4</f>
        <v>F2012A</v>
      </c>
      <c r="AZ4" s="102"/>
      <c r="BA4" s="102"/>
      <c r="BB4" s="102"/>
      <c r="BC4" s="106" t="str">
        <f>Income!BC4</f>
        <v>Fiscal Year</v>
      </c>
      <c r="BD4" s="102" t="str">
        <f>Income!BD4</f>
        <v>F2013A</v>
      </c>
      <c r="BE4" s="102"/>
      <c r="BF4" s="102"/>
      <c r="BG4" s="102"/>
      <c r="BH4" s="106" t="str">
        <f>Income!BH4</f>
        <v>Fiscal Year</v>
      </c>
      <c r="BI4" s="102" t="str">
        <f>Income!BI4</f>
        <v>F2014A</v>
      </c>
      <c r="BJ4" s="102"/>
      <c r="BK4" s="102"/>
      <c r="BL4" s="102"/>
      <c r="BM4" s="106" t="str">
        <f>Income!BM4</f>
        <v>Fiscal Year</v>
      </c>
      <c r="BN4" s="102" t="str">
        <f>Income!BN4</f>
        <v>F2015A</v>
      </c>
      <c r="BO4" s="102"/>
      <c r="BP4" s="102"/>
      <c r="BQ4" s="102"/>
      <c r="BR4" s="106" t="str">
        <f>Income!BR4</f>
        <v>Fiscal Year</v>
      </c>
      <c r="BS4" s="102" t="str">
        <f>Income!BS4</f>
        <v>F2016A</v>
      </c>
      <c r="BT4" s="102"/>
      <c r="BU4" s="102"/>
      <c r="BV4" s="102"/>
      <c r="BW4" s="106" t="str">
        <f>Income!BW4</f>
        <v>Fiscal Year</v>
      </c>
      <c r="BX4" s="102" t="str">
        <f>Income!BX4</f>
        <v>F2017A</v>
      </c>
      <c r="BY4" s="102"/>
      <c r="BZ4" s="102"/>
      <c r="CA4" s="102"/>
      <c r="CB4" s="106" t="str">
        <f>Income!CB4</f>
        <v>Fiscal Year</v>
      </c>
      <c r="CC4" s="102" t="str">
        <f>Income!CC4</f>
        <v>F2018A</v>
      </c>
      <c r="CD4" s="102"/>
      <c r="CE4" s="102"/>
      <c r="CF4" s="102"/>
      <c r="CG4" s="106" t="str">
        <f>Income!CG4</f>
        <v>Fiscal Year</v>
      </c>
      <c r="CH4" s="102" t="str">
        <f>Income!CH4</f>
        <v>F2019E</v>
      </c>
      <c r="CI4" s="102"/>
      <c r="CJ4" s="102"/>
      <c r="CK4" s="102"/>
      <c r="CL4" s="106" t="str">
        <f>Income!CL4</f>
        <v>Fiscal Year</v>
      </c>
      <c r="CM4" s="102" t="str">
        <f>Income!CM4</f>
        <v>F2020E</v>
      </c>
      <c r="CN4" s="102"/>
      <c r="CO4" s="102"/>
      <c r="CP4" s="102"/>
      <c r="CQ4" s="106" t="str">
        <f>Income!CQ4</f>
        <v>Fiscal Year</v>
      </c>
      <c r="CR4" s="102" t="str">
        <f>Income!CR4</f>
        <v>F2021E</v>
      </c>
      <c r="CS4" s="102"/>
      <c r="CT4" s="102"/>
      <c r="CU4" s="102"/>
      <c r="CV4" s="106" t="str">
        <f>Income!CV4</f>
        <v>Fiscal Year</v>
      </c>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c r="HO4" s="6"/>
      <c r="HP4" s="6"/>
      <c r="HQ4" s="6"/>
      <c r="HR4" s="6"/>
      <c r="HS4" s="6"/>
      <c r="HT4" s="6"/>
      <c r="HU4" s="6"/>
      <c r="HV4" s="6"/>
      <c r="HW4" s="6"/>
      <c r="HX4" s="6"/>
      <c r="HY4" s="6"/>
      <c r="HZ4" s="6"/>
      <c r="IA4" s="6"/>
      <c r="IB4" s="6"/>
      <c r="IC4" s="6"/>
      <c r="ID4" s="6"/>
      <c r="IE4" s="6"/>
      <c r="IF4" s="6"/>
      <c r="IG4" s="6"/>
      <c r="IH4" s="6"/>
      <c r="II4" s="6"/>
      <c r="IJ4" s="6"/>
      <c r="IK4" s="6"/>
      <c r="IL4" s="6"/>
      <c r="IM4" s="6"/>
      <c r="IN4" s="6"/>
      <c r="IO4" s="6"/>
      <c r="IP4" s="6"/>
      <c r="IQ4" s="6"/>
      <c r="IR4" s="6"/>
      <c r="IS4" s="6"/>
      <c r="IT4" s="6"/>
      <c r="IU4" s="6"/>
      <c r="IV4" s="6"/>
    </row>
    <row r="5" spans="1:256" s="113" customFormat="1" ht="12" customHeight="1" x14ac:dyDescent="0.25">
      <c r="A5" s="2"/>
      <c r="B5" s="2"/>
      <c r="C5" s="2"/>
      <c r="D5" s="2"/>
      <c r="E5" s="112" t="str">
        <f>Income!E5</f>
        <v>March fiscal year</v>
      </c>
      <c r="F5" s="88" t="str">
        <f>Income!F5</f>
        <v>F1999A</v>
      </c>
      <c r="G5" s="88" t="str">
        <f>Income!G5</f>
        <v>F2000A</v>
      </c>
      <c r="H5" s="88" t="str">
        <f>Income!H5</f>
        <v>F2001A</v>
      </c>
      <c r="I5" s="88" t="str">
        <f>Income!I5</f>
        <v>F2002A</v>
      </c>
      <c r="J5" s="88" t="str">
        <f>Income!J5</f>
        <v>F2003A</v>
      </c>
      <c r="K5" s="88" t="str">
        <f>Income!K5</f>
        <v>F1QA</v>
      </c>
      <c r="L5" s="88" t="str">
        <f>Income!L5</f>
        <v>F2QA</v>
      </c>
      <c r="M5" s="88" t="str">
        <f>Income!M5</f>
        <v>F3QA</v>
      </c>
      <c r="N5" s="88" t="str">
        <f>Income!N5</f>
        <v>F4QA</v>
      </c>
      <c r="O5" s="88" t="str">
        <f>Income!O5</f>
        <v>F2004A</v>
      </c>
      <c r="P5" s="88" t="str">
        <f>Income!P5</f>
        <v>F1QA</v>
      </c>
      <c r="Q5" s="88" t="str">
        <f>Income!Q5</f>
        <v>F2QA</v>
      </c>
      <c r="R5" s="88" t="str">
        <f>Income!R5</f>
        <v>F3QA</v>
      </c>
      <c r="S5" s="88" t="str">
        <f>Income!S5</f>
        <v>F4QA</v>
      </c>
      <c r="T5" s="88" t="str">
        <f>Income!T5</f>
        <v>F2005A</v>
      </c>
      <c r="U5" s="88" t="str">
        <f>Income!U5</f>
        <v>F1QA</v>
      </c>
      <c r="V5" s="88" t="str">
        <f>Income!V5</f>
        <v>F2QA</v>
      </c>
      <c r="W5" s="88" t="str">
        <f>Income!W5</f>
        <v>F3QA</v>
      </c>
      <c r="X5" s="88" t="str">
        <f>Income!X5</f>
        <v>F4QA</v>
      </c>
      <c r="Y5" s="88" t="str">
        <f>Income!Y5</f>
        <v>F2006A</v>
      </c>
      <c r="Z5" s="88" t="str">
        <f>Income!Z5</f>
        <v>F1QA</v>
      </c>
      <c r="AA5" s="88" t="str">
        <f>Income!AA5</f>
        <v>F2QA</v>
      </c>
      <c r="AB5" s="88" t="str">
        <f>Income!AB5</f>
        <v>F3QA</v>
      </c>
      <c r="AC5" s="88" t="str">
        <f>Income!AC5</f>
        <v>F4QA</v>
      </c>
      <c r="AD5" s="88" t="str">
        <f>Income!AD5</f>
        <v>F2007A</v>
      </c>
      <c r="AE5" s="88" t="str">
        <f>Income!AE5</f>
        <v>F1QA</v>
      </c>
      <c r="AF5" s="88" t="str">
        <f>Income!AF5</f>
        <v>F2QA</v>
      </c>
      <c r="AG5" s="88" t="str">
        <f>Income!AG5</f>
        <v>F3QA</v>
      </c>
      <c r="AH5" s="88" t="str">
        <f>Income!AH5</f>
        <v>F4QA</v>
      </c>
      <c r="AI5" s="88" t="str">
        <f>Income!AI5</f>
        <v>F2008A</v>
      </c>
      <c r="AJ5" s="88" t="str">
        <f>Income!AJ5</f>
        <v>F1QA</v>
      </c>
      <c r="AK5" s="88" t="str">
        <f>Income!AK5</f>
        <v>F2QA</v>
      </c>
      <c r="AL5" s="88" t="str">
        <f>Income!AL5</f>
        <v>F3QA</v>
      </c>
      <c r="AM5" s="88" t="str">
        <f>Income!AM5</f>
        <v>F4QA</v>
      </c>
      <c r="AN5" s="88" t="str">
        <f>Income!AN5</f>
        <v>F2009A</v>
      </c>
      <c r="AO5" s="88" t="str">
        <f>Income!AO5</f>
        <v>F1QA</v>
      </c>
      <c r="AP5" s="88" t="str">
        <f>Income!AP5</f>
        <v>F2QA</v>
      </c>
      <c r="AQ5" s="88" t="str">
        <f>Income!AQ5</f>
        <v>F3QA</v>
      </c>
      <c r="AR5" s="88" t="str">
        <f>Income!AR5</f>
        <v>F4QA</v>
      </c>
      <c r="AS5" s="88" t="str">
        <f>Income!AS5</f>
        <v>F2010A</v>
      </c>
      <c r="AT5" s="88" t="str">
        <f>Income!AT5</f>
        <v>F1QA</v>
      </c>
      <c r="AU5" s="88" t="str">
        <f>Income!AU5</f>
        <v>F2QA</v>
      </c>
      <c r="AV5" s="88" t="str">
        <f>Income!AV5</f>
        <v>F3QA</v>
      </c>
      <c r="AW5" s="88" t="str">
        <f>Income!AW5</f>
        <v>F4QA</v>
      </c>
      <c r="AX5" s="88" t="str">
        <f>Income!AX5</f>
        <v>F2011A</v>
      </c>
      <c r="AY5" s="88" t="str">
        <f>Income!AY5</f>
        <v>F1QA</v>
      </c>
      <c r="AZ5" s="88" t="str">
        <f>Income!AZ5</f>
        <v>F2QA</v>
      </c>
      <c r="BA5" s="88" t="str">
        <f>Income!BA5</f>
        <v>F3QA</v>
      </c>
      <c r="BB5" s="88" t="str">
        <f>Income!BB5</f>
        <v>F4QA</v>
      </c>
      <c r="BC5" s="88" t="str">
        <f>Income!BC5</f>
        <v>F2012A</v>
      </c>
      <c r="BD5" s="88" t="str">
        <f>Income!BD5</f>
        <v>F1QA</v>
      </c>
      <c r="BE5" s="88" t="str">
        <f>Income!BE5</f>
        <v>F2QA</v>
      </c>
      <c r="BF5" s="88" t="str">
        <f>Income!BF5</f>
        <v>F3QA</v>
      </c>
      <c r="BG5" s="88" t="str">
        <f>Income!BG5</f>
        <v>F4QA</v>
      </c>
      <c r="BH5" s="88" t="str">
        <f>Income!BH5</f>
        <v>F2013A</v>
      </c>
      <c r="BI5" s="88" t="str">
        <f>Income!BI5</f>
        <v>F1QA</v>
      </c>
      <c r="BJ5" s="88" t="str">
        <f>Income!BJ5</f>
        <v>F2QA</v>
      </c>
      <c r="BK5" s="88" t="str">
        <f>Income!BK5</f>
        <v>F3QA</v>
      </c>
      <c r="BL5" s="88" t="str">
        <f>Income!BL5</f>
        <v>F4QA</v>
      </c>
      <c r="BM5" s="88" t="str">
        <f>Income!BM5</f>
        <v>F2014A</v>
      </c>
      <c r="BN5" s="88" t="str">
        <f>Income!BN5</f>
        <v>F1QA</v>
      </c>
      <c r="BO5" s="88" t="str">
        <f>Income!BO5</f>
        <v>F2QA</v>
      </c>
      <c r="BP5" s="88" t="str">
        <f>Income!BP5</f>
        <v>F3QA</v>
      </c>
      <c r="BQ5" s="88" t="str">
        <f>Income!BQ5</f>
        <v>F4QA</v>
      </c>
      <c r="BR5" s="88" t="str">
        <f>Income!BR5</f>
        <v>F2015A</v>
      </c>
      <c r="BS5" s="88" t="str">
        <f>Income!BS5</f>
        <v>F1QA</v>
      </c>
      <c r="BT5" s="88" t="str">
        <f>Income!BT5</f>
        <v>F2QA</v>
      </c>
      <c r="BU5" s="88" t="str">
        <f>Income!BU5</f>
        <v>F3QA</v>
      </c>
      <c r="BV5" s="88" t="str">
        <f>Income!BV5</f>
        <v>F4QA</v>
      </c>
      <c r="BW5" s="88" t="str">
        <f>Income!BW5</f>
        <v>F2016A</v>
      </c>
      <c r="BX5" s="88" t="str">
        <f>Income!BX5</f>
        <v>F1QA</v>
      </c>
      <c r="BY5" s="88" t="str">
        <f>Income!BY5</f>
        <v>F2QA</v>
      </c>
      <c r="BZ5" s="88" t="str">
        <f>Income!BZ5</f>
        <v>F3QA</v>
      </c>
      <c r="CA5" s="88" t="str">
        <f>Income!CA5</f>
        <v>F4QA</v>
      </c>
      <c r="CB5" s="88" t="str">
        <f>Income!CB5</f>
        <v>F2017A</v>
      </c>
      <c r="CC5" s="88" t="str">
        <f>Income!CC5</f>
        <v>F1QA</v>
      </c>
      <c r="CD5" s="88" t="str">
        <f>Income!CD5</f>
        <v>F2QA</v>
      </c>
      <c r="CE5" s="88" t="str">
        <f>Income!CE5</f>
        <v>F3QA</v>
      </c>
      <c r="CF5" s="88" t="str">
        <f>Income!CF5</f>
        <v>F4QA</v>
      </c>
      <c r="CG5" s="88" t="str">
        <f>Income!CG5</f>
        <v>F2018A</v>
      </c>
      <c r="CH5" s="88" t="str">
        <f>Income!CH5</f>
        <v>F1QA</v>
      </c>
      <c r="CI5" s="88" t="str">
        <f>Income!CI5</f>
        <v>F2QA</v>
      </c>
      <c r="CJ5" s="88" t="str">
        <f>Income!CJ5</f>
        <v>F3QE</v>
      </c>
      <c r="CK5" s="88" t="str">
        <f>Income!CK5</f>
        <v>F4QE</v>
      </c>
      <c r="CL5" s="88" t="str">
        <f>Income!CL5</f>
        <v>F2019E</v>
      </c>
      <c r="CM5" s="88" t="str">
        <f>Income!CM5</f>
        <v>F1QE</v>
      </c>
      <c r="CN5" s="88" t="str">
        <f>Income!CN5</f>
        <v>F2QE</v>
      </c>
      <c r="CO5" s="88" t="str">
        <f>Income!CO5</f>
        <v>F3QE</v>
      </c>
      <c r="CP5" s="88" t="str">
        <f>Income!CP5</f>
        <v>F4QE</v>
      </c>
      <c r="CQ5" s="88" t="str">
        <f>Income!CQ5</f>
        <v>F2020E</v>
      </c>
      <c r="CR5" s="88" t="str">
        <f>Income!CR5</f>
        <v>F1QE</v>
      </c>
      <c r="CS5" s="88" t="str">
        <f>Income!CS5</f>
        <v>F2QE</v>
      </c>
      <c r="CT5" s="88" t="str">
        <f>Income!CT5</f>
        <v>F3QE</v>
      </c>
      <c r="CU5" s="88" t="str">
        <f>Income!CU5</f>
        <v>F4QE</v>
      </c>
      <c r="CV5" s="88" t="str">
        <f>Income!CV5</f>
        <v>F2021E</v>
      </c>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c r="HO5" s="6"/>
      <c r="HP5" s="6"/>
      <c r="HQ5" s="6"/>
      <c r="HR5" s="6"/>
      <c r="HS5" s="6"/>
      <c r="HT5" s="6"/>
      <c r="HU5" s="6"/>
      <c r="HV5" s="6"/>
      <c r="HW5" s="6"/>
      <c r="HX5" s="6"/>
      <c r="HY5" s="6"/>
      <c r="HZ5" s="6"/>
      <c r="IA5" s="6"/>
      <c r="IB5" s="6"/>
      <c r="IC5" s="6"/>
      <c r="ID5" s="6"/>
      <c r="IE5" s="6"/>
      <c r="IF5" s="6"/>
      <c r="IG5" s="6"/>
      <c r="IH5" s="6"/>
      <c r="II5" s="6"/>
      <c r="IJ5" s="6"/>
      <c r="IK5" s="6"/>
      <c r="IL5" s="6"/>
      <c r="IM5" s="6"/>
      <c r="IN5" s="6"/>
      <c r="IO5" s="6"/>
      <c r="IP5" s="6"/>
      <c r="IQ5" s="6"/>
      <c r="IR5" s="6"/>
      <c r="IS5" s="6"/>
      <c r="IT5" s="6"/>
      <c r="IU5" s="6"/>
      <c r="IV5" s="6"/>
    </row>
    <row r="6" spans="1:256" s="113" customFormat="1" ht="12" customHeight="1" x14ac:dyDescent="0.25">
      <c r="A6" s="2"/>
      <c r="B6" s="2"/>
      <c r="C6" s="2"/>
      <c r="D6" s="2"/>
      <c r="E6" s="112"/>
      <c r="F6" s="88"/>
      <c r="G6" s="88"/>
      <c r="H6" s="88"/>
      <c r="I6" s="88"/>
      <c r="J6" s="88"/>
      <c r="K6" s="88"/>
      <c r="L6" s="88"/>
      <c r="M6" s="88"/>
      <c r="N6" s="88"/>
      <c r="O6" s="88"/>
      <c r="P6" s="88"/>
      <c r="Q6" s="88"/>
      <c r="R6" s="88"/>
      <c r="S6" s="88"/>
      <c r="T6" s="88"/>
      <c r="U6" s="88"/>
      <c r="V6" s="88"/>
      <c r="W6" s="88"/>
      <c r="X6" s="88"/>
      <c r="Y6" s="88"/>
      <c r="Z6" s="88"/>
      <c r="AA6" s="88"/>
      <c r="AB6" s="88"/>
      <c r="AC6" s="88"/>
      <c r="AD6" s="88"/>
      <c r="AE6" s="88" t="str">
        <f>Income!AE6</f>
        <v>June '07</v>
      </c>
      <c r="AF6" s="88" t="str">
        <f>Income!AF6</f>
        <v>Sept. '07</v>
      </c>
      <c r="AG6" s="88" t="str">
        <f>Income!AG6</f>
        <v>Dec. '07</v>
      </c>
      <c r="AH6" s="88" t="str">
        <f>Income!AH6</f>
        <v>Mar. '08</v>
      </c>
      <c r="AI6" s="88"/>
      <c r="AJ6" s="88" t="str">
        <f>Income!AJ6</f>
        <v>June '08</v>
      </c>
      <c r="AK6" s="88" t="str">
        <f>Income!AK6</f>
        <v>Sept. '08</v>
      </c>
      <c r="AL6" s="88" t="str">
        <f>Income!AL6</f>
        <v>Dec. '08</v>
      </c>
      <c r="AM6" s="88" t="str">
        <f>Income!AM6</f>
        <v>Mar. '09</v>
      </c>
      <c r="AN6" s="88"/>
      <c r="AO6" s="88" t="str">
        <f>Income!AO6</f>
        <v>June '09</v>
      </c>
      <c r="AP6" s="88" t="str">
        <f>Income!AP6</f>
        <v>Sept. '09</v>
      </c>
      <c r="AQ6" s="88" t="str">
        <f>Income!AQ6</f>
        <v>Dec. '09</v>
      </c>
      <c r="AR6" s="88" t="str">
        <f>Income!AR6</f>
        <v>Mar. '10</v>
      </c>
      <c r="AS6" s="88"/>
      <c r="AT6" s="88" t="str">
        <f>Income!AT6</f>
        <v>June '10</v>
      </c>
      <c r="AU6" s="88" t="str">
        <f>Income!AU6</f>
        <v>Sept. '10</v>
      </c>
      <c r="AV6" s="88" t="str">
        <f>Income!AV6</f>
        <v>Dec. '10</v>
      </c>
      <c r="AW6" s="88" t="str">
        <f>Income!AW6</f>
        <v>Mar. '11</v>
      </c>
      <c r="AX6" s="88"/>
      <c r="AY6" s="88" t="str">
        <f>Income!AY6</f>
        <v>June '11</v>
      </c>
      <c r="AZ6" s="88" t="str">
        <f>Income!AZ6</f>
        <v>Sept. '11</v>
      </c>
      <c r="BA6" s="88" t="str">
        <f>Income!BA6</f>
        <v>Dec. '11</v>
      </c>
      <c r="BB6" s="88" t="str">
        <f>Income!BB6</f>
        <v>Mar. '12</v>
      </c>
      <c r="BC6" s="88"/>
      <c r="BD6" s="88" t="str">
        <f>Income!BD6</f>
        <v>June '12</v>
      </c>
      <c r="BE6" s="88" t="str">
        <f>Income!BE6</f>
        <v>Sept. '12</v>
      </c>
      <c r="BF6" s="88" t="str">
        <f>Income!BF6</f>
        <v>Dec. '12</v>
      </c>
      <c r="BG6" s="88" t="str">
        <f>Income!BG6</f>
        <v>Mar. '13</v>
      </c>
      <c r="BH6" s="88"/>
      <c r="BI6" s="88" t="str">
        <f>Income!BI6</f>
        <v>June '13</v>
      </c>
      <c r="BJ6" s="88" t="str">
        <f>Income!BJ6</f>
        <v>Sept. '13</v>
      </c>
      <c r="BK6" s="88" t="str">
        <f>Income!BK6</f>
        <v>Dec. '13</v>
      </c>
      <c r="BL6" s="88" t="str">
        <f>Income!BL6</f>
        <v>Mar. '14</v>
      </c>
      <c r="BM6" s="88"/>
      <c r="BN6" s="88" t="str">
        <f>Income!BN6</f>
        <v>June '14</v>
      </c>
      <c r="BO6" s="88" t="str">
        <f>Income!BO6</f>
        <v>Sept. '14</v>
      </c>
      <c r="BP6" s="88" t="str">
        <f>Income!BP6</f>
        <v>Dec. '14</v>
      </c>
      <c r="BQ6" s="88" t="str">
        <f>Income!BQ6</f>
        <v>Mar. '15</v>
      </c>
      <c r="BR6" s="88"/>
      <c r="BS6" s="88" t="str">
        <f>Income!BS6</f>
        <v>June '15</v>
      </c>
      <c r="BT6" s="88" t="str">
        <f>Income!BT6</f>
        <v>Sept. '15</v>
      </c>
      <c r="BU6" s="88" t="str">
        <f>Income!BU6</f>
        <v>Dec. '15</v>
      </c>
      <c r="BV6" s="88" t="str">
        <f>Income!BV6</f>
        <v>Mar. '16</v>
      </c>
      <c r="BW6" s="88"/>
      <c r="BX6" s="88" t="str">
        <f>Income!BX6</f>
        <v>June '16</v>
      </c>
      <c r="BY6" s="88" t="str">
        <f>Income!BY6</f>
        <v>Sept. '16</v>
      </c>
      <c r="BZ6" s="88" t="str">
        <f>Income!BZ6</f>
        <v>Dec. '16</v>
      </c>
      <c r="CA6" s="88" t="str">
        <f>Income!CA6</f>
        <v>Mar. '17</v>
      </c>
      <c r="CB6" s="88"/>
      <c r="CC6" s="88" t="str">
        <f>Income!CC6</f>
        <v>June '17</v>
      </c>
      <c r="CD6" s="88" t="str">
        <f>Income!CD6</f>
        <v>Sept. '17</v>
      </c>
      <c r="CE6" s="88" t="str">
        <f>Income!CE6</f>
        <v>Dec. '17</v>
      </c>
      <c r="CF6" s="88" t="str">
        <f>Income!CF6</f>
        <v>Mar. '18</v>
      </c>
      <c r="CG6" s="88"/>
      <c r="CH6" s="88" t="str">
        <f>Income!CH6</f>
        <v>June '18</v>
      </c>
      <c r="CI6" s="88" t="str">
        <f>Income!CI6</f>
        <v>Sept. '18</v>
      </c>
      <c r="CJ6" s="88" t="str">
        <f>Income!CJ6</f>
        <v>Dec. '18</v>
      </c>
      <c r="CK6" s="88" t="str">
        <f>Income!CK6</f>
        <v>Mar. '19</v>
      </c>
      <c r="CL6" s="88"/>
      <c r="CM6" s="88" t="str">
        <f>Income!CM6</f>
        <v>June '19</v>
      </c>
      <c r="CN6" s="88" t="str">
        <f>Income!CN6</f>
        <v>Sept. '19</v>
      </c>
      <c r="CO6" s="88" t="str">
        <f>Income!CO6</f>
        <v>Dec. '19</v>
      </c>
      <c r="CP6" s="88" t="str">
        <f>Income!CP6</f>
        <v>Mar. '20</v>
      </c>
      <c r="CQ6" s="88"/>
      <c r="CR6" s="88" t="str">
        <f>Income!CR6</f>
        <v>June '20</v>
      </c>
      <c r="CS6" s="88" t="str">
        <f>Income!CS6</f>
        <v>Sept. '20</v>
      </c>
      <c r="CT6" s="88" t="str">
        <f>Income!CT6</f>
        <v>Dec. '20</v>
      </c>
      <c r="CU6" s="88" t="str">
        <f>Income!CU6</f>
        <v>Mar. '21</v>
      </c>
      <c r="CV6" s="88"/>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row>
    <row r="7" spans="1:256" ht="3.95" customHeight="1" x14ac:dyDescent="0.25">
      <c r="AD7" s="71"/>
      <c r="AI7" s="71"/>
      <c r="AN7" s="71"/>
      <c r="AS7" s="71"/>
      <c r="AX7" s="71"/>
      <c r="BC7" s="71"/>
      <c r="BH7" s="71"/>
      <c r="BM7" s="71"/>
      <c r="BR7" s="71"/>
      <c r="BW7" s="71"/>
      <c r="CB7" s="71"/>
      <c r="CG7" s="71"/>
      <c r="CL7" s="71"/>
      <c r="CQ7" s="71"/>
      <c r="CR7" s="720"/>
      <c r="CS7" s="720"/>
      <c r="CT7" s="720"/>
      <c r="CU7" s="720"/>
      <c r="CV7" s="71"/>
    </row>
    <row r="8" spans="1:256" x14ac:dyDescent="0.25">
      <c r="E8" s="118" t="s">
        <v>95</v>
      </c>
      <c r="AD8" s="71"/>
      <c r="AI8" s="71"/>
      <c r="AN8" s="71"/>
      <c r="AS8" s="71"/>
      <c r="AX8" s="71"/>
      <c r="BC8" s="71"/>
      <c r="BH8" s="71"/>
      <c r="BM8" s="71"/>
      <c r="BR8" s="71"/>
      <c r="BW8" s="71"/>
      <c r="CB8" s="71"/>
      <c r="CG8" s="71"/>
      <c r="CL8" s="71"/>
      <c r="CQ8" s="71"/>
      <c r="CR8" s="720"/>
      <c r="CS8" s="720"/>
      <c r="CT8" s="720"/>
      <c r="CU8" s="720"/>
      <c r="CV8" s="71"/>
    </row>
    <row r="9" spans="1:256" s="211" customFormat="1" x14ac:dyDescent="0.25">
      <c r="E9" s="211" t="s">
        <v>5</v>
      </c>
      <c r="AD9" s="213"/>
      <c r="AI9" s="213"/>
      <c r="AN9" s="213"/>
      <c r="AR9" s="211">
        <f>Income!AR22</f>
        <v>288.34199999999998</v>
      </c>
      <c r="AS9" s="213"/>
      <c r="AT9" s="211">
        <v>261.96078</v>
      </c>
      <c r="AU9" s="211">
        <v>283.44241</v>
      </c>
      <c r="AV9" s="211">
        <v>302.14476000000002</v>
      </c>
      <c r="AW9" s="211">
        <v>297.87200999999999</v>
      </c>
      <c r="AX9" s="213">
        <f>Income!AX22</f>
        <v>1113.7539999999999</v>
      </c>
      <c r="AY9" s="211">
        <v>278.2</v>
      </c>
      <c r="AZ9" s="211">
        <v>306.91329999999999</v>
      </c>
      <c r="BA9" s="211">
        <v>309.40953999999999</v>
      </c>
      <c r="BB9" s="211">
        <v>282.62875000000003</v>
      </c>
      <c r="BC9" s="213"/>
      <c r="BD9" s="211">
        <v>267.245</v>
      </c>
      <c r="BE9" s="211">
        <v>272.91808000000003</v>
      </c>
      <c r="BF9" s="211">
        <v>275.27634999999998</v>
      </c>
      <c r="BG9" s="211">
        <v>280.41300000000007</v>
      </c>
      <c r="BH9" s="213"/>
      <c r="BI9" s="211">
        <v>265.14970000000005</v>
      </c>
      <c r="BJ9" s="211">
        <v>276.28726</v>
      </c>
      <c r="BK9" s="211">
        <v>272.19421999999997</v>
      </c>
      <c r="BL9" s="211">
        <v>276.62044000000003</v>
      </c>
      <c r="BM9" s="213"/>
      <c r="BN9" s="211">
        <v>240.7953</v>
      </c>
      <c r="BO9" s="211">
        <v>241.17531</v>
      </c>
      <c r="BP9" s="211">
        <f>Income!BP22</f>
        <v>208.24600000000001</v>
      </c>
      <c r="BQ9" s="211">
        <v>257.33</v>
      </c>
      <c r="BR9" s="213">
        <v>1020.022</v>
      </c>
      <c r="BS9" s="211">
        <v>186.46151</v>
      </c>
      <c r="BT9" s="211">
        <v>205.82079999999999</v>
      </c>
      <c r="BU9" s="211">
        <v>214.06555307730599</v>
      </c>
      <c r="BV9" s="211">
        <v>214.21819496435</v>
      </c>
      <c r="BW9" s="213">
        <v>839.65119496435</v>
      </c>
      <c r="BX9" s="211">
        <v>201.25643193061299</v>
      </c>
      <c r="BY9" s="211">
        <v>212.47385101313</v>
      </c>
      <c r="BZ9" s="211">
        <v>219.86296701673601</v>
      </c>
      <c r="CA9" s="211">
        <v>222.75950789996384</v>
      </c>
      <c r="CB9" s="213"/>
      <c r="CC9" s="211">
        <v>217.80585740137099</v>
      </c>
      <c r="CD9" s="211">
        <v>223.28799636627201</v>
      </c>
      <c r="CE9" s="211">
        <v>239.53194493244166</v>
      </c>
      <c r="CF9" s="211">
        <v>240.43952557658201</v>
      </c>
      <c r="CG9" s="213"/>
      <c r="CH9" s="211">
        <v>223.37135019999999</v>
      </c>
      <c r="CI9" s="211">
        <f>Income!CI22</f>
        <v>64.811999999999998</v>
      </c>
      <c r="CJ9" s="211">
        <f>Income!CJ22</f>
        <v>75.326738000000006</v>
      </c>
      <c r="CK9" s="211">
        <f>Income!CK22</f>
        <v>79.440130000000011</v>
      </c>
      <c r="CL9" s="213">
        <f>Income!CL22</f>
        <v>282.049868</v>
      </c>
      <c r="CM9" s="211">
        <f>Income!CM22</f>
        <v>81.212299999999999</v>
      </c>
      <c r="CN9" s="211">
        <f>Income!CN22</f>
        <v>88.633079999999993</v>
      </c>
      <c r="CO9" s="211">
        <f>Income!CO22</f>
        <v>100.41313078000002</v>
      </c>
      <c r="CP9" s="211">
        <f>Income!CP22</f>
        <v>102.27331930000001</v>
      </c>
      <c r="CQ9" s="213">
        <f>Income!CQ22</f>
        <v>372.53183008000002</v>
      </c>
      <c r="CR9" s="725">
        <f>Income!CR22</f>
        <v>106.95270300000001</v>
      </c>
      <c r="CS9" s="725">
        <f>Income!CS22</f>
        <v>116.26373279999999</v>
      </c>
      <c r="CT9" s="725">
        <f>Income!CT22</f>
        <v>132.11249005230002</v>
      </c>
      <c r="CU9" s="725">
        <f>Income!CU22</f>
        <v>134.40337045400003</v>
      </c>
      <c r="CV9" s="213">
        <f>Income!CV22</f>
        <v>489.73229630630004</v>
      </c>
    </row>
    <row r="10" spans="1:256" s="211" customFormat="1" x14ac:dyDescent="0.25">
      <c r="E10" s="211" t="s">
        <v>161</v>
      </c>
      <c r="AD10" s="213"/>
      <c r="AI10" s="213"/>
      <c r="AN10" s="213"/>
      <c r="AR10" s="211">
        <f>Income!AR$134</f>
        <v>78.562999999999974</v>
      </c>
      <c r="AS10" s="213"/>
      <c r="AT10" s="211">
        <v>59.467955074074069</v>
      </c>
      <c r="AU10" s="211">
        <v>63.696243429999988</v>
      </c>
      <c r="AV10" s="211">
        <v>77.937189040000021</v>
      </c>
      <c r="AW10" s="211">
        <v>73.217301209999974</v>
      </c>
      <c r="AX10" s="213">
        <f>Income!AX$134</f>
        <v>268.89999999999981</v>
      </c>
      <c r="AY10" s="211">
        <v>61.6</v>
      </c>
      <c r="AZ10" s="211">
        <v>69.104548499999993</v>
      </c>
      <c r="BA10" s="211">
        <v>72.535129589999968</v>
      </c>
      <c r="BB10" s="211">
        <v>67.128749999999997</v>
      </c>
      <c r="BC10" s="213"/>
      <c r="BD10" s="211">
        <v>49.945</v>
      </c>
      <c r="BE10" s="211">
        <v>59.418080000000032</v>
      </c>
      <c r="BF10" s="211">
        <v>55.776349999999979</v>
      </c>
      <c r="BG10" s="211">
        <v>54.913000000000068</v>
      </c>
      <c r="BH10" s="213"/>
      <c r="BI10" s="211">
        <v>54.149700000000053</v>
      </c>
      <c r="BJ10" s="211">
        <v>56.487260000000006</v>
      </c>
      <c r="BK10" s="211">
        <v>55.49421999999997</v>
      </c>
      <c r="BL10" s="211">
        <v>56.920440000000035</v>
      </c>
      <c r="BM10" s="213"/>
      <c r="BN10" s="211">
        <v>52.484858500000001</v>
      </c>
      <c r="BO10" s="211">
        <v>51.77530999999999</v>
      </c>
      <c r="BP10" s="211">
        <f>Income!BP$134</f>
        <v>37.468000000000004</v>
      </c>
      <c r="BQ10" s="211">
        <v>58.079999999999984</v>
      </c>
      <c r="BR10" s="213">
        <v>209.61</v>
      </c>
      <c r="BS10" s="211">
        <v>25.011510000000001</v>
      </c>
      <c r="BT10" s="211">
        <v>32.570799999999998</v>
      </c>
      <c r="BU10" s="211">
        <v>36.5655530773059</v>
      </c>
      <c r="BV10" s="211">
        <v>37.218194964350097</v>
      </c>
      <c r="BW10" s="213">
        <v>142.90719496435</v>
      </c>
      <c r="BX10" s="211">
        <v>28.402512863861201</v>
      </c>
      <c r="BY10" s="211">
        <v>33.013852602626699</v>
      </c>
      <c r="BZ10" s="211">
        <v>36.950954994175703</v>
      </c>
      <c r="CA10" s="211">
        <v>37.905997432221376</v>
      </c>
      <c r="CB10" s="213"/>
      <c r="CC10" s="211">
        <v>38.406599974256103</v>
      </c>
      <c r="CD10" s="211">
        <v>42.770429482043703</v>
      </c>
      <c r="CE10" s="211">
        <v>50.929835336031488</v>
      </c>
      <c r="CF10" s="211">
        <v>48.226574918386</v>
      </c>
      <c r="CG10" s="213"/>
      <c r="CH10" s="211">
        <v>38.919141396000001</v>
      </c>
      <c r="CI10" s="211">
        <f>Income!CI$134</f>
        <v>-10.911000000000001</v>
      </c>
      <c r="CJ10" s="211">
        <f>Income!CJ$134</f>
        <v>-15.273261999999992</v>
      </c>
      <c r="CK10" s="211">
        <f>Income!CK$134</f>
        <v>-15.15986999999998</v>
      </c>
      <c r="CL10" s="213">
        <f>Income!CL$134</f>
        <v>-43.61713199999997</v>
      </c>
      <c r="CM10" s="211">
        <f>Income!CM$134</f>
        <v>-11.887699999999999</v>
      </c>
      <c r="CN10" s="211">
        <f>Income!CN$134</f>
        <v>-7.2169200000000089</v>
      </c>
      <c r="CO10" s="211">
        <f>Income!CO$134</f>
        <v>0.36313078000001298</v>
      </c>
      <c r="CP10" s="211">
        <f>Income!CP$134</f>
        <v>-7.6680699999997159E-2</v>
      </c>
      <c r="CQ10" s="213">
        <f>Income!CQ$134</f>
        <v>-18.818169919999974</v>
      </c>
      <c r="CR10" s="725">
        <f>Income!CR$134</f>
        <v>-0.74729699999998189</v>
      </c>
      <c r="CS10" s="725">
        <f>Income!CS$134</f>
        <v>4.9637327999999936</v>
      </c>
      <c r="CT10" s="725">
        <f>Income!CT$134</f>
        <v>14.712490052300017</v>
      </c>
      <c r="CU10" s="725">
        <f>Income!CU$134</f>
        <v>15.10337045400002</v>
      </c>
      <c r="CV10" s="213">
        <f>Income!CV$134</f>
        <v>34.032296306300047</v>
      </c>
    </row>
    <row r="11" spans="1:256" x14ac:dyDescent="0.25">
      <c r="E11" s="47" t="s">
        <v>542</v>
      </c>
      <c r="AD11" s="217"/>
      <c r="AE11" s="98"/>
      <c r="AF11" s="98"/>
      <c r="AG11" s="98"/>
      <c r="AH11" s="98"/>
      <c r="AI11" s="217"/>
      <c r="AJ11" s="98"/>
      <c r="AK11" s="98"/>
      <c r="AL11" s="98"/>
      <c r="AM11" s="98"/>
      <c r="AN11" s="217"/>
      <c r="AO11" s="98"/>
      <c r="AP11" s="98"/>
      <c r="AQ11" s="98"/>
      <c r="AR11" s="98">
        <f>Income!AR93</f>
        <v>0.17170138888888853</v>
      </c>
      <c r="AS11" s="217"/>
      <c r="AT11" s="98">
        <v>6.4690545634920701E-2</v>
      </c>
      <c r="AU11" s="98">
        <v>0.13266494252111563</v>
      </c>
      <c r="AV11" s="98">
        <v>0.23054724814842173</v>
      </c>
      <c r="AW11" s="98">
        <v>0.20137336142171533</v>
      </c>
      <c r="AX11" s="217">
        <f>Income!AX93</f>
        <v>0.67068279836712752</v>
      </c>
      <c r="AY11" s="98">
        <v>0.12</v>
      </c>
      <c r="AZ11" s="98">
        <v>0.17725365303484766</v>
      </c>
      <c r="BA11" s="98">
        <v>0.20707533884114068</v>
      </c>
      <c r="BB11" s="98">
        <v>0.21188575340677512</v>
      </c>
      <c r="BC11" s="217"/>
      <c r="BD11" s="98">
        <v>0.10094541862658869</v>
      </c>
      <c r="BE11" s="98">
        <v>0.15877232909344119</v>
      </c>
      <c r="BF11" s="98">
        <v>0.15684008967657609</v>
      </c>
      <c r="BG11" s="98">
        <v>0.15202829121229061</v>
      </c>
      <c r="BH11" s="217"/>
      <c r="BI11" s="98">
        <v>0.15456853583265168</v>
      </c>
      <c r="BJ11" s="98">
        <v>0.2009628534090758</v>
      </c>
      <c r="BK11" s="98">
        <v>0.18646780932716062</v>
      </c>
      <c r="BL11" s="98">
        <v>0.19508517799560662</v>
      </c>
      <c r="BM11" s="217"/>
      <c r="BN11" s="98">
        <v>0.18111472035442305</v>
      </c>
      <c r="BO11" s="98">
        <v>0.13948269031535923</v>
      </c>
      <c r="BP11" s="98">
        <f>Income!BP93</f>
        <v>-1.2364906086527492E-2</v>
      </c>
      <c r="BQ11" s="98">
        <v>0.17557195375069759</v>
      </c>
      <c r="BR11" s="217">
        <v>0.47360859833654601</v>
      </c>
      <c r="BS11" s="98">
        <v>2.1301492749313301E-2</v>
      </c>
      <c r="BT11" s="98">
        <v>6.6388212899485502E-2</v>
      </c>
      <c r="BU11" s="98">
        <v>0.116319438417506</v>
      </c>
      <c r="BV11" s="98">
        <v>0.117339619695387</v>
      </c>
      <c r="BW11" s="217">
        <v>0.53335806959571197</v>
      </c>
      <c r="BX11" s="98">
        <v>8.8797050177348194E-2</v>
      </c>
      <c r="BY11" s="98">
        <v>0.11052343205864799</v>
      </c>
      <c r="BZ11" s="98">
        <v>0.14385339122111801</v>
      </c>
      <c r="CA11" s="98">
        <v>0.14971956848940718</v>
      </c>
      <c r="CB11" s="217"/>
      <c r="CC11" s="98">
        <v>0.15354234430760999</v>
      </c>
      <c r="CD11" s="98">
        <v>0.184793705828043</v>
      </c>
      <c r="CE11" s="98">
        <v>0.23704276919609066</v>
      </c>
      <c r="CF11" s="98">
        <v>0.227402136915449</v>
      </c>
      <c r="CG11" s="217"/>
      <c r="CH11" s="98">
        <v>0.17576916753511199</v>
      </c>
      <c r="CI11" s="98">
        <f>Income!CI163</f>
        <v>-0.14027476500361535</v>
      </c>
      <c r="CJ11" s="98">
        <f>Income!CJ163</f>
        <v>-9.8633573639064526E-2</v>
      </c>
      <c r="CK11" s="98">
        <f>Income!CK163</f>
        <v>-0.12749356415042956</v>
      </c>
      <c r="CL11" s="217">
        <f>Income!CL163</f>
        <v>-0.42109348648809136</v>
      </c>
      <c r="CM11" s="98">
        <f>Income!CM163</f>
        <v>-0.12290188806397583</v>
      </c>
      <c r="CN11" s="98">
        <f>Income!CN163</f>
        <v>-7.4677894333322017E-2</v>
      </c>
      <c r="CO11" s="98">
        <f>Income!CO163</f>
        <v>9.0373328326884151E-3</v>
      </c>
      <c r="CP11" s="98">
        <f>Income!CP163</f>
        <v>5.1052120005432651E-4</v>
      </c>
      <c r="CQ11" s="217">
        <f>Income!CQ163</f>
        <v>-0.19305036371545314</v>
      </c>
      <c r="CR11" s="98">
        <f>Income!CR163</f>
        <v>-1.0191574503665831E-2</v>
      </c>
      <c r="CS11" s="98">
        <f>Income!CS163</f>
        <v>5.8625352897167478E-2</v>
      </c>
      <c r="CT11" s="98">
        <f>Income!CT163</f>
        <v>0.17694571819077468</v>
      </c>
      <c r="CU11" s="98">
        <f>Income!CU163</f>
        <v>0.18207671875081663</v>
      </c>
      <c r="CV11" s="217">
        <f>Income!CV163</f>
        <v>0.40629473083259154</v>
      </c>
    </row>
    <row r="12" spans="1:256" ht="3.95" customHeight="1" x14ac:dyDescent="0.25">
      <c r="AD12" s="71"/>
      <c r="AI12" s="71"/>
      <c r="AN12" s="71"/>
      <c r="AS12" s="71"/>
      <c r="AX12" s="71"/>
      <c r="BC12" s="71"/>
      <c r="BH12" s="71"/>
      <c r="BM12" s="71"/>
      <c r="BR12" s="71"/>
      <c r="BW12" s="71"/>
      <c r="CB12" s="71"/>
      <c r="CG12" s="71"/>
      <c r="CL12" s="71"/>
      <c r="CQ12" s="71"/>
      <c r="CR12" s="720"/>
      <c r="CS12" s="720"/>
      <c r="CT12" s="720"/>
      <c r="CU12" s="720"/>
      <c r="CV12" s="71"/>
    </row>
    <row r="13" spans="1:256" x14ac:dyDescent="0.25">
      <c r="E13" s="118" t="s">
        <v>94</v>
      </c>
      <c r="AD13" s="71"/>
      <c r="AI13" s="71"/>
      <c r="AN13" s="71"/>
      <c r="AS13" s="71"/>
      <c r="AX13" s="71"/>
      <c r="BC13" s="71"/>
      <c r="BH13" s="71"/>
      <c r="BM13" s="71"/>
      <c r="BR13" s="71"/>
      <c r="BW13" s="71"/>
      <c r="CB13" s="71"/>
      <c r="CG13" s="71"/>
      <c r="CL13" s="71"/>
      <c r="CQ13" s="71"/>
      <c r="CR13" s="720"/>
      <c r="CS13" s="720"/>
      <c r="CT13" s="720"/>
      <c r="CU13" s="720"/>
      <c r="CV13" s="71"/>
    </row>
    <row r="14" spans="1:256" s="211" customFormat="1" x14ac:dyDescent="0.25">
      <c r="D14" s="211" t="s">
        <v>805</v>
      </c>
      <c r="E14" s="211" t="str">
        <f>E$9</f>
        <v>Revenue</v>
      </c>
      <c r="AD14" s="218"/>
      <c r="AE14" s="214"/>
      <c r="AF14" s="214"/>
      <c r="AG14" s="214"/>
      <c r="AH14" s="214"/>
      <c r="AI14" s="218"/>
      <c r="AJ14" s="385">
        <v>325.43</v>
      </c>
      <c r="AK14" s="386">
        <v>341.3</v>
      </c>
      <c r="AL14" s="386">
        <v>331.89</v>
      </c>
      <c r="AM14" s="386">
        <v>302.58</v>
      </c>
      <c r="AN14" s="218"/>
      <c r="AO14" s="382">
        <v>250.29</v>
      </c>
      <c r="AP14" s="382">
        <v>258.27</v>
      </c>
      <c r="AQ14" s="382">
        <v>276.86</v>
      </c>
      <c r="AR14" s="382" t="e">
        <f ca="1">_xll.FDS($D14,"FE_ACTUAL(ACTUAL,SALES,QUARTERLY,"&amp;MID(AS$5,2,4)-1&amp;"+""/""+"&amp;MID(AR$5,2,1)&amp;"+""F"",,,,'')@FE_ESTIMATE(SALES,MEAN,QUARTERLY_ROLL,"&amp;MID(AS$5,2,4)-1&amp;"+""/""+"&amp;MID(AR$5,2,1)&amp;"+""F"",NOW,,,'')")</f>
        <v>#NAME?</v>
      </c>
      <c r="AS14" s="383" t="e">
        <f ca="1">_xll.FDS($D14,"FE_ACTUAL(ACTUAL,SALES,ANNUAL,"&amp;MID(AS$5,2,4)-1&amp;",,,,'')@FE_ESTIMATE(SALES,MEAN,ANNUAL,"&amp;MID(AS$5,2,4)-1&amp;",NOW,,,'')")</f>
        <v>#NAME?</v>
      </c>
      <c r="AT14" s="382">
        <v>271.21600000000001</v>
      </c>
      <c r="AU14" s="382">
        <v>284.53500000000003</v>
      </c>
      <c r="AV14" s="382">
        <v>300.72000000000003</v>
      </c>
      <c r="AW14" s="382">
        <v>296.721</v>
      </c>
      <c r="AX14" s="383" t="e">
        <f ca="1">_xll.FDS($D14,"FE_ACTUAL(ACTUAL,SALES,ANNUAL,"&amp;MID(AX$5,2,4)-1&amp;",,,,'')@FE_ESTIMATE(SALES,MEAN,ANNUAL,"&amp;MID(AX$5,2,4)-1&amp;",NOW,,,'')")</f>
        <v>#NAME?</v>
      </c>
      <c r="AY14" s="382">
        <v>276.654</v>
      </c>
      <c r="AZ14" s="382">
        <v>300.56599999999997</v>
      </c>
      <c r="BA14" s="382">
        <v>306.36599999999999</v>
      </c>
      <c r="BB14" s="382">
        <v>280.476</v>
      </c>
      <c r="BC14" s="383"/>
      <c r="BD14" s="382">
        <v>269.44400000000002</v>
      </c>
      <c r="BE14" s="382">
        <v>275.22199999999998</v>
      </c>
      <c r="BF14" s="382">
        <v>275.64100000000002</v>
      </c>
      <c r="BG14" s="382">
        <v>279.95299999999997</v>
      </c>
      <c r="BH14" s="383"/>
      <c r="BI14" s="382">
        <v>265.988</v>
      </c>
      <c r="BJ14" s="382">
        <v>278.90300000000002</v>
      </c>
      <c r="BK14" s="382">
        <v>273.63200000000001</v>
      </c>
      <c r="BL14" s="382">
        <v>278.57</v>
      </c>
      <c r="BM14" s="383"/>
      <c r="BN14" s="382">
        <v>246.25700000000001</v>
      </c>
      <c r="BO14" s="382">
        <v>250.54400000000001</v>
      </c>
      <c r="BP14" s="382" t="e">
        <f ca="1">_xll.FDS($D14,"FE_ACTUAL(ACTUAL,SALES,QUARTERLY,"&amp;MID(BR$5,2,4)-1&amp;"+""/""+"&amp;MID(BP$5,2,1)&amp;"+""F"",,,,'')@FE_ESTIMATE(SALES,MEAN,QUARTERLY_ROLL,"&amp;MID(BR$5,2,4)-1&amp;"+""/""+"&amp;MID(BP$5,2,1)&amp;"+""F"",NOW,,,'')")</f>
        <v>#NAME?</v>
      </c>
      <c r="BQ14" s="382">
        <v>259.3</v>
      </c>
      <c r="BR14" s="383">
        <v>1021.5</v>
      </c>
      <c r="BS14" s="382">
        <v>187.21700000000001</v>
      </c>
      <c r="BT14" s="382">
        <v>205.12899999999999</v>
      </c>
      <c r="BU14" s="382">
        <v>214.249</v>
      </c>
      <c r="BV14" s="382">
        <v>213.2</v>
      </c>
      <c r="BW14" s="383">
        <v>838.73</v>
      </c>
      <c r="BX14" s="382">
        <v>203.29820000000001</v>
      </c>
      <c r="BY14" s="382">
        <v>215.56299999999999</v>
      </c>
      <c r="BZ14" s="382">
        <v>218.38315</v>
      </c>
      <c r="CA14" s="382">
        <v>222.20334</v>
      </c>
      <c r="CB14" s="383"/>
      <c r="CC14" s="382" t="e">
        <f ca="1">_xll.FDS($D14,"FE_ACTUAL(ACTUAL,SALES,QUARTERLY,"&amp;MID(CG$5,2,4)-1&amp;"+""/""+"&amp;MID(CC$5,2,1)&amp;"+""F"",,,,'')@FE_ESTIMATE(SALES,MEAN,QUARTERLY_ROLL,"&amp;MID(CG$5,2,4)-1&amp;"+""/""+"&amp;MID(CC$5,2,1)&amp;"+""F"",NOW,,,'')")</f>
        <v>#NAME?</v>
      </c>
      <c r="CD14" s="382">
        <v>222.06780000000001</v>
      </c>
      <c r="CE14" s="382">
        <v>237.85316</v>
      </c>
      <c r="CF14" s="382">
        <v>239.56478999999999</v>
      </c>
      <c r="CG14" s="383"/>
      <c r="CH14" s="382">
        <v>220.55875</v>
      </c>
      <c r="CI14" s="382" t="e">
        <f ca="1">_xll.FDS($D14,"FE_ACTUAL(ACTUAL,SALES,QUARTERLY,"&amp;MID(CL$5,2,4)-1&amp;"+""/""+"&amp;MID(CI$5,2,1)&amp;"+""F"",,,,'')@FE_ESTIMATE(SALES,MEAN,QUARTERLY_ROLL,"&amp;MID(CL$5,2,4)-1&amp;"+""/""+"&amp;MID(CI$5,2,1)&amp;"+""F"",NOW,,,'')")</f>
        <v>#NAME?</v>
      </c>
      <c r="CJ14" s="382" t="e">
        <f ca="1">_xll.FDS($D14,"FE_ACTUAL(ACTUAL,SALES,QUARTERLY,"&amp;MID(CL$5,2,4)-1&amp;"+""/""+"&amp;MID(CJ$5,2,1)&amp;"+""F"",,,,'')@FE_ESTIMATE(SALES,MEAN,QUARTERLY_ROLL,"&amp;MID(CL$5,2,4)-1&amp;"+""/""+"&amp;MID(CJ$5,2,1)&amp;"+""F"",NOW,,,'')")</f>
        <v>#NAME?</v>
      </c>
      <c r="CK14" s="382" t="e">
        <f ca="1">_xll.FDS($D14,"FE_ACTUAL(ACTUAL,SALES,QUARTERLY,"&amp;MID(CL$5,2,4)-1&amp;"+""/""+"&amp;MID(CK$5,2,1)&amp;"+""F"",,,,'')@FE_ESTIMATE(SALES,MEAN,QUARTERLY_ROLL,"&amp;MID(CL$5,2,4)-1&amp;"+""/""+"&amp;MID(CK$5,2,1)&amp;"+""F"",NOW,,,'')")</f>
        <v>#NAME?</v>
      </c>
      <c r="CL14" s="383"/>
      <c r="CM14" s="382" t="e">
        <f ca="1">_xll.FDS($D14,"FE_ACTUAL(ACTUAL,SALES,QUARTERLY,"&amp;MID(CQ$5,2,4)-1&amp;"+""/""+"&amp;MID(CM$5,2,1)&amp;"+""F"",,,,'')@FE_ESTIMATE(SALES,MEAN,QUARTERLY_ROLL,"&amp;MID(CQ$5,2,4)-1&amp;"+""/""+"&amp;MID(CM$5,2,1)&amp;"+""F"",NOW,,,'')")</f>
        <v>#NAME?</v>
      </c>
      <c r="CN14" s="382" t="e">
        <f ca="1">_xll.FDS($D14,"FE_ACTUAL(ACTUAL,SALES,QUARTERLY,"&amp;MID(CQ$5,2,4)-1&amp;"+""/""+"&amp;MID(CN$5,2,1)&amp;"+""F"",,,,'')@FE_ESTIMATE(SALES,MEAN,QUARTERLY_ROLL,"&amp;MID(CQ$5,2,4)-1&amp;"+""/""+"&amp;MID(CN$5,2,1)&amp;"+""F"",NOW,,,'')")</f>
        <v>#NAME?</v>
      </c>
      <c r="CO14" s="382" t="e">
        <f ca="1">_xll.FDS($D14,"FE_ACTUAL(ACTUAL,SALES,QUARTERLY,"&amp;MID(CQ$5,2,4)-1&amp;"+""/""+"&amp;MID(CO$5,2,1)&amp;"+""F"",,,,'')@FE_ESTIMATE(SALES,MEAN,QUARTERLY_ROLL,"&amp;MID(CQ$5,2,4)-1&amp;"+""/""+"&amp;MID(CO$5,2,1)&amp;"+""F"",NOW,,,'')")</f>
        <v>#NAME?</v>
      </c>
      <c r="CP14" s="382" t="e">
        <f ca="1">_xll.FDS($D14,"FE_ACTUAL(ACTUAL,SALES,QUARTERLY,"&amp;MID(CQ$5,2,4)-1&amp;"+""/""+"&amp;MID(CP$5,2,1)&amp;"+""F"",,,,'')@FE_ESTIMATE(SALES,MEAN,QUARTERLY_ROLL,"&amp;MID(CQ$5,2,4)-1&amp;"+""/""+"&amp;MID(CP$5,2,1)&amp;"+""F"",NOW,,,'')")</f>
        <v>#NAME?</v>
      </c>
      <c r="CQ14" s="383"/>
      <c r="CR14" s="382"/>
      <c r="CS14" s="382"/>
      <c r="CT14" s="382"/>
      <c r="CU14" s="382"/>
      <c r="CV14" s="383"/>
    </row>
    <row r="15" spans="1:256" s="211" customFormat="1" x14ac:dyDescent="0.25">
      <c r="D15" s="211" t="s">
        <v>805</v>
      </c>
      <c r="E15" s="211" t="str">
        <f>E$10</f>
        <v>Adjusted EBITDA</v>
      </c>
      <c r="AD15" s="218"/>
      <c r="AE15" s="214"/>
      <c r="AF15" s="214"/>
      <c r="AG15" s="214"/>
      <c r="AH15" s="214"/>
      <c r="AI15" s="218"/>
      <c r="AJ15" s="385">
        <v>78.52</v>
      </c>
      <c r="AK15" s="386">
        <v>85.95</v>
      </c>
      <c r="AL15" s="386">
        <v>84.91</v>
      </c>
      <c r="AM15" s="386">
        <v>85.39</v>
      </c>
      <c r="AN15" s="218"/>
      <c r="AO15" s="382">
        <v>62.06</v>
      </c>
      <c r="AP15" s="382">
        <v>63.04</v>
      </c>
      <c r="AQ15" s="382">
        <v>66.95</v>
      </c>
      <c r="AR15" s="382" t="e">
        <f ca="1">_xll.FDS($D15,"FE_ACTUAL(ACTUAL,EBITDA,QUARTERLY,"&amp;MID(AS$5,2,4)-1&amp;"+""/""+"&amp;MID(AR$5,2,1)&amp;"+""F"",,,,'')@FE_ESTIMATE(EBITDA,MEAN,QUARTERLY_ROLL,"&amp;MID(AS$5,2,4)-1&amp;"+""/""+"&amp;MID(AR$5,2,1)&amp;"+""F"",NOW,,,'')")</f>
        <v>#NAME?</v>
      </c>
      <c r="AS15" s="383" t="e">
        <f ca="1">_xll.FDS($D15,"FE_ACTUAL(ACTUAL,EBITDA,ANNUAL,"&amp;MID(AS$5,2,4)-1&amp;",,,,'')@FE_ESTIMATE(EBITDA,MEAN,ANNUAL,"&amp;MID(AS$5,2,4)-1&amp;",NOW,,,'')")</f>
        <v>#NAME?</v>
      </c>
      <c r="AT15" s="382">
        <v>62.167000000000002</v>
      </c>
      <c r="AU15" s="382">
        <v>65.641999999999996</v>
      </c>
      <c r="AV15" s="382">
        <v>73.417000000000002</v>
      </c>
      <c r="AW15" s="382">
        <v>68.492999999999995</v>
      </c>
      <c r="AX15" s="383" t="e">
        <f ca="1">_xll.FDS($D15,"FE_ACTUAL(ACTUAL,EBITDA,ANNUAL,"&amp;MID(AX$5,2,4)-1&amp;",,,,'')@FE_ESTIMATE(EBITDA,MEAN,ANNUAL,"&amp;MID(AX$5,2,4)-1&amp;",NOW,,,'')")</f>
        <v>#NAME?</v>
      </c>
      <c r="AY15" s="382">
        <v>58.212000000000003</v>
      </c>
      <c r="AZ15" s="382">
        <v>62.296999999999997</v>
      </c>
      <c r="BA15" s="382">
        <v>67.066000000000003</v>
      </c>
      <c r="BB15" s="382">
        <v>60.628</v>
      </c>
      <c r="BC15" s="383"/>
      <c r="BD15" s="382">
        <v>48.622</v>
      </c>
      <c r="BE15" s="382">
        <v>54.201000000000001</v>
      </c>
      <c r="BF15" s="382">
        <v>53.168999999999997</v>
      </c>
      <c r="BG15" s="382">
        <v>51.746000000000002</v>
      </c>
      <c r="BH15" s="383"/>
      <c r="BI15" s="382">
        <v>49.384999999999998</v>
      </c>
      <c r="BJ15" s="382">
        <v>53.966999999999999</v>
      </c>
      <c r="BK15" s="382">
        <v>51.08</v>
      </c>
      <c r="BL15" s="382">
        <v>53.405000000000001</v>
      </c>
      <c r="BM15" s="383"/>
      <c r="BN15" s="382">
        <v>50.088000000000001</v>
      </c>
      <c r="BO15" s="382">
        <v>46.13</v>
      </c>
      <c r="BP15" s="382" t="e">
        <f ca="1">_xll.FDS($D15,"FE_ACTUAL(ACTUAL,EBITDA,QUARTERLY,"&amp;MID(BR$5,2,4)-1&amp;"+""/""+"&amp;MID(BP$5,2,1)&amp;"+""F"",,,,'')@FE_ESTIMATE(EBITDA,MEAN,QUARTERLY_ROLL,"&amp;MID(BR$5,2,4)-1&amp;"+""/""+"&amp;MID(BP$5,2,1)&amp;"+""F"",NOW,,,'')")</f>
        <v>#NAME?</v>
      </c>
      <c r="BQ15" s="382">
        <v>56.5</v>
      </c>
      <c r="BR15" s="383">
        <v>210.1</v>
      </c>
      <c r="BS15" s="382">
        <v>28.597000000000001</v>
      </c>
      <c r="BT15" s="382">
        <v>32.834000000000003</v>
      </c>
      <c r="BU15" s="382">
        <v>34.192</v>
      </c>
      <c r="BV15" s="382">
        <v>35.32</v>
      </c>
      <c r="BW15" s="383">
        <v>141.3922</v>
      </c>
      <c r="BX15" s="382">
        <v>30.679400000000001</v>
      </c>
      <c r="BY15" s="382">
        <v>34.24971</v>
      </c>
      <c r="BZ15" s="382">
        <v>37.427570000000003</v>
      </c>
      <c r="CA15" s="382">
        <v>39.242669999999997</v>
      </c>
      <c r="CB15" s="383"/>
      <c r="CC15" s="382" t="e">
        <f ca="1">_xll.FDS($D15,"FE_ACTUAL(ACTUAL,EBITDA,QUARTERLY,"&amp;MID(CG$5,2,4)-1&amp;"+""/""+"&amp;MID(CC$5,2,1)&amp;"+""F"",,,,'')@FE_ESTIMATE(EBITDA,MEAN,QUARTERLY_ROLL,"&amp;MID(CG$5,2,4)-1&amp;"+""/""+"&amp;MID(CC$5,2,1)&amp;"+""F"",NOW,,,'')")</f>
        <v>#NAME?</v>
      </c>
      <c r="CD15" s="382">
        <v>42.361199999999997</v>
      </c>
      <c r="CE15" s="382">
        <v>51.294665999999999</v>
      </c>
      <c r="CF15" s="382">
        <v>41.703400000000002</v>
      </c>
      <c r="CG15" s="383"/>
      <c r="CH15" s="382">
        <v>37.688400000000001</v>
      </c>
      <c r="CI15" s="382" t="e">
        <f ca="1">_xll.FDS($D15,"FE_ACTUAL(ACTUAL,EBITDA,QUARTERLY,"&amp;MID(CL$5,2,4)-1&amp;"+""/""+"&amp;MID(CI$5,2,1)&amp;"+""F"",,,,'')@FE_ESTIMATE(EBITDA,MEAN,QUARTERLY_ROLL,"&amp;MID(CL$5,2,4)-1&amp;"+""/""+"&amp;MID(CI$5,2,1)&amp;"+""F"",NOW,,,'')")</f>
        <v>#NAME?</v>
      </c>
      <c r="CJ15" s="382" t="e">
        <f ca="1">_xll.FDS($D15,"FE_ACTUAL(ACTUAL,EBITDA,QUARTERLY,"&amp;MID(CL$5,2,4)-1&amp;"+""/""+"&amp;MID(CJ$5,2,1)&amp;"+""F"",,,,'')@FE_ESTIMATE(EBITDA,MEAN,QUARTERLY_ROLL,"&amp;MID(CL$5,2,4)-1&amp;"+""/""+"&amp;MID(CJ$5,2,1)&amp;"+""F"",NOW,,,'')")</f>
        <v>#NAME?</v>
      </c>
      <c r="CK15" s="382" t="e">
        <f ca="1">_xll.FDS($D15,"FE_ACTUAL(ACTUAL,EBITDA,QUARTERLY,"&amp;MID(CL$5,2,4)-1&amp;"+""/""+"&amp;MID(CK$5,2,1)&amp;"+""F"",,,,'')@FE_ESTIMATE(EBITDA,MEAN,QUARTERLY_ROLL,"&amp;MID(CL$5,2,4)-1&amp;"+""/""+"&amp;MID(CK$5,2,1)&amp;"+""F"",NOW,,,'')")</f>
        <v>#NAME?</v>
      </c>
      <c r="CL15" s="383"/>
      <c r="CM15" s="382" t="e">
        <f ca="1">_xll.FDS($D15,"FE_ACTUAL(ACTUAL,EBITDA,QUARTERLY,"&amp;MID(CQ$5,2,4)-1&amp;"+""/""+"&amp;MID(CM$5,2,1)&amp;"+""F"",,,,'')@FE_ESTIMATE(EBITDA,MEAN,QUARTERLY_ROLL,"&amp;MID(CQ$5,2,4)-1&amp;"+""/""+"&amp;MID(CM$5,2,1)&amp;"+""F"",NOW,,,'')")</f>
        <v>#NAME?</v>
      </c>
      <c r="CN15" s="382" t="e">
        <f ca="1">_xll.FDS($D15,"FE_ACTUAL(ACTUAL,EBITDA,QUARTERLY,"&amp;MID(CQ$5,2,4)-1&amp;"+""/""+"&amp;MID(CN$5,2,1)&amp;"+""F"",,,,'')@FE_ESTIMATE(EBITDA,MEAN,QUARTERLY_ROLL,"&amp;MID(CQ$5,2,4)-1&amp;"+""/""+"&amp;MID(CN$5,2,1)&amp;"+""F"",NOW,,,'')")</f>
        <v>#NAME?</v>
      </c>
      <c r="CO15" s="382" t="e">
        <f ca="1">_xll.FDS($D15,"FE_ACTUAL(ACTUAL,EBITDA,QUARTERLY,"&amp;MID(CQ$5,2,4)-1&amp;"+""/""+"&amp;MID(CO$5,2,1)&amp;"+""F"",,,,'')@FE_ESTIMATE(EBITDA,MEAN,QUARTERLY_ROLL,"&amp;MID(CQ$5,2,4)-1&amp;"+""/""+"&amp;MID(CO$5,2,1)&amp;"+""F"",NOW,,,'')")</f>
        <v>#NAME?</v>
      </c>
      <c r="CP15" s="382" t="e">
        <f ca="1">_xll.FDS($D15,"FE_ACTUAL(ACTUAL,EBITDA,QUARTERLY,"&amp;MID(CQ$5,2,4)-1&amp;"+""/""+"&amp;MID(CP$5,2,1)&amp;"+""F"",,,,'')@FE_ESTIMATE(EBITDA,MEAN,QUARTERLY_ROLL,"&amp;MID(CQ$5,2,4)-1&amp;"+""/""+"&amp;MID(CP$5,2,1)&amp;"+""F"",NOW,,,'')")</f>
        <v>#NAME?</v>
      </c>
      <c r="CQ15" s="383"/>
      <c r="CR15" s="382"/>
      <c r="CS15" s="382"/>
      <c r="CT15" s="382"/>
      <c r="CU15" s="382"/>
      <c r="CV15" s="383"/>
    </row>
    <row r="16" spans="1:256" x14ac:dyDescent="0.25">
      <c r="D16" s="211" t="s">
        <v>805</v>
      </c>
      <c r="E16" s="211" t="str">
        <f>E$11</f>
        <v>Non-GAAP EPS</v>
      </c>
      <c r="AD16" s="219"/>
      <c r="AE16" s="215"/>
      <c r="AF16" s="215"/>
      <c r="AG16" s="215"/>
      <c r="AH16" s="215"/>
      <c r="AI16" s="219"/>
      <c r="AJ16" s="387">
        <v>9.6000000000000002E-2</v>
      </c>
      <c r="AK16" s="388">
        <v>0.17</v>
      </c>
      <c r="AL16" s="388">
        <v>0.193</v>
      </c>
      <c r="AM16" s="388">
        <v>0.22</v>
      </c>
      <c r="AN16" s="219"/>
      <c r="AO16" s="340">
        <v>0.05</v>
      </c>
      <c r="AP16" s="340">
        <v>0.107</v>
      </c>
      <c r="AQ16" s="340">
        <v>0.15</v>
      </c>
      <c r="AR16" s="340" t="e">
        <f ca="1">_xll.FDS($D16,"FE_ACTUAL(ACTUAL,EPS,QUARTERLY,"&amp;MID(AS$5,2,4)-1&amp;"+""/""+"&amp;MID(AR$5,2,1)&amp;"+""F"",,,,'')@FE_ESTIMATE(EPS,MEAN,QUARTERLY_ROLL,"&amp;MID(AS$5,2,4)-1&amp;"+""/""+"&amp;MID(AR$5,2,1)&amp;"+""F"",NOW,,,'')")</f>
        <v>#NAME?</v>
      </c>
      <c r="AS16" s="341" t="e">
        <f ca="1">_xll.FDS($D16,"FE_ACTUAL(ACTUAL,EPS,ANNUAL,"&amp;MID(AS$5,2,4)-1&amp;",,,,'')@FE_ESTIMATE(EPS,MEAN,ANNUAL,"&amp;MID(AS$5,2,4)-1&amp;",NOW,,,'')")</f>
        <v>#NAME?</v>
      </c>
      <c r="AT16" s="340">
        <v>0.105</v>
      </c>
      <c r="AU16" s="340">
        <v>0.155</v>
      </c>
      <c r="AV16" s="340">
        <v>0.22</v>
      </c>
      <c r="AW16" s="340">
        <v>0.19400000000000001</v>
      </c>
      <c r="AX16" s="341" t="e">
        <f ca="1">_xll.FDS($D16,"FE_ACTUAL(ACTUAL,EPS,ANNUAL,"&amp;MID(AX$5,2,4)-1&amp;",,,,'')@FE_ESTIMATE(EPS,MEAN,ANNUAL,"&amp;MID(AX$5,2,4)-1&amp;",NOW,,,'')")</f>
        <v>#NAME?</v>
      </c>
      <c r="AY16" s="340">
        <v>0.126</v>
      </c>
      <c r="AZ16" s="340">
        <v>0.16600000000000001</v>
      </c>
      <c r="BA16" s="340">
        <v>0.19700000000000001</v>
      </c>
      <c r="BB16" s="340">
        <v>0.188</v>
      </c>
      <c r="BC16" s="341"/>
      <c r="BD16" s="340">
        <v>0.104</v>
      </c>
      <c r="BE16" s="340">
        <v>0.152</v>
      </c>
      <c r="BF16" s="340">
        <v>0.16200000000000001</v>
      </c>
      <c r="BG16" s="340">
        <v>0.16300000000000001</v>
      </c>
      <c r="BH16" s="341"/>
      <c r="BI16" s="340">
        <v>0.153</v>
      </c>
      <c r="BJ16" s="340">
        <v>0.20300000000000001</v>
      </c>
      <c r="BK16" s="340">
        <v>0.19</v>
      </c>
      <c r="BL16" s="340">
        <v>0.19800000000000001</v>
      </c>
      <c r="BM16" s="341"/>
      <c r="BN16" s="340">
        <v>0.188</v>
      </c>
      <c r="BO16" s="340">
        <v>0.16500000000000001</v>
      </c>
      <c r="BP16" s="340" t="e">
        <f ca="1">_xll.FDS($D16,"FE_ACTUAL(ACTUAL,EPS,QUARTERLY,"&amp;MID(BR$5,2,4)-1&amp;"+""/""+"&amp;MID(BP$5,2,1)&amp;"+""F"",,,,'')@FE_ESTIMATE(EPS,MEAN,QUARTERLY_ROLL,"&amp;MID(BR$5,2,4)-1&amp;"+""/""+"&amp;MID(BP$5,2,1)&amp;"+""F"",NOW,,,'')")</f>
        <v>#NAME?</v>
      </c>
      <c r="BQ16" s="340" t="s">
        <v>586</v>
      </c>
      <c r="BR16" s="341">
        <v>0.76</v>
      </c>
      <c r="BS16" s="340">
        <v>4.4999999999999998E-2</v>
      </c>
      <c r="BT16" s="340">
        <v>0.1</v>
      </c>
      <c r="BU16" s="340">
        <v>0.12</v>
      </c>
      <c r="BV16" s="340">
        <v>0.115</v>
      </c>
      <c r="BW16" s="341">
        <v>0.52749999999999997</v>
      </c>
      <c r="BX16" s="340">
        <v>8.8333330000000002E-2</v>
      </c>
      <c r="BY16" s="340">
        <v>0.10857143</v>
      </c>
      <c r="BZ16" s="340">
        <v>0.14777143000000001</v>
      </c>
      <c r="CA16" s="340">
        <v>0.15166667</v>
      </c>
      <c r="CB16" s="341"/>
      <c r="CC16" s="340" t="e">
        <f ca="1">_xll.FDS($D16,"FE_ACTUAL(ACTUAL,EPS,QUARTERLY,"&amp;MID(CG$5,2,4)-1&amp;"+""/""+"&amp;MID(CC$5,2,1)&amp;"+""F"",,,,'')@FE_ESTIMATE(EPS,MEAN,QUARTERLY_ROLL,"&amp;MID(CG$5,2,4)-1&amp;"+""/""+"&amp;MID(CC$5,2,1)&amp;"+""F"",NOW,,,'')")</f>
        <v>#NAME?</v>
      </c>
      <c r="CD16" s="340">
        <v>0.17</v>
      </c>
      <c r="CE16" s="340">
        <v>0.23666666</v>
      </c>
      <c r="CF16" s="340">
        <v>0.20599999999999999</v>
      </c>
      <c r="CG16" s="341"/>
      <c r="CH16" s="340">
        <v>0.17799999999999999</v>
      </c>
      <c r="CI16" s="340" t="e">
        <f ca="1">_xll.FDS($D16,"FE_ACTUAL(ACTUAL,EPS,QUARTERLY,"&amp;MID(CL$5,2,4)-1&amp;"+""/""+"&amp;MID(CI$5,2,1)&amp;"+""F"",,,,'')@FE_ESTIMATE(EPS,MEAN,QUARTERLY_ROLL,"&amp;MID(CL$5,2,4)-1&amp;"+""/""+"&amp;MID(CI$5,2,1)&amp;"+""F"",NOW,,,'')")</f>
        <v>#NAME?</v>
      </c>
      <c r="CJ16" s="340" t="e">
        <f ca="1">_xll.FDS($D16,"FE_ACTUAL(ACTUAL,EPS,QUARTERLY,"&amp;MID(CL$5,2,4)-1&amp;"+""/""+"&amp;MID(CJ$5,2,1)&amp;"+""F"",,,,'')@FE_ESTIMATE(EPS,MEAN,QUARTERLY_ROLL,"&amp;MID(CL$5,2,4)-1&amp;"+""/""+"&amp;MID(CJ$5,2,1)&amp;"+""F"",NOW,,,'')")</f>
        <v>#NAME?</v>
      </c>
      <c r="CK16" s="340" t="e">
        <f ca="1">_xll.FDS($D16,"FE_ACTUAL(ACTUAL,EPS,QUARTERLY,"&amp;MID(CL$5,2,4)-1&amp;"+""/""+"&amp;MID(CK$5,2,1)&amp;"+""F"",,,,'')@FE_ESTIMATE(EPS,MEAN,QUARTERLY_ROLL,"&amp;MID(CL$5,2,4)-1&amp;"+""/""+"&amp;MID(CK$5,2,1)&amp;"+""F"",NOW,,,'')")</f>
        <v>#NAME?</v>
      </c>
      <c r="CL16" s="341"/>
      <c r="CM16" s="340" t="e">
        <f ca="1">_xll.FDS($D16,"FE_ACTUAL(ACTUAL,EPS,QUARTERLY,"&amp;MID(CQ$5,2,4)-1&amp;"+""/""+"&amp;MID(CM$5,2,1)&amp;"+""F"",,,,'')@FE_ESTIMATE(EPS,MEAN,QUARTERLY_ROLL,"&amp;MID(CQ$5,2,4)-1&amp;"+""/""+"&amp;MID(CM$5,2,1)&amp;"+""F"",NOW,,,'')")</f>
        <v>#NAME?</v>
      </c>
      <c r="CN16" s="340" t="e">
        <f ca="1">_xll.FDS($D16,"FE_ACTUAL(ACTUAL,EPS,QUARTERLY,"&amp;MID(CQ$5,2,4)-1&amp;"+""/""+"&amp;MID(CN$5,2,1)&amp;"+""F"",,,,'')@FE_ESTIMATE(EPS,MEAN,QUARTERLY_ROLL,"&amp;MID(CQ$5,2,4)-1&amp;"+""/""+"&amp;MID(CN$5,2,1)&amp;"+""F"",NOW,,,'')")</f>
        <v>#NAME?</v>
      </c>
      <c r="CO16" s="340" t="e">
        <f ca="1">_xll.FDS($D16,"FE_ACTUAL(ACTUAL,EPS,QUARTERLY,"&amp;MID(CQ$5,2,4)-1&amp;"+""/""+"&amp;MID(CO$5,2,1)&amp;"+""F"",,,,'')@FE_ESTIMATE(EPS,MEAN,QUARTERLY_ROLL,"&amp;MID(CQ$5,2,4)-1&amp;"+""/""+"&amp;MID(CO$5,2,1)&amp;"+""F"",NOW,,,'')")</f>
        <v>#NAME?</v>
      </c>
      <c r="CP16" s="340" t="e">
        <f ca="1">_xll.FDS($D16,"FE_ACTUAL(ACTUAL,EPS,QUARTERLY,"&amp;MID(CQ$5,2,4)-1&amp;"+""/""+"&amp;MID(CP$5,2,1)&amp;"+""F"",,,,'')@FE_ESTIMATE(EPS,MEAN,QUARTERLY_ROLL,"&amp;MID(CQ$5,2,4)-1&amp;"+""/""+"&amp;MID(CP$5,2,1)&amp;"+""F"",NOW,,,'')")</f>
        <v>#NAME?</v>
      </c>
      <c r="CQ16" s="341"/>
      <c r="CR16" s="340"/>
      <c r="CS16" s="340"/>
      <c r="CT16" s="340"/>
      <c r="CU16" s="340"/>
      <c r="CV16" s="341"/>
    </row>
    <row r="17" spans="5:100" ht="3.95" customHeight="1" x14ac:dyDescent="0.25">
      <c r="AD17" s="71"/>
      <c r="AI17" s="71"/>
      <c r="AN17" s="71"/>
      <c r="AS17" s="71"/>
      <c r="AX17" s="71"/>
      <c r="BC17" s="71"/>
      <c r="BH17" s="71"/>
      <c r="BM17" s="71"/>
      <c r="BR17" s="71"/>
      <c r="BW17" s="71"/>
      <c r="CB17" s="71"/>
      <c r="CG17" s="71"/>
      <c r="CL17" s="71"/>
      <c r="CQ17" s="71"/>
      <c r="CR17" s="720"/>
      <c r="CS17" s="720"/>
      <c r="CT17" s="720"/>
      <c r="CU17" s="720"/>
      <c r="CV17" s="71"/>
    </row>
    <row r="18" spans="5:100" x14ac:dyDescent="0.25">
      <c r="E18" s="118" t="s">
        <v>98</v>
      </c>
      <c r="AD18" s="71"/>
      <c r="AI18" s="71"/>
      <c r="AN18" s="71"/>
      <c r="AS18" s="71"/>
      <c r="AX18" s="71"/>
      <c r="BC18" s="71"/>
      <c r="BH18" s="71"/>
      <c r="BM18" s="71"/>
      <c r="BR18" s="71"/>
      <c r="BW18" s="71"/>
      <c r="CB18" s="71"/>
      <c r="CG18" s="71"/>
      <c r="CL18" s="71"/>
      <c r="CQ18" s="71"/>
      <c r="CR18" s="720"/>
      <c r="CS18" s="720"/>
      <c r="CT18" s="720"/>
      <c r="CU18" s="720"/>
      <c r="CV18" s="71"/>
    </row>
    <row r="19" spans="5:100" s="211" customFormat="1" x14ac:dyDescent="0.25">
      <c r="E19" s="211" t="str">
        <f>E$9</f>
        <v>Revenue</v>
      </c>
      <c r="AD19" s="213">
        <f>Income!AD22</f>
        <v>1395.136</v>
      </c>
      <c r="AE19" s="211">
        <f>Income!AE22</f>
        <v>334.66899999999998</v>
      </c>
      <c r="AF19" s="211">
        <f>Income!AF22</f>
        <v>348.85399999999998</v>
      </c>
      <c r="AG19" s="211">
        <f>Income!AG22</f>
        <v>350.75900000000001</v>
      </c>
      <c r="AH19" s="211">
        <f>Income!AH22</f>
        <v>349.79699999999997</v>
      </c>
      <c r="AI19" s="213">
        <f>Income!AI22</f>
        <v>1383.771</v>
      </c>
      <c r="AJ19" s="211">
        <f>Income!AJ22</f>
        <v>331.07299999999998</v>
      </c>
      <c r="AK19" s="211">
        <f>Income!AK22</f>
        <v>328.935</v>
      </c>
      <c r="AL19" s="211">
        <f>Income!AL22</f>
        <v>321.05599999999998</v>
      </c>
      <c r="AM19" s="211">
        <f>Income!AM22</f>
        <v>295.50900000000001</v>
      </c>
      <c r="AN19" s="213">
        <f>Income!AN22</f>
        <v>1277.2619999999999</v>
      </c>
      <c r="AO19" s="211">
        <f>Income!AO22</f>
        <v>255.98099999999999</v>
      </c>
      <c r="AP19" s="211">
        <f>Income!AP22</f>
        <v>271.10500000000002</v>
      </c>
      <c r="AQ19" s="211">
        <f>Income!AQ22</f>
        <v>283.80700000000002</v>
      </c>
      <c r="AR19" s="211">
        <f>Income!AR22</f>
        <v>288.34199999999998</v>
      </c>
      <c r="AS19" s="213">
        <f>Income!AS22</f>
        <v>1099.2350000000001</v>
      </c>
      <c r="AT19" s="211">
        <f>Income!AT22</f>
        <v>259.17900000000003</v>
      </c>
      <c r="AU19" s="211">
        <f>Income!AU22</f>
        <v>279.44499999999999</v>
      </c>
      <c r="AV19" s="211">
        <f>Income!AV22</f>
        <v>287.90500000000003</v>
      </c>
      <c r="AW19" s="211">
        <f>Income!AW22</f>
        <v>287.22499999999997</v>
      </c>
      <c r="AX19" s="213">
        <f>Income!AX22</f>
        <v>1113.7539999999999</v>
      </c>
      <c r="AY19" s="211">
        <f>Income!AY22</f>
        <v>276.04399999999998</v>
      </c>
      <c r="AZ19" s="211">
        <f>Income!AZ22</f>
        <v>286.43200000000002</v>
      </c>
      <c r="BA19" s="211">
        <f>Income!BA22</f>
        <v>280.89300000000003</v>
      </c>
      <c r="BB19" s="211">
        <f>Income!BB22</f>
        <v>287.255</v>
      </c>
      <c r="BC19" s="213"/>
      <c r="BD19" s="211">
        <f>Income!BD22</f>
        <v>271.65899999999999</v>
      </c>
      <c r="BE19" s="211">
        <f>Income!BE22</f>
        <v>277.46699999999998</v>
      </c>
      <c r="BF19" s="211">
        <f>Income!BF22</f>
        <v>273.10200000000003</v>
      </c>
      <c r="BG19" s="211">
        <f>Income!BG22</f>
        <v>277.13099999999997</v>
      </c>
      <c r="BH19" s="213"/>
      <c r="BI19" s="211">
        <f>Income!BI22</f>
        <v>266.19299999999998</v>
      </c>
      <c r="BJ19" s="211">
        <f>Income!BJ22</f>
        <v>276.27099999999996</v>
      </c>
      <c r="BK19" s="211">
        <f>Income!BK22</f>
        <v>277.87300000000005</v>
      </c>
      <c r="BL19" s="211">
        <f>Income!BL22</f>
        <v>277.20800000000003</v>
      </c>
      <c r="BM19" s="213"/>
      <c r="BN19" s="211">
        <f>Income!BN22</f>
        <v>186.68299999999999</v>
      </c>
      <c r="BO19" s="211">
        <f>Income!BO22</f>
        <v>204.24799999999999</v>
      </c>
      <c r="BP19" s="211">
        <f>Income!BP22</f>
        <v>208.24600000000001</v>
      </c>
      <c r="BQ19" s="211">
        <f>Income!BQ22</f>
        <v>205.73400000000001</v>
      </c>
      <c r="BR19" s="213"/>
      <c r="BS19" s="211">
        <f>Income!BS22</f>
        <v>196.89500000000001</v>
      </c>
      <c r="BT19" s="211">
        <f>Income!BT22</f>
        <v>207.345</v>
      </c>
      <c r="BU19" s="211">
        <f>Income!BU22</f>
        <v>221.19300000000001</v>
      </c>
      <c r="BV19" s="211">
        <f>Income!BV22</f>
        <v>224.655</v>
      </c>
      <c r="BW19" s="213"/>
      <c r="BX19" s="211">
        <f>Income!BX22</f>
        <v>214.80099999999999</v>
      </c>
      <c r="BY19" s="211">
        <f>Income!BY22</f>
        <v>217.267</v>
      </c>
      <c r="BZ19" s="211">
        <f>Income!BZ22</f>
        <v>223.31200000000001</v>
      </c>
      <c r="CA19" s="211">
        <f>Income!CA22</f>
        <v>224.86800000000002</v>
      </c>
      <c r="CB19" s="213"/>
      <c r="CC19" s="211">
        <f>Income!CC22</f>
        <v>46.756999999999998</v>
      </c>
      <c r="CD19" s="211">
        <f>Income!CD22</f>
        <v>54.012999999999998</v>
      </c>
      <c r="CE19" s="211">
        <f>Income!CE22</f>
        <v>59.121000000000002</v>
      </c>
      <c r="CF19" s="725">
        <f>Income!CF22</f>
        <v>60.21</v>
      </c>
      <c r="CG19" s="213"/>
      <c r="CH19" s="725">
        <f>Income!CH22</f>
        <v>62.470999999999997</v>
      </c>
      <c r="CL19" s="213"/>
      <c r="CQ19" s="213"/>
      <c r="CR19" s="725"/>
      <c r="CS19" s="725"/>
      <c r="CT19" s="725"/>
      <c r="CU19" s="725"/>
      <c r="CV19" s="213"/>
    </row>
    <row r="20" spans="5:100" s="211" customFormat="1" x14ac:dyDescent="0.25">
      <c r="E20" s="211" t="str">
        <f>E$10</f>
        <v>Adjusted EBITDA</v>
      </c>
      <c r="AD20" s="213">
        <f>Income!AD$134</f>
        <v>401.05599999999993</v>
      </c>
      <c r="AE20" s="211">
        <f>Income!AE$134</f>
        <v>76.488999999999976</v>
      </c>
      <c r="AF20" s="211">
        <f>Income!AF$134</f>
        <v>90.608000000000004</v>
      </c>
      <c r="AG20" s="211">
        <f>Income!AG$134</f>
        <v>93.963000000000008</v>
      </c>
      <c r="AH20" s="211">
        <f>Income!AH$134</f>
        <v>118.53499999999995</v>
      </c>
      <c r="AI20" s="213">
        <f>Income!AI$134</f>
        <v>379.28699999999992</v>
      </c>
      <c r="AJ20" s="211">
        <f>Income!AJ$134</f>
        <v>81.510000000000005</v>
      </c>
      <c r="AK20" s="211">
        <f>Income!AK$134</f>
        <v>86.278000000000006</v>
      </c>
      <c r="AL20" s="211">
        <f>Income!AL$134</f>
        <v>86.059999999999988</v>
      </c>
      <c r="AM20" s="211">
        <f>Income!AM$134</f>
        <v>86.604000000000028</v>
      </c>
      <c r="AN20" s="213">
        <f>Income!AN$134</f>
        <v>341.14100000000002</v>
      </c>
      <c r="AO20" s="211">
        <f>Income!AO$134</f>
        <v>55.825999999999986</v>
      </c>
      <c r="AP20" s="211">
        <f>Income!AP$134</f>
        <v>65.628000000000029</v>
      </c>
      <c r="AQ20" s="211">
        <f>Income!AQ$134</f>
        <v>76.205000000000041</v>
      </c>
      <c r="AR20" s="211">
        <f>Income!AR$134</f>
        <v>78.562999999999974</v>
      </c>
      <c r="AS20" s="213">
        <f>Income!AS$134</f>
        <v>276.22200000000009</v>
      </c>
      <c r="AT20" s="211">
        <f>Income!AT$134</f>
        <v>59.539000000000016</v>
      </c>
      <c r="AU20" s="211">
        <f>Income!AU$134</f>
        <v>66.284000000000006</v>
      </c>
      <c r="AV20" s="211">
        <f>Income!AV$134</f>
        <v>68.519000000000048</v>
      </c>
      <c r="AW20" s="211">
        <f>Income!AW$134</f>
        <v>74.557999999999964</v>
      </c>
      <c r="AX20" s="213">
        <f>Income!AX$134</f>
        <v>268.89999999999981</v>
      </c>
      <c r="AY20" s="211">
        <f>Income!AY$134</f>
        <v>58.353999999999992</v>
      </c>
      <c r="AZ20" s="211">
        <f>Income!AZ$134</f>
        <v>67.320000000000022</v>
      </c>
      <c r="BA20" s="211">
        <f>Income!BA$134</f>
        <v>65.346000000000018</v>
      </c>
      <c r="BB20" s="211">
        <f>Income!BB$134</f>
        <v>68.371999999999986</v>
      </c>
      <c r="BC20" s="213"/>
      <c r="BD20" s="211">
        <f>Income!BD$134</f>
        <v>59.231999999999992</v>
      </c>
      <c r="BE20" s="211">
        <f>Income!BE$134</f>
        <v>62.625999999999983</v>
      </c>
      <c r="BF20" s="211">
        <f>Income!BF$134</f>
        <v>59.238000000000049</v>
      </c>
      <c r="BG20" s="211">
        <f>Income!BG$134</f>
        <v>51.842999999999989</v>
      </c>
      <c r="BH20" s="213"/>
      <c r="BI20" s="211">
        <f>Income!BI$134</f>
        <v>52.437999999999974</v>
      </c>
      <c r="BJ20" s="211">
        <f>Income!BJ$134</f>
        <v>57.246999999999957</v>
      </c>
      <c r="BK20" s="211">
        <f>Income!BK$134</f>
        <v>58.397000000000048</v>
      </c>
      <c r="BL20" s="211">
        <f>Income!BL$134</f>
        <v>62.071000000000026</v>
      </c>
      <c r="BM20" s="213"/>
      <c r="BN20" s="211">
        <f>Income!BN$134</f>
        <v>24.424999999999986</v>
      </c>
      <c r="BO20" s="211">
        <f>Income!BO$134</f>
        <v>28.663000000000004</v>
      </c>
      <c r="BP20" s="211">
        <f>Income!BP$134</f>
        <v>37.468000000000004</v>
      </c>
      <c r="BQ20" s="211">
        <f>Income!BQ$134</f>
        <v>39.392000000000003</v>
      </c>
      <c r="BR20" s="213"/>
      <c r="BS20" s="211">
        <f>Income!BS$134</f>
        <v>31.250000000000014</v>
      </c>
      <c r="BT20" s="211">
        <f>Income!BT$134</f>
        <v>35.27000000000001</v>
      </c>
      <c r="BU20" s="211">
        <f>Income!BU$134</f>
        <v>39.169000000000011</v>
      </c>
      <c r="BV20" s="211">
        <f>Income!BV$134</f>
        <v>37.961000000000006</v>
      </c>
      <c r="BW20" s="213"/>
      <c r="BX20" s="211">
        <f>Income!BX$134</f>
        <v>37.85599999999998</v>
      </c>
      <c r="BY20" s="211">
        <f>Income!BY$134</f>
        <v>41.172999999999988</v>
      </c>
      <c r="BZ20" s="211">
        <f>Income!BZ$134</f>
        <v>48.717999999999996</v>
      </c>
      <c r="CA20" s="211">
        <f>Income!CA$134</f>
        <v>36.791000000000018</v>
      </c>
      <c r="CB20" s="213"/>
      <c r="CC20" s="211">
        <f>Income!CC$134</f>
        <v>-11.104000000000003</v>
      </c>
      <c r="CD20" s="211">
        <f>Income!CD$134</f>
        <v>-6.9610000000000056</v>
      </c>
      <c r="CE20" s="211">
        <f>Income!CE$134</f>
        <v>-0.66500000000000625</v>
      </c>
      <c r="CF20" s="725">
        <f>Income!CF$134</f>
        <v>-2.785000000000009</v>
      </c>
      <c r="CG20" s="213"/>
      <c r="CH20" s="725">
        <f>Income!CH$134</f>
        <v>-2.2730000000000032</v>
      </c>
      <c r="CL20" s="213"/>
      <c r="CQ20" s="213"/>
      <c r="CR20" s="725"/>
      <c r="CS20" s="725"/>
      <c r="CT20" s="725"/>
      <c r="CU20" s="725"/>
      <c r="CV20" s="213"/>
    </row>
    <row r="21" spans="5:100" x14ac:dyDescent="0.25">
      <c r="E21" s="211" t="str">
        <f>E$11</f>
        <v>Non-GAAP EPS</v>
      </c>
      <c r="AD21" s="217">
        <f>Income!AD93</f>
        <v>0.90560081887774502</v>
      </c>
      <c r="AE21" s="98">
        <f>Income!AE93</f>
        <v>3.5678250328079246E-2</v>
      </c>
      <c r="AF21" s="98">
        <f>Income!AF93</f>
        <v>0.30660485390909353</v>
      </c>
      <c r="AG21" s="98">
        <f>Income!AG93</f>
        <v>0.18056391667703323</v>
      </c>
      <c r="AH21" s="98">
        <f>Income!AH93</f>
        <v>-0.12064539195480722</v>
      </c>
      <c r="AI21" s="217">
        <f>Income!AI93</f>
        <v>0.41973926405002004</v>
      </c>
      <c r="AJ21" s="98">
        <f>Income!AJ93</f>
        <v>0.13269111894871802</v>
      </c>
      <c r="AK21" s="98">
        <f>Income!AK93</f>
        <v>0.18432412325274106</v>
      </c>
      <c r="AL21" s="98">
        <f>Income!AL93</f>
        <v>0.23555392872890074</v>
      </c>
      <c r="AM21" s="98">
        <f>Income!AM93</f>
        <v>0.25116007068485524</v>
      </c>
      <c r="AN21" s="217">
        <f>Income!AN93</f>
        <v>0.80376249497610097</v>
      </c>
      <c r="AO21" s="98">
        <f>Income!AO93</f>
        <v>5.5760444192013037E-2</v>
      </c>
      <c r="AP21" s="98">
        <f>Income!AP93</f>
        <v>0.11878592882918292</v>
      </c>
      <c r="AQ21" s="98">
        <f>Income!AQ93</f>
        <v>0.18247848486248122</v>
      </c>
      <c r="AR21" s="98">
        <f>Income!AR93</f>
        <v>0.17170138888888853</v>
      </c>
      <c r="AS21" s="217">
        <f>Income!AS93</f>
        <v>0.5300145380620559</v>
      </c>
      <c r="AT21" s="98">
        <f>Income!AT93</f>
        <v>0.11995189544825452</v>
      </c>
      <c r="AU21" s="98">
        <f>Income!AU93</f>
        <v>0.16396991317746057</v>
      </c>
      <c r="AV21" s="98">
        <f>Income!AV93</f>
        <v>0.18528831396623599</v>
      </c>
      <c r="AW21" s="98">
        <f>Income!AW93</f>
        <v>0.19733897645456269</v>
      </c>
      <c r="AX21" s="217">
        <f>Income!AX93</f>
        <v>0.67068279836712752</v>
      </c>
      <c r="AY21" s="98">
        <f>Income!AY93</f>
        <v>0.13381861633379666</v>
      </c>
      <c r="AZ21" s="98">
        <f>Income!AZ93</f>
        <v>0.18085223721460369</v>
      </c>
      <c r="BA21" s="98">
        <f>Income!BA93</f>
        <v>0.21595798532017246</v>
      </c>
      <c r="BB21" s="98">
        <f>Income!BB93</f>
        <v>0.21995769313590111</v>
      </c>
      <c r="BC21" s="217">
        <f>Income!BC93</f>
        <v>0.74833477414499783</v>
      </c>
      <c r="BD21" s="98">
        <f>Income!BD93</f>
        <v>0.17286085809088222</v>
      </c>
      <c r="BE21" s="98">
        <f>Income!BE93</f>
        <v>0.21461863031483266</v>
      </c>
      <c r="BF21" s="98">
        <f>Income!BF93</f>
        <v>0.19076675716281463</v>
      </c>
      <c r="BG21" s="98">
        <f>Income!BG93</f>
        <v>0.18797232996121369</v>
      </c>
      <c r="BH21" s="217"/>
      <c r="BI21" s="98">
        <f>Income!BI93</f>
        <v>0.17459034851836608</v>
      </c>
      <c r="BJ21" s="98">
        <f>Income!BJ93</f>
        <v>0.19761691830185632</v>
      </c>
      <c r="BK21" s="98">
        <f>Income!BK93</f>
        <v>0.24983620036228679</v>
      </c>
      <c r="BL21" s="98">
        <f>Income!BL93</f>
        <v>0.2427352443867723</v>
      </c>
      <c r="BM21" s="217"/>
      <c r="BN21" s="98">
        <f>Income!BN93</f>
        <v>-0.14341259615009191</v>
      </c>
      <c r="BO21" s="98">
        <f>Income!BO93</f>
        <v>-0.13162869701645424</v>
      </c>
      <c r="BP21" s="98">
        <f>Income!BP93</f>
        <v>-1.2364906086527492E-2</v>
      </c>
      <c r="BQ21" s="98">
        <f>Income!BQ93</f>
        <v>-6.5157890658297468E-2</v>
      </c>
      <c r="BR21" s="217"/>
      <c r="BS21" s="98">
        <f>Income!BS163</f>
        <v>9.3986288940417578E-2</v>
      </c>
      <c r="BT21" s="98">
        <f>Income!BT163</f>
        <v>0.14382801664355072</v>
      </c>
      <c r="BU21" s="98">
        <f>Income!BU163</f>
        <v>0.17828245910316853</v>
      </c>
      <c r="BV21" s="98">
        <f>Income!BV163</f>
        <v>0.1762942362156508</v>
      </c>
      <c r="BW21" s="217"/>
      <c r="BX21" s="98">
        <f>Income!BX163</f>
        <v>0.14852620568850561</v>
      </c>
      <c r="BY21" s="98">
        <f>Income!BY163</f>
        <v>0.1752967443268538</v>
      </c>
      <c r="BZ21" s="98">
        <f>Income!BZ163</f>
        <v>0.23710410639816659</v>
      </c>
      <c r="CA21" s="98">
        <f>Income!CA163</f>
        <v>0.15049683606881575</v>
      </c>
      <c r="CB21" s="217"/>
      <c r="CC21" s="98">
        <f>Income!CC163</f>
        <v>-0.13178767541183647</v>
      </c>
      <c r="CD21" s="98">
        <f>Income!CD163</f>
        <v>-9.1512589133589992E-2</v>
      </c>
      <c r="CE21" s="98">
        <f>Income!CE163</f>
        <v>-1.3435724858621332E-2</v>
      </c>
      <c r="CF21" s="98">
        <f>Income!CF163</f>
        <v>-5.7038186582542616E-2</v>
      </c>
      <c r="CG21" s="217"/>
      <c r="CH21" s="98">
        <f>Income!CH163</f>
        <v>-5.7178137388704808E-2</v>
      </c>
      <c r="CI21" s="98"/>
      <c r="CJ21" s="98"/>
      <c r="CK21" s="98"/>
      <c r="CL21" s="217"/>
      <c r="CM21" s="98"/>
      <c r="CN21" s="98"/>
      <c r="CO21" s="98"/>
      <c r="CP21" s="98"/>
      <c r="CQ21" s="217"/>
      <c r="CR21" s="98"/>
      <c r="CS21" s="98"/>
      <c r="CT21" s="98"/>
      <c r="CU21" s="98"/>
      <c r="CV21" s="217"/>
    </row>
    <row r="22" spans="5:100" ht="3.95" customHeight="1" x14ac:dyDescent="0.25">
      <c r="AD22" s="71"/>
      <c r="AI22" s="71"/>
      <c r="AN22" s="71"/>
      <c r="AS22" s="71"/>
      <c r="AX22" s="71"/>
      <c r="BC22" s="71"/>
      <c r="BH22" s="71"/>
      <c r="BM22" s="71"/>
      <c r="BR22" s="71"/>
      <c r="BW22" s="71"/>
      <c r="CB22" s="71"/>
      <c r="CF22" s="720"/>
      <c r="CG22" s="71"/>
      <c r="CH22" s="720"/>
      <c r="CL22" s="71"/>
      <c r="CQ22" s="71"/>
      <c r="CR22" s="720"/>
      <c r="CS22" s="720"/>
      <c r="CT22" s="720"/>
      <c r="CU22" s="720"/>
      <c r="CV22" s="71"/>
    </row>
    <row r="23" spans="5:100" x14ac:dyDescent="0.25">
      <c r="E23" s="118" t="s">
        <v>629</v>
      </c>
      <c r="AD23" s="71"/>
      <c r="AI23" s="71"/>
      <c r="AN23" s="71"/>
      <c r="AS23" s="71"/>
      <c r="AX23" s="71"/>
      <c r="BC23" s="71"/>
      <c r="BH23" s="71"/>
      <c r="BM23" s="71"/>
      <c r="BR23" s="71"/>
      <c r="BW23" s="71"/>
      <c r="CB23" s="71"/>
      <c r="CF23" s="720"/>
      <c r="CG23" s="71"/>
      <c r="CH23" s="720"/>
      <c r="CL23" s="71"/>
      <c r="CQ23" s="71"/>
      <c r="CR23" s="720"/>
      <c r="CS23" s="720"/>
      <c r="CT23" s="720"/>
      <c r="CU23" s="720"/>
      <c r="CV23" s="71"/>
    </row>
    <row r="24" spans="5:100" x14ac:dyDescent="0.25">
      <c r="E24" s="211" t="str">
        <f>E$9</f>
        <v>Revenue</v>
      </c>
      <c r="AD24" s="36"/>
      <c r="AE24" s="62"/>
      <c r="AF24" s="62"/>
      <c r="AG24" s="62"/>
      <c r="AH24" s="62"/>
      <c r="AI24" s="36"/>
      <c r="AJ24" s="62"/>
      <c r="AK24" s="62"/>
      <c r="AL24" s="62"/>
      <c r="AM24" s="62"/>
      <c r="AN24" s="36"/>
      <c r="AO24" s="62"/>
      <c r="AP24" s="62"/>
      <c r="AQ24" s="62"/>
      <c r="AR24" s="62"/>
      <c r="AS24" s="71"/>
      <c r="AT24" s="62">
        <f t="shared" ref="AT24:AU26" si="0">(AT19-AT9)/ABS(AT9)</f>
        <v>-1.0619070534146255E-2</v>
      </c>
      <c r="AU24" s="62">
        <f t="shared" si="0"/>
        <v>-1.4103076529726099E-2</v>
      </c>
      <c r="AV24" s="62">
        <f t="shared" ref="AV24:AW26" si="1">(AV19-AV9)/ABS(AV9)</f>
        <v>-4.7128932502420326E-2</v>
      </c>
      <c r="AW24" s="62">
        <f t="shared" si="1"/>
        <v>-3.57435732212638E-2</v>
      </c>
      <c r="AX24" s="71"/>
      <c r="AY24" s="62">
        <f t="shared" ref="AY24:AZ26" si="2">(AY19-AY9)/ABS(AY9)</f>
        <v>-7.7498202731847805E-3</v>
      </c>
      <c r="AZ24" s="62">
        <f t="shared" si="2"/>
        <v>-6.6733178392725162E-2</v>
      </c>
      <c r="BA24" s="62">
        <f t="shared" ref="BA24:BB26" si="3">(BA19-BA9)/ABS(BA9)</f>
        <v>-9.2164385105901914E-2</v>
      </c>
      <c r="BB24" s="62">
        <f t="shared" si="3"/>
        <v>1.6368646147994392E-2</v>
      </c>
      <c r="BC24" s="71"/>
      <c r="BD24" s="62">
        <f t="shared" ref="BD24:BE26" si="4">(BD19-BD9)/ABS(BD9)</f>
        <v>1.6516679451439642E-2</v>
      </c>
      <c r="BE24" s="62">
        <f t="shared" si="4"/>
        <v>1.6667712157435493E-2</v>
      </c>
      <c r="BF24" s="62">
        <f t="shared" ref="BF24:BG26" si="5">(BF19-BF9)/ABS(BF9)</f>
        <v>-7.8987897071431945E-3</v>
      </c>
      <c r="BG24" s="62">
        <f t="shared" si="5"/>
        <v>-1.1704164928159875E-2</v>
      </c>
      <c r="BH24" s="71"/>
      <c r="BI24" s="62">
        <f t="shared" ref="BI24:BJ26" si="6">(BI19-BI9)/ABS(BI9)</f>
        <v>3.9347583648027167E-3</v>
      </c>
      <c r="BJ24" s="62">
        <f t="shared" si="6"/>
        <v>-5.8851790705243661E-5</v>
      </c>
      <c r="BK24" s="62">
        <f t="shared" ref="BK24:BL26" si="7">(BK19-BK9)/ABS(BK9)</f>
        <v>2.0862970565650053E-2</v>
      </c>
      <c r="BL24" s="62">
        <f t="shared" si="7"/>
        <v>2.1240657414903839E-3</v>
      </c>
      <c r="BM24" s="71"/>
      <c r="BN24" s="62">
        <f t="shared" ref="BN24:BO26" si="8">(BN19-BN9)/ABS(BN9)</f>
        <v>-0.22472324003001723</v>
      </c>
      <c r="BO24" s="62">
        <f t="shared" si="8"/>
        <v>-0.15311397339968177</v>
      </c>
      <c r="BP24" s="62">
        <f t="shared" ref="BP24:BQ26" si="9">(BP19-BP9)/ABS(BP9)</f>
        <v>0</v>
      </c>
      <c r="BQ24" s="62">
        <f t="shared" si="9"/>
        <v>-0.20050518789103478</v>
      </c>
      <c r="BR24" s="71"/>
      <c r="BS24" s="62">
        <f t="shared" ref="BS24:BT26" si="10">(BS19-BS9)/ABS(BS9)</f>
        <v>5.5955194184580004E-2</v>
      </c>
      <c r="BT24" s="62">
        <f t="shared" si="10"/>
        <v>7.4054711671512679E-3</v>
      </c>
      <c r="BU24" s="62">
        <f t="shared" ref="BU24:BV26" si="11">(BU19-BU9)/ABS(BU9)</f>
        <v>3.3295627532002166E-2</v>
      </c>
      <c r="BV24" s="62">
        <f t="shared" si="11"/>
        <v>4.872044149838383E-2</v>
      </c>
      <c r="BW24" s="71"/>
      <c r="BX24" s="62">
        <f t="shared" ref="BX24:BX26" si="12">(BX19-BX9)/ABS(BX9)</f>
        <v>6.7300050683879495E-2</v>
      </c>
      <c r="BY24" s="62">
        <f t="shared" ref="BY24:BZ26" si="13">(BY19-BY9)/ABS(BY9)</f>
        <v>2.2558771180618352E-2</v>
      </c>
      <c r="BZ24" s="62">
        <f t="shared" si="13"/>
        <v>1.5687193846526521E-2</v>
      </c>
      <c r="CA24" s="62">
        <f t="shared" ref="CA24" si="14">(CA19-CA9)/ABS(CA9)</f>
        <v>9.4653293137236718E-3</v>
      </c>
      <c r="CB24" s="71"/>
      <c r="CC24" s="62">
        <f t="shared" ref="CC24:CD26" si="15">(CC19-CC9)/ABS(CC9)</f>
        <v>-0.78532716907683264</v>
      </c>
      <c r="CD24" s="62">
        <f t="shared" si="15"/>
        <v>-0.75810164057632812</v>
      </c>
      <c r="CE24" s="62">
        <f t="shared" ref="CE24" si="16">(CE19-CE9)/ABS(CE9)</f>
        <v>-0.75318114660374558</v>
      </c>
      <c r="CF24" s="62">
        <f>(CF19-CF9)/ABS(CF9)</f>
        <v>-0.74958360171600569</v>
      </c>
      <c r="CG24" s="71"/>
      <c r="CH24" s="62">
        <f>(CH19-CH9)/ABS(CH9)</f>
        <v>-0.72032671180048224</v>
      </c>
      <c r="CL24" s="71"/>
      <c r="CQ24" s="71"/>
      <c r="CR24" s="720"/>
      <c r="CS24" s="720"/>
      <c r="CT24" s="720"/>
      <c r="CU24" s="720"/>
      <c r="CV24" s="71"/>
    </row>
    <row r="25" spans="5:100" x14ac:dyDescent="0.25">
      <c r="E25" s="211" t="str">
        <f>E$10</f>
        <v>Adjusted EBITDA</v>
      </c>
      <c r="AD25" s="36"/>
      <c r="AE25" s="62"/>
      <c r="AF25" s="62"/>
      <c r="AG25" s="62"/>
      <c r="AH25" s="62"/>
      <c r="AI25" s="36"/>
      <c r="AJ25" s="62"/>
      <c r="AK25" s="62"/>
      <c r="AL25" s="62"/>
      <c r="AM25" s="62"/>
      <c r="AN25" s="36"/>
      <c r="AO25" s="62"/>
      <c r="AP25" s="62"/>
      <c r="AQ25" s="62"/>
      <c r="AR25" s="62"/>
      <c r="AS25" s="71"/>
      <c r="AT25" s="62">
        <f t="shared" si="0"/>
        <v>1.1946757852603432E-3</v>
      </c>
      <c r="AU25" s="62">
        <f t="shared" si="0"/>
        <v>4.0626517839217224E-2</v>
      </c>
      <c r="AV25" s="62">
        <f t="shared" si="1"/>
        <v>-0.12084332468247266</v>
      </c>
      <c r="AW25" s="62">
        <f t="shared" si="1"/>
        <v>1.8311229283835974E-2</v>
      </c>
      <c r="AX25" s="71"/>
      <c r="AY25" s="62">
        <f t="shared" si="2"/>
        <v>-5.2694805194805343E-2</v>
      </c>
      <c r="AZ25" s="62">
        <f t="shared" si="2"/>
        <v>-2.5823893487994808E-2</v>
      </c>
      <c r="BA25" s="62">
        <f t="shared" si="3"/>
        <v>-9.9112383622060526E-2</v>
      </c>
      <c r="BB25" s="62">
        <f t="shared" si="3"/>
        <v>1.8520380611883717E-2</v>
      </c>
      <c r="BC25" s="71"/>
      <c r="BD25" s="62">
        <f t="shared" si="4"/>
        <v>0.18594453899289201</v>
      </c>
      <c r="BE25" s="62">
        <f t="shared" si="4"/>
        <v>5.3988954203837453E-2</v>
      </c>
      <c r="BF25" s="62">
        <f t="shared" si="5"/>
        <v>6.2063042848807266E-2</v>
      </c>
      <c r="BG25" s="62">
        <f t="shared" si="5"/>
        <v>-5.5906615919728932E-2</v>
      </c>
      <c r="BH25" s="71"/>
      <c r="BI25" s="62">
        <f t="shared" si="6"/>
        <v>-3.1610516771100799E-2</v>
      </c>
      <c r="BJ25" s="62">
        <f t="shared" si="6"/>
        <v>1.3449758405699815E-2</v>
      </c>
      <c r="BK25" s="62">
        <f t="shared" si="7"/>
        <v>5.2307789892354191E-2</v>
      </c>
      <c r="BL25" s="62">
        <f t="shared" si="7"/>
        <v>9.0487002560064339E-2</v>
      </c>
      <c r="BM25" s="71"/>
      <c r="BN25" s="62">
        <f t="shared" si="8"/>
        <v>-0.53462768695470553</v>
      </c>
      <c r="BO25" s="62">
        <f t="shared" si="8"/>
        <v>-0.44639636150898931</v>
      </c>
      <c r="BP25" s="62">
        <f t="shared" si="9"/>
        <v>0</v>
      </c>
      <c r="BQ25" s="62">
        <f t="shared" si="9"/>
        <v>-0.32176308539944881</v>
      </c>
      <c r="BR25" s="71"/>
      <c r="BS25" s="62">
        <f t="shared" si="10"/>
        <v>0.24942476483826898</v>
      </c>
      <c r="BT25" s="62">
        <f t="shared" si="10"/>
        <v>8.2871774718459842E-2</v>
      </c>
      <c r="BU25" s="62">
        <f t="shared" si="11"/>
        <v>7.1199440555157867E-2</v>
      </c>
      <c r="BV25" s="62">
        <f t="shared" si="11"/>
        <v>1.9958115549703941E-2</v>
      </c>
      <c r="BW25" s="71"/>
      <c r="BX25" s="62">
        <f t="shared" si="12"/>
        <v>0.33283981531673595</v>
      </c>
      <c r="BY25" s="62">
        <f t="shared" si="13"/>
        <v>0.24714314610843444</v>
      </c>
      <c r="BZ25" s="62">
        <f t="shared" si="13"/>
        <v>0.3184503623161849</v>
      </c>
      <c r="CA25" s="62">
        <f t="shared" ref="CA25" si="17">(CA20-CA10)/ABS(CA10)</f>
        <v>-2.9414802610459014E-2</v>
      </c>
      <c r="CB25" s="71"/>
      <c r="CC25" s="62">
        <f t="shared" si="15"/>
        <v>-1.2891169748804374</v>
      </c>
      <c r="CD25" s="62">
        <f t="shared" si="15"/>
        <v>-1.1627526327020503</v>
      </c>
      <c r="CE25" s="62">
        <f t="shared" ref="CE25" si="18">(CE20-CE10)/ABS(CE10)</f>
        <v>-1.0130571794629295</v>
      </c>
      <c r="CF25" s="62">
        <f>(CF20-CF10)/ABS(CF10)</f>
        <v>-1.05774824367505</v>
      </c>
      <c r="CG25" s="71"/>
      <c r="CH25" s="62">
        <f>(CH20-CH10)/ABS(CH10)</f>
        <v>-1.0584031383650621</v>
      </c>
      <c r="CL25" s="71"/>
      <c r="CQ25" s="71"/>
      <c r="CR25" s="720"/>
      <c r="CS25" s="720"/>
      <c r="CT25" s="720"/>
      <c r="CU25" s="720"/>
      <c r="CV25" s="71"/>
    </row>
    <row r="26" spans="5:100" x14ac:dyDescent="0.25">
      <c r="E26" s="211" t="str">
        <f>E$11</f>
        <v>Non-GAAP EPS</v>
      </c>
      <c r="AD26" s="36"/>
      <c r="AE26" s="62"/>
      <c r="AF26" s="62"/>
      <c r="AG26" s="62"/>
      <c r="AH26" s="62"/>
      <c r="AI26" s="36"/>
      <c r="AJ26" s="62"/>
      <c r="AK26" s="62"/>
      <c r="AL26" s="62"/>
      <c r="AM26" s="62"/>
      <c r="AN26" s="36"/>
      <c r="AO26" s="62"/>
      <c r="AP26" s="62"/>
      <c r="AQ26" s="62"/>
      <c r="AR26" s="62"/>
      <c r="AS26" s="71"/>
      <c r="AT26" s="62">
        <f t="shared" si="0"/>
        <v>0.85424151660738357</v>
      </c>
      <c r="AU26" s="62">
        <f t="shared" si="0"/>
        <v>0.23597018218556329</v>
      </c>
      <c r="AV26" s="62">
        <f t="shared" si="1"/>
        <v>-0.19631088440946795</v>
      </c>
      <c r="AW26" s="62">
        <f t="shared" si="1"/>
        <v>-2.0034352799543551E-2</v>
      </c>
      <c r="AX26" s="71"/>
      <c r="AY26" s="62">
        <f t="shared" si="2"/>
        <v>0.11515513611497219</v>
      </c>
      <c r="AZ26" s="62">
        <f t="shared" si="2"/>
        <v>2.0301890077540789E-2</v>
      </c>
      <c r="BA26" s="62">
        <f t="shared" si="3"/>
        <v>4.2895723502092954E-2</v>
      </c>
      <c r="BB26" s="62">
        <f t="shared" si="3"/>
        <v>3.8095717146350995E-2</v>
      </c>
      <c r="BC26" s="71"/>
      <c r="BD26" s="62">
        <f t="shared" si="4"/>
        <v>0.7124190522238445</v>
      </c>
      <c r="BE26" s="62">
        <f t="shared" si="4"/>
        <v>0.35173825023707145</v>
      </c>
      <c r="BF26" s="62">
        <f t="shared" si="5"/>
        <v>0.21631374705408279</v>
      </c>
      <c r="BG26" s="62">
        <f t="shared" si="5"/>
        <v>0.23642993328610934</v>
      </c>
      <c r="BH26" s="71"/>
      <c r="BI26" s="62">
        <f t="shared" si="6"/>
        <v>0.12953355984035214</v>
      </c>
      <c r="BJ26" s="62">
        <f t="shared" si="6"/>
        <v>-1.6649520299199583E-2</v>
      </c>
      <c r="BK26" s="62">
        <f t="shared" si="7"/>
        <v>0.33983555265533993</v>
      </c>
      <c r="BL26" s="62">
        <f t="shared" si="7"/>
        <v>0.24425262278120774</v>
      </c>
      <c r="BM26" s="71"/>
      <c r="BN26" s="62">
        <f t="shared" si="8"/>
        <v>-1.7918329104859507</v>
      </c>
      <c r="BO26" s="62">
        <f t="shared" si="8"/>
        <v>-1.9436919858575448</v>
      </c>
      <c r="BP26" s="62">
        <f t="shared" si="9"/>
        <v>0</v>
      </c>
      <c r="BQ26" s="62">
        <f t="shared" si="9"/>
        <v>-1.3711178765534389</v>
      </c>
      <c r="BR26" s="71"/>
      <c r="BS26" s="62">
        <f t="shared" si="10"/>
        <v>3.4121926123439135</v>
      </c>
      <c r="BT26" s="62">
        <f t="shared" si="10"/>
        <v>1.166469172190435</v>
      </c>
      <c r="BU26" s="62">
        <f t="shared" si="11"/>
        <v>0.53269704125683903</v>
      </c>
      <c r="BV26" s="62">
        <f t="shared" si="11"/>
        <v>0.50242719955382198</v>
      </c>
      <c r="BW26" s="71"/>
      <c r="BX26" s="62">
        <f t="shared" si="12"/>
        <v>0.67264796963260054</v>
      </c>
      <c r="BY26" s="62">
        <f t="shared" si="13"/>
        <v>0.58605954467496624</v>
      </c>
      <c r="BZ26" s="62">
        <f t="shared" si="13"/>
        <v>0.64823438909210196</v>
      </c>
      <c r="CA26" s="62">
        <f t="shared" ref="CA26" si="19">(CA21-CA11)/ABS(CA11)</f>
        <v>5.1914895778207336E-3</v>
      </c>
      <c r="CB26" s="71"/>
      <c r="CC26" s="62">
        <f t="shared" si="15"/>
        <v>-1.8583148577425017</v>
      </c>
      <c r="CD26" s="62">
        <f t="shared" si="15"/>
        <v>-1.4952148598542943</v>
      </c>
      <c r="CE26" s="62">
        <f t="shared" ref="CE26" si="20">(CE21-CE11)/ABS(CE11)</f>
        <v>-1.0566805935662471</v>
      </c>
      <c r="CF26" s="62">
        <f>(CF21-CF11)/ABS(CF11)</f>
        <v>-1.250825200485034</v>
      </c>
      <c r="CG26" s="71"/>
      <c r="CH26" s="62">
        <f>(CH21-CH11)/ABS(CH11)</f>
        <v>-1.3253024304008425</v>
      </c>
      <c r="CL26" s="71"/>
      <c r="CQ26" s="71"/>
      <c r="CR26" s="720"/>
      <c r="CS26" s="720"/>
      <c r="CT26" s="720"/>
      <c r="CU26" s="720"/>
      <c r="CV26" s="71"/>
    </row>
    <row r="27" spans="5:100" ht="3.95" customHeight="1" x14ac:dyDescent="0.25">
      <c r="AD27" s="71"/>
      <c r="AI27" s="71"/>
      <c r="AN27" s="71"/>
      <c r="AS27" s="71"/>
      <c r="AX27" s="71"/>
      <c r="BC27" s="71"/>
      <c r="BH27" s="71"/>
      <c r="BM27" s="71"/>
      <c r="BR27" s="71"/>
      <c r="BW27" s="71"/>
      <c r="CB27" s="71"/>
      <c r="CF27" s="720"/>
      <c r="CG27" s="71"/>
      <c r="CH27" s="720"/>
      <c r="CL27" s="71"/>
      <c r="CQ27" s="71"/>
      <c r="CR27" s="720"/>
      <c r="CS27" s="720"/>
      <c r="CT27" s="720"/>
      <c r="CU27" s="720"/>
      <c r="CV27" s="71"/>
    </row>
    <row r="28" spans="5:100" x14ac:dyDescent="0.25">
      <c r="E28" s="118" t="s">
        <v>99</v>
      </c>
      <c r="AD28" s="71"/>
      <c r="AI28" s="71"/>
      <c r="AN28" s="71"/>
      <c r="AS28" s="71"/>
      <c r="AX28" s="71"/>
      <c r="BC28" s="71"/>
      <c r="BH28" s="71"/>
      <c r="BM28" s="71"/>
      <c r="BR28" s="71"/>
      <c r="BW28" s="71"/>
      <c r="CB28" s="71"/>
      <c r="CF28" s="720"/>
      <c r="CG28" s="71"/>
      <c r="CH28" s="720"/>
      <c r="CL28" s="71"/>
      <c r="CQ28" s="71"/>
      <c r="CR28" s="720"/>
      <c r="CS28" s="720"/>
      <c r="CT28" s="720"/>
      <c r="CU28" s="720"/>
      <c r="CV28" s="71"/>
    </row>
    <row r="29" spans="5:100" x14ac:dyDescent="0.25">
      <c r="E29" s="211" t="str">
        <f>E$9</f>
        <v>Revenue</v>
      </c>
      <c r="AD29" s="36"/>
      <c r="AE29" s="62"/>
      <c r="AF29" s="62"/>
      <c r="AG29" s="62"/>
      <c r="AH29" s="62"/>
      <c r="AI29" s="36"/>
      <c r="AJ29" s="62">
        <f t="shared" ref="AJ29:AM31" si="21">(AJ19-AJ14)/ABS(AJ14)</f>
        <v>1.7340134591156232E-2</v>
      </c>
      <c r="AK29" s="62">
        <f t="shared" si="21"/>
        <v>-3.6229123937884584E-2</v>
      </c>
      <c r="AL29" s="62">
        <f t="shared" si="21"/>
        <v>-3.2643345686823956E-2</v>
      </c>
      <c r="AM29" s="62">
        <f t="shared" si="21"/>
        <v>-2.3369026373190462E-2</v>
      </c>
      <c r="AN29" s="36"/>
      <c r="AO29" s="62">
        <f t="shared" ref="AO29:AR31" si="22">(AO19-AO14)/ABS(AO14)</f>
        <v>2.2737624355747343E-2</v>
      </c>
      <c r="AP29" s="62">
        <f t="shared" si="22"/>
        <v>4.9696054516591308E-2</v>
      </c>
      <c r="AQ29" s="62">
        <f t="shared" si="22"/>
        <v>2.5092104312649001E-2</v>
      </c>
      <c r="AR29" s="62" t="e">
        <f t="shared" ca="1" si="22"/>
        <v>#NAME?</v>
      </c>
      <c r="AS29" s="71"/>
      <c r="AT29" s="62">
        <f t="shared" ref="AT29:AZ31" si="23">(AT19-AT14)/ABS(AT14)</f>
        <v>-4.4381599905610206E-2</v>
      </c>
      <c r="AU29" s="62">
        <f t="shared" si="23"/>
        <v>-1.7888836171297138E-2</v>
      </c>
      <c r="AV29" s="62">
        <f t="shared" si="23"/>
        <v>-4.2614392125565295E-2</v>
      </c>
      <c r="AW29" s="62">
        <f t="shared" si="23"/>
        <v>-3.200312751709531E-2</v>
      </c>
      <c r="AX29" s="36" t="e">
        <f ca="1">(AX19-AX14)/ABS(AX14)</f>
        <v>#NAME?</v>
      </c>
      <c r="AY29" s="62">
        <f t="shared" si="23"/>
        <v>-2.2049202252633748E-3</v>
      </c>
      <c r="AZ29" s="62">
        <f t="shared" si="23"/>
        <v>-4.702461356241211E-2</v>
      </c>
      <c r="BA29" s="62">
        <f t="shared" ref="BA29:BB31" si="24">(BA19-BA14)/ABS(BA14)</f>
        <v>-8.3145649321399756E-2</v>
      </c>
      <c r="BB29" s="62">
        <f t="shared" si="24"/>
        <v>2.4169625921647474E-2</v>
      </c>
      <c r="BC29" s="36"/>
      <c r="BD29" s="62">
        <f t="shared" ref="BD29:BE31" si="25">(BD19-BD14)/ABS(BD14)</f>
        <v>8.2206321165064905E-3</v>
      </c>
      <c r="BE29" s="62">
        <f t="shared" si="25"/>
        <v>8.1570513985074044E-3</v>
      </c>
      <c r="BF29" s="62">
        <f t="shared" ref="BF29:BG31" si="26">(BF19-BF14)/ABS(BF14)</f>
        <v>-9.2112566708145265E-3</v>
      </c>
      <c r="BG29" s="62">
        <f t="shared" si="26"/>
        <v>-1.0080263472797231E-2</v>
      </c>
      <c r="BH29" s="36"/>
      <c r="BI29" s="62">
        <f t="shared" ref="BI29:BJ31" si="27">(BI19-BI14)/ABS(BI14)</f>
        <v>7.7071146066733868E-4</v>
      </c>
      <c r="BJ29" s="62">
        <f t="shared" si="27"/>
        <v>-9.4369727109427353E-3</v>
      </c>
      <c r="BK29" s="62">
        <f t="shared" ref="BK29:BL31" si="28">(BK19-BK14)/ABS(BK14)</f>
        <v>1.5498918255174987E-2</v>
      </c>
      <c r="BL29" s="62">
        <f t="shared" si="28"/>
        <v>-4.8892558423375325E-3</v>
      </c>
      <c r="BM29" s="36"/>
      <c r="BN29" s="62">
        <f t="shared" ref="BN29:BO31" si="29">(BN19-BN14)/ABS(BN14)</f>
        <v>-0.24191799623970084</v>
      </c>
      <c r="BO29" s="62">
        <f t="shared" si="29"/>
        <v>-0.18478191455393073</v>
      </c>
      <c r="BP29" s="62" t="e">
        <f t="shared" ref="BP29:BQ31" ca="1" si="30">(BP19-BP14)/ABS(BP14)</f>
        <v>#NAME?</v>
      </c>
      <c r="BQ29" s="62">
        <f t="shared" si="30"/>
        <v>-0.20657925183185499</v>
      </c>
      <c r="BR29" s="36"/>
      <c r="BS29" s="62">
        <f t="shared" ref="BS29:BU31" si="31">(BS19-BS14)/ABS(BS14)</f>
        <v>5.1694023512821999E-2</v>
      </c>
      <c r="BT29" s="62">
        <f t="shared" si="31"/>
        <v>1.0802958138537254E-2</v>
      </c>
      <c r="BU29" s="62">
        <f t="shared" si="31"/>
        <v>3.2410886398536363E-2</v>
      </c>
      <c r="BV29" s="62">
        <f>(BV19-BV14)/ABS(BV14)</f>
        <v>5.3728893058161413E-2</v>
      </c>
      <c r="BW29" s="36"/>
      <c r="BX29" s="62">
        <f t="shared" ref="BX29:BX31" si="32">(BX19-BX14)/ABS(BX14)</f>
        <v>5.6580923982602789E-2</v>
      </c>
      <c r="BY29" s="62">
        <f t="shared" ref="BY29:BZ31" si="33">(BY19-BY14)/ABS(BY14)</f>
        <v>7.9048816355311805E-3</v>
      </c>
      <c r="BZ29" s="62">
        <f t="shared" si="33"/>
        <v>2.256973580608216E-2</v>
      </c>
      <c r="CA29" s="62">
        <f t="shared" ref="CA29" si="34">(CA19-CA14)/ABS(CA14)</f>
        <v>1.1991988959301991E-2</v>
      </c>
      <c r="CB29" s="36"/>
      <c r="CC29" s="62" t="e">
        <f t="shared" ref="CC29:CD31" ca="1" si="35">(CC19-CC14)/ABS(CC14)</f>
        <v>#NAME?</v>
      </c>
      <c r="CD29" s="62">
        <f t="shared" si="35"/>
        <v>-0.75677248119718388</v>
      </c>
      <c r="CE29" s="62">
        <f t="shared" ref="CE29" si="36">(CE19-CE14)/ABS(CE14)</f>
        <v>-0.75143908115410363</v>
      </c>
      <c r="CF29" s="62">
        <f>(CF19-CF14)/ABS(CF14)</f>
        <v>-0.74866924308868588</v>
      </c>
      <c r="CG29" s="36"/>
      <c r="CH29" s="62">
        <f>(CH19-CH14)/ABS(CH14)</f>
        <v>-0.71676027362324091</v>
      </c>
      <c r="CI29" s="62"/>
      <c r="CJ29" s="62"/>
      <c r="CK29" s="62"/>
      <c r="CL29" s="36"/>
      <c r="CM29" s="62"/>
      <c r="CN29" s="62"/>
      <c r="CO29" s="62"/>
      <c r="CP29" s="62"/>
      <c r="CQ29" s="36"/>
      <c r="CR29" s="62"/>
      <c r="CS29" s="62"/>
      <c r="CT29" s="62"/>
      <c r="CU29" s="62"/>
      <c r="CV29" s="36"/>
    </row>
    <row r="30" spans="5:100" x14ac:dyDescent="0.25">
      <c r="E30" s="211" t="str">
        <f>E$10</f>
        <v>Adjusted EBITDA</v>
      </c>
      <c r="AD30" s="36"/>
      <c r="AE30" s="62"/>
      <c r="AF30" s="62"/>
      <c r="AG30" s="62"/>
      <c r="AH30" s="62"/>
      <c r="AI30" s="36"/>
      <c r="AJ30" s="62">
        <f t="shared" si="21"/>
        <v>3.8079470198675615E-2</v>
      </c>
      <c r="AK30" s="62">
        <f t="shared" si="21"/>
        <v>3.8161721931355783E-3</v>
      </c>
      <c r="AL30" s="62">
        <f t="shared" si="21"/>
        <v>1.3543752208220369E-2</v>
      </c>
      <c r="AM30" s="62">
        <f t="shared" si="21"/>
        <v>1.4217121442792214E-2</v>
      </c>
      <c r="AN30" s="36"/>
      <c r="AO30" s="62">
        <f t="shared" si="22"/>
        <v>-0.10045117628101863</v>
      </c>
      <c r="AP30" s="62">
        <f t="shared" si="22"/>
        <v>4.1053299492386251E-2</v>
      </c>
      <c r="AQ30" s="62">
        <f t="shared" si="22"/>
        <v>0.13823749066467569</v>
      </c>
      <c r="AR30" s="62" t="e">
        <f t="shared" ca="1" si="22"/>
        <v>#NAME?</v>
      </c>
      <c r="AS30" s="71"/>
      <c r="AT30" s="62">
        <f t="shared" si="23"/>
        <v>-4.2273231778917848E-2</v>
      </c>
      <c r="AU30" s="62">
        <f t="shared" si="23"/>
        <v>9.7803235733221125E-3</v>
      </c>
      <c r="AV30" s="62">
        <f t="shared" si="23"/>
        <v>-6.671479357641899E-2</v>
      </c>
      <c r="AW30" s="62">
        <f t="shared" si="23"/>
        <v>8.8549194808228135E-2</v>
      </c>
      <c r="AX30" s="36" t="e">
        <f ca="1">(AX20-AX15)/ABS(AX15)</f>
        <v>#NAME?</v>
      </c>
      <c r="AY30" s="62">
        <f>(AY20-AY15)/ABS(AY15)</f>
        <v>2.4393595822165327E-3</v>
      </c>
      <c r="AZ30" s="62">
        <f>(AZ20-AZ15)/ABS(AZ15)</f>
        <v>8.0629885869303891E-2</v>
      </c>
      <c r="BA30" s="62">
        <f t="shared" si="24"/>
        <v>-2.5646378194614031E-2</v>
      </c>
      <c r="BB30" s="62">
        <f t="shared" si="24"/>
        <v>0.12772976182621867</v>
      </c>
      <c r="BC30" s="36"/>
      <c r="BD30" s="62">
        <f t="shared" si="25"/>
        <v>0.21821397721196151</v>
      </c>
      <c r="BE30" s="62">
        <f t="shared" si="25"/>
        <v>0.15543993653253599</v>
      </c>
      <c r="BF30" s="62">
        <f t="shared" si="26"/>
        <v>0.11414546070078528</v>
      </c>
      <c r="BG30" s="62">
        <f t="shared" si="26"/>
        <v>1.8745410273255342E-3</v>
      </c>
      <c r="BH30" s="36"/>
      <c r="BI30" s="62">
        <f t="shared" si="27"/>
        <v>6.1820390806924697E-2</v>
      </c>
      <c r="BJ30" s="62">
        <f t="shared" si="27"/>
        <v>6.0777882780216771E-2</v>
      </c>
      <c r="BK30" s="62">
        <f t="shared" si="28"/>
        <v>0.14324588880188038</v>
      </c>
      <c r="BL30" s="62">
        <f t="shared" si="28"/>
        <v>0.16226945042599056</v>
      </c>
      <c r="BM30" s="36"/>
      <c r="BN30" s="62">
        <f t="shared" si="29"/>
        <v>-0.51235824948091391</v>
      </c>
      <c r="BO30" s="62">
        <f t="shared" si="29"/>
        <v>-0.37864730110557115</v>
      </c>
      <c r="BP30" s="62" t="e">
        <f t="shared" ca="1" si="30"/>
        <v>#NAME?</v>
      </c>
      <c r="BQ30" s="62">
        <f t="shared" si="30"/>
        <v>-0.30279646017699108</v>
      </c>
      <c r="BR30" s="36"/>
      <c r="BS30" s="62">
        <f t="shared" si="31"/>
        <v>9.2771969087666981E-2</v>
      </c>
      <c r="BT30" s="62">
        <f t="shared" si="31"/>
        <v>7.4191386976914381E-2</v>
      </c>
      <c r="BU30" s="62">
        <f t="shared" si="31"/>
        <v>0.14556036499766059</v>
      </c>
      <c r="BV30" s="62">
        <f>(BV20-BV15)/ABS(BV15)</f>
        <v>7.4773499433748739E-2</v>
      </c>
      <c r="BW30" s="36"/>
      <c r="BX30" s="62">
        <f t="shared" si="32"/>
        <v>0.2339224365535173</v>
      </c>
      <c r="BY30" s="62">
        <f t="shared" si="33"/>
        <v>0.20214156557821913</v>
      </c>
      <c r="BZ30" s="62">
        <f t="shared" si="33"/>
        <v>0.30166078107662325</v>
      </c>
      <c r="CA30" s="62">
        <f t="shared" ref="CA30" si="37">(CA20-CA15)/ABS(CA15)</f>
        <v>-6.2474597166807942E-2</v>
      </c>
      <c r="CB30" s="36"/>
      <c r="CC30" s="62" t="e">
        <f t="shared" ca="1" si="35"/>
        <v>#NAME?</v>
      </c>
      <c r="CD30" s="62">
        <f t="shared" si="35"/>
        <v>-1.1643249010887322</v>
      </c>
      <c r="CE30" s="62">
        <f t="shared" ref="CE30" si="38">(CE20-CE15)/ABS(CE15)</f>
        <v>-1.0129643109480428</v>
      </c>
      <c r="CF30" s="62">
        <f>(CF20-CF15)/ABS(CF15)</f>
        <v>-1.0667811257595305</v>
      </c>
      <c r="CG30" s="36"/>
      <c r="CH30" s="62">
        <f>(CH20-CH15)/ABS(CH15)</f>
        <v>-1.060310334214241</v>
      </c>
      <c r="CI30" s="62"/>
      <c r="CJ30" s="62"/>
      <c r="CK30" s="62"/>
      <c r="CL30" s="36"/>
      <c r="CM30" s="62"/>
      <c r="CN30" s="62"/>
      <c r="CO30" s="62"/>
      <c r="CP30" s="62"/>
      <c r="CQ30" s="36"/>
      <c r="CR30" s="62"/>
      <c r="CS30" s="62"/>
      <c r="CT30" s="62"/>
      <c r="CU30" s="62"/>
      <c r="CV30" s="36"/>
    </row>
    <row r="31" spans="5:100" x14ac:dyDescent="0.25">
      <c r="E31" s="211" t="str">
        <f>E$11</f>
        <v>Non-GAAP EPS</v>
      </c>
      <c r="AD31" s="36"/>
      <c r="AE31" s="62"/>
      <c r="AF31" s="62"/>
      <c r="AG31" s="62"/>
      <c r="AH31" s="62"/>
      <c r="AI31" s="36"/>
      <c r="AJ31" s="62">
        <f t="shared" si="21"/>
        <v>0.38219915571581264</v>
      </c>
      <c r="AK31" s="62">
        <f t="shared" si="21"/>
        <v>8.4259548545535551E-2</v>
      </c>
      <c r="AL31" s="62">
        <f t="shared" si="21"/>
        <v>0.22048667735181729</v>
      </c>
      <c r="AM31" s="62">
        <f t="shared" si="21"/>
        <v>0.14163668493116019</v>
      </c>
      <c r="AN31" s="36"/>
      <c r="AO31" s="62">
        <f t="shared" si="22"/>
        <v>0.11520888384026068</v>
      </c>
      <c r="AP31" s="62">
        <f t="shared" si="22"/>
        <v>0.11014886756245718</v>
      </c>
      <c r="AQ31" s="62">
        <f t="shared" si="22"/>
        <v>0.21652323241654153</v>
      </c>
      <c r="AR31" s="62" t="e">
        <f t="shared" ca="1" si="22"/>
        <v>#NAME?</v>
      </c>
      <c r="AS31" s="71"/>
      <c r="AT31" s="62">
        <f t="shared" si="23"/>
        <v>0.14239900426909072</v>
      </c>
      <c r="AU31" s="62">
        <f t="shared" si="23"/>
        <v>5.7870407596519804E-2</v>
      </c>
      <c r="AV31" s="62">
        <f t="shared" si="23"/>
        <v>-0.1577803910625637</v>
      </c>
      <c r="AW31" s="62">
        <f t="shared" si="23"/>
        <v>1.7211218837951993E-2</v>
      </c>
      <c r="AX31" s="36" t="e">
        <f ca="1">(AX21-AX16)/ABS(AX16)</f>
        <v>#NAME?</v>
      </c>
      <c r="AY31" s="62">
        <f>(AY21-AY16)/ABS(AY16)</f>
        <v>6.205251058568776E-2</v>
      </c>
      <c r="AZ31" s="62">
        <f>(AZ21-AZ16)/ABS(AZ16)</f>
        <v>8.9471308521708953E-2</v>
      </c>
      <c r="BA31" s="62">
        <f t="shared" si="24"/>
        <v>9.623342802117997E-2</v>
      </c>
      <c r="BB31" s="62">
        <f t="shared" si="24"/>
        <v>0.16998772944628249</v>
      </c>
      <c r="BC31" s="36"/>
      <c r="BD31" s="62">
        <f t="shared" si="25"/>
        <v>0.66212363548925224</v>
      </c>
      <c r="BE31" s="62">
        <f t="shared" si="25"/>
        <v>0.41196467312389917</v>
      </c>
      <c r="BF31" s="62">
        <f t="shared" si="26"/>
        <v>0.17757257507910262</v>
      </c>
      <c r="BG31" s="62">
        <f t="shared" si="26"/>
        <v>0.15320447828965447</v>
      </c>
      <c r="BH31" s="36"/>
      <c r="BI31" s="62">
        <f t="shared" si="27"/>
        <v>0.14111338900892864</v>
      </c>
      <c r="BJ31" s="62">
        <f t="shared" si="27"/>
        <v>-2.6517643833220163E-2</v>
      </c>
      <c r="BK31" s="62">
        <f t="shared" si="28"/>
        <v>0.3149273703278252</v>
      </c>
      <c r="BL31" s="62">
        <f t="shared" si="28"/>
        <v>0.22593557771097114</v>
      </c>
      <c r="BM31" s="36"/>
      <c r="BN31" s="62">
        <f t="shared" si="29"/>
        <v>-1.7628329582451696</v>
      </c>
      <c r="BO31" s="62">
        <f t="shared" si="29"/>
        <v>-1.7977496788876013</v>
      </c>
      <c r="BP31" s="62" t="e">
        <f t="shared" ca="1" si="30"/>
        <v>#NAME?</v>
      </c>
      <c r="BQ31" s="62">
        <f t="shared" si="30"/>
        <v>-1.2961722302649883</v>
      </c>
      <c r="BR31" s="36"/>
      <c r="BS31" s="62">
        <f t="shared" si="31"/>
        <v>1.0885841986759464</v>
      </c>
      <c r="BT31" s="62">
        <f t="shared" si="31"/>
        <v>0.4382801664355071</v>
      </c>
      <c r="BU31" s="62">
        <f t="shared" si="31"/>
        <v>0.48568715919307115</v>
      </c>
      <c r="BV31" s="62">
        <f>(BV21-BV16)/ABS(BV16)</f>
        <v>0.53299335839696338</v>
      </c>
      <c r="BW31" s="36"/>
      <c r="BX31" s="62">
        <f t="shared" si="32"/>
        <v>0.68142880709360332</v>
      </c>
      <c r="BY31" s="62">
        <f t="shared" si="33"/>
        <v>0.61457525545029479</v>
      </c>
      <c r="BZ31" s="62">
        <f t="shared" si="33"/>
        <v>0.60453280040780943</v>
      </c>
      <c r="CA31" s="62">
        <f t="shared" ref="CA31" si="39">(CA21-CA16)/ABS(CA16)</f>
        <v>-7.7131905855403159E-3</v>
      </c>
      <c r="CB31" s="36"/>
      <c r="CC31" s="62" t="e">
        <f t="shared" ca="1" si="35"/>
        <v>#NAME?</v>
      </c>
      <c r="CD31" s="62">
        <f t="shared" si="35"/>
        <v>-1.5383093478446468</v>
      </c>
      <c r="CE31" s="62">
        <f t="shared" ref="CE31" si="40">(CE21-CE16)/ABS(CE16)</f>
        <v>-1.0567706700158837</v>
      </c>
      <c r="CF31" s="62">
        <f>(CF21-CF16)/ABS(CF16)</f>
        <v>-1.2768844008861293</v>
      </c>
      <c r="CG31" s="36"/>
      <c r="CH31" s="62">
        <f>(CH21-CH16)/ABS(CH16)</f>
        <v>-1.3212254909477799</v>
      </c>
      <c r="CI31" s="62"/>
      <c r="CJ31" s="62"/>
      <c r="CK31" s="62"/>
      <c r="CL31" s="36"/>
      <c r="CM31" s="62"/>
      <c r="CN31" s="62"/>
      <c r="CO31" s="62"/>
      <c r="CP31" s="62"/>
      <c r="CQ31" s="36"/>
      <c r="CR31" s="62"/>
      <c r="CS31" s="62"/>
      <c r="CT31" s="62"/>
      <c r="CU31" s="62"/>
      <c r="CV31" s="36"/>
    </row>
    <row r="32" spans="5:100" ht="3.95" customHeight="1" x14ac:dyDescent="0.25">
      <c r="AD32" s="36"/>
      <c r="AE32" s="62"/>
      <c r="AF32" s="62"/>
      <c r="AG32" s="62"/>
      <c r="AH32" s="62"/>
      <c r="AI32" s="36"/>
      <c r="AJ32" s="62"/>
      <c r="AK32" s="62"/>
      <c r="AL32" s="62"/>
      <c r="AM32" s="62"/>
      <c r="AN32" s="36"/>
      <c r="AO32" s="62"/>
      <c r="AP32" s="62"/>
      <c r="AQ32" s="62"/>
      <c r="AR32" s="62"/>
      <c r="AS32" s="71"/>
      <c r="AT32" s="62"/>
      <c r="AU32" s="62"/>
      <c r="AV32" s="62"/>
      <c r="AW32" s="62"/>
      <c r="AX32" s="36"/>
      <c r="AY32" s="62"/>
      <c r="AZ32" s="62"/>
      <c r="BA32" s="62"/>
      <c r="BB32" s="62"/>
      <c r="BC32" s="36"/>
      <c r="BD32" s="62"/>
      <c r="BE32" s="62"/>
      <c r="BF32" s="62"/>
      <c r="BG32" s="62"/>
      <c r="BH32" s="36"/>
      <c r="BI32" s="62"/>
      <c r="BJ32" s="62"/>
      <c r="BK32" s="62"/>
      <c r="BL32" s="62"/>
      <c r="BM32" s="36"/>
      <c r="BN32" s="62"/>
      <c r="BO32" s="62"/>
      <c r="BP32" s="62"/>
      <c r="BQ32" s="62"/>
      <c r="BR32" s="36"/>
      <c r="BS32" s="62"/>
      <c r="BT32" s="62"/>
      <c r="BU32" s="62"/>
      <c r="BV32" s="62"/>
      <c r="BW32" s="36"/>
      <c r="BX32" s="62"/>
      <c r="BY32" s="62"/>
      <c r="BZ32" s="62"/>
      <c r="CA32" s="62"/>
      <c r="CB32" s="36"/>
      <c r="CC32" s="62"/>
      <c r="CD32" s="62"/>
      <c r="CE32" s="62"/>
      <c r="CF32" s="62"/>
      <c r="CG32" s="36"/>
      <c r="CH32" s="62"/>
      <c r="CI32" s="62"/>
      <c r="CJ32" s="62"/>
      <c r="CK32" s="62"/>
      <c r="CL32" s="36"/>
      <c r="CM32" s="62"/>
      <c r="CN32" s="62"/>
      <c r="CO32" s="62"/>
      <c r="CP32" s="62"/>
      <c r="CQ32" s="36"/>
      <c r="CR32" s="62"/>
      <c r="CS32" s="62"/>
      <c r="CT32" s="62"/>
      <c r="CU32" s="62"/>
      <c r="CV32" s="36"/>
    </row>
    <row r="33" spans="5:100" x14ac:dyDescent="0.25">
      <c r="E33" s="118" t="s">
        <v>429</v>
      </c>
      <c r="AD33" s="36"/>
      <c r="AE33" s="62"/>
      <c r="AF33" s="62"/>
      <c r="AG33" s="62"/>
      <c r="AH33" s="62"/>
      <c r="AI33" s="36"/>
      <c r="AJ33" s="62"/>
      <c r="AK33" s="62"/>
      <c r="AL33" s="62"/>
      <c r="AM33" s="62"/>
      <c r="AN33" s="36"/>
      <c r="AO33" s="62"/>
      <c r="AP33" s="62"/>
      <c r="AQ33" s="62"/>
      <c r="AR33" s="62"/>
      <c r="AS33" s="71"/>
      <c r="AT33" s="62"/>
      <c r="AU33" s="62"/>
      <c r="AV33" s="62"/>
      <c r="AW33" s="62"/>
      <c r="AX33" s="36"/>
      <c r="AY33" s="62"/>
      <c r="AZ33" s="62"/>
      <c r="BA33" s="62"/>
      <c r="BB33" s="62"/>
      <c r="BC33" s="36"/>
      <c r="BD33" s="62"/>
      <c r="BE33" s="62"/>
      <c r="BF33" s="62"/>
      <c r="BG33" s="62"/>
      <c r="BH33" s="36"/>
      <c r="BI33" s="62"/>
      <c r="BJ33" s="62"/>
      <c r="BK33" s="62"/>
      <c r="BL33" s="62"/>
      <c r="BM33" s="36"/>
      <c r="BN33" s="62"/>
      <c r="BO33" s="62"/>
      <c r="BP33" s="62"/>
      <c r="BQ33" s="62"/>
      <c r="BR33" s="36"/>
      <c r="BS33" s="62"/>
      <c r="BT33" s="62"/>
      <c r="BU33" s="62"/>
      <c r="BV33" s="62"/>
      <c r="BW33" s="36"/>
      <c r="BX33" s="62"/>
      <c r="BY33" s="62"/>
      <c r="BZ33" s="62"/>
      <c r="CA33" s="62"/>
      <c r="CB33" s="36"/>
      <c r="CC33" s="62"/>
      <c r="CD33" s="62"/>
      <c r="CE33" s="62"/>
      <c r="CF33" s="62"/>
      <c r="CG33" s="36"/>
      <c r="CH33" s="62"/>
      <c r="CI33" s="62"/>
      <c r="CJ33" s="62"/>
      <c r="CK33" s="62"/>
      <c r="CL33" s="36"/>
      <c r="CM33" s="62"/>
      <c r="CN33" s="62"/>
      <c r="CO33" s="62"/>
      <c r="CP33" s="62"/>
      <c r="CQ33" s="36"/>
      <c r="CR33" s="62"/>
      <c r="CS33" s="62"/>
      <c r="CT33" s="62"/>
      <c r="CU33" s="62"/>
      <c r="CV33" s="36"/>
    </row>
    <row r="34" spans="5:100" x14ac:dyDescent="0.25">
      <c r="E34" s="211" t="str">
        <f>E$9</f>
        <v>Revenue</v>
      </c>
      <c r="AD34" s="36"/>
      <c r="AE34" s="62"/>
      <c r="AF34" s="62"/>
      <c r="AG34" s="62"/>
      <c r="AH34" s="62"/>
      <c r="AI34" s="36"/>
      <c r="AJ34" s="62"/>
      <c r="AK34" s="62"/>
      <c r="AL34" s="62"/>
      <c r="AM34" s="62"/>
      <c r="AN34" s="36"/>
      <c r="AO34" s="62"/>
      <c r="AP34" s="62"/>
      <c r="AQ34" s="62"/>
      <c r="AR34" s="62"/>
      <c r="AS34" s="71"/>
      <c r="AT34" s="62"/>
      <c r="AU34" s="62"/>
      <c r="AV34" s="62"/>
      <c r="AW34" s="62"/>
      <c r="AX34" s="36"/>
      <c r="AY34" s="62"/>
      <c r="AZ34" s="62"/>
      <c r="BA34" s="62"/>
      <c r="BB34" s="62"/>
      <c r="BC34" s="36"/>
      <c r="BD34" s="62"/>
      <c r="BE34" s="62"/>
      <c r="BF34" s="62"/>
      <c r="BG34" s="62"/>
      <c r="BH34" s="36"/>
      <c r="BI34" s="62"/>
      <c r="BJ34" s="62"/>
      <c r="BK34" s="62"/>
      <c r="BL34" s="62"/>
      <c r="BM34" s="36"/>
      <c r="BN34" s="62"/>
      <c r="BO34" s="62"/>
      <c r="BP34" s="62"/>
      <c r="BQ34" s="62"/>
      <c r="BR34" s="36"/>
      <c r="BS34" s="62"/>
      <c r="BT34" s="62"/>
      <c r="BU34" s="62"/>
      <c r="BV34" s="62"/>
      <c r="BW34" s="36"/>
      <c r="BX34" s="62"/>
      <c r="BY34" s="62"/>
      <c r="BZ34" s="62"/>
      <c r="CA34" s="62"/>
      <c r="CB34" s="36"/>
      <c r="CC34" s="62"/>
      <c r="CD34" s="62"/>
      <c r="CE34" s="62"/>
      <c r="CF34" s="62"/>
      <c r="CG34" s="36"/>
      <c r="CH34" s="62"/>
      <c r="CI34" s="62"/>
      <c r="CJ34" s="62"/>
      <c r="CK34" s="62"/>
      <c r="CL34" s="36"/>
      <c r="CM34" s="62"/>
      <c r="CN34" s="62"/>
      <c r="CO34" s="62"/>
      <c r="CP34" s="62"/>
      <c r="CQ34" s="36"/>
      <c r="CR34" s="62"/>
      <c r="CS34" s="62"/>
      <c r="CT34" s="62"/>
      <c r="CU34" s="62"/>
      <c r="CV34" s="36"/>
    </row>
    <row r="35" spans="5:100" x14ac:dyDescent="0.25">
      <c r="E35" s="211" t="str">
        <f>E$10</f>
        <v>Adjusted EBITDA</v>
      </c>
      <c r="AD35" s="36"/>
      <c r="AE35" s="62"/>
      <c r="AF35" s="62"/>
      <c r="AG35" s="62"/>
      <c r="AH35" s="62"/>
      <c r="AI35" s="36"/>
      <c r="AJ35" s="62"/>
      <c r="AK35" s="62"/>
      <c r="AL35" s="62"/>
      <c r="AM35" s="62"/>
      <c r="AN35" s="36"/>
      <c r="AO35" s="62"/>
      <c r="AP35" s="62"/>
      <c r="AQ35" s="62"/>
      <c r="AR35" s="62"/>
      <c r="AS35" s="71"/>
      <c r="AT35" s="62"/>
      <c r="AU35" s="62"/>
      <c r="AV35" s="62"/>
      <c r="AW35" s="62"/>
      <c r="AX35" s="36"/>
      <c r="AY35" s="62"/>
      <c r="AZ35" s="62"/>
      <c r="BA35" s="62"/>
      <c r="BB35" s="62"/>
      <c r="BC35" s="36"/>
      <c r="BD35" s="62"/>
      <c r="BE35" s="62"/>
      <c r="BF35" s="62"/>
      <c r="BG35" s="62"/>
      <c r="BH35" s="36"/>
      <c r="BI35" s="62"/>
      <c r="BJ35" s="62"/>
      <c r="BK35" s="62"/>
      <c r="BL35" s="62"/>
      <c r="BM35" s="36"/>
      <c r="BN35" s="62"/>
      <c r="BO35" s="62"/>
      <c r="BP35" s="62"/>
      <c r="BQ35" s="62"/>
      <c r="BR35" s="36"/>
      <c r="BS35" s="62"/>
      <c r="BT35" s="62"/>
      <c r="BU35" s="62"/>
      <c r="BV35" s="62"/>
      <c r="BW35" s="36"/>
      <c r="BX35" s="62"/>
      <c r="BY35" s="62"/>
      <c r="BZ35" s="62"/>
      <c r="CA35" s="62"/>
      <c r="CB35" s="36"/>
      <c r="CC35" s="62"/>
      <c r="CD35" s="62"/>
      <c r="CE35" s="62"/>
      <c r="CF35" s="62"/>
      <c r="CG35" s="36"/>
      <c r="CH35" s="62"/>
      <c r="CI35" s="62"/>
      <c r="CJ35" s="62"/>
      <c r="CK35" s="62"/>
      <c r="CL35" s="36"/>
      <c r="CM35" s="62"/>
      <c r="CN35" s="62"/>
      <c r="CO35" s="62"/>
      <c r="CP35" s="62"/>
      <c r="CQ35" s="36"/>
      <c r="CR35" s="62"/>
      <c r="CS35" s="62"/>
      <c r="CT35" s="62"/>
      <c r="CU35" s="62"/>
      <c r="CV35" s="36"/>
    </row>
    <row r="36" spans="5:100" x14ac:dyDescent="0.25">
      <c r="E36" s="211" t="str">
        <f>E$11</f>
        <v>Non-GAAP EPS</v>
      </c>
      <c r="AD36" s="36"/>
      <c r="AE36" s="62"/>
      <c r="AF36" s="62"/>
      <c r="AG36" s="62"/>
      <c r="AH36" s="62"/>
      <c r="AI36" s="36"/>
      <c r="AJ36" s="62"/>
      <c r="AK36" s="62"/>
      <c r="AL36" s="62"/>
      <c r="AM36" s="62"/>
      <c r="AN36" s="36"/>
      <c r="AO36" s="62"/>
      <c r="AP36" s="62"/>
      <c r="AQ36" s="62"/>
      <c r="AR36" s="62"/>
      <c r="AS36" s="71"/>
      <c r="AT36" s="62"/>
      <c r="AU36" s="62"/>
      <c r="AV36" s="62"/>
      <c r="AW36" s="62"/>
      <c r="AX36" s="36"/>
      <c r="AY36" s="62"/>
      <c r="AZ36" s="62"/>
      <c r="BA36" s="62"/>
      <c r="BB36" s="62"/>
      <c r="BC36" s="36"/>
      <c r="BD36" s="62"/>
      <c r="BE36" s="62"/>
      <c r="BF36" s="62"/>
      <c r="BG36" s="62"/>
      <c r="BH36" s="36"/>
      <c r="BI36" s="62"/>
      <c r="BJ36" s="62"/>
      <c r="BK36" s="62"/>
      <c r="BL36" s="62"/>
      <c r="BM36" s="36"/>
      <c r="BN36" s="62"/>
      <c r="BO36" s="62"/>
      <c r="BP36" s="62"/>
      <c r="BQ36" s="62"/>
      <c r="BR36" s="36"/>
      <c r="BS36" s="62"/>
      <c r="BT36" s="62"/>
      <c r="BU36" s="62"/>
      <c r="BV36" s="62"/>
      <c r="BW36" s="36"/>
      <c r="BX36" s="62"/>
      <c r="BY36" s="62"/>
      <c r="BZ36" s="62"/>
      <c r="CA36" s="62"/>
      <c r="CB36" s="36"/>
      <c r="CC36" s="62"/>
      <c r="CD36" s="62"/>
      <c r="CE36" s="62"/>
      <c r="CF36" s="62"/>
      <c r="CG36" s="36"/>
      <c r="CH36" s="62"/>
      <c r="CI36" s="62"/>
      <c r="CJ36" s="62"/>
      <c r="CK36" s="62"/>
      <c r="CL36" s="36"/>
      <c r="CM36" s="62"/>
      <c r="CN36" s="62"/>
      <c r="CO36" s="62"/>
      <c r="CP36" s="62"/>
      <c r="CQ36" s="36"/>
      <c r="CR36" s="62"/>
      <c r="CS36" s="62"/>
      <c r="CT36" s="62"/>
      <c r="CU36" s="62"/>
      <c r="CV36" s="36"/>
    </row>
    <row r="37" spans="5:100" ht="3.95" customHeight="1" x14ac:dyDescent="0.25">
      <c r="AD37" s="71"/>
      <c r="AI37" s="71"/>
      <c r="AN37" s="71"/>
      <c r="AS37" s="71"/>
      <c r="AX37" s="71"/>
      <c r="BC37" s="71"/>
      <c r="BH37" s="71"/>
      <c r="BM37" s="71"/>
      <c r="BR37" s="71"/>
      <c r="BW37" s="71"/>
      <c r="CB37" s="71"/>
      <c r="CF37" s="720"/>
      <c r="CG37" s="71"/>
      <c r="CL37" s="71"/>
      <c r="CQ37" s="71"/>
      <c r="CR37" s="720"/>
      <c r="CS37" s="720"/>
      <c r="CT37" s="720"/>
      <c r="CU37" s="720"/>
      <c r="CV37" s="71"/>
    </row>
    <row r="38" spans="5:100" ht="13.5" x14ac:dyDescent="0.25">
      <c r="E38" s="216" t="s">
        <v>121</v>
      </c>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71"/>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row>
    <row r="39" spans="5:100" ht="13.5" x14ac:dyDescent="0.25">
      <c r="E39" s="70" t="s">
        <v>122</v>
      </c>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71"/>
      <c r="BA39" s="71"/>
      <c r="BB39" s="71"/>
      <c r="BC39" s="71"/>
      <c r="BD39" s="71"/>
      <c r="BE39" s="71"/>
      <c r="BF39" s="71"/>
      <c r="BG39" s="71"/>
      <c r="BH39" s="71"/>
      <c r="BI39" s="71"/>
      <c r="BJ39" s="71"/>
      <c r="BK39" s="71"/>
      <c r="BL39" s="71"/>
      <c r="BM39" s="71"/>
      <c r="BN39" s="71"/>
      <c r="BO39" s="71"/>
      <c r="BP39" s="71"/>
      <c r="BQ39" s="71"/>
      <c r="BR39" s="71"/>
      <c r="BS39" s="71"/>
      <c r="BT39" s="71"/>
      <c r="BU39" s="71"/>
      <c r="BV39" s="71"/>
      <c r="BW39" s="71"/>
      <c r="BX39" s="71"/>
      <c r="BY39" s="71"/>
      <c r="BZ39" s="71"/>
      <c r="CA39" s="71"/>
      <c r="CB39" s="71"/>
      <c r="CC39" s="71"/>
      <c r="CD39" s="71"/>
      <c r="CE39" s="71"/>
      <c r="CF39" s="71"/>
      <c r="CG39" s="71"/>
      <c r="CH39" s="71"/>
      <c r="CI39" s="71"/>
      <c r="CJ39" s="71"/>
      <c r="CK39" s="71"/>
      <c r="CL39" s="71"/>
      <c r="CM39" s="71"/>
      <c r="CN39" s="71"/>
      <c r="CO39" s="71"/>
      <c r="CP39" s="71"/>
      <c r="CQ39" s="71"/>
      <c r="CR39" s="71"/>
      <c r="CS39" s="71"/>
      <c r="CT39" s="71"/>
      <c r="CU39" s="71"/>
      <c r="CV39" s="71"/>
    </row>
    <row r="40" spans="5:100" x14ac:dyDescent="0.25">
      <c r="E40" s="71" t="s">
        <v>5</v>
      </c>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2"/>
      <c r="AF40" s="72"/>
      <c r="AG40" s="72"/>
      <c r="AH40" s="72"/>
      <c r="AI40" s="72"/>
      <c r="AJ40" s="72"/>
      <c r="AK40" s="72"/>
      <c r="AL40" s="72"/>
      <c r="AM40" s="72"/>
      <c r="AN40" s="72"/>
      <c r="AO40" s="72"/>
      <c r="AP40" s="72"/>
      <c r="AQ40" s="72"/>
      <c r="AR40" s="72"/>
      <c r="AS40" s="72"/>
      <c r="AT40" s="72" t="str">
        <f t="shared" ref="AT40:AU42" si="41">IF(AT24&lt;0%,"Missed","Beat")</f>
        <v>Missed</v>
      </c>
      <c r="AU40" s="72" t="str">
        <f t="shared" si="41"/>
        <v>Missed</v>
      </c>
      <c r="AV40" s="72" t="str">
        <f t="shared" ref="AV40:AW42" si="42">IF(AV24&lt;0%,"Missed","Beat")</f>
        <v>Missed</v>
      </c>
      <c r="AW40" s="72" t="str">
        <f t="shared" si="42"/>
        <v>Missed</v>
      </c>
      <c r="AX40" s="72"/>
      <c r="AY40" s="72" t="str">
        <f t="shared" ref="AY40:AZ42" si="43">IF(AY24&lt;0%,"Missed","Beat")</f>
        <v>Missed</v>
      </c>
      <c r="AZ40" s="72" t="str">
        <f t="shared" si="43"/>
        <v>Missed</v>
      </c>
      <c r="BA40" s="72" t="str">
        <f t="shared" ref="BA40:BB42" si="44">IF(BA24&lt;0%,"Missed","Beat")</f>
        <v>Missed</v>
      </c>
      <c r="BB40" s="72" t="str">
        <f t="shared" si="44"/>
        <v>Beat</v>
      </c>
      <c r="BC40" s="72"/>
      <c r="BD40" s="72" t="str">
        <f t="shared" ref="BD40:BE42" si="45">IF(BD24&lt;0%,"Missed","Beat")</f>
        <v>Beat</v>
      </c>
      <c r="BE40" s="72" t="str">
        <f t="shared" si="45"/>
        <v>Beat</v>
      </c>
      <c r="BF40" s="72" t="str">
        <f t="shared" ref="BF40:BG42" si="46">IF(BF24&lt;0%,"Missed","Beat")</f>
        <v>Missed</v>
      </c>
      <c r="BG40" s="72" t="str">
        <f t="shared" si="46"/>
        <v>Missed</v>
      </c>
      <c r="BH40" s="72"/>
      <c r="BI40" s="72" t="str">
        <f t="shared" ref="BI40:BJ42" si="47">IF(BI24&lt;0%,"Missed","Beat")</f>
        <v>Beat</v>
      </c>
      <c r="BJ40" s="72" t="str">
        <f t="shared" si="47"/>
        <v>Missed</v>
      </c>
      <c r="BK40" s="72" t="str">
        <f t="shared" ref="BK40:BL42" si="48">IF(BK24&lt;0%,"Missed","Beat")</f>
        <v>Beat</v>
      </c>
      <c r="BL40" s="72" t="str">
        <f t="shared" si="48"/>
        <v>Beat</v>
      </c>
      <c r="BM40" s="72"/>
      <c r="BN40" s="72" t="str">
        <f t="shared" ref="BN40:BO42" si="49">IF(BN24&lt;0%,"Missed","Beat")</f>
        <v>Missed</v>
      </c>
      <c r="BO40" s="72" t="str">
        <f t="shared" si="49"/>
        <v>Missed</v>
      </c>
      <c r="BP40" s="72" t="str">
        <f t="shared" ref="BP40:BQ42" si="50">IF(BP24&lt;0%,"Missed","Beat")</f>
        <v>Beat</v>
      </c>
      <c r="BQ40" s="72" t="str">
        <f t="shared" si="50"/>
        <v>Missed</v>
      </c>
      <c r="BR40" s="72"/>
      <c r="BS40" s="72" t="str">
        <f t="shared" ref="BS40:BT42" si="51">IF(BS24&lt;0%,"Missed","Beat")</f>
        <v>Beat</v>
      </c>
      <c r="BT40" s="72" t="str">
        <f t="shared" si="51"/>
        <v>Beat</v>
      </c>
      <c r="BU40" s="72" t="str">
        <f t="shared" ref="BU40:BV42" si="52">IF(BU24&lt;0%,"Missed","Beat")</f>
        <v>Beat</v>
      </c>
      <c r="BV40" s="72" t="str">
        <f t="shared" si="52"/>
        <v>Beat</v>
      </c>
      <c r="BW40" s="72"/>
      <c r="BX40" s="72" t="str">
        <f t="shared" ref="BX40:BY42" si="53">IF(BX24&lt;0%,"Missed","Beat")</f>
        <v>Beat</v>
      </c>
      <c r="BY40" s="72" t="str">
        <f t="shared" si="53"/>
        <v>Beat</v>
      </c>
      <c r="BZ40" s="72" t="str">
        <f t="shared" ref="BZ40:CA42" si="54">IF(BZ24&lt;0%,"Missed","Beat")</f>
        <v>Beat</v>
      </c>
      <c r="CA40" s="72" t="str">
        <f t="shared" si="54"/>
        <v>Beat</v>
      </c>
      <c r="CB40" s="72"/>
      <c r="CC40" s="72" t="str">
        <f t="shared" ref="CC40:CD42" si="55">IF(CC24&lt;0%,"Missed","Beat")</f>
        <v>Missed</v>
      </c>
      <c r="CD40" s="72" t="str">
        <f t="shared" si="55"/>
        <v>Missed</v>
      </c>
      <c r="CE40" s="72" t="str">
        <f t="shared" ref="CE40:CF40" si="56">IF(CE24&lt;0%,"Missed","Beat")</f>
        <v>Missed</v>
      </c>
      <c r="CF40" s="72" t="str">
        <f t="shared" si="56"/>
        <v>Missed</v>
      </c>
      <c r="CG40" s="72"/>
      <c r="CH40" s="72" t="str">
        <f>IF(CH24&lt;0%,"Missed","Beat")</f>
        <v>Missed</v>
      </c>
      <c r="CI40" s="72"/>
      <c r="CJ40" s="72"/>
      <c r="CK40" s="72"/>
      <c r="CL40" s="72"/>
      <c r="CM40" s="72"/>
      <c r="CN40" s="72"/>
      <c r="CO40" s="72"/>
      <c r="CP40" s="72"/>
      <c r="CQ40" s="72"/>
      <c r="CR40" s="72"/>
      <c r="CS40" s="72"/>
      <c r="CT40" s="72"/>
      <c r="CU40" s="72"/>
      <c r="CV40" s="72"/>
    </row>
    <row r="41" spans="5:100" x14ac:dyDescent="0.25">
      <c r="E41" s="71" t="s">
        <v>96</v>
      </c>
      <c r="F41" s="71"/>
      <c r="G41" s="71"/>
      <c r="H41" s="71"/>
      <c r="I41" s="71"/>
      <c r="J41" s="71"/>
      <c r="K41" s="71"/>
      <c r="L41" s="71"/>
      <c r="M41" s="71"/>
      <c r="N41" s="71"/>
      <c r="O41" s="71"/>
      <c r="P41" s="71"/>
      <c r="Q41" s="71"/>
      <c r="R41" s="71"/>
      <c r="S41" s="71"/>
      <c r="T41" s="71"/>
      <c r="U41" s="71"/>
      <c r="V41" s="71"/>
      <c r="W41" s="71"/>
      <c r="X41" s="71"/>
      <c r="Y41" s="71"/>
      <c r="Z41" s="71"/>
      <c r="AA41" s="71"/>
      <c r="AB41" s="71"/>
      <c r="AC41" s="71"/>
      <c r="AD41" s="71"/>
      <c r="AE41" s="72"/>
      <c r="AF41" s="72"/>
      <c r="AG41" s="72"/>
      <c r="AH41" s="72"/>
      <c r="AI41" s="72"/>
      <c r="AJ41" s="72"/>
      <c r="AK41" s="72"/>
      <c r="AL41" s="72"/>
      <c r="AM41" s="72"/>
      <c r="AN41" s="72"/>
      <c r="AO41" s="72"/>
      <c r="AP41" s="72"/>
      <c r="AQ41" s="72"/>
      <c r="AR41" s="72"/>
      <c r="AS41" s="72"/>
      <c r="AT41" s="72" t="str">
        <f t="shared" si="41"/>
        <v>Beat</v>
      </c>
      <c r="AU41" s="72" t="str">
        <f t="shared" si="41"/>
        <v>Beat</v>
      </c>
      <c r="AV41" s="72" t="str">
        <f t="shared" si="42"/>
        <v>Missed</v>
      </c>
      <c r="AW41" s="72" t="str">
        <f t="shared" si="42"/>
        <v>Beat</v>
      </c>
      <c r="AX41" s="72"/>
      <c r="AY41" s="72" t="str">
        <f t="shared" si="43"/>
        <v>Missed</v>
      </c>
      <c r="AZ41" s="72" t="str">
        <f t="shared" si="43"/>
        <v>Missed</v>
      </c>
      <c r="BA41" s="72" t="str">
        <f t="shared" si="44"/>
        <v>Missed</v>
      </c>
      <c r="BB41" s="72" t="str">
        <f t="shared" si="44"/>
        <v>Beat</v>
      </c>
      <c r="BC41" s="72"/>
      <c r="BD41" s="72" t="str">
        <f t="shared" si="45"/>
        <v>Beat</v>
      </c>
      <c r="BE41" s="72" t="str">
        <f t="shared" si="45"/>
        <v>Beat</v>
      </c>
      <c r="BF41" s="72" t="str">
        <f t="shared" si="46"/>
        <v>Beat</v>
      </c>
      <c r="BG41" s="72" t="str">
        <f t="shared" si="46"/>
        <v>Missed</v>
      </c>
      <c r="BH41" s="72"/>
      <c r="BI41" s="72" t="str">
        <f t="shared" si="47"/>
        <v>Missed</v>
      </c>
      <c r="BJ41" s="72" t="str">
        <f t="shared" si="47"/>
        <v>Beat</v>
      </c>
      <c r="BK41" s="72" t="str">
        <f t="shared" si="48"/>
        <v>Beat</v>
      </c>
      <c r="BL41" s="72" t="str">
        <f t="shared" si="48"/>
        <v>Beat</v>
      </c>
      <c r="BM41" s="72"/>
      <c r="BN41" s="72" t="str">
        <f t="shared" si="49"/>
        <v>Missed</v>
      </c>
      <c r="BO41" s="72" t="str">
        <f t="shared" si="49"/>
        <v>Missed</v>
      </c>
      <c r="BP41" s="72" t="str">
        <f t="shared" si="50"/>
        <v>Beat</v>
      </c>
      <c r="BQ41" s="72" t="str">
        <f t="shared" si="50"/>
        <v>Missed</v>
      </c>
      <c r="BR41" s="72"/>
      <c r="BS41" s="72" t="str">
        <f t="shared" si="51"/>
        <v>Beat</v>
      </c>
      <c r="BT41" s="72" t="str">
        <f t="shared" si="51"/>
        <v>Beat</v>
      </c>
      <c r="BU41" s="72" t="str">
        <f t="shared" si="52"/>
        <v>Beat</v>
      </c>
      <c r="BV41" s="72" t="str">
        <f t="shared" si="52"/>
        <v>Beat</v>
      </c>
      <c r="BW41" s="72"/>
      <c r="BX41" s="72" t="str">
        <f t="shared" si="53"/>
        <v>Beat</v>
      </c>
      <c r="BY41" s="72" t="str">
        <f t="shared" si="53"/>
        <v>Beat</v>
      </c>
      <c r="BZ41" s="72" t="str">
        <f t="shared" si="54"/>
        <v>Beat</v>
      </c>
      <c r="CA41" s="72" t="str">
        <f t="shared" si="54"/>
        <v>Missed</v>
      </c>
      <c r="CB41" s="72"/>
      <c r="CC41" s="72" t="str">
        <f t="shared" si="55"/>
        <v>Missed</v>
      </c>
      <c r="CD41" s="72" t="str">
        <f>IF(CD25&lt;0%,"Missed","Beat")</f>
        <v>Missed</v>
      </c>
      <c r="CE41" s="72" t="str">
        <f>IF(CE25&lt;0%,"Missed","Beat")</f>
        <v>Missed</v>
      </c>
      <c r="CF41" s="72" t="str">
        <f>IF(CF25&lt;0%,"Missed","Beat")</f>
        <v>Missed</v>
      </c>
      <c r="CG41" s="72"/>
      <c r="CH41" s="72" t="str">
        <f>IF(CH25&lt;0%,"Missed","Beat")</f>
        <v>Missed</v>
      </c>
      <c r="CI41" s="72"/>
      <c r="CJ41" s="72"/>
      <c r="CK41" s="72"/>
      <c r="CL41" s="72"/>
      <c r="CM41" s="72"/>
      <c r="CN41" s="72"/>
      <c r="CO41" s="72"/>
      <c r="CP41" s="72"/>
      <c r="CQ41" s="72"/>
      <c r="CR41" s="72"/>
      <c r="CS41" s="72"/>
      <c r="CT41" s="72"/>
      <c r="CU41" s="72"/>
      <c r="CV41" s="72"/>
    </row>
    <row r="42" spans="5:100" x14ac:dyDescent="0.25">
      <c r="E42" s="71" t="s">
        <v>97</v>
      </c>
      <c r="F42" s="71"/>
      <c r="G42" s="71"/>
      <c r="H42" s="71"/>
      <c r="I42" s="71"/>
      <c r="J42" s="71"/>
      <c r="K42" s="71"/>
      <c r="L42" s="71"/>
      <c r="M42" s="71"/>
      <c r="N42" s="71"/>
      <c r="O42" s="71"/>
      <c r="P42" s="71"/>
      <c r="Q42" s="71"/>
      <c r="R42" s="71"/>
      <c r="S42" s="71"/>
      <c r="T42" s="71"/>
      <c r="U42" s="71"/>
      <c r="V42" s="71"/>
      <c r="W42" s="71"/>
      <c r="X42" s="71"/>
      <c r="Y42" s="71"/>
      <c r="Z42" s="71"/>
      <c r="AA42" s="71"/>
      <c r="AB42" s="71"/>
      <c r="AC42" s="71"/>
      <c r="AD42" s="71"/>
      <c r="AE42" s="72"/>
      <c r="AF42" s="72"/>
      <c r="AG42" s="72"/>
      <c r="AH42" s="72"/>
      <c r="AI42" s="72"/>
      <c r="AJ42" s="72"/>
      <c r="AK42" s="72"/>
      <c r="AL42" s="72"/>
      <c r="AM42" s="72"/>
      <c r="AN42" s="72"/>
      <c r="AO42" s="72"/>
      <c r="AP42" s="72"/>
      <c r="AQ42" s="72"/>
      <c r="AR42" s="72"/>
      <c r="AS42" s="72"/>
      <c r="AT42" s="72" t="str">
        <f t="shared" si="41"/>
        <v>Beat</v>
      </c>
      <c r="AU42" s="72" t="str">
        <f t="shared" si="41"/>
        <v>Beat</v>
      </c>
      <c r="AV42" s="72" t="str">
        <f t="shared" si="42"/>
        <v>Missed</v>
      </c>
      <c r="AW42" s="72" t="str">
        <f t="shared" si="42"/>
        <v>Missed</v>
      </c>
      <c r="AX42" s="72"/>
      <c r="AY42" s="72" t="str">
        <f t="shared" si="43"/>
        <v>Beat</v>
      </c>
      <c r="AZ42" s="72" t="str">
        <f t="shared" si="43"/>
        <v>Beat</v>
      </c>
      <c r="BA42" s="72" t="str">
        <f t="shared" si="44"/>
        <v>Beat</v>
      </c>
      <c r="BB42" s="72" t="str">
        <f t="shared" si="44"/>
        <v>Beat</v>
      </c>
      <c r="BC42" s="72"/>
      <c r="BD42" s="72" t="str">
        <f t="shared" si="45"/>
        <v>Beat</v>
      </c>
      <c r="BE42" s="72" t="str">
        <f t="shared" si="45"/>
        <v>Beat</v>
      </c>
      <c r="BF42" s="72" t="str">
        <f t="shared" si="46"/>
        <v>Beat</v>
      </c>
      <c r="BG42" s="72" t="str">
        <f t="shared" si="46"/>
        <v>Beat</v>
      </c>
      <c r="BH42" s="72"/>
      <c r="BI42" s="72" t="str">
        <f t="shared" si="47"/>
        <v>Beat</v>
      </c>
      <c r="BJ42" s="72" t="str">
        <f t="shared" si="47"/>
        <v>Missed</v>
      </c>
      <c r="BK42" s="72" t="str">
        <f t="shared" si="48"/>
        <v>Beat</v>
      </c>
      <c r="BL42" s="72" t="str">
        <f t="shared" si="48"/>
        <v>Beat</v>
      </c>
      <c r="BM42" s="72"/>
      <c r="BN42" s="72" t="str">
        <f t="shared" si="49"/>
        <v>Missed</v>
      </c>
      <c r="BO42" s="72" t="str">
        <f t="shared" si="49"/>
        <v>Missed</v>
      </c>
      <c r="BP42" s="72" t="str">
        <f t="shared" si="50"/>
        <v>Beat</v>
      </c>
      <c r="BQ42" s="72" t="str">
        <f t="shared" si="50"/>
        <v>Missed</v>
      </c>
      <c r="BR42" s="72"/>
      <c r="BS42" s="72" t="str">
        <f t="shared" si="51"/>
        <v>Beat</v>
      </c>
      <c r="BT42" s="72" t="str">
        <f t="shared" si="51"/>
        <v>Beat</v>
      </c>
      <c r="BU42" s="72" t="str">
        <f t="shared" si="52"/>
        <v>Beat</v>
      </c>
      <c r="BV42" s="72" t="str">
        <f t="shared" si="52"/>
        <v>Beat</v>
      </c>
      <c r="BW42" s="72"/>
      <c r="BX42" s="72" t="str">
        <f t="shared" si="53"/>
        <v>Beat</v>
      </c>
      <c r="BY42" s="72" t="str">
        <f t="shared" si="53"/>
        <v>Beat</v>
      </c>
      <c r="BZ42" s="72" t="str">
        <f t="shared" si="54"/>
        <v>Beat</v>
      </c>
      <c r="CA42" s="72" t="str">
        <f t="shared" si="54"/>
        <v>Beat</v>
      </c>
      <c r="CB42" s="72"/>
      <c r="CC42" s="72" t="str">
        <f t="shared" si="55"/>
        <v>Missed</v>
      </c>
      <c r="CD42" s="72" t="str">
        <f>IF(CD26&lt;0%,"Missed","Beat")</f>
        <v>Missed</v>
      </c>
      <c r="CE42" s="72" t="str">
        <f t="shared" ref="CE42:CF42" si="57">IF(CE26&lt;0%,"Missed","Beat")</f>
        <v>Missed</v>
      </c>
      <c r="CF42" s="72" t="str">
        <f t="shared" si="57"/>
        <v>Missed</v>
      </c>
      <c r="CG42" s="72"/>
      <c r="CH42" s="72" t="str">
        <f>IF(CH26&lt;0%,"Missed","Beat")</f>
        <v>Missed</v>
      </c>
      <c r="CI42" s="72"/>
      <c r="CJ42" s="72"/>
      <c r="CK42" s="72"/>
      <c r="CL42" s="72"/>
      <c r="CM42" s="72"/>
      <c r="CN42" s="72"/>
      <c r="CO42" s="72"/>
      <c r="CP42" s="72"/>
      <c r="CQ42" s="72"/>
      <c r="CR42" s="72"/>
      <c r="CS42" s="72"/>
      <c r="CT42" s="72"/>
      <c r="CU42" s="72"/>
      <c r="CV42" s="72"/>
    </row>
    <row r="43" spans="5:100" ht="3.95" customHeight="1" x14ac:dyDescent="0.25">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4"/>
      <c r="AF43" s="74"/>
      <c r="AG43" s="74"/>
      <c r="AH43" s="74"/>
      <c r="AI43" s="74"/>
      <c r="AJ43" s="74"/>
      <c r="AK43" s="74"/>
      <c r="AL43" s="74"/>
      <c r="AM43" s="74"/>
      <c r="AN43" s="74"/>
      <c r="AO43" s="74"/>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4"/>
      <c r="BO43" s="74"/>
      <c r="BP43" s="74"/>
      <c r="BQ43" s="74"/>
      <c r="BR43" s="74"/>
      <c r="BS43" s="74"/>
      <c r="BT43" s="74"/>
      <c r="BU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c r="CV43" s="74"/>
    </row>
    <row r="44" spans="5:100" ht="13.5" x14ac:dyDescent="0.25">
      <c r="E44" s="70" t="s">
        <v>123</v>
      </c>
      <c r="F44" s="71"/>
      <c r="G44" s="71"/>
      <c r="H44" s="71"/>
      <c r="I44" s="71"/>
      <c r="J44" s="71"/>
      <c r="K44" s="71"/>
      <c r="L44" s="71"/>
      <c r="M44" s="71"/>
      <c r="N44" s="71"/>
      <c r="O44" s="71"/>
      <c r="P44" s="71"/>
      <c r="Q44" s="71"/>
      <c r="R44" s="71"/>
      <c r="S44" s="71"/>
      <c r="T44" s="71"/>
      <c r="U44" s="71"/>
      <c r="V44" s="71"/>
      <c r="W44" s="71"/>
      <c r="X44" s="71"/>
      <c r="Y44" s="71"/>
      <c r="Z44" s="71"/>
      <c r="AA44" s="71"/>
      <c r="AB44" s="71"/>
      <c r="AC44" s="71"/>
      <c r="AD44" s="71"/>
      <c r="AE44" s="74"/>
      <c r="AF44" s="74"/>
      <c r="AG44" s="74"/>
      <c r="AH44" s="74"/>
      <c r="AI44" s="74"/>
      <c r="AJ44" s="74"/>
      <c r="AK44" s="74"/>
      <c r="AL44" s="74"/>
      <c r="AM44" s="74"/>
      <c r="AN44" s="74"/>
      <c r="AO44" s="74"/>
      <c r="AP44" s="74"/>
      <c r="AQ44" s="74"/>
      <c r="AR44" s="74"/>
      <c r="AS44" s="74"/>
      <c r="AT44" s="74"/>
      <c r="AU44" s="74"/>
      <c r="AV44" s="74"/>
      <c r="AW44" s="74"/>
      <c r="AX44" s="74"/>
      <c r="AY44" s="74"/>
      <c r="AZ44" s="74"/>
      <c r="BA44" s="74"/>
      <c r="BB44" s="74"/>
      <c r="BC44" s="74"/>
      <c r="BD44" s="74"/>
      <c r="BE44" s="74"/>
      <c r="BF44" s="74"/>
      <c r="BG44" s="74"/>
      <c r="BH44" s="74"/>
      <c r="BI44" s="74"/>
      <c r="BJ44" s="74"/>
      <c r="BK44" s="74"/>
      <c r="BL44" s="74"/>
      <c r="BM44" s="74"/>
      <c r="BN44" s="74"/>
      <c r="BO44" s="74"/>
      <c r="BP44" s="74"/>
      <c r="BQ44" s="74"/>
      <c r="BR44" s="74"/>
      <c r="BS44" s="74"/>
      <c r="BT44" s="74"/>
      <c r="BU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c r="CV44" s="74"/>
    </row>
    <row r="45" spans="5:100" x14ac:dyDescent="0.25">
      <c r="E45" s="71" t="s">
        <v>5</v>
      </c>
      <c r="F45" s="71"/>
      <c r="G45" s="71"/>
      <c r="H45" s="71"/>
      <c r="I45" s="71"/>
      <c r="J45" s="71"/>
      <c r="K45" s="71"/>
      <c r="L45" s="71"/>
      <c r="M45" s="71"/>
      <c r="N45" s="71"/>
      <c r="O45" s="71"/>
      <c r="P45" s="71"/>
      <c r="Q45" s="71"/>
      <c r="R45" s="71"/>
      <c r="S45" s="71"/>
      <c r="T45" s="71"/>
      <c r="U45" s="71"/>
      <c r="V45" s="71"/>
      <c r="W45" s="71"/>
      <c r="X45" s="71"/>
      <c r="Y45" s="71"/>
      <c r="Z45" s="71"/>
      <c r="AA45" s="71"/>
      <c r="AB45" s="71"/>
      <c r="AC45" s="71"/>
      <c r="AD45" s="71"/>
      <c r="AE45" s="72"/>
      <c r="AF45" s="72"/>
      <c r="AG45" s="72"/>
      <c r="AH45" s="72"/>
      <c r="AI45" s="72"/>
      <c r="AJ45" s="72" t="str">
        <f>IF(AJ29&lt;0%,"Missed","Beat")</f>
        <v>Beat</v>
      </c>
      <c r="AK45" s="72" t="str">
        <f>IF(AK29&lt;0%,"Missed","Beat")</f>
        <v>Missed</v>
      </c>
      <c r="AL45" s="72" t="str">
        <f>IF(AL29&lt;0%,"Missed","Beat")</f>
        <v>Missed</v>
      </c>
      <c r="AM45" s="72" t="str">
        <f>IF(AM29&lt;0%,"Missed","Beat")</f>
        <v>Missed</v>
      </c>
      <c r="AN45" s="72"/>
      <c r="AO45" s="72" t="str">
        <f t="shared" ref="AO45:AR47" si="58">IF(AO29&lt;0%,"Missed","Beat")</f>
        <v>Beat</v>
      </c>
      <c r="AP45" s="72" t="str">
        <f t="shared" si="58"/>
        <v>Beat</v>
      </c>
      <c r="AQ45" s="72" t="str">
        <f t="shared" si="58"/>
        <v>Beat</v>
      </c>
      <c r="AR45" s="72" t="e">
        <f t="shared" ca="1" si="58"/>
        <v>#NAME?</v>
      </c>
      <c r="AS45" s="72"/>
      <c r="AT45" s="72" t="str">
        <f t="shared" ref="AT45:AU47" si="59">IF(AT29&lt;0%,"Missed","Beat")</f>
        <v>Missed</v>
      </c>
      <c r="AU45" s="72" t="str">
        <f t="shared" si="59"/>
        <v>Missed</v>
      </c>
      <c r="AV45" s="72" t="str">
        <f t="shared" ref="AV45:AW47" si="60">IF(AV29&lt;0%,"Missed","Beat")</f>
        <v>Missed</v>
      </c>
      <c r="AW45" s="72" t="str">
        <f t="shared" si="60"/>
        <v>Missed</v>
      </c>
      <c r="AX45" s="72"/>
      <c r="AY45" s="72" t="str">
        <f t="shared" ref="AY45:AZ47" si="61">IF(AY29&lt;0%,"Missed","Beat")</f>
        <v>Missed</v>
      </c>
      <c r="AZ45" s="72" t="str">
        <f t="shared" si="61"/>
        <v>Missed</v>
      </c>
      <c r="BA45" s="72" t="str">
        <f t="shared" ref="BA45:BB47" si="62">IF(BA29&lt;0%,"Missed","Beat")</f>
        <v>Missed</v>
      </c>
      <c r="BB45" s="72" t="str">
        <f t="shared" si="62"/>
        <v>Beat</v>
      </c>
      <c r="BC45" s="72"/>
      <c r="BD45" s="72" t="str">
        <f t="shared" ref="BD45:BE47" si="63">IF(BD29&lt;0%,"Missed","Beat")</f>
        <v>Beat</v>
      </c>
      <c r="BE45" s="72" t="str">
        <f t="shared" si="63"/>
        <v>Beat</v>
      </c>
      <c r="BF45" s="72" t="str">
        <f t="shared" ref="BF45:BG47" si="64">IF(BF29&lt;0%,"Missed","Beat")</f>
        <v>Missed</v>
      </c>
      <c r="BG45" s="72" t="str">
        <f t="shared" si="64"/>
        <v>Missed</v>
      </c>
      <c r="BH45" s="72"/>
      <c r="BI45" s="72" t="str">
        <f t="shared" ref="BI45:BJ47" si="65">IF(BI29&lt;0%,"Missed","Beat")</f>
        <v>Beat</v>
      </c>
      <c r="BJ45" s="72" t="str">
        <f t="shared" si="65"/>
        <v>Missed</v>
      </c>
      <c r="BK45" s="72" t="str">
        <f t="shared" ref="BK45:BL47" si="66">IF(BK29&lt;0%,"Missed","Beat")</f>
        <v>Beat</v>
      </c>
      <c r="BL45" s="72" t="str">
        <f t="shared" si="66"/>
        <v>Missed</v>
      </c>
      <c r="BM45" s="72"/>
      <c r="BN45" s="72" t="str">
        <f t="shared" ref="BN45:BO47" si="67">IF(BN29&lt;0%,"Missed","Beat")</f>
        <v>Missed</v>
      </c>
      <c r="BO45" s="72" t="str">
        <f t="shared" si="67"/>
        <v>Missed</v>
      </c>
      <c r="BP45" s="72" t="e">
        <f t="shared" ref="BP45:BQ47" ca="1" si="68">IF(BP29&lt;0%,"Missed","Beat")</f>
        <v>#NAME?</v>
      </c>
      <c r="BQ45" s="72" t="str">
        <f t="shared" si="68"/>
        <v>Missed</v>
      </c>
      <c r="BR45" s="72"/>
      <c r="BS45" s="72" t="str">
        <f t="shared" ref="BS45:BT47" si="69">IF(BS29&lt;0%,"Missed","Beat")</f>
        <v>Beat</v>
      </c>
      <c r="BT45" s="72" t="str">
        <f t="shared" si="69"/>
        <v>Beat</v>
      </c>
      <c r="BU45" s="72" t="str">
        <f t="shared" ref="BU45:BV47" si="70">IF(BU29&lt;0%,"Missed","Beat")</f>
        <v>Beat</v>
      </c>
      <c r="BV45" s="72" t="str">
        <f t="shared" si="70"/>
        <v>Beat</v>
      </c>
      <c r="BW45" s="72"/>
      <c r="BX45" s="72" t="str">
        <f t="shared" ref="BX45:BY47" si="71">IF(BX29&lt;0%,"Missed","Beat")</f>
        <v>Beat</v>
      </c>
      <c r="BY45" s="72" t="str">
        <f t="shared" si="71"/>
        <v>Beat</v>
      </c>
      <c r="BZ45" s="72" t="str">
        <f t="shared" ref="BZ45:CA47" si="72">IF(BZ29&lt;0%,"Missed","Beat")</f>
        <v>Beat</v>
      </c>
      <c r="CA45" s="72" t="str">
        <f t="shared" si="72"/>
        <v>Beat</v>
      </c>
      <c r="CB45" s="72"/>
      <c r="CC45" s="72" t="e">
        <f t="shared" ref="CC45:CD47" ca="1" si="73">IF(CC29&lt;0%,"Missed","Beat")</f>
        <v>#NAME?</v>
      </c>
      <c r="CD45" s="72" t="str">
        <f t="shared" si="73"/>
        <v>Missed</v>
      </c>
      <c r="CE45" s="72" t="str">
        <f t="shared" ref="CE45:CF45" si="74">IF(CE29&lt;0%,"Missed","Beat")</f>
        <v>Missed</v>
      </c>
      <c r="CF45" s="72" t="str">
        <f t="shared" si="74"/>
        <v>Missed</v>
      </c>
      <c r="CG45" s="72"/>
      <c r="CH45" s="72" t="str">
        <f>IF(CH29&lt;0%,"Missed","Beat")</f>
        <v>Missed</v>
      </c>
      <c r="CI45" s="72"/>
      <c r="CJ45" s="72"/>
      <c r="CK45" s="72"/>
      <c r="CL45" s="72"/>
      <c r="CM45" s="72"/>
      <c r="CN45" s="72"/>
      <c r="CO45" s="72"/>
      <c r="CP45" s="72"/>
      <c r="CQ45" s="72"/>
      <c r="CR45" s="72"/>
      <c r="CS45" s="72"/>
      <c r="CT45" s="72"/>
      <c r="CU45" s="72"/>
      <c r="CV45" s="72"/>
    </row>
    <row r="46" spans="5:100" x14ac:dyDescent="0.25">
      <c r="E46" s="71" t="s">
        <v>96</v>
      </c>
      <c r="F46" s="71"/>
      <c r="G46" s="71"/>
      <c r="H46" s="71"/>
      <c r="I46" s="71"/>
      <c r="J46" s="71"/>
      <c r="K46" s="71"/>
      <c r="L46" s="71"/>
      <c r="M46" s="71"/>
      <c r="N46" s="71"/>
      <c r="O46" s="71"/>
      <c r="P46" s="71"/>
      <c r="Q46" s="71"/>
      <c r="R46" s="71"/>
      <c r="S46" s="71"/>
      <c r="T46" s="71"/>
      <c r="U46" s="71"/>
      <c r="V46" s="71"/>
      <c r="W46" s="71"/>
      <c r="X46" s="71"/>
      <c r="Y46" s="71"/>
      <c r="Z46" s="71"/>
      <c r="AA46" s="71"/>
      <c r="AB46" s="71"/>
      <c r="AC46" s="71"/>
      <c r="AD46" s="71"/>
      <c r="AE46" s="72"/>
      <c r="AF46" s="72"/>
      <c r="AG46" s="72"/>
      <c r="AH46" s="72"/>
      <c r="AI46" s="72"/>
      <c r="AJ46" s="72" t="str">
        <f t="shared" ref="AJ46:AM47" si="75">IF(AJ30&lt;0%,"Missed","Beat")</f>
        <v>Beat</v>
      </c>
      <c r="AK46" s="72" t="str">
        <f t="shared" si="75"/>
        <v>Beat</v>
      </c>
      <c r="AL46" s="72" t="str">
        <f t="shared" si="75"/>
        <v>Beat</v>
      </c>
      <c r="AM46" s="72" t="str">
        <f t="shared" si="75"/>
        <v>Beat</v>
      </c>
      <c r="AN46" s="72"/>
      <c r="AO46" s="72" t="str">
        <f t="shared" si="58"/>
        <v>Missed</v>
      </c>
      <c r="AP46" s="72" t="str">
        <f t="shared" si="58"/>
        <v>Beat</v>
      </c>
      <c r="AQ46" s="72" t="str">
        <f t="shared" si="58"/>
        <v>Beat</v>
      </c>
      <c r="AR46" s="72" t="e">
        <f t="shared" ca="1" si="58"/>
        <v>#NAME?</v>
      </c>
      <c r="AS46" s="72"/>
      <c r="AT46" s="72" t="str">
        <f t="shared" si="59"/>
        <v>Missed</v>
      </c>
      <c r="AU46" s="72" t="str">
        <f t="shared" si="59"/>
        <v>Beat</v>
      </c>
      <c r="AV46" s="72" t="str">
        <f t="shared" si="60"/>
        <v>Missed</v>
      </c>
      <c r="AW46" s="72" t="str">
        <f t="shared" si="60"/>
        <v>Beat</v>
      </c>
      <c r="AX46" s="72"/>
      <c r="AY46" s="72" t="str">
        <f t="shared" si="61"/>
        <v>Beat</v>
      </c>
      <c r="AZ46" s="72" t="str">
        <f t="shared" si="61"/>
        <v>Beat</v>
      </c>
      <c r="BA46" s="72" t="str">
        <f t="shared" si="62"/>
        <v>Missed</v>
      </c>
      <c r="BB46" s="72" t="str">
        <f t="shared" si="62"/>
        <v>Beat</v>
      </c>
      <c r="BC46" s="72"/>
      <c r="BD46" s="72" t="str">
        <f t="shared" si="63"/>
        <v>Beat</v>
      </c>
      <c r="BE46" s="72" t="str">
        <f t="shared" si="63"/>
        <v>Beat</v>
      </c>
      <c r="BF46" s="72" t="str">
        <f t="shared" si="64"/>
        <v>Beat</v>
      </c>
      <c r="BG46" s="72" t="str">
        <f t="shared" si="64"/>
        <v>Beat</v>
      </c>
      <c r="BH46" s="72"/>
      <c r="BI46" s="72" t="str">
        <f t="shared" si="65"/>
        <v>Beat</v>
      </c>
      <c r="BJ46" s="72" t="str">
        <f t="shared" si="65"/>
        <v>Beat</v>
      </c>
      <c r="BK46" s="72" t="str">
        <f t="shared" si="66"/>
        <v>Beat</v>
      </c>
      <c r="BL46" s="72" t="str">
        <f t="shared" si="66"/>
        <v>Beat</v>
      </c>
      <c r="BM46" s="72"/>
      <c r="BN46" s="72" t="str">
        <f t="shared" si="67"/>
        <v>Missed</v>
      </c>
      <c r="BO46" s="72" t="str">
        <f t="shared" si="67"/>
        <v>Missed</v>
      </c>
      <c r="BP46" s="72" t="e">
        <f t="shared" ca="1" si="68"/>
        <v>#NAME?</v>
      </c>
      <c r="BQ46" s="72" t="str">
        <f t="shared" si="68"/>
        <v>Missed</v>
      </c>
      <c r="BR46" s="72"/>
      <c r="BS46" s="72" t="str">
        <f t="shared" si="69"/>
        <v>Beat</v>
      </c>
      <c r="BT46" s="72" t="str">
        <f t="shared" si="69"/>
        <v>Beat</v>
      </c>
      <c r="BU46" s="72" t="str">
        <f t="shared" si="70"/>
        <v>Beat</v>
      </c>
      <c r="BV46" s="72" t="str">
        <f t="shared" si="70"/>
        <v>Beat</v>
      </c>
      <c r="BW46" s="72"/>
      <c r="BX46" s="72" t="str">
        <f t="shared" si="71"/>
        <v>Beat</v>
      </c>
      <c r="BY46" s="72" t="str">
        <f t="shared" si="71"/>
        <v>Beat</v>
      </c>
      <c r="BZ46" s="72" t="str">
        <f t="shared" si="72"/>
        <v>Beat</v>
      </c>
      <c r="CA46" s="72" t="str">
        <f t="shared" si="72"/>
        <v>Missed</v>
      </c>
      <c r="CB46" s="72"/>
      <c r="CC46" s="72" t="e">
        <f ca="1">IF(CC30&lt;0%,"Missed","Beat")</f>
        <v>#NAME?</v>
      </c>
      <c r="CD46" s="72" t="str">
        <f>IF(CD30&lt;0%,"Missed","Beat")</f>
        <v>Missed</v>
      </c>
      <c r="CE46" s="72" t="str">
        <f>IF(CE30&lt;0%,"Missed","Beat")</f>
        <v>Missed</v>
      </c>
      <c r="CF46" s="72" t="str">
        <f t="shared" ref="CF46" si="76">IF(CF30&lt;0%,"Missed","Beat")</f>
        <v>Missed</v>
      </c>
      <c r="CG46" s="72"/>
      <c r="CH46" s="72" t="str">
        <f>IF(CH30&lt;0%,"Missed","Beat")</f>
        <v>Missed</v>
      </c>
      <c r="CI46" s="72"/>
      <c r="CJ46" s="72"/>
      <c r="CK46" s="72"/>
      <c r="CL46" s="72"/>
      <c r="CM46" s="72"/>
      <c r="CN46" s="72"/>
      <c r="CO46" s="72"/>
      <c r="CP46" s="72"/>
      <c r="CQ46" s="72"/>
      <c r="CR46" s="72"/>
      <c r="CS46" s="72"/>
      <c r="CT46" s="72"/>
      <c r="CU46" s="72"/>
      <c r="CV46" s="72"/>
    </row>
    <row r="47" spans="5:100" x14ac:dyDescent="0.25">
      <c r="E47" s="71" t="s">
        <v>97</v>
      </c>
      <c r="F47" s="71"/>
      <c r="G47" s="71"/>
      <c r="H47" s="71"/>
      <c r="I47" s="71"/>
      <c r="J47" s="71"/>
      <c r="K47" s="71"/>
      <c r="L47" s="71"/>
      <c r="M47" s="71"/>
      <c r="N47" s="71"/>
      <c r="O47" s="71"/>
      <c r="P47" s="71"/>
      <c r="Q47" s="71"/>
      <c r="R47" s="71"/>
      <c r="S47" s="71"/>
      <c r="T47" s="71"/>
      <c r="U47" s="71"/>
      <c r="V47" s="71"/>
      <c r="W47" s="71"/>
      <c r="X47" s="71"/>
      <c r="Y47" s="71"/>
      <c r="Z47" s="71"/>
      <c r="AA47" s="71"/>
      <c r="AB47" s="71"/>
      <c r="AC47" s="71"/>
      <c r="AD47" s="71"/>
      <c r="AE47" s="72"/>
      <c r="AF47" s="72"/>
      <c r="AG47" s="72"/>
      <c r="AH47" s="72"/>
      <c r="AI47" s="72"/>
      <c r="AJ47" s="72" t="str">
        <f t="shared" si="75"/>
        <v>Beat</v>
      </c>
      <c r="AK47" s="72" t="str">
        <f t="shared" si="75"/>
        <v>Beat</v>
      </c>
      <c r="AL47" s="72" t="str">
        <f t="shared" si="75"/>
        <v>Beat</v>
      </c>
      <c r="AM47" s="72" t="str">
        <f t="shared" si="75"/>
        <v>Beat</v>
      </c>
      <c r="AN47" s="72"/>
      <c r="AO47" s="72" t="str">
        <f t="shared" si="58"/>
        <v>Beat</v>
      </c>
      <c r="AP47" s="72" t="str">
        <f t="shared" si="58"/>
        <v>Beat</v>
      </c>
      <c r="AQ47" s="72" t="str">
        <f t="shared" si="58"/>
        <v>Beat</v>
      </c>
      <c r="AR47" s="72" t="e">
        <f t="shared" ca="1" si="58"/>
        <v>#NAME?</v>
      </c>
      <c r="AS47" s="72"/>
      <c r="AT47" s="72" t="str">
        <f t="shared" si="59"/>
        <v>Beat</v>
      </c>
      <c r="AU47" s="72" t="str">
        <f t="shared" si="59"/>
        <v>Beat</v>
      </c>
      <c r="AV47" s="72" t="str">
        <f t="shared" si="60"/>
        <v>Missed</v>
      </c>
      <c r="AW47" s="72" t="str">
        <f t="shared" si="60"/>
        <v>Beat</v>
      </c>
      <c r="AX47" s="72"/>
      <c r="AY47" s="72" t="str">
        <f t="shared" si="61"/>
        <v>Beat</v>
      </c>
      <c r="AZ47" s="72" t="str">
        <f t="shared" si="61"/>
        <v>Beat</v>
      </c>
      <c r="BA47" s="72" t="str">
        <f t="shared" si="62"/>
        <v>Beat</v>
      </c>
      <c r="BB47" s="72" t="str">
        <f t="shared" si="62"/>
        <v>Beat</v>
      </c>
      <c r="BC47" s="72"/>
      <c r="BD47" s="72" t="str">
        <f t="shared" si="63"/>
        <v>Beat</v>
      </c>
      <c r="BE47" s="72" t="str">
        <f t="shared" si="63"/>
        <v>Beat</v>
      </c>
      <c r="BF47" s="72" t="str">
        <f t="shared" si="64"/>
        <v>Beat</v>
      </c>
      <c r="BG47" s="72" t="str">
        <f t="shared" si="64"/>
        <v>Beat</v>
      </c>
      <c r="BH47" s="72"/>
      <c r="BI47" s="72" t="str">
        <f t="shared" si="65"/>
        <v>Beat</v>
      </c>
      <c r="BJ47" s="72" t="str">
        <f t="shared" si="65"/>
        <v>Missed</v>
      </c>
      <c r="BK47" s="72" t="str">
        <f t="shared" si="66"/>
        <v>Beat</v>
      </c>
      <c r="BL47" s="72" t="str">
        <f t="shared" si="66"/>
        <v>Beat</v>
      </c>
      <c r="BM47" s="72"/>
      <c r="BN47" s="72" t="str">
        <f t="shared" si="67"/>
        <v>Missed</v>
      </c>
      <c r="BO47" s="72" t="str">
        <f t="shared" si="67"/>
        <v>Missed</v>
      </c>
      <c r="BP47" s="72" t="e">
        <f t="shared" ca="1" si="68"/>
        <v>#NAME?</v>
      </c>
      <c r="BQ47" s="72" t="str">
        <f t="shared" si="68"/>
        <v>Missed</v>
      </c>
      <c r="BR47" s="72"/>
      <c r="BS47" s="72" t="str">
        <f t="shared" si="69"/>
        <v>Beat</v>
      </c>
      <c r="BT47" s="72" t="str">
        <f t="shared" si="69"/>
        <v>Beat</v>
      </c>
      <c r="BU47" s="72" t="str">
        <f t="shared" si="70"/>
        <v>Beat</v>
      </c>
      <c r="BV47" s="72" t="str">
        <f t="shared" si="70"/>
        <v>Beat</v>
      </c>
      <c r="BW47" s="72"/>
      <c r="BX47" s="72" t="str">
        <f t="shared" si="71"/>
        <v>Beat</v>
      </c>
      <c r="BY47" s="72" t="str">
        <f t="shared" si="71"/>
        <v>Beat</v>
      </c>
      <c r="BZ47" s="72" t="str">
        <f t="shared" si="72"/>
        <v>Beat</v>
      </c>
      <c r="CA47" s="72" t="str">
        <f t="shared" si="72"/>
        <v>Missed</v>
      </c>
      <c r="CB47" s="72"/>
      <c r="CC47" s="72" t="e">
        <f t="shared" ca="1" si="73"/>
        <v>#NAME?</v>
      </c>
      <c r="CD47" s="72" t="str">
        <f t="shared" si="73"/>
        <v>Missed</v>
      </c>
      <c r="CE47" s="72" t="str">
        <f t="shared" ref="CE47:CF47" si="77">IF(CE31&lt;0%,"Missed","Beat")</f>
        <v>Missed</v>
      </c>
      <c r="CF47" s="72" t="str">
        <f t="shared" si="77"/>
        <v>Missed</v>
      </c>
      <c r="CG47" s="72"/>
      <c r="CH47" s="72" t="str">
        <f>IF(CH31&lt;0%,"Missed","Beat")</f>
        <v>Missed</v>
      </c>
      <c r="CI47" s="72"/>
      <c r="CJ47" s="72"/>
      <c r="CK47" s="72"/>
      <c r="CL47" s="72"/>
      <c r="CM47" s="72"/>
      <c r="CN47" s="72"/>
      <c r="CO47" s="72"/>
      <c r="CP47" s="72"/>
      <c r="CQ47" s="72"/>
      <c r="CR47" s="72"/>
      <c r="CS47" s="72"/>
      <c r="CT47" s="72"/>
      <c r="CU47" s="72"/>
      <c r="CV47" s="72"/>
    </row>
    <row r="48" spans="5:100" ht="3.95" customHeight="1" x14ac:dyDescent="0.25">
      <c r="CH48" s="720"/>
    </row>
    <row r="49" spans="5:86" x14ac:dyDescent="0.25">
      <c r="E49" s="47" t="s">
        <v>469</v>
      </c>
      <c r="BB49" s="470">
        <v>41044</v>
      </c>
      <c r="BD49" s="470">
        <v>41120</v>
      </c>
      <c r="BE49" s="470">
        <v>41207</v>
      </c>
      <c r="BF49" s="470">
        <v>41304</v>
      </c>
      <c r="BG49" s="470">
        <v>41409</v>
      </c>
      <c r="BI49" s="470">
        <v>41486</v>
      </c>
      <c r="BJ49" s="470">
        <v>41584</v>
      </c>
      <c r="BK49" s="470">
        <v>41668</v>
      </c>
      <c r="BL49" s="470">
        <v>41773</v>
      </c>
      <c r="BN49" s="470">
        <v>41855</v>
      </c>
      <c r="BO49" s="470">
        <v>41946</v>
      </c>
      <c r="BP49" s="470">
        <v>42039</v>
      </c>
      <c r="BQ49" s="470">
        <v>42145</v>
      </c>
      <c r="BS49" s="470">
        <v>42221</v>
      </c>
      <c r="BT49" s="470">
        <v>42312</v>
      </c>
      <c r="BU49" s="470">
        <v>42404</v>
      </c>
      <c r="BV49" s="470">
        <v>42507</v>
      </c>
      <c r="BX49" s="470">
        <v>42586</v>
      </c>
      <c r="BY49" s="470">
        <v>42681</v>
      </c>
      <c r="BZ49" s="470">
        <v>42766</v>
      </c>
      <c r="CA49" s="470">
        <v>42871</v>
      </c>
      <c r="CC49" s="470">
        <v>42950</v>
      </c>
      <c r="CD49" s="470">
        <v>43040</v>
      </c>
      <c r="CE49" s="470">
        <v>43137</v>
      </c>
      <c r="CF49" s="470">
        <v>43236</v>
      </c>
      <c r="CH49" s="470">
        <v>43321</v>
      </c>
    </row>
  </sheetData>
  <phoneticPr fontId="7" type="noConversion"/>
  <pageMargins left="0.75" right="0.75" top="1" bottom="1" header="0.5" footer="0.5"/>
  <pageSetup orientation="portrait" r:id="rId1"/>
  <headerFooter alignWithMargins="0">
    <oddFooter>&amp;R&amp;"Book Antiqua,Regular"&amp;8Daniel Salmon
BMO Capital Markets
 (212) 885-4029</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L229"/>
  <sheetViews>
    <sheetView showGridLines="0" topLeftCell="A186" zoomScaleNormal="75" workbookViewId="0">
      <selection activeCell="R200" sqref="R200"/>
    </sheetView>
  </sheetViews>
  <sheetFormatPr defaultColWidth="9.33203125" defaultRowHeight="12.75" x14ac:dyDescent="0.25"/>
  <cols>
    <col min="1" max="1" width="1.83203125" style="22" customWidth="1"/>
    <col min="2" max="2" width="31.6640625" style="22" customWidth="1"/>
    <col min="3" max="6" width="10.83203125" style="22" customWidth="1"/>
    <col min="7" max="7" width="52.5" style="22" customWidth="1"/>
    <col min="8" max="16384" width="9.33203125" style="22"/>
  </cols>
  <sheetData>
    <row r="2" spans="2:7" ht="13.5" x14ac:dyDescent="0.25">
      <c r="B2" s="1" t="str">
        <f>Income!E2</f>
        <v>LiveRamp</v>
      </c>
      <c r="C2" s="1"/>
    </row>
    <row r="3" spans="2:7" ht="12" customHeight="1" x14ac:dyDescent="0.25">
      <c r="B3" s="75" t="s">
        <v>124</v>
      </c>
      <c r="C3" s="75"/>
      <c r="D3" s="76"/>
      <c r="E3" s="76"/>
      <c r="F3" s="76"/>
      <c r="G3" s="76"/>
    </row>
    <row r="4" spans="2:7" ht="12" customHeight="1" x14ac:dyDescent="0.25">
      <c r="B4" s="75" t="s">
        <v>125</v>
      </c>
      <c r="C4" s="75"/>
      <c r="D4" s="76"/>
      <c r="E4" s="76"/>
      <c r="F4" s="76"/>
      <c r="G4" s="76"/>
    </row>
    <row r="5" spans="2:7" ht="12" customHeight="1" x14ac:dyDescent="0.25">
      <c r="B5" s="75"/>
      <c r="C5" s="75"/>
      <c r="D5" s="76"/>
      <c r="E5" s="76"/>
      <c r="F5" s="76"/>
      <c r="G5" s="76"/>
    </row>
    <row r="6" spans="2:7" ht="12" customHeight="1" x14ac:dyDescent="0.25">
      <c r="B6" s="69" t="s">
        <v>392</v>
      </c>
    </row>
    <row r="7" spans="2:7" ht="12" customHeight="1" thickBot="1" x14ac:dyDescent="0.3"/>
    <row r="8" spans="2:7" ht="12" customHeight="1" thickTop="1" x14ac:dyDescent="0.25">
      <c r="B8" s="395" t="s">
        <v>393</v>
      </c>
      <c r="C8" s="77"/>
      <c r="D8" s="78"/>
      <c r="E8" s="78"/>
      <c r="F8" s="78"/>
      <c r="G8" s="79"/>
    </row>
    <row r="9" spans="2:7" ht="12" customHeight="1" x14ac:dyDescent="0.25">
      <c r="C9" s="80" t="s">
        <v>119</v>
      </c>
      <c r="D9" s="80" t="s">
        <v>116</v>
      </c>
      <c r="E9" s="80" t="s">
        <v>117</v>
      </c>
      <c r="F9" s="80" t="s">
        <v>118</v>
      </c>
      <c r="G9" s="81" t="s">
        <v>120</v>
      </c>
    </row>
    <row r="10" spans="2:7" ht="12" customHeight="1" x14ac:dyDescent="0.25">
      <c r="B10" s="76" t="s">
        <v>397</v>
      </c>
      <c r="C10" s="82"/>
      <c r="D10" s="73"/>
      <c r="E10" s="83"/>
      <c r="F10" s="73"/>
    </row>
    <row r="11" spans="2:7" ht="12" customHeight="1" thickBot="1" x14ac:dyDescent="0.3">
      <c r="B11" s="76"/>
      <c r="C11" s="82"/>
      <c r="D11" s="73"/>
      <c r="E11" s="83"/>
      <c r="F11" s="73"/>
    </row>
    <row r="12" spans="2:7" ht="12" customHeight="1" thickTop="1" x14ac:dyDescent="0.25">
      <c r="B12" s="395" t="s">
        <v>408</v>
      </c>
      <c r="C12" s="77"/>
      <c r="D12" s="78"/>
      <c r="E12" s="78"/>
      <c r="F12" s="78"/>
      <c r="G12" s="79"/>
    </row>
    <row r="13" spans="2:7" ht="13.5" x14ac:dyDescent="0.25">
      <c r="C13" s="80" t="s">
        <v>119</v>
      </c>
      <c r="D13" s="80" t="s">
        <v>116</v>
      </c>
      <c r="E13" s="80" t="s">
        <v>117</v>
      </c>
      <c r="F13" s="80" t="s">
        <v>118</v>
      </c>
      <c r="G13" s="81" t="s">
        <v>120</v>
      </c>
    </row>
    <row r="14" spans="2:7" x14ac:dyDescent="0.25">
      <c r="B14" s="76" t="s">
        <v>397</v>
      </c>
      <c r="C14" s="82"/>
      <c r="D14" s="73"/>
      <c r="E14" s="83"/>
      <c r="F14" s="73"/>
    </row>
    <row r="15" spans="2:7" ht="13.5" thickBot="1" x14ac:dyDescent="0.3"/>
    <row r="16" spans="2:7" ht="14.25" thickTop="1" x14ac:dyDescent="0.25">
      <c r="B16" s="395" t="s">
        <v>415</v>
      </c>
      <c r="C16" s="77"/>
      <c r="D16" s="78"/>
      <c r="E16" s="78"/>
      <c r="F16" s="78"/>
      <c r="G16" s="79"/>
    </row>
    <row r="17" spans="2:7" ht="13.5" x14ac:dyDescent="0.25">
      <c r="C17" s="80" t="s">
        <v>119</v>
      </c>
      <c r="D17" s="80" t="s">
        <v>116</v>
      </c>
      <c r="E17" s="80" t="s">
        <v>117</v>
      </c>
      <c r="F17" s="80" t="s">
        <v>118</v>
      </c>
      <c r="G17" s="81" t="s">
        <v>120</v>
      </c>
    </row>
    <row r="18" spans="2:7" x14ac:dyDescent="0.25">
      <c r="B18" s="76" t="s">
        <v>397</v>
      </c>
      <c r="C18" s="82"/>
      <c r="D18" s="73"/>
      <c r="E18" s="83"/>
      <c r="F18" s="73"/>
    </row>
    <row r="19" spans="2:7" ht="13.5" thickBot="1" x14ac:dyDescent="0.3"/>
    <row r="20" spans="2:7" ht="14.25" thickTop="1" x14ac:dyDescent="0.25">
      <c r="B20" s="395" t="s">
        <v>416</v>
      </c>
      <c r="C20" s="77"/>
      <c r="D20" s="78"/>
      <c r="E20" s="78"/>
      <c r="F20" s="78"/>
      <c r="G20" s="79"/>
    </row>
    <row r="21" spans="2:7" ht="13.5" x14ac:dyDescent="0.25">
      <c r="C21" s="80" t="s">
        <v>119</v>
      </c>
      <c r="D21" s="80" t="s">
        <v>116</v>
      </c>
      <c r="E21" s="80" t="s">
        <v>117</v>
      </c>
      <c r="F21" s="80" t="s">
        <v>118</v>
      </c>
      <c r="G21" s="81" t="s">
        <v>120</v>
      </c>
    </row>
    <row r="22" spans="2:7" x14ac:dyDescent="0.25">
      <c r="B22" s="76" t="s">
        <v>397</v>
      </c>
      <c r="C22" s="82"/>
      <c r="D22" s="73"/>
      <c r="E22" s="83"/>
      <c r="F22" s="73"/>
    </row>
    <row r="23" spans="2:7" ht="13.5" thickBot="1" x14ac:dyDescent="0.3"/>
    <row r="24" spans="2:7" ht="14.25" thickTop="1" x14ac:dyDescent="0.25">
      <c r="B24" s="395" t="s">
        <v>419</v>
      </c>
      <c r="C24" s="77"/>
      <c r="D24" s="78"/>
      <c r="E24" s="78"/>
      <c r="F24" s="78"/>
      <c r="G24" s="79"/>
    </row>
    <row r="25" spans="2:7" ht="13.5" x14ac:dyDescent="0.25">
      <c r="C25" s="80" t="s">
        <v>119</v>
      </c>
      <c r="D25" s="80" t="s">
        <v>116</v>
      </c>
      <c r="E25" s="80" t="s">
        <v>117</v>
      </c>
      <c r="F25" s="80" t="s">
        <v>118</v>
      </c>
      <c r="G25" s="81" t="s">
        <v>120</v>
      </c>
    </row>
    <row r="26" spans="2:7" x14ac:dyDescent="0.25">
      <c r="B26" s="76" t="s">
        <v>5</v>
      </c>
      <c r="C26" s="73" t="s">
        <v>421</v>
      </c>
      <c r="D26" s="73">
        <v>295</v>
      </c>
      <c r="E26" s="83"/>
      <c r="F26" s="73">
        <v>299</v>
      </c>
    </row>
    <row r="27" spans="2:7" x14ac:dyDescent="0.25">
      <c r="B27" s="22" t="s">
        <v>218</v>
      </c>
      <c r="C27" s="73" t="s">
        <v>421</v>
      </c>
      <c r="D27" s="73">
        <v>0.18</v>
      </c>
      <c r="E27" s="73"/>
      <c r="F27" s="73">
        <v>0.22</v>
      </c>
    </row>
    <row r="28" spans="2:7" x14ac:dyDescent="0.25">
      <c r="B28" s="22" t="s">
        <v>420</v>
      </c>
      <c r="C28" s="73" t="s">
        <v>421</v>
      </c>
      <c r="D28" s="418">
        <v>-1.03</v>
      </c>
      <c r="E28" s="73"/>
      <c r="F28" s="418">
        <v>-0.49</v>
      </c>
    </row>
    <row r="30" spans="2:7" x14ac:dyDescent="0.25">
      <c r="B30" s="76" t="s">
        <v>5</v>
      </c>
      <c r="C30" s="73" t="s">
        <v>372</v>
      </c>
      <c r="D30" s="73">
        <v>1.1559999999999999</v>
      </c>
      <c r="E30" s="83"/>
      <c r="F30" s="73">
        <v>1.1599999999999999</v>
      </c>
    </row>
    <row r="31" spans="2:7" x14ac:dyDescent="0.25">
      <c r="B31" s="22" t="s">
        <v>218</v>
      </c>
      <c r="C31" s="73" t="s">
        <v>372</v>
      </c>
      <c r="D31" s="73">
        <v>0.65</v>
      </c>
      <c r="E31" s="73"/>
      <c r="F31" s="73">
        <v>0.69</v>
      </c>
    </row>
    <row r="32" spans="2:7" x14ac:dyDescent="0.25">
      <c r="B32" s="22" t="s">
        <v>420</v>
      </c>
      <c r="C32" s="73" t="s">
        <v>372</v>
      </c>
      <c r="D32" s="418">
        <v>-0.49</v>
      </c>
      <c r="E32" s="73"/>
      <c r="F32" s="418">
        <v>0.05</v>
      </c>
    </row>
    <row r="33" spans="2:7" ht="13.5" thickBot="1" x14ac:dyDescent="0.3"/>
    <row r="34" spans="2:7" ht="14.25" thickTop="1" x14ac:dyDescent="0.25">
      <c r="B34" s="395" t="s">
        <v>422</v>
      </c>
      <c r="C34" s="77"/>
      <c r="D34" s="78"/>
      <c r="E34" s="78"/>
      <c r="F34" s="78"/>
      <c r="G34" s="79"/>
    </row>
    <row r="35" spans="2:7" ht="13.5" x14ac:dyDescent="0.25">
      <c r="C35" s="80" t="s">
        <v>119</v>
      </c>
      <c r="D35" s="80" t="s">
        <v>116</v>
      </c>
      <c r="E35" s="80" t="s">
        <v>117</v>
      </c>
      <c r="F35" s="80" t="s">
        <v>118</v>
      </c>
      <c r="G35" s="81" t="s">
        <v>120</v>
      </c>
    </row>
    <row r="36" spans="2:7" x14ac:dyDescent="0.25">
      <c r="B36" s="76" t="s">
        <v>397</v>
      </c>
      <c r="C36" s="82"/>
      <c r="D36" s="73"/>
      <c r="E36" s="83"/>
      <c r="F36" s="73"/>
    </row>
    <row r="37" spans="2:7" ht="13.5" thickBot="1" x14ac:dyDescent="0.3"/>
    <row r="38" spans="2:7" ht="14.25" thickTop="1" x14ac:dyDescent="0.25">
      <c r="B38" s="395" t="s">
        <v>442</v>
      </c>
      <c r="C38" s="77"/>
      <c r="D38" s="78"/>
      <c r="E38" s="78"/>
      <c r="F38" s="78"/>
      <c r="G38" s="79"/>
    </row>
    <row r="39" spans="2:7" ht="13.5" x14ac:dyDescent="0.25">
      <c r="C39" s="80" t="s">
        <v>119</v>
      </c>
      <c r="D39" s="80" t="s">
        <v>116</v>
      </c>
      <c r="E39" s="80" t="s">
        <v>117</v>
      </c>
      <c r="F39" s="80" t="s">
        <v>118</v>
      </c>
      <c r="G39" s="81" t="s">
        <v>120</v>
      </c>
    </row>
    <row r="40" spans="2:7" x14ac:dyDescent="0.25">
      <c r="B40" s="76" t="s">
        <v>397</v>
      </c>
      <c r="C40" s="82"/>
      <c r="D40" s="73"/>
      <c r="E40" s="83"/>
      <c r="F40" s="73"/>
    </row>
    <row r="41" spans="2:7" ht="13.5" thickBot="1" x14ac:dyDescent="0.3"/>
    <row r="42" spans="2:7" ht="14.25" thickTop="1" x14ac:dyDescent="0.25">
      <c r="B42" s="395" t="s">
        <v>443</v>
      </c>
      <c r="C42" s="77"/>
      <c r="D42" s="78"/>
      <c r="E42" s="78"/>
      <c r="F42" s="78"/>
      <c r="G42" s="79"/>
    </row>
    <row r="43" spans="2:7" ht="13.5" x14ac:dyDescent="0.25">
      <c r="C43" s="80" t="s">
        <v>119</v>
      </c>
      <c r="D43" s="80" t="s">
        <v>116</v>
      </c>
      <c r="E43" s="80" t="s">
        <v>117</v>
      </c>
      <c r="F43" s="80" t="s">
        <v>118</v>
      </c>
      <c r="G43" s="81" t="s">
        <v>120</v>
      </c>
    </row>
    <row r="44" spans="2:7" x14ac:dyDescent="0.25">
      <c r="B44" s="76" t="s">
        <v>397</v>
      </c>
      <c r="C44" s="82"/>
      <c r="D44" s="73"/>
      <c r="E44" s="83"/>
      <c r="F44" s="73"/>
    </row>
    <row r="45" spans="2:7" ht="13.5" thickBot="1" x14ac:dyDescent="0.3"/>
    <row r="46" spans="2:7" ht="14.25" thickTop="1" x14ac:dyDescent="0.25">
      <c r="B46" s="395" t="s">
        <v>446</v>
      </c>
      <c r="C46" s="77"/>
      <c r="D46" s="78"/>
      <c r="E46" s="78"/>
      <c r="F46" s="78"/>
      <c r="G46" s="79"/>
    </row>
    <row r="47" spans="2:7" ht="13.5" x14ac:dyDescent="0.25">
      <c r="C47" s="80" t="s">
        <v>119</v>
      </c>
      <c r="D47" s="80" t="s">
        <v>116</v>
      </c>
      <c r="E47" s="80" t="s">
        <v>117</v>
      </c>
      <c r="F47" s="80" t="s">
        <v>118</v>
      </c>
      <c r="G47" s="81" t="s">
        <v>120</v>
      </c>
    </row>
    <row r="48" spans="2:7" x14ac:dyDescent="0.25">
      <c r="B48" s="76" t="s">
        <v>466</v>
      </c>
      <c r="C48" s="73" t="s">
        <v>374</v>
      </c>
      <c r="D48" s="73"/>
      <c r="E48" s="73">
        <v>30</v>
      </c>
      <c r="F48" s="73"/>
      <c r="G48" s="22" t="s">
        <v>465</v>
      </c>
    </row>
    <row r="49" spans="2:7" x14ac:dyDescent="0.25">
      <c r="B49" s="22" t="s">
        <v>467</v>
      </c>
      <c r="C49" s="73" t="s">
        <v>405</v>
      </c>
      <c r="E49" s="73" t="s">
        <v>468</v>
      </c>
    </row>
    <row r="50" spans="2:7" ht="13.5" thickBot="1" x14ac:dyDescent="0.3"/>
    <row r="51" spans="2:7" ht="14.25" thickTop="1" x14ac:dyDescent="0.25">
      <c r="B51" s="395" t="s">
        <v>470</v>
      </c>
      <c r="C51" s="77"/>
      <c r="D51" s="78"/>
      <c r="E51" s="78"/>
      <c r="F51" s="78"/>
      <c r="G51" s="79"/>
    </row>
    <row r="52" spans="2:7" ht="13.5" x14ac:dyDescent="0.25">
      <c r="C52" s="80" t="s">
        <v>119</v>
      </c>
      <c r="D52" s="80" t="s">
        <v>116</v>
      </c>
      <c r="E52" s="80" t="s">
        <v>117</v>
      </c>
      <c r="F52" s="80" t="s">
        <v>118</v>
      </c>
      <c r="G52" s="81" t="s">
        <v>120</v>
      </c>
    </row>
    <row r="53" spans="2:7" x14ac:dyDescent="0.25">
      <c r="B53" s="76" t="s">
        <v>466</v>
      </c>
      <c r="C53" s="73" t="s">
        <v>374</v>
      </c>
      <c r="D53" s="73"/>
      <c r="E53" s="73">
        <v>30</v>
      </c>
      <c r="F53" s="73"/>
    </row>
    <row r="54" spans="2:7" x14ac:dyDescent="0.25">
      <c r="B54" s="22" t="s">
        <v>471</v>
      </c>
      <c r="C54" s="73" t="s">
        <v>374</v>
      </c>
      <c r="E54" s="73"/>
      <c r="G54" s="22" t="s">
        <v>472</v>
      </c>
    </row>
    <row r="55" spans="2:7" x14ac:dyDescent="0.25">
      <c r="B55" s="22" t="s">
        <v>218</v>
      </c>
      <c r="C55" s="73" t="s">
        <v>374</v>
      </c>
      <c r="D55" s="418">
        <v>0.55000000000000004</v>
      </c>
      <c r="E55" s="73"/>
      <c r="F55" s="418">
        <v>0.65</v>
      </c>
    </row>
    <row r="56" spans="2:7" ht="13.5" thickBot="1" x14ac:dyDescent="0.3"/>
    <row r="57" spans="2:7" ht="14.25" thickTop="1" x14ac:dyDescent="0.25">
      <c r="B57" s="395" t="s">
        <v>474</v>
      </c>
      <c r="C57" s="77"/>
      <c r="D57" s="78"/>
      <c r="E57" s="78"/>
      <c r="F57" s="78"/>
      <c r="G57" s="79"/>
    </row>
    <row r="58" spans="2:7" ht="13.5" x14ac:dyDescent="0.25">
      <c r="C58" s="80" t="s">
        <v>119</v>
      </c>
      <c r="D58" s="80" t="s">
        <v>116</v>
      </c>
      <c r="E58" s="80" t="s">
        <v>117</v>
      </c>
      <c r="F58" s="80" t="s">
        <v>118</v>
      </c>
      <c r="G58" s="81" t="s">
        <v>120</v>
      </c>
    </row>
    <row r="59" spans="2:7" x14ac:dyDescent="0.25">
      <c r="B59" s="76" t="s">
        <v>466</v>
      </c>
      <c r="C59" s="73" t="s">
        <v>374</v>
      </c>
      <c r="D59" s="73"/>
      <c r="E59" s="73">
        <v>30</v>
      </c>
      <c r="F59" s="73"/>
      <c r="G59" s="22" t="s">
        <v>475</v>
      </c>
    </row>
    <row r="60" spans="2:7" x14ac:dyDescent="0.25">
      <c r="B60" s="22" t="s">
        <v>471</v>
      </c>
      <c r="C60" s="73" t="s">
        <v>374</v>
      </c>
      <c r="E60" s="73"/>
      <c r="G60" s="22" t="s">
        <v>472</v>
      </c>
    </row>
    <row r="61" spans="2:7" x14ac:dyDescent="0.25">
      <c r="B61" s="22" t="s">
        <v>218</v>
      </c>
      <c r="C61" s="73" t="s">
        <v>374</v>
      </c>
      <c r="D61" s="418">
        <v>0.6</v>
      </c>
      <c r="E61" s="73"/>
      <c r="F61" s="418">
        <v>0.65</v>
      </c>
    </row>
    <row r="63" spans="2:7" x14ac:dyDescent="0.25">
      <c r="B63" s="22" t="s">
        <v>471</v>
      </c>
      <c r="C63" s="73" t="s">
        <v>476</v>
      </c>
      <c r="G63" s="22" t="s">
        <v>477</v>
      </c>
    </row>
    <row r="64" spans="2:7" ht="13.5" thickBot="1" x14ac:dyDescent="0.3"/>
    <row r="65" spans="2:7" ht="14.25" thickTop="1" x14ac:dyDescent="0.25">
      <c r="B65" s="395" t="s">
        <v>493</v>
      </c>
      <c r="C65" s="77"/>
      <c r="D65" s="78"/>
      <c r="E65" s="78"/>
      <c r="F65" s="78"/>
      <c r="G65" s="79"/>
    </row>
    <row r="66" spans="2:7" ht="13.5" x14ac:dyDescent="0.25">
      <c r="C66" s="80" t="s">
        <v>119</v>
      </c>
      <c r="D66" s="80" t="s">
        <v>116</v>
      </c>
      <c r="E66" s="80" t="s">
        <v>117</v>
      </c>
      <c r="F66" s="80" t="s">
        <v>118</v>
      </c>
      <c r="G66" s="81" t="s">
        <v>120</v>
      </c>
    </row>
    <row r="67" spans="2:7" x14ac:dyDescent="0.25">
      <c r="B67" s="22" t="s">
        <v>471</v>
      </c>
      <c r="C67" s="73" t="s">
        <v>374</v>
      </c>
      <c r="E67" s="73"/>
      <c r="G67" s="22" t="s">
        <v>494</v>
      </c>
    </row>
    <row r="68" spans="2:7" x14ac:dyDescent="0.25">
      <c r="B68" s="22" t="s">
        <v>218</v>
      </c>
      <c r="C68" s="73"/>
      <c r="D68" s="418"/>
      <c r="E68" s="418">
        <v>0.7</v>
      </c>
      <c r="F68" s="418"/>
      <c r="G68" s="22" t="s">
        <v>495</v>
      </c>
    </row>
    <row r="69" spans="2:7" ht="13.5" thickBot="1" x14ac:dyDescent="0.3"/>
    <row r="70" spans="2:7" ht="14.25" thickTop="1" x14ac:dyDescent="0.25">
      <c r="B70" s="395" t="s">
        <v>500</v>
      </c>
      <c r="C70" s="77"/>
      <c r="D70" s="78"/>
      <c r="E70" s="78"/>
      <c r="F70" s="78"/>
      <c r="G70" s="79"/>
    </row>
    <row r="71" spans="2:7" ht="13.5" x14ac:dyDescent="0.25">
      <c r="C71" s="80" t="s">
        <v>119</v>
      </c>
      <c r="D71" s="80" t="s">
        <v>116</v>
      </c>
      <c r="E71" s="80" t="s">
        <v>117</v>
      </c>
      <c r="F71" s="80" t="s">
        <v>118</v>
      </c>
      <c r="G71" s="81" t="s">
        <v>120</v>
      </c>
    </row>
    <row r="72" spans="2:7" x14ac:dyDescent="0.25">
      <c r="B72" s="22" t="s">
        <v>471</v>
      </c>
      <c r="C72" s="73" t="s">
        <v>374</v>
      </c>
      <c r="E72" s="472">
        <v>-2.5000000000000001E-2</v>
      </c>
      <c r="G72" s="22" t="s">
        <v>501</v>
      </c>
    </row>
    <row r="73" spans="2:7" x14ac:dyDescent="0.25">
      <c r="B73" s="22" t="s">
        <v>218</v>
      </c>
      <c r="C73" s="73"/>
      <c r="D73" s="418"/>
      <c r="E73" s="418">
        <v>0.73</v>
      </c>
      <c r="F73" s="418"/>
    </row>
    <row r="74" spans="2:7" ht="13.5" thickBot="1" x14ac:dyDescent="0.3"/>
    <row r="75" spans="2:7" ht="14.25" thickTop="1" x14ac:dyDescent="0.25">
      <c r="B75" s="395" t="s">
        <v>502</v>
      </c>
      <c r="C75" s="77"/>
      <c r="D75" s="78"/>
      <c r="E75" s="78"/>
      <c r="F75" s="78"/>
      <c r="G75" s="79"/>
    </row>
    <row r="76" spans="2:7" ht="13.5" x14ac:dyDescent="0.25">
      <c r="C76" s="80" t="s">
        <v>119</v>
      </c>
      <c r="D76" s="80" t="s">
        <v>116</v>
      </c>
      <c r="E76" s="80" t="s">
        <v>117</v>
      </c>
      <c r="F76" s="80" t="s">
        <v>118</v>
      </c>
      <c r="G76" s="81" t="s">
        <v>120</v>
      </c>
    </row>
    <row r="77" spans="2:7" x14ac:dyDescent="0.25">
      <c r="B77" s="22" t="s">
        <v>5</v>
      </c>
      <c r="C77" s="73" t="s">
        <v>371</v>
      </c>
      <c r="E77" s="472" t="s">
        <v>504</v>
      </c>
      <c r="G77" s="22" t="s">
        <v>514</v>
      </c>
    </row>
    <row r="78" spans="2:7" x14ac:dyDescent="0.25">
      <c r="B78" s="22" t="s">
        <v>148</v>
      </c>
      <c r="C78" s="73" t="s">
        <v>371</v>
      </c>
      <c r="D78" s="418"/>
      <c r="E78" s="418" t="s">
        <v>503</v>
      </c>
      <c r="F78" s="418"/>
    </row>
    <row r="79" spans="2:7" ht="13.5" thickBot="1" x14ac:dyDescent="0.3"/>
    <row r="80" spans="2:7" ht="14.25" thickTop="1" x14ac:dyDescent="0.25">
      <c r="B80" s="395" t="s">
        <v>513</v>
      </c>
      <c r="C80" s="77"/>
      <c r="D80" s="78"/>
      <c r="E80" s="78"/>
      <c r="F80" s="78"/>
      <c r="G80" s="79"/>
    </row>
    <row r="81" spans="2:7" ht="13.5" x14ac:dyDescent="0.25">
      <c r="C81" s="80" t="s">
        <v>119</v>
      </c>
      <c r="D81" s="80" t="s">
        <v>116</v>
      </c>
      <c r="E81" s="80" t="s">
        <v>117</v>
      </c>
      <c r="F81" s="80" t="s">
        <v>118</v>
      </c>
      <c r="G81" s="81" t="s">
        <v>120</v>
      </c>
    </row>
    <row r="82" spans="2:7" x14ac:dyDescent="0.25">
      <c r="B82" s="22" t="s">
        <v>5</v>
      </c>
      <c r="C82" s="73" t="s">
        <v>371</v>
      </c>
      <c r="E82" s="472" t="s">
        <v>504</v>
      </c>
    </row>
    <row r="83" spans="2:7" x14ac:dyDescent="0.25">
      <c r="B83" s="22" t="s">
        <v>148</v>
      </c>
      <c r="C83" s="73" t="s">
        <v>371</v>
      </c>
      <c r="D83" s="418"/>
      <c r="E83" s="418" t="s">
        <v>503</v>
      </c>
      <c r="F83" s="418"/>
    </row>
    <row r="84" spans="2:7" ht="13.5" thickBot="1" x14ac:dyDescent="0.3"/>
    <row r="85" spans="2:7" ht="14.25" thickTop="1" x14ac:dyDescent="0.25">
      <c r="B85" s="395" t="s">
        <v>528</v>
      </c>
      <c r="C85" s="77"/>
      <c r="D85" s="78"/>
      <c r="E85" s="78"/>
      <c r="F85" s="78"/>
      <c r="G85" s="79"/>
    </row>
    <row r="86" spans="2:7" ht="13.5" x14ac:dyDescent="0.25">
      <c r="C86" s="80" t="s">
        <v>119</v>
      </c>
      <c r="D86" s="80" t="s">
        <v>116</v>
      </c>
      <c r="E86" s="80" t="s">
        <v>117</v>
      </c>
      <c r="F86" s="80" t="s">
        <v>118</v>
      </c>
      <c r="G86" s="81" t="s">
        <v>120</v>
      </c>
    </row>
    <row r="87" spans="2:7" x14ac:dyDescent="0.25">
      <c r="B87" s="22" t="s">
        <v>5</v>
      </c>
      <c r="C87" s="73" t="s">
        <v>371</v>
      </c>
      <c r="E87" s="472" t="s">
        <v>525</v>
      </c>
      <c r="G87" s="22" t="s">
        <v>526</v>
      </c>
    </row>
    <row r="88" spans="2:7" x14ac:dyDescent="0.25">
      <c r="B88" s="22" t="s">
        <v>148</v>
      </c>
      <c r="C88" s="73" t="s">
        <v>371</v>
      </c>
      <c r="D88" s="418"/>
      <c r="E88" s="418" t="s">
        <v>503</v>
      </c>
      <c r="F88" s="418"/>
    </row>
    <row r="89" spans="2:7" ht="13.5" thickBot="1" x14ac:dyDescent="0.3"/>
    <row r="90" spans="2:7" ht="14.25" thickTop="1" x14ac:dyDescent="0.25">
      <c r="B90" s="395" t="s">
        <v>529</v>
      </c>
      <c r="C90" s="77"/>
      <c r="D90" s="78"/>
      <c r="E90" s="78"/>
      <c r="F90" s="78"/>
      <c r="G90" s="79"/>
    </row>
    <row r="91" spans="2:7" ht="13.5" x14ac:dyDescent="0.25">
      <c r="C91" s="80" t="s">
        <v>119</v>
      </c>
      <c r="D91" s="80" t="s">
        <v>116</v>
      </c>
      <c r="E91" s="80" t="s">
        <v>117</v>
      </c>
      <c r="F91" s="80" t="s">
        <v>118</v>
      </c>
      <c r="G91" s="81" t="s">
        <v>120</v>
      </c>
    </row>
    <row r="92" spans="2:7" x14ac:dyDescent="0.25">
      <c r="B92" s="22" t="s">
        <v>5</v>
      </c>
      <c r="C92" s="73" t="s">
        <v>371</v>
      </c>
      <c r="E92" s="472" t="s">
        <v>525</v>
      </c>
      <c r="G92" s="22" t="s">
        <v>526</v>
      </c>
    </row>
    <row r="93" spans="2:7" x14ac:dyDescent="0.25">
      <c r="B93" s="22" t="s">
        <v>148</v>
      </c>
      <c r="C93" s="73" t="s">
        <v>371</v>
      </c>
      <c r="D93" s="418"/>
      <c r="E93" s="418">
        <v>0.82</v>
      </c>
      <c r="F93" s="418"/>
    </row>
    <row r="94" spans="2:7" ht="13.5" thickBot="1" x14ac:dyDescent="0.3"/>
    <row r="95" spans="2:7" ht="14.25" thickTop="1" x14ac:dyDescent="0.25">
      <c r="B95" s="395" t="s">
        <v>530</v>
      </c>
      <c r="C95" s="77"/>
      <c r="D95" s="78"/>
      <c r="E95" s="78"/>
      <c r="F95" s="78"/>
      <c r="G95" s="79"/>
    </row>
    <row r="96" spans="2:7" ht="13.5" x14ac:dyDescent="0.25">
      <c r="C96" s="80" t="s">
        <v>119</v>
      </c>
      <c r="D96" s="80" t="s">
        <v>116</v>
      </c>
      <c r="E96" s="80" t="s">
        <v>117</v>
      </c>
      <c r="F96" s="80" t="s">
        <v>118</v>
      </c>
      <c r="G96" s="81" t="s">
        <v>120</v>
      </c>
    </row>
    <row r="97" spans="2:7" x14ac:dyDescent="0.25">
      <c r="B97" s="22" t="s">
        <v>5</v>
      </c>
      <c r="C97" s="73" t="s">
        <v>381</v>
      </c>
      <c r="D97" s="508">
        <v>0</v>
      </c>
      <c r="E97" s="472"/>
      <c r="F97" s="508">
        <v>0.04</v>
      </c>
      <c r="G97" s="22" t="s">
        <v>543</v>
      </c>
    </row>
    <row r="98" spans="2:7" x14ac:dyDescent="0.25">
      <c r="B98" s="22" t="s">
        <v>542</v>
      </c>
      <c r="C98" s="73" t="s">
        <v>381</v>
      </c>
      <c r="D98" s="418">
        <v>0.75</v>
      </c>
      <c r="E98" s="418"/>
      <c r="F98" s="418">
        <v>0.85</v>
      </c>
    </row>
    <row r="99" spans="2:7" ht="13.5" thickBot="1" x14ac:dyDescent="0.3"/>
    <row r="100" spans="2:7" ht="14.25" thickTop="1" x14ac:dyDescent="0.25">
      <c r="B100" s="395" t="s">
        <v>549</v>
      </c>
      <c r="C100" s="77"/>
      <c r="D100" s="78"/>
      <c r="E100" s="78"/>
      <c r="F100" s="78"/>
      <c r="G100" s="79"/>
    </row>
    <row r="101" spans="2:7" ht="13.5" x14ac:dyDescent="0.25">
      <c r="C101" s="80" t="s">
        <v>119</v>
      </c>
      <c r="D101" s="80" t="s">
        <v>116</v>
      </c>
      <c r="E101" s="80" t="s">
        <v>117</v>
      </c>
      <c r="F101" s="80" t="s">
        <v>118</v>
      </c>
      <c r="G101" s="81" t="s">
        <v>120</v>
      </c>
    </row>
    <row r="102" spans="2:7" x14ac:dyDescent="0.25">
      <c r="B102" s="22" t="s">
        <v>5</v>
      </c>
      <c r="C102" s="73" t="s">
        <v>381</v>
      </c>
      <c r="D102" s="508">
        <v>0</v>
      </c>
      <c r="E102" s="472"/>
      <c r="F102" s="508">
        <v>0.04</v>
      </c>
      <c r="G102" s="22" t="s">
        <v>557</v>
      </c>
    </row>
    <row r="103" spans="2:7" x14ac:dyDescent="0.25">
      <c r="B103" s="22" t="s">
        <v>148</v>
      </c>
      <c r="C103" s="73" t="s">
        <v>381</v>
      </c>
      <c r="D103" s="418">
        <v>0.73</v>
      </c>
      <c r="E103" s="418"/>
      <c r="F103" s="418">
        <v>0.83</v>
      </c>
    </row>
    <row r="104" spans="2:7" x14ac:dyDescent="0.25">
      <c r="B104" s="22" t="s">
        <v>558</v>
      </c>
      <c r="C104" s="73" t="s">
        <v>381</v>
      </c>
      <c r="G104" s="22" t="s">
        <v>561</v>
      </c>
    </row>
    <row r="105" spans="2:7" x14ac:dyDescent="0.25">
      <c r="B105" s="22" t="s">
        <v>559</v>
      </c>
      <c r="C105" s="73" t="s">
        <v>381</v>
      </c>
      <c r="G105" s="22" t="s">
        <v>562</v>
      </c>
    </row>
    <row r="106" spans="2:7" x14ac:dyDescent="0.25">
      <c r="B106" s="22" t="s">
        <v>560</v>
      </c>
      <c r="C106" s="73" t="s">
        <v>381</v>
      </c>
      <c r="E106" s="512">
        <v>100</v>
      </c>
    </row>
    <row r="107" spans="2:7" ht="13.5" thickBot="1" x14ac:dyDescent="0.3"/>
    <row r="108" spans="2:7" ht="14.25" thickTop="1" x14ac:dyDescent="0.25">
      <c r="B108" s="395" t="s">
        <v>567</v>
      </c>
      <c r="C108" s="77"/>
      <c r="D108" s="78"/>
      <c r="E108" s="78"/>
      <c r="F108" s="78"/>
      <c r="G108" s="79"/>
    </row>
    <row r="109" spans="2:7" ht="13.5" x14ac:dyDescent="0.25">
      <c r="C109" s="80" t="s">
        <v>119</v>
      </c>
      <c r="D109" s="80" t="s">
        <v>116</v>
      </c>
      <c r="E109" s="80" t="s">
        <v>117</v>
      </c>
      <c r="F109" s="80" t="s">
        <v>118</v>
      </c>
      <c r="G109" s="81" t="s">
        <v>120</v>
      </c>
    </row>
    <row r="110" spans="2:7" x14ac:dyDescent="0.25">
      <c r="B110" s="22" t="s">
        <v>5</v>
      </c>
      <c r="C110" s="73" t="s">
        <v>381</v>
      </c>
      <c r="D110" s="519">
        <v>3.5000000000000003E-2</v>
      </c>
      <c r="E110" s="520"/>
      <c r="F110" s="519">
        <v>4.4999999999999998E-2</v>
      </c>
      <c r="G110" s="22" t="s">
        <v>557</v>
      </c>
    </row>
    <row r="111" spans="2:7" x14ac:dyDescent="0.25">
      <c r="B111" s="22" t="s">
        <v>148</v>
      </c>
      <c r="C111" s="73" t="s">
        <v>381</v>
      </c>
      <c r="D111" s="418">
        <v>0.73</v>
      </c>
      <c r="E111" s="418"/>
      <c r="F111" s="418">
        <v>0.78</v>
      </c>
    </row>
    <row r="112" spans="2:7" x14ac:dyDescent="0.25">
      <c r="B112" s="22" t="s">
        <v>558</v>
      </c>
      <c r="C112" s="73" t="s">
        <v>381</v>
      </c>
      <c r="G112" s="22" t="s">
        <v>568</v>
      </c>
    </row>
    <row r="113" spans="2:7" x14ac:dyDescent="0.25">
      <c r="B113" s="22" t="s">
        <v>559</v>
      </c>
      <c r="C113" s="73" t="s">
        <v>381</v>
      </c>
      <c r="G113" s="22" t="s">
        <v>569</v>
      </c>
    </row>
    <row r="114" spans="2:7" x14ac:dyDescent="0.25">
      <c r="B114" s="22" t="s">
        <v>560</v>
      </c>
      <c r="C114" s="73" t="s">
        <v>381</v>
      </c>
      <c r="E114" s="512">
        <v>100</v>
      </c>
    </row>
    <row r="115" spans="2:7" ht="13.5" thickBot="1" x14ac:dyDescent="0.3"/>
    <row r="116" spans="2:7" ht="14.25" thickTop="1" x14ac:dyDescent="0.25">
      <c r="B116" s="395" t="s">
        <v>577</v>
      </c>
      <c r="C116" s="77"/>
      <c r="D116" s="78"/>
      <c r="E116" s="78"/>
      <c r="F116" s="78"/>
      <c r="G116" s="79"/>
    </row>
    <row r="117" spans="2:7" ht="13.5" x14ac:dyDescent="0.25">
      <c r="C117" s="80" t="s">
        <v>119</v>
      </c>
      <c r="D117" s="80" t="s">
        <v>116</v>
      </c>
      <c r="E117" s="80" t="s">
        <v>117</v>
      </c>
      <c r="F117" s="80" t="s">
        <v>118</v>
      </c>
      <c r="G117" s="81" t="s">
        <v>120</v>
      </c>
    </row>
    <row r="118" spans="2:7" x14ac:dyDescent="0.25">
      <c r="B118" s="22" t="s">
        <v>5</v>
      </c>
      <c r="C118" s="73" t="s">
        <v>381</v>
      </c>
      <c r="D118" s="519">
        <v>3.5000000000000003E-2</v>
      </c>
      <c r="E118" s="520"/>
      <c r="F118" s="519">
        <v>4.4999999999999998E-2</v>
      </c>
      <c r="G118" s="22" t="s">
        <v>557</v>
      </c>
    </row>
    <row r="119" spans="2:7" x14ac:dyDescent="0.25">
      <c r="B119" s="22" t="s">
        <v>148</v>
      </c>
      <c r="C119" s="73" t="s">
        <v>381</v>
      </c>
      <c r="D119" s="418">
        <v>0.73</v>
      </c>
      <c r="E119" s="418"/>
      <c r="F119" s="418">
        <v>0.78</v>
      </c>
    </row>
    <row r="120" spans="2:7" x14ac:dyDescent="0.25">
      <c r="B120" s="22" t="s">
        <v>558</v>
      </c>
      <c r="C120" s="73" t="s">
        <v>381</v>
      </c>
      <c r="G120" s="22" t="s">
        <v>585</v>
      </c>
    </row>
    <row r="121" spans="2:7" x14ac:dyDescent="0.25">
      <c r="B121" s="22" t="s">
        <v>559</v>
      </c>
      <c r="C121" s="73" t="s">
        <v>381</v>
      </c>
      <c r="G121" s="22" t="s">
        <v>585</v>
      </c>
    </row>
    <row r="122" spans="2:7" x14ac:dyDescent="0.25">
      <c r="B122" s="22" t="s">
        <v>560</v>
      </c>
      <c r="C122" s="73" t="s">
        <v>381</v>
      </c>
      <c r="E122" s="512">
        <v>95</v>
      </c>
    </row>
    <row r="123" spans="2:7" ht="13.5" thickBot="1" x14ac:dyDescent="0.3"/>
    <row r="124" spans="2:7" ht="14.25" thickTop="1" x14ac:dyDescent="0.25">
      <c r="B124" s="395" t="s">
        <v>583</v>
      </c>
      <c r="C124" s="77"/>
      <c r="D124" s="78"/>
      <c r="E124" s="78"/>
      <c r="F124" s="78"/>
      <c r="G124" s="79"/>
    </row>
    <row r="125" spans="2:7" ht="13.5" x14ac:dyDescent="0.25">
      <c r="C125" s="80" t="s">
        <v>119</v>
      </c>
      <c r="D125" s="80" t="s">
        <v>116</v>
      </c>
      <c r="E125" s="80" t="s">
        <v>117</v>
      </c>
      <c r="F125" s="80" t="s">
        <v>118</v>
      </c>
      <c r="G125" s="81" t="s">
        <v>120</v>
      </c>
    </row>
    <row r="126" spans="2:7" x14ac:dyDescent="0.25">
      <c r="B126" s="22" t="s">
        <v>5</v>
      </c>
      <c r="C126" s="73" t="s">
        <v>382</v>
      </c>
      <c r="D126" s="519">
        <v>0.02</v>
      </c>
      <c r="E126" s="520"/>
      <c r="F126" s="519">
        <v>0.05</v>
      </c>
    </row>
    <row r="127" spans="2:7" x14ac:dyDescent="0.25">
      <c r="B127" s="22" t="s">
        <v>148</v>
      </c>
      <c r="C127" s="73" t="s">
        <v>382</v>
      </c>
      <c r="D127" s="519">
        <v>0.05</v>
      </c>
      <c r="E127" s="520"/>
      <c r="F127" s="519">
        <v>0.16</v>
      </c>
      <c r="G127" s="22" t="s">
        <v>591</v>
      </c>
    </row>
    <row r="128" spans="2:7" x14ac:dyDescent="0.25">
      <c r="B128" s="22" t="s">
        <v>558</v>
      </c>
      <c r="C128" s="73" t="s">
        <v>382</v>
      </c>
    </row>
    <row r="129" spans="2:12" x14ac:dyDescent="0.25">
      <c r="B129" s="22" t="s">
        <v>559</v>
      </c>
      <c r="C129" s="73" t="s">
        <v>382</v>
      </c>
      <c r="D129" s="512">
        <v>15</v>
      </c>
      <c r="F129" s="512">
        <v>20</v>
      </c>
    </row>
    <row r="130" spans="2:12" x14ac:dyDescent="0.25">
      <c r="B130" s="22" t="s">
        <v>560</v>
      </c>
      <c r="C130" s="73" t="s">
        <v>382</v>
      </c>
      <c r="E130" s="512">
        <v>70</v>
      </c>
    </row>
    <row r="131" spans="2:12" x14ac:dyDescent="0.25">
      <c r="B131" s="22" t="s">
        <v>592</v>
      </c>
      <c r="C131" s="73" t="s">
        <v>382</v>
      </c>
      <c r="D131" s="519">
        <v>0.38</v>
      </c>
      <c r="F131" s="519">
        <v>0.39</v>
      </c>
    </row>
    <row r="132" spans="2:12" ht="13.5" thickBot="1" x14ac:dyDescent="0.3"/>
    <row r="133" spans="2:12" ht="14.25" thickTop="1" x14ac:dyDescent="0.25">
      <c r="B133" s="395" t="s">
        <v>599</v>
      </c>
      <c r="C133" s="77"/>
      <c r="D133" s="78"/>
      <c r="E133" s="78"/>
      <c r="F133" s="78"/>
      <c r="G133" s="79"/>
    </row>
    <row r="134" spans="2:12" ht="13.5" x14ac:dyDescent="0.25">
      <c r="C134" s="80" t="s">
        <v>119</v>
      </c>
      <c r="D134" s="80" t="s">
        <v>116</v>
      </c>
      <c r="E134" s="80" t="s">
        <v>117</v>
      </c>
      <c r="F134" s="80" t="s">
        <v>118</v>
      </c>
      <c r="G134" s="81" t="s">
        <v>120</v>
      </c>
    </row>
    <row r="135" spans="2:12" x14ac:dyDescent="0.25">
      <c r="B135" s="22" t="s">
        <v>5</v>
      </c>
      <c r="C135" s="73" t="s">
        <v>382</v>
      </c>
      <c r="D135" s="543">
        <v>815</v>
      </c>
      <c r="E135" s="520"/>
      <c r="F135" s="543">
        <v>840</v>
      </c>
      <c r="G135" s="544"/>
    </row>
    <row r="136" spans="2:12" x14ac:dyDescent="0.25">
      <c r="B136" s="22" t="s">
        <v>148</v>
      </c>
      <c r="C136" s="73" t="s">
        <v>382</v>
      </c>
      <c r="D136" s="418">
        <v>0.45</v>
      </c>
      <c r="E136" s="520"/>
      <c r="F136" s="418">
        <v>0.5</v>
      </c>
    </row>
    <row r="137" spans="2:12" x14ac:dyDescent="0.25">
      <c r="B137" s="22" t="s">
        <v>592</v>
      </c>
      <c r="C137" s="73" t="s">
        <v>382</v>
      </c>
      <c r="D137" s="519"/>
      <c r="E137" s="519">
        <v>0.4</v>
      </c>
      <c r="F137" s="519"/>
    </row>
    <row r="138" spans="2:12" ht="13.5" thickBot="1" x14ac:dyDescent="0.3"/>
    <row r="139" spans="2:12" ht="14.25" thickTop="1" x14ac:dyDescent="0.25">
      <c r="B139" s="395" t="s">
        <v>628</v>
      </c>
      <c r="C139" s="77"/>
      <c r="D139" s="78"/>
      <c r="E139" s="78"/>
      <c r="F139" s="78"/>
      <c r="G139" s="79"/>
    </row>
    <row r="140" spans="2:12" ht="13.5" x14ac:dyDescent="0.25">
      <c r="C140" s="80" t="s">
        <v>119</v>
      </c>
      <c r="D140" s="80" t="s">
        <v>116</v>
      </c>
      <c r="E140" s="80" t="s">
        <v>117</v>
      </c>
      <c r="F140" s="80" t="s">
        <v>118</v>
      </c>
      <c r="G140" s="81" t="s">
        <v>120</v>
      </c>
      <c r="L140" s="553"/>
    </row>
    <row r="141" spans="2:12" x14ac:dyDescent="0.25">
      <c r="B141" s="22" t="s">
        <v>5</v>
      </c>
      <c r="C141" s="73" t="s">
        <v>382</v>
      </c>
      <c r="D141" s="543">
        <v>815</v>
      </c>
      <c r="E141" s="520"/>
      <c r="F141" s="543">
        <v>840</v>
      </c>
      <c r="G141" s="544"/>
    </row>
    <row r="142" spans="2:12" x14ac:dyDescent="0.25">
      <c r="B142" s="22" t="s">
        <v>148</v>
      </c>
      <c r="C142" s="73" t="s">
        <v>382</v>
      </c>
      <c r="D142" s="418">
        <v>0.45</v>
      </c>
      <c r="E142" s="520"/>
      <c r="F142" s="418">
        <v>0.5</v>
      </c>
    </row>
    <row r="143" spans="2:12" x14ac:dyDescent="0.25">
      <c r="B143" s="22" t="s">
        <v>592</v>
      </c>
      <c r="C143" s="73" t="s">
        <v>382</v>
      </c>
      <c r="D143" s="519"/>
      <c r="E143" s="519">
        <v>0.4</v>
      </c>
      <c r="F143" s="519"/>
    </row>
    <row r="144" spans="2:12" ht="13.5" thickBot="1" x14ac:dyDescent="0.3"/>
    <row r="145" spans="2:7" ht="14.25" thickTop="1" x14ac:dyDescent="0.25">
      <c r="B145" s="395" t="s">
        <v>654</v>
      </c>
      <c r="C145" s="77"/>
      <c r="D145" s="78"/>
      <c r="E145" s="78"/>
      <c r="F145" s="78"/>
      <c r="G145" s="79"/>
    </row>
    <row r="146" spans="2:7" ht="13.5" x14ac:dyDescent="0.25">
      <c r="C146" s="80" t="s">
        <v>119</v>
      </c>
      <c r="D146" s="80" t="s">
        <v>116</v>
      </c>
      <c r="E146" s="80" t="s">
        <v>117</v>
      </c>
      <c r="F146" s="80" t="s">
        <v>118</v>
      </c>
      <c r="G146" s="81" t="s">
        <v>120</v>
      </c>
    </row>
    <row r="147" spans="2:7" x14ac:dyDescent="0.25">
      <c r="B147" s="22" t="s">
        <v>5</v>
      </c>
      <c r="C147" s="73" t="s">
        <v>382</v>
      </c>
      <c r="D147" s="543"/>
      <c r="E147" s="520"/>
      <c r="F147" s="543"/>
      <c r="G147" s="544"/>
    </row>
    <row r="148" spans="2:7" x14ac:dyDescent="0.25">
      <c r="B148" s="22" t="s">
        <v>148</v>
      </c>
      <c r="C148" s="73" t="s">
        <v>382</v>
      </c>
      <c r="D148" s="418"/>
      <c r="E148" s="520"/>
      <c r="F148" s="418"/>
    </row>
    <row r="149" spans="2:7" x14ac:dyDescent="0.25">
      <c r="B149" s="22" t="s">
        <v>592</v>
      </c>
      <c r="C149" s="73" t="s">
        <v>382</v>
      </c>
      <c r="D149" s="519"/>
      <c r="E149" s="519"/>
      <c r="F149" s="519"/>
    </row>
    <row r="150" spans="2:7" ht="13.5" thickBot="1" x14ac:dyDescent="0.3"/>
    <row r="151" spans="2:7" ht="14.25" thickTop="1" x14ac:dyDescent="0.25">
      <c r="B151" s="395" t="s">
        <v>676</v>
      </c>
      <c r="C151" s="77"/>
      <c r="D151" s="78"/>
      <c r="E151" s="78"/>
      <c r="F151" s="78"/>
      <c r="G151" s="79"/>
    </row>
    <row r="152" spans="2:7" ht="13.5" x14ac:dyDescent="0.25">
      <c r="C152" s="80" t="s">
        <v>119</v>
      </c>
      <c r="D152" s="80" t="s">
        <v>116</v>
      </c>
      <c r="E152" s="80" t="s">
        <v>117</v>
      </c>
      <c r="F152" s="80" t="s">
        <v>118</v>
      </c>
      <c r="G152" s="81" t="s">
        <v>120</v>
      </c>
    </row>
    <row r="153" spans="2:7" x14ac:dyDescent="0.25">
      <c r="B153" s="22" t="s">
        <v>5</v>
      </c>
      <c r="C153" s="73" t="s">
        <v>383</v>
      </c>
      <c r="D153" s="543">
        <v>870</v>
      </c>
      <c r="E153" s="520"/>
      <c r="F153" s="543">
        <v>890</v>
      </c>
      <c r="G153" s="544"/>
    </row>
    <row r="154" spans="2:7" x14ac:dyDescent="0.25">
      <c r="B154" s="22" t="s">
        <v>148</v>
      </c>
      <c r="C154" s="73" t="s">
        <v>383</v>
      </c>
      <c r="D154" s="418"/>
      <c r="E154" s="418">
        <v>0.55000000000000004</v>
      </c>
      <c r="F154" s="418"/>
    </row>
    <row r="155" spans="2:7" x14ac:dyDescent="0.25">
      <c r="B155" s="22" t="s">
        <v>592</v>
      </c>
      <c r="C155" s="73" t="s">
        <v>383</v>
      </c>
      <c r="D155" s="519">
        <v>0.39</v>
      </c>
      <c r="E155" s="519"/>
      <c r="F155" s="519">
        <v>0.4</v>
      </c>
    </row>
    <row r="156" spans="2:7" ht="13.5" thickBot="1" x14ac:dyDescent="0.3"/>
    <row r="157" spans="2:7" ht="14.25" thickTop="1" x14ac:dyDescent="0.25">
      <c r="B157" s="395" t="s">
        <v>680</v>
      </c>
      <c r="C157" s="77"/>
      <c r="D157" s="78"/>
      <c r="E157" s="78"/>
      <c r="F157" s="78"/>
      <c r="G157" s="79"/>
    </row>
    <row r="158" spans="2:7" ht="13.5" x14ac:dyDescent="0.25">
      <c r="C158" s="80" t="s">
        <v>119</v>
      </c>
      <c r="D158" s="80" t="s">
        <v>116</v>
      </c>
      <c r="E158" s="80" t="s">
        <v>117</v>
      </c>
      <c r="F158" s="80" t="s">
        <v>118</v>
      </c>
      <c r="G158" s="81" t="s">
        <v>120</v>
      </c>
    </row>
    <row r="159" spans="2:7" x14ac:dyDescent="0.25">
      <c r="B159" s="22" t="s">
        <v>5</v>
      </c>
      <c r="C159" s="73" t="s">
        <v>383</v>
      </c>
      <c r="D159" s="543">
        <v>850</v>
      </c>
      <c r="E159" s="520"/>
      <c r="F159" s="543">
        <v>870</v>
      </c>
      <c r="G159" s="544"/>
    </row>
    <row r="160" spans="2:7" x14ac:dyDescent="0.25">
      <c r="B160" s="22" t="s">
        <v>687</v>
      </c>
      <c r="C160" s="73" t="s">
        <v>383</v>
      </c>
      <c r="D160" s="519">
        <v>0.4</v>
      </c>
      <c r="F160" s="519">
        <v>0.45</v>
      </c>
    </row>
    <row r="161" spans="2:7" x14ac:dyDescent="0.25">
      <c r="B161" s="22" t="s">
        <v>688</v>
      </c>
      <c r="C161" s="73" t="s">
        <v>383</v>
      </c>
      <c r="D161" s="519">
        <v>0.55000000000000004</v>
      </c>
      <c r="F161" s="519">
        <v>0.6</v>
      </c>
    </row>
    <row r="162" spans="2:7" x14ac:dyDescent="0.25">
      <c r="B162" s="22" t="s">
        <v>679</v>
      </c>
      <c r="C162" s="73" t="s">
        <v>383</v>
      </c>
      <c r="D162" s="418">
        <v>0.1</v>
      </c>
      <c r="E162" s="520"/>
      <c r="F162" s="418">
        <v>0.14000000000000001</v>
      </c>
      <c r="G162" s="544"/>
    </row>
    <row r="163" spans="2:7" x14ac:dyDescent="0.25">
      <c r="B163" s="22" t="s">
        <v>542</v>
      </c>
      <c r="C163" s="73" t="s">
        <v>383</v>
      </c>
      <c r="D163" s="418">
        <v>0.55000000000000004</v>
      </c>
      <c r="E163" s="418"/>
      <c r="F163" s="418">
        <v>0.6</v>
      </c>
    </row>
    <row r="164" spans="2:7" x14ac:dyDescent="0.25">
      <c r="B164" s="22" t="s">
        <v>592</v>
      </c>
      <c r="C164" s="73" t="s">
        <v>383</v>
      </c>
      <c r="D164" s="519"/>
      <c r="E164" s="519">
        <v>0.4</v>
      </c>
      <c r="F164" s="519"/>
    </row>
    <row r="165" spans="2:7" ht="13.5" thickBot="1" x14ac:dyDescent="0.3"/>
    <row r="166" spans="2:7" ht="14.25" thickTop="1" x14ac:dyDescent="0.25">
      <c r="B166" s="395" t="s">
        <v>707</v>
      </c>
      <c r="C166" s="77"/>
      <c r="D166" s="78"/>
      <c r="E166" s="78"/>
      <c r="F166" s="78"/>
      <c r="G166" s="79"/>
    </row>
    <row r="167" spans="2:7" ht="13.5" x14ac:dyDescent="0.25">
      <c r="C167" s="80" t="s">
        <v>119</v>
      </c>
      <c r="D167" s="80" t="s">
        <v>116</v>
      </c>
      <c r="E167" s="80" t="s">
        <v>117</v>
      </c>
      <c r="F167" s="80" t="s">
        <v>118</v>
      </c>
      <c r="G167" s="81" t="s">
        <v>120</v>
      </c>
    </row>
    <row r="168" spans="2:7" x14ac:dyDescent="0.25">
      <c r="B168" s="22" t="s">
        <v>5</v>
      </c>
      <c r="C168" s="73" t="s">
        <v>383</v>
      </c>
      <c r="D168" s="543">
        <v>860</v>
      </c>
      <c r="E168" s="520"/>
      <c r="F168" s="543">
        <v>870</v>
      </c>
      <c r="G168" s="544"/>
    </row>
    <row r="169" spans="2:7" x14ac:dyDescent="0.25">
      <c r="B169" s="22" t="s">
        <v>688</v>
      </c>
      <c r="C169" s="73" t="s">
        <v>383</v>
      </c>
      <c r="D169" s="519">
        <v>0.55000000000000004</v>
      </c>
      <c r="F169" s="519">
        <v>0.6</v>
      </c>
    </row>
    <row r="170" spans="2:7" x14ac:dyDescent="0.25">
      <c r="B170" s="22" t="s">
        <v>679</v>
      </c>
      <c r="C170" s="73" t="s">
        <v>383</v>
      </c>
      <c r="D170" s="418"/>
      <c r="E170" s="418">
        <v>0.12</v>
      </c>
      <c r="F170" s="418"/>
      <c r="G170" s="544"/>
    </row>
    <row r="171" spans="2:7" x14ac:dyDescent="0.25">
      <c r="B171" s="22" t="s">
        <v>542</v>
      </c>
      <c r="C171" s="73" t="s">
        <v>383</v>
      </c>
      <c r="D171" s="418"/>
      <c r="E171" s="418">
        <v>0.6</v>
      </c>
      <c r="F171" s="418"/>
    </row>
    <row r="172" spans="2:7" x14ac:dyDescent="0.25">
      <c r="B172" s="22" t="s">
        <v>592</v>
      </c>
      <c r="C172" s="73" t="s">
        <v>383</v>
      </c>
      <c r="D172" s="519"/>
      <c r="E172" s="519">
        <v>0.4</v>
      </c>
      <c r="F172" s="519"/>
    </row>
    <row r="173" spans="2:7" ht="13.5" thickBot="1" x14ac:dyDescent="0.3"/>
    <row r="174" spans="2:7" ht="14.25" thickTop="1" x14ac:dyDescent="0.25">
      <c r="B174" s="395" t="s">
        <v>710</v>
      </c>
      <c r="C174" s="77"/>
      <c r="D174" s="78"/>
      <c r="E174" s="78"/>
      <c r="F174" s="78"/>
      <c r="G174" s="79"/>
    </row>
    <row r="175" spans="2:7" ht="13.5" x14ac:dyDescent="0.25">
      <c r="C175" s="80" t="s">
        <v>119</v>
      </c>
      <c r="D175" s="80" t="s">
        <v>116</v>
      </c>
      <c r="E175" s="80" t="s">
        <v>117</v>
      </c>
      <c r="F175" s="80" t="s">
        <v>118</v>
      </c>
      <c r="G175" s="81" t="s">
        <v>120</v>
      </c>
    </row>
    <row r="176" spans="2:7" x14ac:dyDescent="0.25">
      <c r="B176" s="22" t="s">
        <v>5</v>
      </c>
      <c r="C176" s="73" t="s">
        <v>383</v>
      </c>
      <c r="D176" s="543">
        <v>865</v>
      </c>
      <c r="E176" s="520"/>
      <c r="F176" s="543">
        <v>875</v>
      </c>
      <c r="G176" s="544"/>
    </row>
    <row r="177" spans="2:7" x14ac:dyDescent="0.25">
      <c r="B177" s="22" t="s">
        <v>679</v>
      </c>
      <c r="C177" s="73" t="s">
        <v>383</v>
      </c>
      <c r="D177" s="418"/>
      <c r="E177" s="418">
        <v>0.01</v>
      </c>
      <c r="F177" s="418"/>
      <c r="G177" s="544"/>
    </row>
    <row r="178" spans="2:7" x14ac:dyDescent="0.25">
      <c r="B178" s="22" t="s">
        <v>542</v>
      </c>
      <c r="C178" s="73" t="s">
        <v>383</v>
      </c>
      <c r="D178" s="418"/>
      <c r="E178" s="418">
        <v>0.6</v>
      </c>
      <c r="F178" s="418"/>
    </row>
    <row r="179" spans="2:7" x14ac:dyDescent="0.25">
      <c r="B179" s="22" t="s">
        <v>713</v>
      </c>
    </row>
    <row r="180" spans="2:7" ht="13.5" thickBot="1" x14ac:dyDescent="0.3">
      <c r="C180" s="73"/>
    </row>
    <row r="181" spans="2:7" ht="14.25" thickTop="1" x14ac:dyDescent="0.25">
      <c r="B181" s="395" t="s">
        <v>712</v>
      </c>
      <c r="C181" s="77"/>
      <c r="D181" s="78"/>
      <c r="E181" s="78"/>
      <c r="F181" s="78"/>
      <c r="G181" s="79"/>
    </row>
    <row r="182" spans="2:7" ht="13.5" x14ac:dyDescent="0.25">
      <c r="C182" s="80" t="s">
        <v>119</v>
      </c>
      <c r="D182" s="80" t="s">
        <v>116</v>
      </c>
      <c r="E182" s="80" t="s">
        <v>117</v>
      </c>
      <c r="F182" s="80" t="s">
        <v>118</v>
      </c>
      <c r="G182" s="81" t="s">
        <v>120</v>
      </c>
    </row>
    <row r="183" spans="2:7" x14ac:dyDescent="0.25">
      <c r="B183" s="22" t="s">
        <v>5</v>
      </c>
      <c r="C183" s="73" t="s">
        <v>383</v>
      </c>
      <c r="D183" s="543">
        <v>870</v>
      </c>
      <c r="E183" s="520"/>
      <c r="F183" s="543">
        <v>875</v>
      </c>
      <c r="G183" s="544"/>
    </row>
    <row r="184" spans="2:7" x14ac:dyDescent="0.25">
      <c r="B184" s="22" t="s">
        <v>688</v>
      </c>
      <c r="C184" s="73" t="s">
        <v>383</v>
      </c>
      <c r="D184" s="519"/>
      <c r="F184" s="519"/>
    </row>
    <row r="185" spans="2:7" x14ac:dyDescent="0.25">
      <c r="B185" s="22" t="s">
        <v>679</v>
      </c>
      <c r="C185" s="73" t="s">
        <v>383</v>
      </c>
      <c r="D185" s="418"/>
      <c r="E185" s="418">
        <v>0.11</v>
      </c>
      <c r="F185" s="418"/>
      <c r="G185" s="544"/>
    </row>
    <row r="186" spans="2:7" x14ac:dyDescent="0.25">
      <c r="B186" s="22" t="s">
        <v>542</v>
      </c>
      <c r="C186" s="73" t="s">
        <v>383</v>
      </c>
      <c r="D186" s="418"/>
      <c r="E186" s="418">
        <v>0.7</v>
      </c>
      <c r="F186" s="418"/>
    </row>
    <row r="187" spans="2:7" x14ac:dyDescent="0.25">
      <c r="B187" s="22" t="s">
        <v>592</v>
      </c>
      <c r="C187" s="73" t="s">
        <v>383</v>
      </c>
      <c r="D187" s="519"/>
      <c r="E187" s="519"/>
      <c r="F187" s="519"/>
    </row>
    <row r="188" spans="2:7" ht="13.5" thickBot="1" x14ac:dyDescent="0.3"/>
    <row r="189" spans="2:7" ht="14.25" thickTop="1" x14ac:dyDescent="0.25">
      <c r="B189" s="395" t="s">
        <v>714</v>
      </c>
      <c r="C189" s="77"/>
      <c r="D189" s="78"/>
      <c r="E189" s="78"/>
      <c r="F189" s="78"/>
      <c r="G189" s="79"/>
    </row>
    <row r="190" spans="2:7" ht="13.5" x14ac:dyDescent="0.25">
      <c r="C190" s="80" t="s">
        <v>119</v>
      </c>
      <c r="D190" s="80" t="s">
        <v>116</v>
      </c>
      <c r="E190" s="80" t="s">
        <v>117</v>
      </c>
      <c r="F190" s="80" t="s">
        <v>118</v>
      </c>
      <c r="G190" s="81" t="s">
        <v>120</v>
      </c>
    </row>
    <row r="191" spans="2:7" x14ac:dyDescent="0.25">
      <c r="B191" s="22" t="s">
        <v>5</v>
      </c>
      <c r="C191" s="73" t="s">
        <v>384</v>
      </c>
      <c r="D191" s="543"/>
      <c r="E191" s="543">
        <v>945</v>
      </c>
      <c r="F191" s="543"/>
      <c r="G191" s="544"/>
    </row>
    <row r="192" spans="2:7" x14ac:dyDescent="0.25">
      <c r="B192" s="22" t="s">
        <v>688</v>
      </c>
      <c r="C192" s="73" t="s">
        <v>384</v>
      </c>
      <c r="D192" s="519"/>
      <c r="F192" s="519"/>
    </row>
    <row r="193" spans="2:7" x14ac:dyDescent="0.25">
      <c r="B193" s="22" t="s">
        <v>679</v>
      </c>
      <c r="C193" s="73" t="s">
        <v>384</v>
      </c>
      <c r="D193" s="418"/>
      <c r="E193" s="418">
        <v>-0.09</v>
      </c>
      <c r="F193" s="418"/>
      <c r="G193" s="544"/>
    </row>
    <row r="194" spans="2:7" x14ac:dyDescent="0.25">
      <c r="B194" s="22" t="s">
        <v>542</v>
      </c>
      <c r="C194" s="73" t="s">
        <v>384</v>
      </c>
      <c r="D194" s="418"/>
      <c r="E194" s="418">
        <v>0.8</v>
      </c>
      <c r="F194" s="418"/>
    </row>
    <row r="195" spans="2:7" x14ac:dyDescent="0.25">
      <c r="B195" s="22" t="s">
        <v>592</v>
      </c>
      <c r="C195" s="73" t="s">
        <v>384</v>
      </c>
      <c r="D195" s="519"/>
      <c r="E195" s="519"/>
      <c r="F195" s="519"/>
    </row>
    <row r="196" spans="2:7" ht="13.5" thickBot="1" x14ac:dyDescent="0.3"/>
    <row r="197" spans="2:7" ht="14.25" thickTop="1" x14ac:dyDescent="0.25">
      <c r="B197" s="395" t="s">
        <v>723</v>
      </c>
      <c r="C197" s="77"/>
      <c r="D197" s="78"/>
      <c r="E197" s="78"/>
      <c r="F197" s="78"/>
      <c r="G197" s="79"/>
    </row>
    <row r="198" spans="2:7" ht="13.5" x14ac:dyDescent="0.25">
      <c r="C198" s="80" t="s">
        <v>119</v>
      </c>
      <c r="D198" s="80" t="s">
        <v>116</v>
      </c>
      <c r="E198" s="80" t="s">
        <v>117</v>
      </c>
      <c r="F198" s="80" t="s">
        <v>118</v>
      </c>
      <c r="G198" s="81" t="s">
        <v>120</v>
      </c>
    </row>
    <row r="199" spans="2:7" x14ac:dyDescent="0.25">
      <c r="B199" s="22" t="s">
        <v>5</v>
      </c>
      <c r="C199" s="73" t="s">
        <v>384</v>
      </c>
      <c r="D199" s="543">
        <v>920</v>
      </c>
      <c r="E199" s="543"/>
      <c r="F199" s="543">
        <v>930</v>
      </c>
      <c r="G199" s="544"/>
    </row>
    <row r="200" spans="2:7" x14ac:dyDescent="0.25">
      <c r="B200" s="22" t="s">
        <v>688</v>
      </c>
      <c r="C200" s="73" t="s">
        <v>384</v>
      </c>
      <c r="D200" s="519"/>
      <c r="F200" s="519"/>
    </row>
    <row r="201" spans="2:7" x14ac:dyDescent="0.25">
      <c r="B201" s="22" t="s">
        <v>679</v>
      </c>
      <c r="C201" s="73" t="s">
        <v>384</v>
      </c>
      <c r="D201" s="418"/>
      <c r="E201" s="418">
        <v>-0.06</v>
      </c>
      <c r="F201" s="418"/>
      <c r="G201" s="544"/>
    </row>
    <row r="202" spans="2:7" x14ac:dyDescent="0.25">
      <c r="B202" s="22" t="s">
        <v>542</v>
      </c>
      <c r="C202" s="73" t="s">
        <v>384</v>
      </c>
      <c r="D202" s="418"/>
      <c r="E202" s="418">
        <v>0.8</v>
      </c>
      <c r="F202" s="418"/>
    </row>
    <row r="203" spans="2:7" x14ac:dyDescent="0.25">
      <c r="B203" s="22" t="s">
        <v>592</v>
      </c>
      <c r="C203" s="73" t="s">
        <v>384</v>
      </c>
      <c r="D203" s="519"/>
      <c r="E203" s="519"/>
      <c r="F203" s="519"/>
    </row>
    <row r="204" spans="2:7" ht="13.5" thickBot="1" x14ac:dyDescent="0.3"/>
    <row r="205" spans="2:7" ht="14.25" thickTop="1" x14ac:dyDescent="0.25">
      <c r="B205" s="395" t="s">
        <v>726</v>
      </c>
      <c r="C205" s="77"/>
      <c r="D205" s="78"/>
      <c r="E205" s="78"/>
      <c r="F205" s="78"/>
      <c r="G205" s="79"/>
    </row>
    <row r="206" spans="2:7" ht="13.5" x14ac:dyDescent="0.25">
      <c r="C206" s="80" t="s">
        <v>119</v>
      </c>
      <c r="D206" s="80" t="s">
        <v>116</v>
      </c>
      <c r="E206" s="80" t="s">
        <v>117</v>
      </c>
      <c r="F206" s="80" t="s">
        <v>118</v>
      </c>
      <c r="G206" s="81" t="s">
        <v>120</v>
      </c>
    </row>
    <row r="207" spans="2:7" x14ac:dyDescent="0.25">
      <c r="B207" s="22" t="s">
        <v>5</v>
      </c>
      <c r="C207" s="73" t="s">
        <v>384</v>
      </c>
      <c r="D207" s="543">
        <v>920</v>
      </c>
      <c r="E207" s="543"/>
      <c r="F207" s="543">
        <v>930</v>
      </c>
      <c r="G207" s="544"/>
    </row>
    <row r="208" spans="2:7" x14ac:dyDescent="0.25">
      <c r="B208" s="22" t="s">
        <v>688</v>
      </c>
      <c r="C208" s="73" t="s">
        <v>384</v>
      </c>
      <c r="D208" s="519"/>
      <c r="F208" s="519"/>
    </row>
    <row r="209" spans="2:7" x14ac:dyDescent="0.25">
      <c r="B209" s="22" t="s">
        <v>679</v>
      </c>
      <c r="C209" s="73" t="s">
        <v>384</v>
      </c>
      <c r="D209" s="418">
        <v>-0.08</v>
      </c>
      <c r="E209" s="418"/>
      <c r="F209" s="418">
        <v>-0.04</v>
      </c>
      <c r="G209" s="544"/>
    </row>
    <row r="210" spans="2:7" x14ac:dyDescent="0.25">
      <c r="B210" s="22" t="s">
        <v>542</v>
      </c>
      <c r="C210" s="73" t="s">
        <v>384</v>
      </c>
      <c r="D210" s="418">
        <v>0.8</v>
      </c>
      <c r="E210" s="418"/>
      <c r="F210" s="418">
        <v>0.85</v>
      </c>
    </row>
    <row r="211" spans="2:7" x14ac:dyDescent="0.25">
      <c r="B211" s="22" t="s">
        <v>592</v>
      </c>
      <c r="C211" s="73" t="s">
        <v>384</v>
      </c>
      <c r="D211" s="519"/>
      <c r="E211" s="519"/>
      <c r="F211" s="519"/>
    </row>
    <row r="212" spans="2:7" ht="13.5" thickBot="1" x14ac:dyDescent="0.3"/>
    <row r="213" spans="2:7" ht="14.25" thickTop="1" x14ac:dyDescent="0.25">
      <c r="B213" s="395" t="s">
        <v>736</v>
      </c>
      <c r="C213" s="77"/>
      <c r="D213" s="78"/>
      <c r="E213" s="78"/>
      <c r="F213" s="78"/>
      <c r="G213" s="79"/>
    </row>
    <row r="214" spans="2:7" ht="13.5" x14ac:dyDescent="0.25">
      <c r="C214" s="80" t="s">
        <v>119</v>
      </c>
      <c r="D214" s="80" t="s">
        <v>116</v>
      </c>
      <c r="E214" s="80" t="s">
        <v>117</v>
      </c>
      <c r="F214" s="80" t="s">
        <v>118</v>
      </c>
      <c r="G214" s="81" t="s">
        <v>120</v>
      </c>
    </row>
    <row r="215" spans="2:7" x14ac:dyDescent="0.25">
      <c r="B215" s="22" t="s">
        <v>5</v>
      </c>
      <c r="C215" s="73" t="s">
        <v>384</v>
      </c>
      <c r="D215" s="543">
        <v>910</v>
      </c>
      <c r="E215" s="543"/>
      <c r="F215" s="543">
        <v>915</v>
      </c>
      <c r="G215" s="544"/>
    </row>
    <row r="216" spans="2:7" x14ac:dyDescent="0.25">
      <c r="B216" s="22" t="s">
        <v>679</v>
      </c>
      <c r="C216" s="73" t="s">
        <v>384</v>
      </c>
      <c r="D216" s="418">
        <v>0.19</v>
      </c>
      <c r="E216" s="418"/>
      <c r="F216" s="418">
        <v>0.23</v>
      </c>
      <c r="G216" s="544"/>
    </row>
    <row r="217" spans="2:7" x14ac:dyDescent="0.25">
      <c r="B217" s="22" t="s">
        <v>542</v>
      </c>
      <c r="C217" s="73" t="s">
        <v>384</v>
      </c>
      <c r="D217" s="418">
        <v>0.85</v>
      </c>
      <c r="E217" s="418"/>
      <c r="F217" s="418">
        <v>0.89</v>
      </c>
    </row>
    <row r="218" spans="2:7" ht="13.5" thickBot="1" x14ac:dyDescent="0.3"/>
    <row r="219" spans="2:7" ht="14.25" thickTop="1" x14ac:dyDescent="0.25">
      <c r="B219" s="395" t="s">
        <v>740</v>
      </c>
      <c r="C219" s="77"/>
      <c r="D219" s="78"/>
      <c r="E219" s="78"/>
      <c r="F219" s="78"/>
      <c r="G219" s="79"/>
    </row>
    <row r="220" spans="2:7" ht="13.5" x14ac:dyDescent="0.25">
      <c r="C220" s="80" t="s">
        <v>119</v>
      </c>
      <c r="D220" s="80" t="s">
        <v>116</v>
      </c>
      <c r="E220" s="80" t="s">
        <v>117</v>
      </c>
      <c r="F220" s="80" t="s">
        <v>118</v>
      </c>
      <c r="G220" s="81" t="s">
        <v>120</v>
      </c>
    </row>
    <row r="221" spans="2:7" x14ac:dyDescent="0.25">
      <c r="B221" s="22" t="s">
        <v>5</v>
      </c>
      <c r="C221" s="73" t="s">
        <v>385</v>
      </c>
      <c r="D221" s="543">
        <v>935</v>
      </c>
      <c r="E221" s="543"/>
      <c r="F221" s="543">
        <v>955</v>
      </c>
      <c r="G221" s="544"/>
    </row>
    <row r="222" spans="2:7" x14ac:dyDescent="0.25">
      <c r="B222" s="22" t="s">
        <v>679</v>
      </c>
      <c r="C222" s="73" t="s">
        <v>385</v>
      </c>
      <c r="D222" s="418">
        <v>-0.23</v>
      </c>
      <c r="E222" s="418"/>
      <c r="F222" s="418">
        <v>-0.18</v>
      </c>
      <c r="G222" s="544"/>
    </row>
    <row r="223" spans="2:7" x14ac:dyDescent="0.25">
      <c r="B223" s="22" t="s">
        <v>542</v>
      </c>
      <c r="C223" s="73" t="s">
        <v>385</v>
      </c>
      <c r="D223" s="418">
        <v>0.9</v>
      </c>
      <c r="E223" s="418"/>
      <c r="F223" s="418">
        <v>0.95</v>
      </c>
    </row>
    <row r="224" spans="2:7" ht="13.5" thickBot="1" x14ac:dyDescent="0.3"/>
    <row r="225" spans="2:7" ht="14.25" thickTop="1" x14ac:dyDescent="0.25">
      <c r="B225" s="395" t="s">
        <v>780</v>
      </c>
      <c r="C225" s="77"/>
      <c r="D225" s="78"/>
      <c r="E225" s="78"/>
      <c r="F225" s="78"/>
      <c r="G225" s="79"/>
    </row>
    <row r="226" spans="2:7" ht="13.5" x14ac:dyDescent="0.25">
      <c r="C226" s="80" t="s">
        <v>119</v>
      </c>
      <c r="D226" s="80" t="s">
        <v>116</v>
      </c>
      <c r="E226" s="80" t="s">
        <v>117</v>
      </c>
      <c r="F226" s="80" t="s">
        <v>118</v>
      </c>
      <c r="G226" s="81" t="s">
        <v>120</v>
      </c>
    </row>
    <row r="227" spans="2:7" x14ac:dyDescent="0.25">
      <c r="B227" s="22" t="s">
        <v>5</v>
      </c>
      <c r="C227" s="73" t="s">
        <v>385</v>
      </c>
      <c r="D227" s="543"/>
      <c r="E227" s="543"/>
      <c r="F227" s="543"/>
      <c r="G227" s="544"/>
    </row>
    <row r="228" spans="2:7" x14ac:dyDescent="0.25">
      <c r="B228" s="22" t="s">
        <v>679</v>
      </c>
      <c r="C228" s="73" t="s">
        <v>385</v>
      </c>
      <c r="D228" s="418"/>
      <c r="E228" s="418"/>
      <c r="F228" s="418"/>
      <c r="G228" s="544"/>
    </row>
    <row r="229" spans="2:7" x14ac:dyDescent="0.25">
      <c r="B229" s="22" t="s">
        <v>542</v>
      </c>
      <c r="C229" s="73" t="s">
        <v>385</v>
      </c>
      <c r="D229" s="418"/>
      <c r="E229" s="418"/>
      <c r="F229" s="418"/>
    </row>
  </sheetData>
  <phoneticPr fontId="7" type="noConversion"/>
  <pageMargins left="0.75" right="0.37" top="0.56000000000000005" bottom="0.61" header="0.5" footer="0.5"/>
  <pageSetup scale="65" orientation="landscape" r:id="rId1"/>
  <headerFooter alignWithMargins="0">
    <oddFooter>&amp;R&amp;"Book Antiqua,Regular"&amp;8Daniel Salmon
BMO Capital Markets
 (212) 885-4029</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pageSetUpPr fitToPage="1"/>
  </sheetPr>
  <dimension ref="A1:GR35"/>
  <sheetViews>
    <sheetView showGridLines="0" zoomScaleNormal="100" workbookViewId="0">
      <pane xSplit="119" topLeftCell="FC1" activePane="topRight" state="frozen"/>
      <selection activeCell="D1" sqref="D1"/>
      <selection pane="topRight" activeCell="FI34" sqref="FI34"/>
    </sheetView>
  </sheetViews>
  <sheetFormatPr defaultColWidth="6.6640625" defaultRowHeight="12.75" x14ac:dyDescent="0.25"/>
  <cols>
    <col min="1" max="3" width="9.33203125" style="47" hidden="1" customWidth="1"/>
    <col min="4" max="4" width="1.83203125" style="47" customWidth="1"/>
    <col min="5" max="5" width="26.33203125" style="47" customWidth="1"/>
    <col min="6" max="7" width="5.6640625" style="47" hidden="1" customWidth="1"/>
    <col min="8" max="8" width="5.83203125" style="47" hidden="1" customWidth="1"/>
    <col min="9" max="10" width="5.6640625" style="47" hidden="1" customWidth="1"/>
    <col min="11" max="11" width="5.83203125" style="47" hidden="1" customWidth="1"/>
    <col min="12" max="13" width="5.6640625" style="47" hidden="1" customWidth="1"/>
    <col min="14" max="14" width="5.83203125" style="47" hidden="1" customWidth="1"/>
    <col min="15" max="16" width="5.6640625" style="47" hidden="1" customWidth="1"/>
    <col min="17" max="17" width="5.83203125" style="47" hidden="1" customWidth="1"/>
    <col min="18" max="18" width="7.1640625" style="47" hidden="1" customWidth="1"/>
    <col min="19" max="19" width="6.33203125" style="47" hidden="1" customWidth="1"/>
    <col min="20" max="38" width="6.6640625" style="47" hidden="1" customWidth="1"/>
    <col min="39" max="47" width="5.5" style="47" hidden="1" customWidth="1"/>
    <col min="48" max="50" width="5.83203125" style="47" hidden="1" customWidth="1"/>
    <col min="51" max="53" width="5.5" style="47" hidden="1" customWidth="1"/>
    <col min="54" max="55" width="6.1640625" style="47" hidden="1" customWidth="1"/>
    <col min="56" max="56" width="5.5" style="47" hidden="1" customWidth="1"/>
    <col min="57" max="58" width="6.1640625" style="47" hidden="1" customWidth="1"/>
    <col min="59" max="65" width="5.5" style="47" hidden="1" customWidth="1"/>
    <col min="66" max="67" width="6.1640625" style="47" hidden="1" customWidth="1"/>
    <col min="68" max="68" width="5.5" style="47" hidden="1" customWidth="1"/>
    <col min="69" max="70" width="6.1640625" style="47" hidden="1" customWidth="1"/>
    <col min="71" max="71" width="5.5" style="47" hidden="1" customWidth="1"/>
    <col min="72" max="73" width="6.1640625" style="47" hidden="1" customWidth="1"/>
    <col min="74" max="74" width="5.5" style="47" hidden="1" customWidth="1"/>
    <col min="75" max="76" width="6.1640625" style="47" hidden="1" customWidth="1"/>
    <col min="77" max="77" width="5.5" style="47" hidden="1" customWidth="1"/>
    <col min="78" max="79" width="6.1640625" style="47" hidden="1" customWidth="1"/>
    <col min="80" max="80" width="5.83203125" style="47" hidden="1" customWidth="1"/>
    <col min="81" max="81" width="6.33203125" style="47" hidden="1" customWidth="1"/>
    <col min="82" max="82" width="5.6640625" style="47" hidden="1" customWidth="1"/>
    <col min="83" max="83" width="5.83203125" style="47" hidden="1" customWidth="1"/>
    <col min="84" max="84" width="6.33203125" style="47" hidden="1" customWidth="1"/>
    <col min="85" max="85" width="5.83203125" style="47" hidden="1" customWidth="1"/>
    <col min="86" max="86" width="6.1640625" style="47" hidden="1" customWidth="1"/>
    <col min="87" max="87" width="6" style="47" hidden="1" customWidth="1"/>
    <col min="88" max="88" width="5.6640625" style="47" hidden="1" customWidth="1"/>
    <col min="89" max="89" width="5.5" style="47" hidden="1" customWidth="1"/>
    <col min="90" max="90" width="6.1640625" style="47" hidden="1" customWidth="1"/>
    <col min="91" max="92" width="5.5" style="47" hidden="1" customWidth="1"/>
    <col min="93" max="93" width="6.33203125" style="47" hidden="1" customWidth="1"/>
    <col min="94" max="94" width="6.1640625" style="47" hidden="1" customWidth="1"/>
    <col min="95" max="95" width="5.5" style="47" hidden="1" customWidth="1"/>
    <col min="96" max="97" width="6.1640625" style="47" hidden="1" customWidth="1"/>
    <col min="98" max="98" width="5.5" style="47" hidden="1" customWidth="1"/>
    <col min="99" max="113" width="5.33203125" style="47" hidden="1" customWidth="1"/>
    <col min="114" max="116" width="5.6640625" style="47" hidden="1" customWidth="1"/>
    <col min="117" max="132" width="6.33203125" style="47" hidden="1" customWidth="1"/>
    <col min="133" max="133" width="7" style="47" hidden="1" customWidth="1"/>
    <col min="134" max="134" width="6.33203125" style="47" hidden="1" customWidth="1"/>
    <col min="135" max="135" width="6.83203125" style="47" hidden="1" customWidth="1"/>
    <col min="136" max="136" width="7" style="47" hidden="1" customWidth="1"/>
    <col min="137" max="137" width="6.33203125" style="47" hidden="1" customWidth="1"/>
    <col min="138" max="138" width="6.83203125" style="47" hidden="1" customWidth="1"/>
    <col min="139" max="139" width="7" style="47" hidden="1" customWidth="1"/>
    <col min="140" max="140" width="6.33203125" style="47" hidden="1" customWidth="1"/>
    <col min="141" max="141" width="6.83203125" style="47" hidden="1" customWidth="1"/>
    <col min="142" max="142" width="7" style="47" hidden="1" customWidth="1"/>
    <col min="143" max="143" width="6.33203125" style="47" hidden="1" customWidth="1"/>
    <col min="144" max="144" width="6.6640625" style="47" hidden="1" customWidth="1"/>
    <col min="145" max="145" width="7" style="47" hidden="1" customWidth="1"/>
    <col min="146" max="146" width="6.33203125" style="47" hidden="1" customWidth="1"/>
    <col min="147" max="147" width="6.83203125" style="47" hidden="1" customWidth="1"/>
    <col min="148" max="148" width="0.33203125" style="47" hidden="1" customWidth="1"/>
    <col min="149" max="149" width="3.33203125" style="47" hidden="1" customWidth="1"/>
    <col min="150" max="150" width="6.83203125" style="47" hidden="1" customWidth="1"/>
    <col min="151" max="151" width="7" style="47" hidden="1" customWidth="1"/>
    <col min="152" max="152" width="6.33203125" style="47" hidden="1" customWidth="1"/>
    <col min="153" max="153" width="6.6640625" style="47" hidden="1" customWidth="1"/>
    <col min="154" max="154" width="7" style="47" hidden="1" customWidth="1"/>
    <col min="155" max="155" width="6.33203125" style="47" hidden="1" customWidth="1"/>
    <col min="156" max="158" width="7" style="47" hidden="1" customWidth="1"/>
    <col min="159" max="167" width="7" style="47" customWidth="1"/>
    <col min="168" max="168" width="7.6640625" style="47" bestFit="1" customWidth="1"/>
    <col min="169" max="171" width="7" style="47" customWidth="1"/>
    <col min="172" max="173" width="6.6640625" style="47" customWidth="1"/>
    <col min="174" max="174" width="7.6640625" style="47" customWidth="1"/>
    <col min="175" max="182" width="6.6640625" style="47" customWidth="1"/>
    <col min="183" max="183" width="7" style="47" bestFit="1" customWidth="1"/>
    <col min="184" max="185" width="7" style="47" customWidth="1"/>
    <col min="186" max="197" width="6.6640625" style="47" hidden="1" customWidth="1"/>
    <col min="198" max="198" width="7" style="47" bestFit="1" customWidth="1"/>
    <col min="199" max="199" width="6.6640625" style="47" customWidth="1"/>
    <col min="200" max="16384" width="6.6640625" style="47"/>
  </cols>
  <sheetData>
    <row r="1" spans="3:200" x14ac:dyDescent="0.25">
      <c r="E1" s="2"/>
      <c r="FA1" s="725"/>
      <c r="FD1" s="725"/>
      <c r="FG1" s="725"/>
      <c r="FJ1" s="725"/>
      <c r="FM1" s="725"/>
      <c r="FN1" s="725"/>
      <c r="GB1" s="725"/>
      <c r="GD1" s="720"/>
      <c r="GE1" s="714"/>
    </row>
    <row r="2" spans="3:200" ht="13.5" x14ac:dyDescent="0.25">
      <c r="E2" s="13" t="str">
        <f>Income!E2</f>
        <v>LiveRamp</v>
      </c>
      <c r="ET2" s="732"/>
      <c r="EW2" s="725"/>
      <c r="FA2" s="725"/>
      <c r="FD2" s="725"/>
      <c r="FG2" s="725"/>
      <c r="FJ2" s="725"/>
      <c r="FL2" s="725"/>
      <c r="FM2" s="725"/>
      <c r="GB2" s="725"/>
      <c r="GC2" s="720"/>
    </row>
    <row r="3" spans="3:200" x14ac:dyDescent="0.25">
      <c r="E3" s="93" t="s">
        <v>129</v>
      </c>
      <c r="ET3" s="725"/>
      <c r="EW3" s="725"/>
      <c r="EZ3" s="725"/>
      <c r="FA3" s="725"/>
      <c r="FC3" s="725"/>
      <c r="FD3" s="725"/>
      <c r="FF3" s="725"/>
      <c r="FG3" s="725"/>
      <c r="FI3" s="725"/>
      <c r="FJ3" s="725"/>
      <c r="FL3" s="725"/>
      <c r="FM3" s="725"/>
      <c r="FN3" s="725"/>
      <c r="FO3" s="725"/>
      <c r="FP3" s="725"/>
      <c r="FQ3" s="725"/>
      <c r="FR3" s="725"/>
      <c r="FS3" s="725"/>
      <c r="FT3" s="725"/>
      <c r="FU3" s="725"/>
      <c r="FV3" s="725"/>
      <c r="FW3" s="725"/>
      <c r="FX3" s="725"/>
      <c r="FY3" s="725"/>
      <c r="FZ3" s="725"/>
      <c r="GA3" s="725"/>
      <c r="GB3" s="725"/>
      <c r="GC3" s="720"/>
    </row>
    <row r="4" spans="3:200" x14ac:dyDescent="0.25">
      <c r="EZ4" s="521"/>
      <c r="FA4" s="725"/>
      <c r="FC4" s="521"/>
      <c r="FD4" s="725"/>
      <c r="FF4" s="521"/>
      <c r="FG4" s="725"/>
      <c r="FI4" s="521"/>
      <c r="FJ4" s="725"/>
      <c r="FL4" s="521"/>
      <c r="FM4" s="725"/>
      <c r="FN4" s="725"/>
      <c r="FO4" s="725"/>
      <c r="FP4" s="725"/>
      <c r="FQ4" s="725"/>
      <c r="FR4" s="725"/>
      <c r="FS4" s="725"/>
      <c r="FT4" s="725"/>
      <c r="FU4" s="725"/>
      <c r="FV4" s="725"/>
      <c r="FW4" s="725"/>
      <c r="FX4" s="725"/>
      <c r="FY4" s="725"/>
      <c r="FZ4" s="725"/>
      <c r="GA4" s="521"/>
      <c r="GB4" s="725"/>
    </row>
    <row r="5" spans="3:200" ht="18" customHeight="1" x14ac:dyDescent="0.3">
      <c r="E5" s="440" t="s">
        <v>423</v>
      </c>
      <c r="F5" s="342" t="s">
        <v>40</v>
      </c>
      <c r="G5" s="343"/>
      <c r="H5" s="343"/>
      <c r="I5" s="342" t="str">
        <f>Income!AK5</f>
        <v>F2QA</v>
      </c>
      <c r="J5" s="343"/>
      <c r="K5" s="343"/>
      <c r="L5" s="342" t="str">
        <f>Income!AL5</f>
        <v>F3QA</v>
      </c>
      <c r="M5" s="343"/>
      <c r="N5" s="343"/>
      <c r="O5" s="342" t="str">
        <f>Income!AM5</f>
        <v>F4QA</v>
      </c>
      <c r="P5" s="343"/>
      <c r="Q5" s="343"/>
      <c r="R5" s="342" t="str">
        <f>Income!AN5</f>
        <v>F2009A</v>
      </c>
      <c r="S5" s="343"/>
      <c r="T5" s="344"/>
      <c r="U5" s="342" t="str">
        <f>Income!AO5</f>
        <v>F1QA</v>
      </c>
      <c r="V5" s="343"/>
      <c r="W5" s="343"/>
      <c r="X5" s="342" t="str">
        <f>Income!AP5</f>
        <v>F2QA</v>
      </c>
      <c r="Y5" s="343"/>
      <c r="Z5" s="343"/>
      <c r="AA5" s="342" t="str">
        <f>Income!AQ5</f>
        <v>F3QA</v>
      </c>
      <c r="AB5" s="343"/>
      <c r="AC5" s="343"/>
      <c r="AD5" s="342" t="str">
        <f>Income!AR5</f>
        <v>F4QA</v>
      </c>
      <c r="AE5" s="343"/>
      <c r="AF5" s="343"/>
      <c r="AG5" s="342" t="str">
        <f>Income!AS5</f>
        <v>F2010A</v>
      </c>
      <c r="AH5" s="343"/>
      <c r="AI5" s="344"/>
      <c r="AJ5" s="342" t="str">
        <f>Income!AT5</f>
        <v>F1QA</v>
      </c>
      <c r="AK5" s="343"/>
      <c r="AL5" s="343"/>
      <c r="AM5" s="342" t="str">
        <f>Income!AU5</f>
        <v>F2QA</v>
      </c>
      <c r="AN5" s="343"/>
      <c r="AO5" s="343"/>
      <c r="AP5" s="342" t="str">
        <f>Income!AV5</f>
        <v>F3QA</v>
      </c>
      <c r="AQ5" s="343"/>
      <c r="AR5" s="343"/>
      <c r="AS5" s="342" t="str">
        <f>Income!AW5</f>
        <v>F4QA</v>
      </c>
      <c r="AT5" s="343"/>
      <c r="AU5" s="343"/>
      <c r="AV5" s="342" t="str">
        <f>Income!AX5</f>
        <v>F2011A</v>
      </c>
      <c r="AW5" s="343"/>
      <c r="AX5" s="344"/>
      <c r="AY5" s="342" t="str">
        <f>Income!AY5</f>
        <v>F1QA</v>
      </c>
      <c r="AZ5" s="343"/>
      <c r="BA5" s="343"/>
      <c r="BB5" s="342" t="str">
        <f>Income!AZ5</f>
        <v>F2QA</v>
      </c>
      <c r="BC5" s="343"/>
      <c r="BD5" s="343"/>
      <c r="BE5" s="342" t="str">
        <f>Income!BA5</f>
        <v>F3QA</v>
      </c>
      <c r="BF5" s="343"/>
      <c r="BG5" s="343"/>
      <c r="BH5" s="342" t="str">
        <f>Income!BB5</f>
        <v>F4QA</v>
      </c>
      <c r="BI5" s="343"/>
      <c r="BJ5" s="343"/>
      <c r="BK5" s="342" t="str">
        <f>Income!BC5</f>
        <v>F2012A</v>
      </c>
      <c r="BL5" s="343"/>
      <c r="BM5" s="344"/>
      <c r="BN5" s="342" t="str">
        <f>Income!BD5</f>
        <v>F1QA</v>
      </c>
      <c r="BO5" s="343"/>
      <c r="BP5" s="343"/>
      <c r="BQ5" s="342" t="str">
        <f>Income!BE5</f>
        <v>F2QA</v>
      </c>
      <c r="BR5" s="343"/>
      <c r="BS5" s="343"/>
      <c r="BT5" s="342" t="str">
        <f>Income!BF5</f>
        <v>F3QA</v>
      </c>
      <c r="BU5" s="343"/>
      <c r="BV5" s="343"/>
      <c r="BW5" s="342" t="str">
        <f>Income!BG5</f>
        <v>F4QA</v>
      </c>
      <c r="BX5" s="343"/>
      <c r="BY5" s="343"/>
      <c r="BZ5" s="342" t="str">
        <f>Income!BH5</f>
        <v>F2013A</v>
      </c>
      <c r="CA5" s="343"/>
      <c r="CB5" s="344"/>
      <c r="CC5" s="342" t="str">
        <f>Income!BI5</f>
        <v>F1QA</v>
      </c>
      <c r="CD5" s="343"/>
      <c r="CE5" s="343"/>
      <c r="CF5" s="342" t="str">
        <f>Income!BJ5</f>
        <v>F2QA</v>
      </c>
      <c r="CG5" s="343"/>
      <c r="CH5" s="343"/>
      <c r="CI5" s="342" t="str">
        <f>Income!BK5</f>
        <v>F3QA</v>
      </c>
      <c r="CJ5" s="343"/>
      <c r="CK5" s="343"/>
      <c r="CL5" s="342" t="str">
        <f>Income!BL5</f>
        <v>F4QA</v>
      </c>
      <c r="CM5" s="343"/>
      <c r="CN5" s="343"/>
      <c r="CO5" s="342" t="str">
        <f>Income!BM5</f>
        <v>F2014A</v>
      </c>
      <c r="CP5" s="343"/>
      <c r="CQ5" s="344"/>
      <c r="CR5" s="342" t="str">
        <f>Income!BN5</f>
        <v>F1QA</v>
      </c>
      <c r="CS5" s="343"/>
      <c r="CT5" s="343"/>
      <c r="CU5" s="342" t="str">
        <f>Income!BO5</f>
        <v>F2QA</v>
      </c>
      <c r="CV5" s="343"/>
      <c r="CW5" s="343"/>
      <c r="CX5" s="342" t="str">
        <f>Income!BP5</f>
        <v>F3QA</v>
      </c>
      <c r="CY5" s="343"/>
      <c r="CZ5" s="343"/>
      <c r="DA5" s="342" t="str">
        <f>Income!BQ5</f>
        <v>F4QA</v>
      </c>
      <c r="DB5" s="343"/>
      <c r="DC5" s="343"/>
      <c r="DD5" s="342" t="str">
        <f>Income!BR5</f>
        <v>F2015A</v>
      </c>
      <c r="DE5" s="343"/>
      <c r="DF5" s="344"/>
      <c r="DG5" s="342" t="str">
        <f>Income!BS5</f>
        <v>F1QA</v>
      </c>
      <c r="DH5" s="343"/>
      <c r="DI5" s="343"/>
      <c r="DJ5" s="342" t="str">
        <f>Income!BT5</f>
        <v>F2QA</v>
      </c>
      <c r="DK5" s="343"/>
      <c r="DL5" s="343"/>
      <c r="DM5" s="342" t="str">
        <f>Income!BU5</f>
        <v>F3QA</v>
      </c>
      <c r="DN5" s="343"/>
      <c r="DO5" s="343"/>
      <c r="DP5" s="342" t="str">
        <f>Income!BV5</f>
        <v>F4QA</v>
      </c>
      <c r="DQ5" s="343"/>
      <c r="DR5" s="343"/>
      <c r="DS5" s="474" t="str">
        <f>Income!BW5</f>
        <v>F2016A</v>
      </c>
      <c r="DT5" s="344"/>
      <c r="DU5" s="344"/>
      <c r="DV5" s="342" t="str">
        <f>Income!BX5</f>
        <v>F1QA</v>
      </c>
      <c r="DW5" s="343"/>
      <c r="DX5" s="343"/>
      <c r="DY5" s="342" t="str">
        <f>Income!BY5</f>
        <v>F2QA</v>
      </c>
      <c r="DZ5" s="343"/>
      <c r="EA5" s="343"/>
      <c r="EB5" s="342" t="str">
        <f>Income!BZ5</f>
        <v>F3QA</v>
      </c>
      <c r="EC5" s="343"/>
      <c r="ED5" s="343"/>
      <c r="EE5" s="342" t="str">
        <f>Income!CA5</f>
        <v>F4QA</v>
      </c>
      <c r="EF5" s="343"/>
      <c r="EG5" s="343"/>
      <c r="EH5" s="474" t="str">
        <f>Income!CB5</f>
        <v>F2017A</v>
      </c>
      <c r="EI5" s="344"/>
      <c r="EJ5" s="344"/>
      <c r="EK5" s="342" t="str">
        <f>Income!CC5</f>
        <v>F1QA</v>
      </c>
      <c r="EL5" s="343"/>
      <c r="EM5" s="343"/>
      <c r="EN5" s="342" t="str">
        <f>Income!CD5</f>
        <v>F2QA</v>
      </c>
      <c r="EO5" s="343"/>
      <c r="EP5" s="343"/>
      <c r="EQ5" s="342" t="str">
        <f>Income!CE5</f>
        <v>F3QA</v>
      </c>
      <c r="ER5" s="343"/>
      <c r="ES5" s="343"/>
      <c r="ET5" s="342" t="str">
        <f>Income!CF5</f>
        <v>F4QA</v>
      </c>
      <c r="EU5" s="343"/>
      <c r="EV5" s="343"/>
      <c r="EW5" s="474" t="str">
        <f>Income!CG5</f>
        <v>F2018A</v>
      </c>
      <c r="EX5" s="344"/>
      <c r="EY5" s="344"/>
      <c r="EZ5" s="342" t="str">
        <f>Income!CH5</f>
        <v>F1QA</v>
      </c>
      <c r="FA5" s="343"/>
      <c r="FB5" s="343"/>
      <c r="FC5" s="342" t="str">
        <f>Income!CI5</f>
        <v>F2QA</v>
      </c>
      <c r="FD5" s="343"/>
      <c r="FE5" s="343"/>
      <c r="FF5" s="342" t="str">
        <f>Income!CJ5</f>
        <v>F3QE</v>
      </c>
      <c r="FG5" s="343"/>
      <c r="FH5" s="343"/>
      <c r="FI5" s="342" t="str">
        <f>Income!CK5</f>
        <v>F4QE</v>
      </c>
      <c r="FJ5" s="343"/>
      <c r="FK5" s="343"/>
      <c r="FL5" s="474" t="str">
        <f>Income!CL5</f>
        <v>F2019E</v>
      </c>
      <c r="FM5" s="344"/>
      <c r="FN5" s="344"/>
      <c r="FO5" s="342" t="str">
        <f>Income!CM5</f>
        <v>F1QE</v>
      </c>
      <c r="FP5" s="343"/>
      <c r="FQ5" s="343"/>
      <c r="FR5" s="342" t="str">
        <f>Income!CN5</f>
        <v>F2QE</v>
      </c>
      <c r="FS5" s="343"/>
      <c r="FT5" s="343"/>
      <c r="FU5" s="342" t="str">
        <f>Income!CO5</f>
        <v>F3QE</v>
      </c>
      <c r="FV5" s="343"/>
      <c r="FW5" s="343"/>
      <c r="FX5" s="342" t="str">
        <f>Income!CP5</f>
        <v>F4QE</v>
      </c>
      <c r="FY5" s="343"/>
      <c r="FZ5" s="343"/>
      <c r="GA5" s="474" t="str">
        <f>Income!CQ5</f>
        <v>F2020E</v>
      </c>
      <c r="GB5" s="344"/>
      <c r="GC5" s="344"/>
      <c r="GD5" s="342" t="str">
        <f>Income!CR5</f>
        <v>F1QE</v>
      </c>
      <c r="GE5" s="343"/>
      <c r="GF5" s="343"/>
      <c r="GG5" s="342" t="str">
        <f>Income!CS5</f>
        <v>F2QE</v>
      </c>
      <c r="GH5" s="343"/>
      <c r="GI5" s="343"/>
      <c r="GJ5" s="342" t="str">
        <f>Income!CT5</f>
        <v>F3QE</v>
      </c>
      <c r="GK5" s="343"/>
      <c r="GL5" s="343"/>
      <c r="GM5" s="342" t="str">
        <f>Income!CU5</f>
        <v>F4QE</v>
      </c>
      <c r="GN5" s="343"/>
      <c r="GO5" s="343"/>
      <c r="GP5" s="474" t="str">
        <f>Income!CV5</f>
        <v>F2021E</v>
      </c>
      <c r="GQ5" s="344"/>
      <c r="GR5" s="344"/>
    </row>
    <row r="6" spans="3:200" ht="18" customHeight="1" thickBot="1" x14ac:dyDescent="0.35">
      <c r="E6" s="441" t="s">
        <v>445</v>
      </c>
      <c r="F6" s="345" t="s">
        <v>126</v>
      </c>
      <c r="G6" s="345" t="s">
        <v>127</v>
      </c>
      <c r="H6" s="345" t="s">
        <v>128</v>
      </c>
      <c r="I6" s="345" t="s">
        <v>126</v>
      </c>
      <c r="J6" s="345" t="s">
        <v>127</v>
      </c>
      <c r="K6" s="345" t="s">
        <v>128</v>
      </c>
      <c r="L6" s="345" t="s">
        <v>197</v>
      </c>
      <c r="M6" s="345" t="s">
        <v>198</v>
      </c>
      <c r="N6" s="345" t="s">
        <v>128</v>
      </c>
      <c r="O6" s="345" t="s">
        <v>126</v>
      </c>
      <c r="P6" s="345" t="s">
        <v>127</v>
      </c>
      <c r="Q6" s="345" t="s">
        <v>128</v>
      </c>
      <c r="R6" s="345" t="s">
        <v>126</v>
      </c>
      <c r="S6" s="345" t="s">
        <v>127</v>
      </c>
      <c r="T6" s="346" t="s">
        <v>128</v>
      </c>
      <c r="U6" s="345" t="s">
        <v>126</v>
      </c>
      <c r="V6" s="345" t="s">
        <v>127</v>
      </c>
      <c r="W6" s="345" t="s">
        <v>128</v>
      </c>
      <c r="X6" s="345" t="s">
        <v>126</v>
      </c>
      <c r="Y6" s="345" t="s">
        <v>127</v>
      </c>
      <c r="Z6" s="345" t="s">
        <v>128</v>
      </c>
      <c r="AA6" s="345" t="s">
        <v>126</v>
      </c>
      <c r="AB6" s="345" t="s">
        <v>127</v>
      </c>
      <c r="AC6" s="345" t="s">
        <v>128</v>
      </c>
      <c r="AD6" s="345" t="s">
        <v>126</v>
      </c>
      <c r="AE6" s="345" t="s">
        <v>127</v>
      </c>
      <c r="AF6" s="345" t="s">
        <v>128</v>
      </c>
      <c r="AG6" s="345" t="s">
        <v>126</v>
      </c>
      <c r="AH6" s="345" t="s">
        <v>127</v>
      </c>
      <c r="AI6" s="346" t="s">
        <v>128</v>
      </c>
      <c r="AJ6" s="345" t="s">
        <v>197</v>
      </c>
      <c r="AK6" s="345" t="s">
        <v>198</v>
      </c>
      <c r="AL6" s="345" t="s">
        <v>128</v>
      </c>
      <c r="AM6" s="345" t="s">
        <v>126</v>
      </c>
      <c r="AN6" s="345" t="s">
        <v>127</v>
      </c>
      <c r="AO6" s="345" t="s">
        <v>128</v>
      </c>
      <c r="AP6" s="345" t="s">
        <v>197</v>
      </c>
      <c r="AQ6" s="345" t="s">
        <v>198</v>
      </c>
      <c r="AR6" s="345" t="s">
        <v>128</v>
      </c>
      <c r="AS6" s="345" t="s">
        <v>197</v>
      </c>
      <c r="AT6" s="345" t="s">
        <v>198</v>
      </c>
      <c r="AU6" s="345" t="s">
        <v>128</v>
      </c>
      <c r="AV6" s="345" t="s">
        <v>126</v>
      </c>
      <c r="AW6" s="345" t="s">
        <v>127</v>
      </c>
      <c r="AX6" s="346" t="s">
        <v>128</v>
      </c>
      <c r="AY6" s="345" t="s">
        <v>126</v>
      </c>
      <c r="AZ6" s="345" t="s">
        <v>127</v>
      </c>
      <c r="BA6" s="345" t="s">
        <v>128</v>
      </c>
      <c r="BB6" s="345" t="s">
        <v>444</v>
      </c>
      <c r="BC6" s="345" t="s">
        <v>198</v>
      </c>
      <c r="BD6" s="345" t="s">
        <v>128</v>
      </c>
      <c r="BE6" s="345" t="s">
        <v>197</v>
      </c>
      <c r="BF6" s="345" t="s">
        <v>198</v>
      </c>
      <c r="BG6" s="345" t="s">
        <v>128</v>
      </c>
      <c r="BH6" s="345" t="s">
        <v>197</v>
      </c>
      <c r="BI6" s="345" t="s">
        <v>198</v>
      </c>
      <c r="BJ6" s="345" t="s">
        <v>128</v>
      </c>
      <c r="BK6" s="345" t="s">
        <v>126</v>
      </c>
      <c r="BL6" s="345" t="s">
        <v>127</v>
      </c>
      <c r="BM6" s="346" t="s">
        <v>128</v>
      </c>
      <c r="BN6" s="345" t="s">
        <v>197</v>
      </c>
      <c r="BO6" s="345" t="s">
        <v>198</v>
      </c>
      <c r="BP6" s="345" t="s">
        <v>128</v>
      </c>
      <c r="BQ6" s="345" t="s">
        <v>197</v>
      </c>
      <c r="BR6" s="345" t="s">
        <v>198</v>
      </c>
      <c r="BS6" s="345" t="s">
        <v>128</v>
      </c>
      <c r="BT6" s="345" t="s">
        <v>197</v>
      </c>
      <c r="BU6" s="345" t="s">
        <v>198</v>
      </c>
      <c r="BV6" s="345" t="s">
        <v>128</v>
      </c>
      <c r="BW6" s="345" t="s">
        <v>197</v>
      </c>
      <c r="BX6" s="345" t="s">
        <v>198</v>
      </c>
      <c r="BY6" s="345" t="s">
        <v>128</v>
      </c>
      <c r="BZ6" s="345" t="s">
        <v>126</v>
      </c>
      <c r="CA6" s="345" t="s">
        <v>127</v>
      </c>
      <c r="CB6" s="346" t="s">
        <v>128</v>
      </c>
      <c r="CC6" s="345" t="s">
        <v>197</v>
      </c>
      <c r="CD6" s="345" t="s">
        <v>198</v>
      </c>
      <c r="CE6" s="345" t="s">
        <v>128</v>
      </c>
      <c r="CF6" s="345" t="s">
        <v>197</v>
      </c>
      <c r="CG6" s="345" t="s">
        <v>524</v>
      </c>
      <c r="CH6" s="345" t="s">
        <v>128</v>
      </c>
      <c r="CI6" s="345" t="s">
        <v>197</v>
      </c>
      <c r="CJ6" s="345" t="s">
        <v>524</v>
      </c>
      <c r="CK6" s="345" t="s">
        <v>128</v>
      </c>
      <c r="CL6" s="345" t="s">
        <v>197</v>
      </c>
      <c r="CM6" s="345" t="s">
        <v>524</v>
      </c>
      <c r="CN6" s="345" t="s">
        <v>128</v>
      </c>
      <c r="CO6" s="345" t="s">
        <v>197</v>
      </c>
      <c r="CP6" s="345" t="s">
        <v>524</v>
      </c>
      <c r="CQ6" s="346" t="s">
        <v>128</v>
      </c>
      <c r="CR6" s="345" t="s">
        <v>197</v>
      </c>
      <c r="CS6" s="345" t="s">
        <v>524</v>
      </c>
      <c r="CT6" s="345" t="s">
        <v>128</v>
      </c>
      <c r="CU6" s="345" t="s">
        <v>197</v>
      </c>
      <c r="CV6" s="345" t="s">
        <v>524</v>
      </c>
      <c r="CW6" s="345" t="s">
        <v>128</v>
      </c>
      <c r="CX6" s="345" t="s">
        <v>197</v>
      </c>
      <c r="CY6" s="345" t="s">
        <v>524</v>
      </c>
      <c r="CZ6" s="345" t="s">
        <v>128</v>
      </c>
      <c r="DA6" s="345" t="s">
        <v>197</v>
      </c>
      <c r="DB6" s="345" t="s">
        <v>590</v>
      </c>
      <c r="DC6" s="345" t="s">
        <v>128</v>
      </c>
      <c r="DD6" s="345" t="s">
        <v>197</v>
      </c>
      <c r="DE6" s="345" t="s">
        <v>590</v>
      </c>
      <c r="DF6" s="346" t="s">
        <v>128</v>
      </c>
      <c r="DG6" s="345" t="s">
        <v>197</v>
      </c>
      <c r="DH6" s="345" t="s">
        <v>524</v>
      </c>
      <c r="DI6" s="345" t="s">
        <v>128</v>
      </c>
      <c r="DJ6" s="345" t="s">
        <v>197</v>
      </c>
      <c r="DK6" s="345" t="s">
        <v>198</v>
      </c>
      <c r="DL6" s="345" t="s">
        <v>128</v>
      </c>
      <c r="DM6" s="345" t="s">
        <v>197</v>
      </c>
      <c r="DN6" s="345" t="s">
        <v>198</v>
      </c>
      <c r="DO6" s="345" t="s">
        <v>128</v>
      </c>
      <c r="DP6" s="345" t="s">
        <v>126</v>
      </c>
      <c r="DQ6" s="345" t="s">
        <v>127</v>
      </c>
      <c r="DR6" s="345" t="s">
        <v>128</v>
      </c>
      <c r="DS6" s="345" t="s">
        <v>126</v>
      </c>
      <c r="DT6" s="345" t="s">
        <v>127</v>
      </c>
      <c r="DU6" s="346" t="s">
        <v>128</v>
      </c>
      <c r="DV6" s="345" t="s">
        <v>197</v>
      </c>
      <c r="DW6" s="345" t="s">
        <v>198</v>
      </c>
      <c r="DX6" s="345" t="s">
        <v>128</v>
      </c>
      <c r="DY6" s="345" t="s">
        <v>197</v>
      </c>
      <c r="DZ6" s="345" t="s">
        <v>198</v>
      </c>
      <c r="EA6" s="345" t="s">
        <v>128</v>
      </c>
      <c r="EB6" s="345" t="s">
        <v>126</v>
      </c>
      <c r="EC6" s="345" t="s">
        <v>127</v>
      </c>
      <c r="ED6" s="345" t="s">
        <v>128</v>
      </c>
      <c r="EE6" s="345" t="s">
        <v>197</v>
      </c>
      <c r="EF6" s="345" t="s">
        <v>198</v>
      </c>
      <c r="EG6" s="345" t="s">
        <v>128</v>
      </c>
      <c r="EH6" s="345" t="s">
        <v>126</v>
      </c>
      <c r="EI6" s="345" t="s">
        <v>127</v>
      </c>
      <c r="EJ6" s="346" t="s">
        <v>128</v>
      </c>
      <c r="EK6" s="345" t="s">
        <v>197</v>
      </c>
      <c r="EL6" s="345" t="s">
        <v>198</v>
      </c>
      <c r="EM6" s="345" t="s">
        <v>128</v>
      </c>
      <c r="EN6" s="345" t="s">
        <v>197</v>
      </c>
      <c r="EO6" s="345" t="s">
        <v>198</v>
      </c>
      <c r="EP6" s="345" t="s">
        <v>128</v>
      </c>
      <c r="EQ6" s="345" t="s">
        <v>197</v>
      </c>
      <c r="ER6" s="345" t="s">
        <v>198</v>
      </c>
      <c r="ES6" s="345" t="s">
        <v>128</v>
      </c>
      <c r="ET6" s="345" t="s">
        <v>197</v>
      </c>
      <c r="EU6" s="345" t="s">
        <v>198</v>
      </c>
      <c r="EV6" s="345" t="s">
        <v>128</v>
      </c>
      <c r="EW6" s="345" t="s">
        <v>197</v>
      </c>
      <c r="EX6" s="345" t="s">
        <v>198</v>
      </c>
      <c r="EY6" s="346" t="s">
        <v>128</v>
      </c>
      <c r="EZ6" s="345" t="s">
        <v>197</v>
      </c>
      <c r="FA6" s="345" t="s">
        <v>198</v>
      </c>
      <c r="FB6" s="345" t="s">
        <v>128</v>
      </c>
      <c r="FC6" s="345" t="s">
        <v>126</v>
      </c>
      <c r="FD6" s="345" t="s">
        <v>127</v>
      </c>
      <c r="FE6" s="345" t="s">
        <v>128</v>
      </c>
      <c r="FF6" s="345" t="s">
        <v>126</v>
      </c>
      <c r="FG6" s="345" t="s">
        <v>127</v>
      </c>
      <c r="FH6" s="345" t="s">
        <v>128</v>
      </c>
      <c r="FI6" s="345" t="s">
        <v>126</v>
      </c>
      <c r="FJ6" s="345" t="s">
        <v>127</v>
      </c>
      <c r="FK6" s="345" t="s">
        <v>128</v>
      </c>
      <c r="FL6" s="345" t="s">
        <v>126</v>
      </c>
      <c r="FM6" s="345" t="s">
        <v>127</v>
      </c>
      <c r="FN6" s="346" t="s">
        <v>128</v>
      </c>
      <c r="FO6" s="345" t="s">
        <v>126</v>
      </c>
      <c r="FP6" s="345" t="s">
        <v>127</v>
      </c>
      <c r="FQ6" s="345" t="s">
        <v>128</v>
      </c>
      <c r="FR6" s="345" t="s">
        <v>126</v>
      </c>
      <c r="FS6" s="345" t="s">
        <v>127</v>
      </c>
      <c r="FT6" s="345" t="s">
        <v>128</v>
      </c>
      <c r="FU6" s="345" t="s">
        <v>126</v>
      </c>
      <c r="FV6" s="345" t="s">
        <v>127</v>
      </c>
      <c r="FW6" s="345" t="s">
        <v>128</v>
      </c>
      <c r="FX6" s="345" t="s">
        <v>126</v>
      </c>
      <c r="FY6" s="345" t="s">
        <v>127</v>
      </c>
      <c r="FZ6" s="345" t="s">
        <v>128</v>
      </c>
      <c r="GA6" s="345" t="s">
        <v>126</v>
      </c>
      <c r="GB6" s="345" t="s">
        <v>127</v>
      </c>
      <c r="GC6" s="346" t="s">
        <v>128</v>
      </c>
      <c r="GD6" s="345" t="s">
        <v>593</v>
      </c>
      <c r="GE6" s="345" t="s">
        <v>127</v>
      </c>
      <c r="GF6" s="345" t="s">
        <v>128</v>
      </c>
      <c r="GG6" s="345" t="s">
        <v>593</v>
      </c>
      <c r="GH6" s="345" t="s">
        <v>127</v>
      </c>
      <c r="GI6" s="345" t="s">
        <v>128</v>
      </c>
      <c r="GJ6" s="345" t="s">
        <v>593</v>
      </c>
      <c r="GK6" s="345" t="s">
        <v>127</v>
      </c>
      <c r="GL6" s="345" t="s">
        <v>128</v>
      </c>
      <c r="GM6" s="345" t="s">
        <v>593</v>
      </c>
      <c r="GN6" s="345" t="s">
        <v>127</v>
      </c>
      <c r="GO6" s="345" t="s">
        <v>128</v>
      </c>
      <c r="GP6" s="345" t="s">
        <v>126</v>
      </c>
      <c r="GQ6" s="345" t="s">
        <v>127</v>
      </c>
      <c r="GR6" s="346" t="s">
        <v>128</v>
      </c>
    </row>
    <row r="7" spans="3:200" s="211" customFormat="1" ht="18" customHeight="1" thickTop="1" x14ac:dyDescent="0.25">
      <c r="C7" s="212" t="s">
        <v>805</v>
      </c>
      <c r="E7" s="683" t="s">
        <v>174</v>
      </c>
      <c r="F7" s="667"/>
      <c r="G7" s="668"/>
      <c r="H7" s="669"/>
      <c r="I7" s="667"/>
      <c r="J7" s="668"/>
      <c r="K7" s="669"/>
      <c r="L7" s="667"/>
      <c r="M7" s="668"/>
      <c r="N7" s="669"/>
      <c r="O7" s="667"/>
      <c r="P7" s="668"/>
      <c r="Q7" s="669"/>
      <c r="R7" s="667"/>
      <c r="S7" s="668"/>
      <c r="T7" s="684"/>
      <c r="U7" s="667"/>
      <c r="V7" s="668"/>
      <c r="W7" s="669"/>
      <c r="X7" s="667"/>
      <c r="Y7" s="668"/>
      <c r="Z7" s="669"/>
      <c r="AA7" s="667"/>
      <c r="AB7" s="668"/>
      <c r="AC7" s="669"/>
      <c r="AD7" s="667"/>
      <c r="AE7" s="668"/>
      <c r="AF7" s="669"/>
      <c r="AG7" s="667"/>
      <c r="AH7" s="668"/>
      <c r="AI7" s="684"/>
      <c r="AJ7" s="667">
        <f>Income!$AT22</f>
        <v>259.17900000000003</v>
      </c>
      <c r="AK7" s="668">
        <v>261.96078</v>
      </c>
      <c r="AL7" s="669">
        <v>271.21600000000001</v>
      </c>
      <c r="AM7" s="667">
        <f>Income!$AU22</f>
        <v>279.44499999999999</v>
      </c>
      <c r="AN7" s="668">
        <v>283.44241</v>
      </c>
      <c r="AO7" s="669">
        <v>284.53500000000003</v>
      </c>
      <c r="AP7" s="667">
        <f>Income!$AV22</f>
        <v>287.90500000000003</v>
      </c>
      <c r="AQ7" s="668">
        <v>302.14476000000002</v>
      </c>
      <c r="AR7" s="669">
        <v>300.72000000000003</v>
      </c>
      <c r="AS7" s="667">
        <f>Income!$AW22</f>
        <v>287.22499999999997</v>
      </c>
      <c r="AT7" s="668">
        <v>297.87200999999999</v>
      </c>
      <c r="AU7" s="669">
        <v>296.721</v>
      </c>
      <c r="AV7" s="667">
        <f>Income!$AX22</f>
        <v>1113.7539999999999</v>
      </c>
      <c r="AW7" s="668">
        <v>1159.04601</v>
      </c>
      <c r="AX7" s="684" t="e">
        <f ca="1">_xll.FDS($C7,"FE_ACTUAL(ACTUAL,SALES,ANNUAL,"&amp;MID(AV$5,2,4)-1&amp;",,,,'')@FE_ESTIMATE(SALES,MEAN,ANNUAL,"&amp;MID(AV$5,2,4)-1&amp;",NOW,,,'')")</f>
        <v>#NAME?</v>
      </c>
      <c r="AY7" s="667">
        <f>Income!$AY22</f>
        <v>276.04399999999998</v>
      </c>
      <c r="AZ7" s="668">
        <v>278.19245999999998</v>
      </c>
      <c r="BA7" s="669">
        <v>276.7</v>
      </c>
      <c r="BB7" s="667">
        <f>Income!$AZ22</f>
        <v>286.43200000000002</v>
      </c>
      <c r="BC7" s="668">
        <v>306.91329999999999</v>
      </c>
      <c r="BD7" s="669">
        <v>300.56599999999997</v>
      </c>
      <c r="BE7" s="667">
        <f>Income!$BA22</f>
        <v>280.89300000000003</v>
      </c>
      <c r="BF7" s="668">
        <v>309.40953999999999</v>
      </c>
      <c r="BG7" s="669">
        <v>306.36599999999999</v>
      </c>
      <c r="BH7" s="667">
        <f>Income!$BB22</f>
        <v>287.255</v>
      </c>
      <c r="BI7" s="668">
        <v>282.62874999999997</v>
      </c>
      <c r="BJ7" s="669">
        <v>280.476</v>
      </c>
      <c r="BK7" s="667">
        <f>Income!$BC22</f>
        <v>1130.624</v>
      </c>
      <c r="BL7" s="668">
        <v>1125.99775</v>
      </c>
      <c r="BM7" s="669" t="e">
        <f ca="1">_xll.FDS($C7,"FE_ACTUAL(ACTUAL,SALES,ANNUAL,"&amp;MID(BK$5,2,4)-1&amp;",,,,'')@FE_ESTIMATE(SALES,MEAN,ANNUAL,"&amp;MID(BK$5,2,4)-1&amp;",NOW,,,'')")</f>
        <v>#NAME?</v>
      </c>
      <c r="BN7" s="667">
        <f>Income!$BD22</f>
        <v>271.65899999999999</v>
      </c>
      <c r="BO7" s="668">
        <v>267.245</v>
      </c>
      <c r="BP7" s="669">
        <v>269.44400000000002</v>
      </c>
      <c r="BQ7" s="667">
        <f>Income!$BE22</f>
        <v>277.46699999999998</v>
      </c>
      <c r="BR7" s="668">
        <v>272.91808000000003</v>
      </c>
      <c r="BS7" s="669">
        <v>275.22199999999998</v>
      </c>
      <c r="BT7" s="667">
        <f>Income!$BF22</f>
        <v>273.10200000000003</v>
      </c>
      <c r="BU7" s="668">
        <v>275.27634999999998</v>
      </c>
      <c r="BV7" s="669">
        <v>275.64100000000002</v>
      </c>
      <c r="BW7" s="667">
        <f>Income!$BG22</f>
        <v>277.13099999999997</v>
      </c>
      <c r="BX7" s="668">
        <v>280.41300000000007</v>
      </c>
      <c r="BY7" s="669">
        <v>279.95299999999997</v>
      </c>
      <c r="BZ7" s="667">
        <f>Income!$BH22</f>
        <v>1099.3589999999999</v>
      </c>
      <c r="CA7" s="668">
        <v>1102.6410000000001</v>
      </c>
      <c r="CB7" s="669" t="e">
        <f ca="1">_xll.FDS($C7,"FE_ACTUAL(ACTUAL,SALES,ANNUAL,"&amp;MID(BZ$5,2,4)-1&amp;",,,,'')@FE_ESTIMATE(SALES,MEAN,ANNUAL,"&amp;MID(BZ$5,2,4)-1&amp;",NOW,,,'')")</f>
        <v>#NAME?</v>
      </c>
      <c r="CC7" s="667">
        <f>Income!$BI22</f>
        <v>266.19299999999998</v>
      </c>
      <c r="CD7" s="668">
        <v>265.14970000000005</v>
      </c>
      <c r="CE7" s="669">
        <v>265.988</v>
      </c>
      <c r="CF7" s="667">
        <f>Income!$BJ22</f>
        <v>276.27099999999996</v>
      </c>
      <c r="CG7" s="668">
        <v>276.28726</v>
      </c>
      <c r="CH7" s="669">
        <v>278.90300000000002</v>
      </c>
      <c r="CI7" s="667">
        <f>Income!$BK22</f>
        <v>277.87300000000005</v>
      </c>
      <c r="CJ7" s="668">
        <v>272.19421999999997</v>
      </c>
      <c r="CK7" s="669">
        <v>273.63200000000001</v>
      </c>
      <c r="CL7" s="667">
        <f>Income!$BL22</f>
        <v>277.20800000000003</v>
      </c>
      <c r="CM7" s="668">
        <v>276.62044000000003</v>
      </c>
      <c r="CN7" s="669">
        <v>278.57</v>
      </c>
      <c r="CO7" s="666">
        <f>Income!$BM22</f>
        <v>805.15300000000002</v>
      </c>
      <c r="CP7" s="668">
        <v>1096.9574400000001</v>
      </c>
      <c r="CQ7" s="669">
        <v>1098.518</v>
      </c>
      <c r="CR7" s="667">
        <f>Income!BN22</f>
        <v>186.68299999999999</v>
      </c>
      <c r="CS7" s="668">
        <v>249.9906</v>
      </c>
      <c r="CT7" s="669">
        <v>246.25700000000001</v>
      </c>
      <c r="CU7" s="667">
        <f>Income!$BO22</f>
        <v>204.24799999999999</v>
      </c>
      <c r="CV7" s="668">
        <v>241.17531</v>
      </c>
      <c r="CW7" s="669">
        <v>250.54400000000001</v>
      </c>
      <c r="CX7" s="667">
        <f>Income!BP22</f>
        <v>208.24600000000001</v>
      </c>
      <c r="CY7" s="668">
        <v>261.17209500000001</v>
      </c>
      <c r="CZ7" s="669">
        <v>258.39999999999998</v>
      </c>
      <c r="DA7" s="667">
        <f>Income!BQ22</f>
        <v>205.73400000000001</v>
      </c>
      <c r="DB7" s="668">
        <v>257.33</v>
      </c>
      <c r="DC7" s="669">
        <v>259.3</v>
      </c>
      <c r="DD7" s="666">
        <f>Income!$BR22</f>
        <v>804.91100000000006</v>
      </c>
      <c r="DE7" s="668">
        <v>1020.0219999999999</v>
      </c>
      <c r="DF7" s="669">
        <v>1021.5</v>
      </c>
      <c r="DG7" s="666">
        <f>Income!BS22</f>
        <v>196.89500000000001</v>
      </c>
      <c r="DH7" s="668">
        <v>186.46150999999998</v>
      </c>
      <c r="DI7" s="669">
        <v>187.21700000000001</v>
      </c>
      <c r="DJ7" s="666">
        <f>Income!BT22</f>
        <v>207.345</v>
      </c>
      <c r="DK7" s="668">
        <v>205.82079999999996</v>
      </c>
      <c r="DL7" s="669">
        <v>205.12899999999999</v>
      </c>
      <c r="DM7" s="666">
        <f>Income!BU22</f>
        <v>221.19300000000001</v>
      </c>
      <c r="DN7" s="668">
        <v>214.06555307730591</v>
      </c>
      <c r="DO7" s="669">
        <v>214.249</v>
      </c>
      <c r="DP7" s="666">
        <f>Income!BV22</f>
        <v>224.655</v>
      </c>
      <c r="DQ7" s="668">
        <v>214.21819496435015</v>
      </c>
      <c r="DR7" s="669">
        <v>213.2</v>
      </c>
      <c r="DS7" s="666">
        <f>Income!$BW22</f>
        <v>850.08799999999997</v>
      </c>
      <c r="DT7" s="668">
        <v>839.65119496435011</v>
      </c>
      <c r="DU7" s="669">
        <v>838.73</v>
      </c>
      <c r="DV7" s="667">
        <f>Income!BX22</f>
        <v>214.80099999999999</v>
      </c>
      <c r="DW7" s="668">
        <v>201.25643193061299</v>
      </c>
      <c r="DX7" s="669">
        <v>203.29820000000001</v>
      </c>
      <c r="DY7" s="667">
        <f>Income!BY22</f>
        <v>217.267</v>
      </c>
      <c r="DZ7" s="668">
        <v>212.47385101313046</v>
      </c>
      <c r="EA7" s="669">
        <v>215.6</v>
      </c>
      <c r="EB7" s="667">
        <f>Income!BZ22</f>
        <v>223.31200000000001</v>
      </c>
      <c r="EC7" s="668">
        <v>223.31200000000001</v>
      </c>
      <c r="ED7" s="669">
        <v>218.38315</v>
      </c>
      <c r="EE7" s="667">
        <f>Income!CA22</f>
        <v>224.86800000000002</v>
      </c>
      <c r="EF7" s="668">
        <v>224.86800000000002</v>
      </c>
      <c r="EG7" s="669">
        <v>222.20334</v>
      </c>
      <c r="EH7" s="666">
        <f>Income!$CB22</f>
        <v>880.24800000000005</v>
      </c>
      <c r="EI7" s="668">
        <v>880.24800000000005</v>
      </c>
      <c r="EJ7" s="669" t="e">
        <f ca="1">_xll.FDS($C7,"FE_ACTUAL(ACTUAL,SALES,ANNUAL,"&amp;MID(EH$5,2,4)-1&amp;",,,,'')@FE_ESTIMATE(SALES,MEAN,ANNUAL,"&amp;MID(EH$5,2,4)-1&amp;",NOW,,,'')")</f>
        <v>#NAME?</v>
      </c>
      <c r="EK7" s="666">
        <f>Income!$CC22</f>
        <v>46.756999999999998</v>
      </c>
      <c r="EL7" s="668">
        <f>Income!$CC$22</f>
        <v>46.756999999999998</v>
      </c>
      <c r="EM7" s="669">
        <v>217.32317</v>
      </c>
      <c r="EN7" s="666">
        <f>Income!$CD22</f>
        <v>54.012999999999998</v>
      </c>
      <c r="EO7" s="668">
        <v>0</v>
      </c>
      <c r="EP7" s="669">
        <v>222.06780000000001</v>
      </c>
      <c r="EQ7" s="666">
        <f>Income!$CE22</f>
        <v>59.121000000000002</v>
      </c>
      <c r="ER7" s="668">
        <v>0</v>
      </c>
      <c r="ES7" s="669">
        <v>237.85316</v>
      </c>
      <c r="ET7" s="666">
        <f>Income!$CF22</f>
        <v>60.21</v>
      </c>
      <c r="EU7" s="668">
        <v>0</v>
      </c>
      <c r="EV7" s="669">
        <v>239.56478999999999</v>
      </c>
      <c r="EW7" s="667">
        <f>Income!CG22</f>
        <v>220.101</v>
      </c>
      <c r="EX7" s="668">
        <v>0</v>
      </c>
      <c r="EY7" s="669">
        <v>912.18</v>
      </c>
      <c r="EZ7" s="667">
        <f>Income!CH22</f>
        <v>62.470999999999997</v>
      </c>
      <c r="FA7" s="668">
        <v>226.96</v>
      </c>
      <c r="FB7" s="669">
        <v>220.55875</v>
      </c>
      <c r="FC7" s="667">
        <f>Income!CI22</f>
        <v>64.811999999999998</v>
      </c>
      <c r="FD7" s="668">
        <v>62.7</v>
      </c>
      <c r="FE7" s="669">
        <v>62.6</v>
      </c>
      <c r="FF7" s="667">
        <f>Income!CJ22</f>
        <v>75.326738000000006</v>
      </c>
      <c r="FG7" s="668">
        <v>75.007599999999996</v>
      </c>
      <c r="FH7" s="669" t="e">
        <f ca="1">_xll.FDSC("na",$C7,"FE_ACTUAL(ACTUAL,SALES,QUARTERLY,"&amp;MID(FL$5,2,4)-1&amp;"+""/""+"&amp;MID(FF$5,2,1)&amp;"+""F"",,,,'')@FE_ESTIMATE(SALES,MEAN,QUARTERLY_ROLL,"&amp;MID(FL$5,2,4)-1&amp;"+""/""+"&amp;MID(FF$5,2,1)&amp;"+""F"",NOW,,,'')")</f>
        <v>#NAME?</v>
      </c>
      <c r="FI7" s="667">
        <f>Income!CK22</f>
        <v>79.440130000000011</v>
      </c>
      <c r="FJ7" s="668">
        <v>81.213966000000013</v>
      </c>
      <c r="FK7" s="669" t="e">
        <f ca="1">_xll.FDSC("na",$C7,"FE_ACTUAL(ACTUAL,SALES,QUARTERLY,"&amp;MID(FL$5,2,4)-1&amp;"+""/""+"&amp;MID(FI$5,2,1)&amp;"+""F"",,,,'')@FE_ESTIMATE(SALES,MEAN,QUARTERLY_ROLL,"&amp;MID(FL$5,2,4)-1&amp;"+""/""+"&amp;MID(FI$5,2,1)&amp;"+""F"",NOW,,,'')")</f>
        <v>#NAME?</v>
      </c>
      <c r="FL7" s="667">
        <f>Income!CL22</f>
        <v>282.049868</v>
      </c>
      <c r="FM7" s="668">
        <v>281.39999999999998</v>
      </c>
      <c r="FN7" s="669" t="e">
        <f ca="1">_xll.FDS($C7,"FE_ACTUAL(ACTUAL,SALES,ANNUAL,"&amp;MID(FL$5,2,4)-1&amp;",,,,'')@FE_ESTIMATE(SALES,MEAN,ANNUAL,"&amp;MID(FL$5,2,4)-1&amp;",NOW,,,'')")</f>
        <v>#NAME?</v>
      </c>
      <c r="FO7" s="667">
        <f>Income!CM22</f>
        <v>81.212299999999999</v>
      </c>
      <c r="FP7" s="668">
        <v>82.442599999999999</v>
      </c>
      <c r="FQ7" s="669" t="e">
        <f ca="1">_xll.FDSC("na",$C7,"FE_ACTUAL(ACTUAL,SALES,QUARTERLY,"&amp;MID(GA$5,2,4)-1&amp;"+""/""+"&amp;MID(FO$5,2,1)&amp;"+""F"",,,,'')@FE_ESTIMATE(SALES,MEAN,QUARTERLY_ROLL,"&amp;MID(GA$5,2,4)-1&amp;"+""/""+"&amp;MID(FO$5,2,1)&amp;"+""F"",NOW,,,'')")</f>
        <v>#NAME?</v>
      </c>
      <c r="FR7" s="667">
        <f>Income!CN22</f>
        <v>88.633079999999993</v>
      </c>
      <c r="FS7" s="668">
        <v>86.0070336</v>
      </c>
      <c r="FT7" s="669" t="e">
        <f ca="1">_xll.FDSC("na",$C7,"FE_ACTUAL(ACTUAL,SALES,QUARTERLY,"&amp;MID(GA$5,2,4)-1&amp;"+""/""+"&amp;MID(FR$5,2,1)&amp;"+""F"",,,,'')@FE_ESTIMATE(SALES,MEAN,QUARTERLY_ROLL,"&amp;MID(GA$5,2,4)-1&amp;"+""/""+"&amp;MID(FR$5,2,1)&amp;"+""F"",NOW,,,'')")</f>
        <v>#NAME?</v>
      </c>
      <c r="FU7" s="667">
        <f>Income!CO22</f>
        <v>100.41313078000002</v>
      </c>
      <c r="FV7" s="668">
        <v>100.56697800000001</v>
      </c>
      <c r="FW7" s="669" t="e">
        <f ca="1">_xll.FDSC("na",$C7,"FE_ACTUAL(ACTUAL,SALES,QUARTERLY,"&amp;MID(GA$5,2,4)-1&amp;"+""/""+"&amp;MID(FU$5,2,1)&amp;"+""F"",,,,'')@FE_ESTIMATE(SALES,MEAN,QUARTERLY_ROLL,"&amp;MID(GA$5,2,4)-1&amp;"+""/""+"&amp;MID(FU$5,2,1)&amp;"+""F"",NOW,,,'')")</f>
        <v>#NAME?</v>
      </c>
      <c r="FX7" s="667">
        <f>Income!CP22</f>
        <v>102.27331930000001</v>
      </c>
      <c r="FY7" s="668">
        <v>100.36355418000001</v>
      </c>
      <c r="FZ7" s="669" t="e">
        <f ca="1">_xll.FDSC("na",$C7,"FE_ACTUAL(ACTUAL,SALES,QUARTERLY,"&amp;MID(GA$5,2,4)-1&amp;"+""/""+"&amp;MID(FX$5,2,1)&amp;"+""F"",,,,'')@FE_ESTIMATE(SALES,MEAN,QUARTERLY_ROLL,"&amp;MID(GA$5,2,4)-1&amp;"+""/""+"&amp;MID(FX$5,2,1)&amp;"+""F"",NOW,,,'')")</f>
        <v>#NAME?</v>
      </c>
      <c r="GA7" s="667">
        <f>Income!CQ22</f>
        <v>372.53183008000002</v>
      </c>
      <c r="GB7" s="668">
        <v>369.38016578000003</v>
      </c>
      <c r="GC7" s="669" t="e">
        <f ca="1">_xll.FDS($C7,"FE_ACTUAL(ACTUAL,SALES,ANNUAL,"&amp;MID(GA$5,2,4)-1&amp;",,,,'')@FE_ESTIMATE(SALES,MEAN,ANNUAL,"&amp;MID(GA$5,2,4)-1&amp;",NOW,,,'')")</f>
        <v>#NAME?</v>
      </c>
      <c r="GD7" s="667"/>
      <c r="GE7" s="668"/>
      <c r="GF7" s="669"/>
      <c r="GG7" s="667"/>
      <c r="GH7" s="668"/>
      <c r="GI7" s="669"/>
      <c r="GJ7" s="667"/>
      <c r="GK7" s="668"/>
      <c r="GL7" s="669"/>
      <c r="GM7" s="667"/>
      <c r="GN7" s="668"/>
      <c r="GO7" s="669"/>
      <c r="GP7" s="667">
        <f>Income!CV22</f>
        <v>489.73229630630004</v>
      </c>
      <c r="GQ7" s="668">
        <v>455.24528621420001</v>
      </c>
      <c r="GR7" s="669" t="s">
        <v>405</v>
      </c>
    </row>
    <row r="8" spans="3:200" s="725" customFormat="1" ht="18" customHeight="1" x14ac:dyDescent="0.25">
      <c r="C8" s="212"/>
      <c r="E8" s="683" t="s">
        <v>812</v>
      </c>
      <c r="F8" s="667"/>
      <c r="G8" s="668"/>
      <c r="H8" s="669"/>
      <c r="I8" s="667"/>
      <c r="J8" s="668"/>
      <c r="K8" s="669"/>
      <c r="L8" s="667"/>
      <c r="M8" s="668"/>
      <c r="N8" s="669"/>
      <c r="O8" s="667"/>
      <c r="P8" s="668"/>
      <c r="Q8" s="669"/>
      <c r="R8" s="667"/>
      <c r="S8" s="668"/>
      <c r="T8" s="684"/>
      <c r="U8" s="667"/>
      <c r="V8" s="668"/>
      <c r="W8" s="669"/>
      <c r="X8" s="667"/>
      <c r="Y8" s="668"/>
      <c r="Z8" s="669"/>
      <c r="AA8" s="667"/>
      <c r="AB8" s="668"/>
      <c r="AC8" s="669"/>
      <c r="AD8" s="667"/>
      <c r="AE8" s="668"/>
      <c r="AF8" s="669"/>
      <c r="AG8" s="667"/>
      <c r="AH8" s="668"/>
      <c r="AI8" s="684"/>
      <c r="AJ8" s="667"/>
      <c r="AK8" s="668"/>
      <c r="AL8" s="669"/>
      <c r="AM8" s="667"/>
      <c r="AN8" s="668"/>
      <c r="AO8" s="669"/>
      <c r="AP8" s="667"/>
      <c r="AQ8" s="668"/>
      <c r="AR8" s="669"/>
      <c r="AS8" s="667"/>
      <c r="AT8" s="668"/>
      <c r="AU8" s="669"/>
      <c r="AV8" s="667"/>
      <c r="AW8" s="668"/>
      <c r="AX8" s="684"/>
      <c r="AY8" s="667"/>
      <c r="AZ8" s="668"/>
      <c r="BA8" s="669"/>
      <c r="BB8" s="667"/>
      <c r="BC8" s="668"/>
      <c r="BD8" s="669"/>
      <c r="BE8" s="667"/>
      <c r="BF8" s="668"/>
      <c r="BG8" s="669"/>
      <c r="BH8" s="667"/>
      <c r="BI8" s="668"/>
      <c r="BJ8" s="669"/>
      <c r="BK8" s="667"/>
      <c r="BL8" s="668"/>
      <c r="BM8" s="669"/>
      <c r="BN8" s="667"/>
      <c r="BO8" s="668"/>
      <c r="BP8" s="669"/>
      <c r="BQ8" s="667"/>
      <c r="BR8" s="668"/>
      <c r="BS8" s="669"/>
      <c r="BT8" s="667"/>
      <c r="BU8" s="668"/>
      <c r="BV8" s="669"/>
      <c r="BW8" s="667"/>
      <c r="BX8" s="668"/>
      <c r="BY8" s="669"/>
      <c r="BZ8" s="667"/>
      <c r="CA8" s="668"/>
      <c r="CB8" s="669"/>
      <c r="CC8" s="667"/>
      <c r="CD8" s="668"/>
      <c r="CE8" s="669"/>
      <c r="CF8" s="667"/>
      <c r="CG8" s="668"/>
      <c r="CH8" s="669"/>
      <c r="CI8" s="667"/>
      <c r="CJ8" s="668"/>
      <c r="CK8" s="669"/>
      <c r="CL8" s="667"/>
      <c r="CM8" s="668"/>
      <c r="CN8" s="669"/>
      <c r="CO8" s="666"/>
      <c r="CP8" s="668"/>
      <c r="CQ8" s="669"/>
      <c r="CR8" s="667"/>
      <c r="CS8" s="668"/>
      <c r="CT8" s="669"/>
      <c r="CU8" s="667"/>
      <c r="CV8" s="668"/>
      <c r="CW8" s="669"/>
      <c r="CX8" s="667"/>
      <c r="CY8" s="668"/>
      <c r="CZ8" s="669"/>
      <c r="DA8" s="667"/>
      <c r="DB8" s="668"/>
      <c r="DC8" s="669"/>
      <c r="DD8" s="666"/>
      <c r="DE8" s="668"/>
      <c r="DF8" s="669"/>
      <c r="DG8" s="666"/>
      <c r="DH8" s="668"/>
      <c r="DI8" s="669"/>
      <c r="DJ8" s="666"/>
      <c r="DK8" s="668"/>
      <c r="DL8" s="669"/>
      <c r="DM8" s="666"/>
      <c r="DN8" s="668"/>
      <c r="DO8" s="669"/>
      <c r="DP8" s="666"/>
      <c r="DQ8" s="668"/>
      <c r="DR8" s="669"/>
      <c r="DS8" s="666"/>
      <c r="DT8" s="668"/>
      <c r="DU8" s="669"/>
      <c r="DV8" s="667"/>
      <c r="DW8" s="668"/>
      <c r="DX8" s="669"/>
      <c r="DY8" s="667"/>
      <c r="DZ8" s="668"/>
      <c r="EA8" s="669"/>
      <c r="EB8" s="667"/>
      <c r="EC8" s="668"/>
      <c r="ED8" s="669"/>
      <c r="EE8" s="667"/>
      <c r="EF8" s="668"/>
      <c r="EG8" s="669"/>
      <c r="EH8" s="666"/>
      <c r="EI8" s="668"/>
      <c r="EJ8" s="669"/>
      <c r="EK8" s="666"/>
      <c r="EL8" s="668"/>
      <c r="EM8" s="669"/>
      <c r="EN8" s="666"/>
      <c r="EO8" s="668"/>
      <c r="EP8" s="669"/>
      <c r="EQ8" s="666"/>
      <c r="ER8" s="668"/>
      <c r="ES8" s="669"/>
      <c r="ET8" s="666"/>
      <c r="EU8" s="668"/>
      <c r="EV8" s="669"/>
      <c r="EW8" s="667"/>
      <c r="EX8" s="668"/>
      <c r="EY8" s="669"/>
      <c r="EZ8" s="667"/>
      <c r="FA8" s="668"/>
      <c r="FB8" s="669"/>
      <c r="FC8" s="667">
        <f>Income!CI112</f>
        <v>44.676000000000002</v>
      </c>
      <c r="FD8" s="668">
        <v>45</v>
      </c>
      <c r="FE8" s="669" t="s">
        <v>405</v>
      </c>
      <c r="FF8" s="667">
        <f>Income!CJ112</f>
        <v>41.666738000000002</v>
      </c>
      <c r="FG8" s="668">
        <v>53.3</v>
      </c>
      <c r="FH8" s="669" t="s">
        <v>405</v>
      </c>
      <c r="FI8" s="667">
        <f>Income!CK112</f>
        <v>46.280130000000007</v>
      </c>
      <c r="FJ8" s="668">
        <v>57.8</v>
      </c>
      <c r="FK8" s="669" t="s">
        <v>405</v>
      </c>
      <c r="FL8" s="667">
        <f>Income!CL112</f>
        <v>178.120868</v>
      </c>
      <c r="FM8" s="668">
        <v>201.1</v>
      </c>
      <c r="FN8" s="669" t="s">
        <v>405</v>
      </c>
      <c r="FO8" s="667">
        <f>Income!CM112</f>
        <v>48.712299999999999</v>
      </c>
      <c r="FP8" s="668">
        <v>57.3</v>
      </c>
      <c r="FQ8" s="669" t="s">
        <v>405</v>
      </c>
      <c r="FR8" s="667">
        <f>Income!CN112</f>
        <v>54.93307999999999</v>
      </c>
      <c r="FS8" s="668">
        <v>61</v>
      </c>
      <c r="FT8" s="669" t="s">
        <v>405</v>
      </c>
      <c r="FU8" s="667">
        <f>Income!CO112</f>
        <v>65.013130780000012</v>
      </c>
      <c r="FV8" s="668">
        <v>74.7</v>
      </c>
      <c r="FW8" s="669" t="s">
        <v>405</v>
      </c>
      <c r="FX8" s="667">
        <f>Income!CP112</f>
        <v>65.4733193</v>
      </c>
      <c r="FY8" s="668">
        <v>73.8</v>
      </c>
      <c r="FZ8" s="669" t="s">
        <v>405</v>
      </c>
      <c r="GA8" s="667">
        <f>Income!CQ112</f>
        <v>234.13183007999999</v>
      </c>
      <c r="GB8" s="668">
        <v>266.89999999999998</v>
      </c>
      <c r="GC8" s="669" t="s">
        <v>405</v>
      </c>
      <c r="GD8" s="667"/>
      <c r="GE8" s="668"/>
      <c r="GF8" s="669"/>
      <c r="GG8" s="667"/>
      <c r="GH8" s="668"/>
      <c r="GI8" s="669"/>
      <c r="GJ8" s="667"/>
      <c r="GK8" s="668"/>
      <c r="GL8" s="669"/>
      <c r="GM8" s="667"/>
      <c r="GN8" s="668"/>
      <c r="GO8" s="669"/>
      <c r="GP8" s="667">
        <f>Income!CV112</f>
        <v>325.83229630630001</v>
      </c>
      <c r="GQ8" s="668">
        <v>336.5</v>
      </c>
      <c r="GR8" s="669" t="s">
        <v>405</v>
      </c>
    </row>
    <row r="9" spans="3:200" s="725" customFormat="1" ht="18" customHeight="1" x14ac:dyDescent="0.3">
      <c r="C9" s="212"/>
      <c r="E9" s="685" t="s">
        <v>91</v>
      </c>
      <c r="F9" s="667"/>
      <c r="G9" s="668"/>
      <c r="H9" s="669"/>
      <c r="I9" s="667"/>
      <c r="J9" s="668"/>
      <c r="K9" s="669"/>
      <c r="L9" s="667"/>
      <c r="M9" s="668"/>
      <c r="N9" s="669"/>
      <c r="O9" s="667"/>
      <c r="P9" s="668"/>
      <c r="Q9" s="669"/>
      <c r="R9" s="667"/>
      <c r="S9" s="668"/>
      <c r="T9" s="684"/>
      <c r="U9" s="667"/>
      <c r="V9" s="668"/>
      <c r="W9" s="669"/>
      <c r="X9" s="667"/>
      <c r="Y9" s="668"/>
      <c r="Z9" s="669"/>
      <c r="AA9" s="667"/>
      <c r="AB9" s="668"/>
      <c r="AC9" s="669"/>
      <c r="AD9" s="667"/>
      <c r="AE9" s="668"/>
      <c r="AF9" s="669"/>
      <c r="AG9" s="667"/>
      <c r="AH9" s="668"/>
      <c r="AI9" s="684"/>
      <c r="AJ9" s="667"/>
      <c r="AK9" s="668"/>
      <c r="AL9" s="669"/>
      <c r="AM9" s="667"/>
      <c r="AN9" s="668"/>
      <c r="AO9" s="669"/>
      <c r="AP9" s="667"/>
      <c r="AQ9" s="668"/>
      <c r="AR9" s="669"/>
      <c r="AS9" s="667"/>
      <c r="AT9" s="668"/>
      <c r="AU9" s="669"/>
      <c r="AV9" s="667"/>
      <c r="AW9" s="668"/>
      <c r="AX9" s="684"/>
      <c r="AY9" s="667"/>
      <c r="AZ9" s="668"/>
      <c r="BA9" s="669"/>
      <c r="BB9" s="667"/>
      <c r="BC9" s="668"/>
      <c r="BD9" s="669"/>
      <c r="BE9" s="667"/>
      <c r="BF9" s="668"/>
      <c r="BG9" s="669"/>
      <c r="BH9" s="667"/>
      <c r="BI9" s="668"/>
      <c r="BJ9" s="669"/>
      <c r="BK9" s="667"/>
      <c r="BL9" s="668"/>
      <c r="BM9" s="669"/>
      <c r="BN9" s="667"/>
      <c r="BO9" s="668"/>
      <c r="BP9" s="669"/>
      <c r="BQ9" s="667"/>
      <c r="BR9" s="668"/>
      <c r="BS9" s="669"/>
      <c r="BT9" s="667"/>
      <c r="BU9" s="668"/>
      <c r="BV9" s="669"/>
      <c r="BW9" s="667"/>
      <c r="BX9" s="668"/>
      <c r="BY9" s="669"/>
      <c r="BZ9" s="667"/>
      <c r="CA9" s="668"/>
      <c r="CB9" s="669"/>
      <c r="CC9" s="667"/>
      <c r="CD9" s="668"/>
      <c r="CE9" s="669"/>
      <c r="CF9" s="667"/>
      <c r="CG9" s="668"/>
      <c r="CH9" s="669"/>
      <c r="CI9" s="667"/>
      <c r="CJ9" s="668"/>
      <c r="CK9" s="669"/>
      <c r="CL9" s="667"/>
      <c r="CM9" s="668"/>
      <c r="CN9" s="669"/>
      <c r="CO9" s="666"/>
      <c r="CP9" s="668"/>
      <c r="CQ9" s="669"/>
      <c r="CR9" s="667"/>
      <c r="CS9" s="668"/>
      <c r="CT9" s="669"/>
      <c r="CU9" s="667"/>
      <c r="CV9" s="668"/>
      <c r="CW9" s="669"/>
      <c r="CX9" s="667"/>
      <c r="CY9" s="668"/>
      <c r="CZ9" s="669"/>
      <c r="DA9" s="667"/>
      <c r="DB9" s="668"/>
      <c r="DC9" s="669"/>
      <c r="DD9" s="666"/>
      <c r="DE9" s="668"/>
      <c r="DF9" s="669"/>
      <c r="DG9" s="666"/>
      <c r="DH9" s="668"/>
      <c r="DI9" s="669"/>
      <c r="DJ9" s="666"/>
      <c r="DK9" s="668"/>
      <c r="DL9" s="669"/>
      <c r="DM9" s="666"/>
      <c r="DN9" s="668"/>
      <c r="DO9" s="669"/>
      <c r="DP9" s="666"/>
      <c r="DQ9" s="668"/>
      <c r="DR9" s="669"/>
      <c r="DS9" s="666"/>
      <c r="DT9" s="668"/>
      <c r="DU9" s="669"/>
      <c r="DV9" s="667"/>
      <c r="DW9" s="668"/>
      <c r="DX9" s="669"/>
      <c r="DY9" s="667"/>
      <c r="DZ9" s="668"/>
      <c r="EA9" s="669"/>
      <c r="EB9" s="667"/>
      <c r="EC9" s="668"/>
      <c r="ED9" s="669"/>
      <c r="EE9" s="667"/>
      <c r="EF9" s="668"/>
      <c r="EG9" s="669"/>
      <c r="EH9" s="666"/>
      <c r="EI9" s="668"/>
      <c r="EJ9" s="669"/>
      <c r="EK9" s="666"/>
      <c r="EL9" s="668"/>
      <c r="EM9" s="669"/>
      <c r="EN9" s="666"/>
      <c r="EO9" s="668"/>
      <c r="EP9" s="669"/>
      <c r="EQ9" s="666"/>
      <c r="ER9" s="668"/>
      <c r="ES9" s="669"/>
      <c r="ET9" s="666"/>
      <c r="EU9" s="668"/>
      <c r="EV9" s="669"/>
      <c r="EW9" s="667"/>
      <c r="EX9" s="668"/>
      <c r="EY9" s="669"/>
      <c r="EZ9" s="667"/>
      <c r="FA9" s="668"/>
      <c r="FB9" s="669"/>
      <c r="FC9" s="670">
        <f>FC8/FC7</f>
        <v>0.68931679318644701</v>
      </c>
      <c r="FD9" s="671">
        <f>FD8/FD7</f>
        <v>0.71770334928229662</v>
      </c>
      <c r="FE9" s="669" t="s">
        <v>405</v>
      </c>
      <c r="FF9" s="670">
        <f>FF8/FF7</f>
        <v>0.55314671929640702</v>
      </c>
      <c r="FG9" s="671">
        <f>FG8/FG7</f>
        <v>0.71059465974114622</v>
      </c>
      <c r="FH9" s="669" t="s">
        <v>405</v>
      </c>
      <c r="FI9" s="670">
        <f>FI8/FI7</f>
        <v>0.58257872941547306</v>
      </c>
      <c r="FJ9" s="671">
        <f>FJ8/FJ7</f>
        <v>0.71170025116123481</v>
      </c>
      <c r="FK9" s="669" t="s">
        <v>405</v>
      </c>
      <c r="FL9" s="670">
        <f>FL8/FL7</f>
        <v>0.63152260720079467</v>
      </c>
      <c r="FM9" s="671">
        <f>FM8/FM7</f>
        <v>0.71464108031272211</v>
      </c>
      <c r="FN9" s="669" t="s">
        <v>405</v>
      </c>
      <c r="FO9" s="670">
        <f>FO8/FO7</f>
        <v>0.59981431384162254</v>
      </c>
      <c r="FP9" s="671">
        <f>FP8/FP7</f>
        <v>0.6950290262558434</v>
      </c>
      <c r="FQ9" s="669" t="s">
        <v>405</v>
      </c>
      <c r="FR9" s="670">
        <f>FR8/FR7</f>
        <v>0.61978078613537968</v>
      </c>
      <c r="FS9" s="671">
        <f>FS8/FS7</f>
        <v>0.70924431929250964</v>
      </c>
      <c r="FT9" s="669" t="s">
        <v>405</v>
      </c>
      <c r="FU9" s="670">
        <f>FU8/FU7</f>
        <v>0.6474564658524633</v>
      </c>
      <c r="FV9" s="671">
        <f>FV8/FV7</f>
        <v>0.74278855232181684</v>
      </c>
      <c r="FW9" s="669" t="s">
        <v>405</v>
      </c>
      <c r="FX9" s="670">
        <f>FX8/FX7</f>
        <v>0.64017986067261623</v>
      </c>
      <c r="FY9" s="671">
        <f>FY8/FY7</f>
        <v>0.73532668908517518</v>
      </c>
      <c r="FZ9" s="669" t="s">
        <v>405</v>
      </c>
      <c r="GA9" s="670">
        <f>GA8/GA7</f>
        <v>0.62848812148406463</v>
      </c>
      <c r="GB9" s="671">
        <f>GB8/GB7</f>
        <v>0.72256180684851268</v>
      </c>
      <c r="GC9" s="669" t="s">
        <v>405</v>
      </c>
      <c r="GD9" s="667"/>
      <c r="GE9" s="668"/>
      <c r="GF9" s="669"/>
      <c r="GG9" s="667"/>
      <c r="GH9" s="668"/>
      <c r="GI9" s="669"/>
      <c r="GJ9" s="667"/>
      <c r="GK9" s="668"/>
      <c r="GL9" s="669"/>
      <c r="GM9" s="667"/>
      <c r="GN9" s="668"/>
      <c r="GO9" s="669"/>
      <c r="GP9" s="670">
        <f>GP8/GP7</f>
        <v>0.66532736101706924</v>
      </c>
      <c r="GQ9" s="671">
        <f>GQ8/GQ7</f>
        <v>0.73916196430789949</v>
      </c>
      <c r="GR9" s="669" t="s">
        <v>405</v>
      </c>
    </row>
    <row r="10" spans="3:200" s="725" customFormat="1" ht="18" customHeight="1" x14ac:dyDescent="0.25">
      <c r="C10" s="212"/>
      <c r="E10" s="683" t="s">
        <v>813</v>
      </c>
      <c r="F10" s="667"/>
      <c r="G10" s="668"/>
      <c r="H10" s="669"/>
      <c r="I10" s="667"/>
      <c r="J10" s="668"/>
      <c r="K10" s="669"/>
      <c r="L10" s="667"/>
      <c r="M10" s="668"/>
      <c r="N10" s="669"/>
      <c r="O10" s="667"/>
      <c r="P10" s="668"/>
      <c r="Q10" s="669"/>
      <c r="R10" s="667"/>
      <c r="S10" s="668"/>
      <c r="T10" s="684"/>
      <c r="U10" s="667"/>
      <c r="V10" s="668"/>
      <c r="W10" s="669"/>
      <c r="X10" s="667"/>
      <c r="Y10" s="668"/>
      <c r="Z10" s="669"/>
      <c r="AA10" s="667"/>
      <c r="AB10" s="668"/>
      <c r="AC10" s="669"/>
      <c r="AD10" s="667"/>
      <c r="AE10" s="668"/>
      <c r="AF10" s="669"/>
      <c r="AG10" s="667"/>
      <c r="AH10" s="668"/>
      <c r="AI10" s="684"/>
      <c r="AJ10" s="667"/>
      <c r="AK10" s="668"/>
      <c r="AL10" s="669"/>
      <c r="AM10" s="667"/>
      <c r="AN10" s="668"/>
      <c r="AO10" s="669"/>
      <c r="AP10" s="667"/>
      <c r="AQ10" s="668"/>
      <c r="AR10" s="669"/>
      <c r="AS10" s="667"/>
      <c r="AT10" s="668"/>
      <c r="AU10" s="669"/>
      <c r="AV10" s="667"/>
      <c r="AW10" s="668"/>
      <c r="AX10" s="684"/>
      <c r="AY10" s="667"/>
      <c r="AZ10" s="668"/>
      <c r="BA10" s="669"/>
      <c r="BB10" s="667"/>
      <c r="BC10" s="668"/>
      <c r="BD10" s="669"/>
      <c r="BE10" s="667"/>
      <c r="BF10" s="668"/>
      <c r="BG10" s="669"/>
      <c r="BH10" s="667"/>
      <c r="BI10" s="668"/>
      <c r="BJ10" s="669"/>
      <c r="BK10" s="667"/>
      <c r="BL10" s="668"/>
      <c r="BM10" s="669"/>
      <c r="BN10" s="667"/>
      <c r="BO10" s="668"/>
      <c r="BP10" s="669"/>
      <c r="BQ10" s="667"/>
      <c r="BR10" s="668"/>
      <c r="BS10" s="669"/>
      <c r="BT10" s="667"/>
      <c r="BU10" s="668"/>
      <c r="BV10" s="669"/>
      <c r="BW10" s="667"/>
      <c r="BX10" s="668"/>
      <c r="BY10" s="669"/>
      <c r="BZ10" s="667"/>
      <c r="CA10" s="668"/>
      <c r="CB10" s="669"/>
      <c r="CC10" s="667"/>
      <c r="CD10" s="668"/>
      <c r="CE10" s="669"/>
      <c r="CF10" s="667"/>
      <c r="CG10" s="668"/>
      <c r="CH10" s="669"/>
      <c r="CI10" s="667"/>
      <c r="CJ10" s="668"/>
      <c r="CK10" s="669"/>
      <c r="CL10" s="667"/>
      <c r="CM10" s="668"/>
      <c r="CN10" s="669"/>
      <c r="CO10" s="666"/>
      <c r="CP10" s="668"/>
      <c r="CQ10" s="669"/>
      <c r="CR10" s="667"/>
      <c r="CS10" s="668"/>
      <c r="CT10" s="669"/>
      <c r="CU10" s="667"/>
      <c r="CV10" s="668"/>
      <c r="CW10" s="669"/>
      <c r="CX10" s="667"/>
      <c r="CY10" s="668"/>
      <c r="CZ10" s="669"/>
      <c r="DA10" s="667"/>
      <c r="DB10" s="668"/>
      <c r="DC10" s="669"/>
      <c r="DD10" s="666"/>
      <c r="DE10" s="668"/>
      <c r="DF10" s="669"/>
      <c r="DG10" s="666"/>
      <c r="DH10" s="668"/>
      <c r="DI10" s="669"/>
      <c r="DJ10" s="666"/>
      <c r="DK10" s="668"/>
      <c r="DL10" s="669"/>
      <c r="DM10" s="666"/>
      <c r="DN10" s="668"/>
      <c r="DO10" s="669"/>
      <c r="DP10" s="666"/>
      <c r="DQ10" s="668"/>
      <c r="DR10" s="669"/>
      <c r="DS10" s="666"/>
      <c r="DT10" s="668"/>
      <c r="DU10" s="669"/>
      <c r="DV10" s="667"/>
      <c r="DW10" s="668"/>
      <c r="DX10" s="669"/>
      <c r="DY10" s="667"/>
      <c r="DZ10" s="668"/>
      <c r="EA10" s="669"/>
      <c r="EB10" s="667"/>
      <c r="EC10" s="668"/>
      <c r="ED10" s="669"/>
      <c r="EE10" s="667"/>
      <c r="EF10" s="668"/>
      <c r="EG10" s="669"/>
      <c r="EH10" s="666"/>
      <c r="EI10" s="668"/>
      <c r="EJ10" s="669"/>
      <c r="EK10" s="666"/>
      <c r="EL10" s="668"/>
      <c r="EM10" s="669"/>
      <c r="EN10" s="666"/>
      <c r="EO10" s="668"/>
      <c r="EP10" s="669"/>
      <c r="EQ10" s="666"/>
      <c r="ER10" s="668"/>
      <c r="ES10" s="669"/>
      <c r="ET10" s="666"/>
      <c r="EU10" s="668"/>
      <c r="EV10" s="669"/>
      <c r="EW10" s="667"/>
      <c r="EX10" s="668"/>
      <c r="EY10" s="669"/>
      <c r="EZ10" s="667"/>
      <c r="FA10" s="668"/>
      <c r="FB10" s="669"/>
      <c r="FC10" s="676">
        <f>Income!CI123</f>
        <v>-14.372999999999994</v>
      </c>
      <c r="FD10" s="677">
        <v>-9.1</v>
      </c>
      <c r="FE10" s="669" t="s">
        <v>405</v>
      </c>
      <c r="FF10" s="676">
        <f>Income!CJ123</f>
        <v>-18.693261999999994</v>
      </c>
      <c r="FG10" s="677">
        <v>-9.8000000000000007</v>
      </c>
      <c r="FH10" s="669" t="s">
        <v>405</v>
      </c>
      <c r="FI10" s="676">
        <f>Income!CK123</f>
        <v>-18.579869999999985</v>
      </c>
      <c r="FJ10" s="677">
        <v>-5.9</v>
      </c>
      <c r="FK10" s="669" t="s">
        <v>405</v>
      </c>
      <c r="FL10" s="676">
        <f>Income!CL123</f>
        <v>-57.479131999999986</v>
      </c>
      <c r="FM10" s="677">
        <v>-26.9</v>
      </c>
      <c r="FN10" s="669" t="s">
        <v>405</v>
      </c>
      <c r="FO10" s="676">
        <f>Income!CM123</f>
        <v>-15.387699999999999</v>
      </c>
      <c r="FP10" s="677">
        <v>-6.6</v>
      </c>
      <c r="FQ10" s="669" t="s">
        <v>405</v>
      </c>
      <c r="FR10" s="676">
        <f>Income!CN123</f>
        <v>-10.666920000000008</v>
      </c>
      <c r="FS10" s="677">
        <v>-6</v>
      </c>
      <c r="FT10" s="669" t="s">
        <v>405</v>
      </c>
      <c r="FU10" s="676">
        <f>Income!CO123</f>
        <v>-3.0868692199999854</v>
      </c>
      <c r="FV10" s="668">
        <v>3</v>
      </c>
      <c r="FW10" s="669" t="s">
        <v>405</v>
      </c>
      <c r="FX10" s="676">
        <f>Income!CP123</f>
        <v>-3.5266806999999956</v>
      </c>
      <c r="FY10" s="668">
        <v>0.3</v>
      </c>
      <c r="FZ10" s="669" t="s">
        <v>405</v>
      </c>
      <c r="GA10" s="676">
        <f>Income!CQ123</f>
        <v>-32.668169919999983</v>
      </c>
      <c r="GB10" s="677">
        <v>-9.3000000000000007</v>
      </c>
      <c r="GC10" s="669" t="s">
        <v>405</v>
      </c>
      <c r="GD10" s="667"/>
      <c r="GE10" s="668"/>
      <c r="GF10" s="669"/>
      <c r="GG10" s="667"/>
      <c r="GH10" s="668"/>
      <c r="GI10" s="669"/>
      <c r="GJ10" s="667"/>
      <c r="GK10" s="668"/>
      <c r="GL10" s="669"/>
      <c r="GM10" s="667"/>
      <c r="GN10" s="668"/>
      <c r="GO10" s="669"/>
      <c r="GP10" s="667">
        <f>Income!CV123</f>
        <v>20.432296306300049</v>
      </c>
      <c r="GQ10" s="668">
        <v>14.8</v>
      </c>
      <c r="GR10" s="669" t="s">
        <v>405</v>
      </c>
    </row>
    <row r="11" spans="3:200" s="725" customFormat="1" ht="18" customHeight="1" x14ac:dyDescent="0.3">
      <c r="C11" s="212"/>
      <c r="E11" s="685" t="s">
        <v>91</v>
      </c>
      <c r="F11" s="667"/>
      <c r="G11" s="668"/>
      <c r="H11" s="669"/>
      <c r="I11" s="667"/>
      <c r="J11" s="668"/>
      <c r="K11" s="669"/>
      <c r="L11" s="667"/>
      <c r="M11" s="668"/>
      <c r="N11" s="669"/>
      <c r="O11" s="667"/>
      <c r="P11" s="668"/>
      <c r="Q11" s="669"/>
      <c r="R11" s="667"/>
      <c r="S11" s="668"/>
      <c r="T11" s="684"/>
      <c r="U11" s="667"/>
      <c r="V11" s="668"/>
      <c r="W11" s="669"/>
      <c r="X11" s="667"/>
      <c r="Y11" s="668"/>
      <c r="Z11" s="669"/>
      <c r="AA11" s="667"/>
      <c r="AB11" s="668"/>
      <c r="AC11" s="669"/>
      <c r="AD11" s="667"/>
      <c r="AE11" s="668"/>
      <c r="AF11" s="669"/>
      <c r="AG11" s="667"/>
      <c r="AH11" s="668"/>
      <c r="AI11" s="684"/>
      <c r="AJ11" s="667"/>
      <c r="AK11" s="668"/>
      <c r="AL11" s="669"/>
      <c r="AM11" s="667"/>
      <c r="AN11" s="668"/>
      <c r="AO11" s="669"/>
      <c r="AP11" s="667"/>
      <c r="AQ11" s="668"/>
      <c r="AR11" s="669"/>
      <c r="AS11" s="667"/>
      <c r="AT11" s="668"/>
      <c r="AU11" s="669"/>
      <c r="AV11" s="667"/>
      <c r="AW11" s="668"/>
      <c r="AX11" s="684"/>
      <c r="AY11" s="667"/>
      <c r="AZ11" s="668"/>
      <c r="BA11" s="669"/>
      <c r="BB11" s="667"/>
      <c r="BC11" s="668"/>
      <c r="BD11" s="669"/>
      <c r="BE11" s="667"/>
      <c r="BF11" s="668"/>
      <c r="BG11" s="669"/>
      <c r="BH11" s="667"/>
      <c r="BI11" s="668"/>
      <c r="BJ11" s="669"/>
      <c r="BK11" s="667"/>
      <c r="BL11" s="668"/>
      <c r="BM11" s="669"/>
      <c r="BN11" s="667"/>
      <c r="BO11" s="668"/>
      <c r="BP11" s="669"/>
      <c r="BQ11" s="667"/>
      <c r="BR11" s="668"/>
      <c r="BS11" s="669"/>
      <c r="BT11" s="667"/>
      <c r="BU11" s="668"/>
      <c r="BV11" s="669"/>
      <c r="BW11" s="667"/>
      <c r="BX11" s="668"/>
      <c r="BY11" s="669"/>
      <c r="BZ11" s="667"/>
      <c r="CA11" s="668"/>
      <c r="CB11" s="669"/>
      <c r="CC11" s="667"/>
      <c r="CD11" s="668"/>
      <c r="CE11" s="669"/>
      <c r="CF11" s="667"/>
      <c r="CG11" s="668"/>
      <c r="CH11" s="669"/>
      <c r="CI11" s="667"/>
      <c r="CJ11" s="668"/>
      <c r="CK11" s="669"/>
      <c r="CL11" s="667"/>
      <c r="CM11" s="668"/>
      <c r="CN11" s="669"/>
      <c r="CO11" s="666"/>
      <c r="CP11" s="668"/>
      <c r="CQ11" s="669"/>
      <c r="CR11" s="667"/>
      <c r="CS11" s="668"/>
      <c r="CT11" s="669"/>
      <c r="CU11" s="667"/>
      <c r="CV11" s="668"/>
      <c r="CW11" s="669"/>
      <c r="CX11" s="667"/>
      <c r="CY11" s="668"/>
      <c r="CZ11" s="669"/>
      <c r="DA11" s="667"/>
      <c r="DB11" s="668"/>
      <c r="DC11" s="669"/>
      <c r="DD11" s="666"/>
      <c r="DE11" s="668"/>
      <c r="DF11" s="669"/>
      <c r="DG11" s="666"/>
      <c r="DH11" s="668"/>
      <c r="DI11" s="669"/>
      <c r="DJ11" s="666"/>
      <c r="DK11" s="668"/>
      <c r="DL11" s="669"/>
      <c r="DM11" s="666"/>
      <c r="DN11" s="668"/>
      <c r="DO11" s="669"/>
      <c r="DP11" s="666"/>
      <c r="DQ11" s="668"/>
      <c r="DR11" s="669"/>
      <c r="DS11" s="666"/>
      <c r="DT11" s="668"/>
      <c r="DU11" s="669"/>
      <c r="DV11" s="667"/>
      <c r="DW11" s="668"/>
      <c r="DX11" s="669"/>
      <c r="DY11" s="667"/>
      <c r="DZ11" s="668"/>
      <c r="EA11" s="669"/>
      <c r="EB11" s="667"/>
      <c r="EC11" s="668"/>
      <c r="ED11" s="669"/>
      <c r="EE11" s="667"/>
      <c r="EF11" s="668"/>
      <c r="EG11" s="669"/>
      <c r="EH11" s="666"/>
      <c r="EI11" s="668"/>
      <c r="EJ11" s="669"/>
      <c r="EK11" s="666"/>
      <c r="EL11" s="668"/>
      <c r="EM11" s="669"/>
      <c r="EN11" s="666"/>
      <c r="EO11" s="668"/>
      <c r="EP11" s="669"/>
      <c r="EQ11" s="666"/>
      <c r="ER11" s="668"/>
      <c r="ES11" s="669"/>
      <c r="ET11" s="666"/>
      <c r="EU11" s="668"/>
      <c r="EV11" s="669"/>
      <c r="EW11" s="667"/>
      <c r="EX11" s="668"/>
      <c r="EY11" s="669"/>
      <c r="EZ11" s="667"/>
      <c r="FA11" s="668"/>
      <c r="FB11" s="669"/>
      <c r="FC11" s="670">
        <f>FC10/FC7</f>
        <v>-0.221764488057767</v>
      </c>
      <c r="FD11" s="671">
        <f>FD10/FD7</f>
        <v>-0.14513556618819776</v>
      </c>
      <c r="FE11" s="669" t="s">
        <v>405</v>
      </c>
      <c r="FF11" s="670">
        <f>FF10/FF7</f>
        <v>-0.24816237230397514</v>
      </c>
      <c r="FG11" s="671">
        <f>FG10/FG7</f>
        <v>-0.13065342711938524</v>
      </c>
      <c r="FH11" s="669" t="s">
        <v>405</v>
      </c>
      <c r="FI11" s="670">
        <f>FI10/FI7</f>
        <v>-0.2338851912754924</v>
      </c>
      <c r="FJ11" s="671">
        <f>FJ10/FJ7</f>
        <v>-7.2647603492236784E-2</v>
      </c>
      <c r="FK11" s="669" t="s">
        <v>405</v>
      </c>
      <c r="FL11" s="670">
        <f>FL10/FL7</f>
        <v>-0.20379067151345018</v>
      </c>
      <c r="FM11" s="671">
        <f>FM10/FM7</f>
        <v>-9.5593461265103055E-2</v>
      </c>
      <c r="FN11" s="669" t="s">
        <v>405</v>
      </c>
      <c r="FO11" s="670">
        <f>FO10/FO7</f>
        <v>-0.18947499331997739</v>
      </c>
      <c r="FP11" s="671">
        <f>FP10/FP7</f>
        <v>-8.005569935931181E-2</v>
      </c>
      <c r="FQ11" s="669" t="s">
        <v>405</v>
      </c>
      <c r="FR11" s="670">
        <f>FR10/FR7</f>
        <v>-0.12034919693640353</v>
      </c>
      <c r="FS11" s="671">
        <f>FS10/FS7</f>
        <v>-6.9761736323853407E-2</v>
      </c>
      <c r="FT11" s="669" t="s">
        <v>405</v>
      </c>
      <c r="FU11" s="670">
        <f>FU10/FU7</f>
        <v>-3.0741688821187704E-2</v>
      </c>
      <c r="FV11" s="671">
        <f>FV10/FV7</f>
        <v>2.9830865555093043E-2</v>
      </c>
      <c r="FW11" s="669" t="s">
        <v>405</v>
      </c>
      <c r="FX11" s="670">
        <f>FX10/FX7</f>
        <v>-3.4482900566228082E-2</v>
      </c>
      <c r="FY11" s="671">
        <f>FY10/FY7</f>
        <v>2.9891328824600614E-3</v>
      </c>
      <c r="FZ11" s="669" t="s">
        <v>405</v>
      </c>
      <c r="GA11" s="670">
        <f>GA10/GA7</f>
        <v>-8.7692291724400032E-2</v>
      </c>
      <c r="GB11" s="671">
        <f>GB10/GB7</f>
        <v>-2.5177312865084935E-2</v>
      </c>
      <c r="GC11" s="669" t="s">
        <v>405</v>
      </c>
      <c r="GD11" s="667"/>
      <c r="GE11" s="668"/>
      <c r="GF11" s="669"/>
      <c r="GG11" s="667"/>
      <c r="GH11" s="668"/>
      <c r="GI11" s="669"/>
      <c r="GJ11" s="667"/>
      <c r="GK11" s="668"/>
      <c r="GL11" s="669"/>
      <c r="GM11" s="667"/>
      <c r="GN11" s="668"/>
      <c r="GO11" s="669"/>
      <c r="GP11" s="670">
        <f>GP10/GP7</f>
        <v>4.172135768950961E-2</v>
      </c>
      <c r="GQ11" s="671">
        <f>GQ10/GQ7</f>
        <v>3.2509946721417278E-2</v>
      </c>
      <c r="GR11" s="669" t="s">
        <v>405</v>
      </c>
    </row>
    <row r="12" spans="3:200" s="211" customFormat="1" ht="18" customHeight="1" x14ac:dyDescent="0.3">
      <c r="C12" s="212" t="s">
        <v>805</v>
      </c>
      <c r="E12" s="683" t="s">
        <v>161</v>
      </c>
      <c r="F12" s="667"/>
      <c r="G12" s="668"/>
      <c r="H12" s="686"/>
      <c r="I12" s="667"/>
      <c r="J12" s="668"/>
      <c r="K12" s="686"/>
      <c r="L12" s="667"/>
      <c r="M12" s="668"/>
      <c r="N12" s="669"/>
      <c r="O12" s="667"/>
      <c r="P12" s="668"/>
      <c r="Q12" s="687"/>
      <c r="R12" s="667"/>
      <c r="S12" s="668"/>
      <c r="T12" s="687"/>
      <c r="U12" s="667"/>
      <c r="V12" s="668"/>
      <c r="W12" s="687"/>
      <c r="X12" s="667"/>
      <c r="Y12" s="668"/>
      <c r="Z12" s="687"/>
      <c r="AA12" s="667"/>
      <c r="AB12" s="668"/>
      <c r="AC12" s="687"/>
      <c r="AD12" s="667"/>
      <c r="AE12" s="668"/>
      <c r="AF12" s="687"/>
      <c r="AG12" s="667"/>
      <c r="AH12" s="668"/>
      <c r="AI12" s="687"/>
      <c r="AJ12" s="667">
        <f>Income!$AT134</f>
        <v>59.539000000000016</v>
      </c>
      <c r="AK12" s="668">
        <v>59.467955074074069</v>
      </c>
      <c r="AL12" s="669">
        <v>62.167000000000002</v>
      </c>
      <c r="AM12" s="667">
        <f>Income!$AU134</f>
        <v>66.284000000000006</v>
      </c>
      <c r="AN12" s="668">
        <v>63.696243429999988</v>
      </c>
      <c r="AO12" s="669" t="e">
        <f ca="1">_xll.FDSC("na",$C12,"FE_ACTUAL(ACTUAL,EBITDA_ADJ,QUARTERLY,"&amp;MID(AV$5,2,4)-1&amp;"+""/""+"&amp;MID(AM$5,2,1)&amp;"+""F"",,,,'')@FE_ESTIMATE(EBITDA_ADJ,MEAN,QUARTERLY_ROLL,"&amp;MID(AV$5,2,4)-1&amp;"+""/""+"&amp;MID(AM$5,2,1)&amp;"+""F"",NOW,,,'')")</f>
        <v>#NAME?</v>
      </c>
      <c r="AP12" s="667">
        <f>Income!$AV134</f>
        <v>68.519000000000048</v>
      </c>
      <c r="AQ12" s="668">
        <v>77.937189040000021</v>
      </c>
      <c r="AR12" s="669" t="e">
        <f ca="1">_xll.FDSC("na",$C12,"FE_ACTUAL(ACTUAL,EBITDA_ADJ,QUARTERLY,"&amp;MID(AV$5,2,4)-1&amp;"+""/""+"&amp;MID(AP$5,2,1)&amp;"+""F"",,,,'')@FE_ESTIMATE(EBITDA_ADJ,MEAN,QUARTERLY_ROLL,"&amp;MID(AV$5,2,4)-1&amp;"+""/""+"&amp;MID(AP$5,2,1)&amp;"+""F"",NOW,,,'')")</f>
        <v>#NAME?</v>
      </c>
      <c r="AS12" s="667">
        <f>Income!$AW134</f>
        <v>74.557999999999964</v>
      </c>
      <c r="AT12" s="668">
        <v>73.217301209999974</v>
      </c>
      <c r="AU12" s="669" t="s">
        <v>405</v>
      </c>
      <c r="AV12" s="667">
        <f>Income!$AX134</f>
        <v>268.89999999999981</v>
      </c>
      <c r="AW12" s="668">
        <v>272.04230120999995</v>
      </c>
      <c r="AX12" s="669" t="e">
        <f ca="1">_xll.FDS($C12,"FE_ACTUAL(ACTUAL,EBITDA_ADJ,ANNUAL,"&amp;MID(AV$5,2,4)-1&amp;",,,,'')@FE_ESTIMATE(EBITDA_ADJ,MEAN,ANNUAL,"&amp;MID(AV$5,2,4)-1&amp;",NOW,,,'')")</f>
        <v>#NAME?</v>
      </c>
      <c r="AY12" s="667">
        <f>Income!$AY134</f>
        <v>58.353999999999992</v>
      </c>
      <c r="AZ12" s="668">
        <v>61.593873719999969</v>
      </c>
      <c r="BA12" s="669" t="e">
        <f ca="1">_xll.FDSC("na",$C12,"FE_ACTUAL(ACTUAL,EBITDA_ADJ,QUARTERLY,"&amp;MID(BK$5,2,4)-1&amp;"+""/""+"&amp;MID(AY$5,2,1)&amp;"+""F"",,,,'')@FE_ESTIMATE(EBITDA_ADJ,MEAN,QUARTERLY_ROLL,"&amp;MID(BK$5,2,4)-1&amp;"+""/""+"&amp;MID(AY$5,2,1)&amp;"+""F"",NOW,,,'')")</f>
        <v>#NAME?</v>
      </c>
      <c r="BB12" s="667">
        <f>Income!$AZ134</f>
        <v>67.320000000000022</v>
      </c>
      <c r="BC12" s="668">
        <v>69.104548499999993</v>
      </c>
      <c r="BD12" s="669" t="e">
        <f ca="1">_xll.FDSC("na",$C12,"FE_ACTUAL(ACTUAL,EBITDA_ADJ,QUARTERLY,"&amp;MID(BK$5,2,4)-1&amp;"+""/""+"&amp;MID(BB$5,2,1)&amp;"+""F"",,,,'')@FE_ESTIMATE(EBITDA_ADJ,MEAN,QUARTERLY_ROLL,"&amp;MID(BK$5,2,4)-1&amp;"+""/""+"&amp;MID(BB$5,2,1)&amp;"+""F"",NOW,,,'')")</f>
        <v>#NAME?</v>
      </c>
      <c r="BE12" s="667">
        <f>Income!$BA134</f>
        <v>65.346000000000018</v>
      </c>
      <c r="BF12" s="668">
        <v>72.535129589999968</v>
      </c>
      <c r="BG12" s="669" t="e">
        <f ca="1">_xll.FDSC("na",$C12,"FE_ACTUAL(ACTUAL,EBITDA_ADJ,QUARTERLY,"&amp;MID(BK$5,2,4)-1&amp;"+""/""+"&amp;MID(BE$5,2,1)&amp;"+""F"",,,,'')@FE_ESTIMATE(EBITDA_ADJ,MEAN,QUARTERLY_ROLL,"&amp;MID(BK$5,2,4)-1&amp;"+""/""+"&amp;MID(BE$5,2,1)&amp;"+""F"",NOW,,,'')")</f>
        <v>#NAME?</v>
      </c>
      <c r="BH12" s="667">
        <f>Income!$BB134</f>
        <v>68.371999999999986</v>
      </c>
      <c r="BI12" s="668">
        <v>67.128749999999968</v>
      </c>
      <c r="BJ12" s="669" t="s">
        <v>405</v>
      </c>
      <c r="BK12" s="667">
        <f>Income!$BC134</f>
        <v>259.63600000000002</v>
      </c>
      <c r="BL12" s="668">
        <v>258.39274999999998</v>
      </c>
      <c r="BM12" s="669" t="e">
        <f ca="1">_xll.FDS($C12,"FE_ACTUAL(ACTUAL,EBITDA_ADJ,ANNUAL,"&amp;MID(BK$5,2,4)-1&amp;",,,,'')@FE_ESTIMATE(EBITDA_ADJ,MEAN,ANNUAL,"&amp;MID(BK$5,2,4)-1&amp;",NOW,,,'')")</f>
        <v>#NAME?</v>
      </c>
      <c r="BN12" s="667">
        <f>Income!$BD134</f>
        <v>59.231999999999992</v>
      </c>
      <c r="BO12" s="668">
        <v>49.945000000000007</v>
      </c>
      <c r="BP12" s="669" t="e">
        <f ca="1">_xll.FDSC("na",$C12,"FE_ACTUAL(ACTUAL,EBITDA_ADJ,QUARTERLY,"&amp;MID(BZ$5,2,4)-1&amp;"+""/""+"&amp;MID(BN$5,2,1)&amp;"+""F"",,,,'')@FE_ESTIMATE(EBITDA_ADJ,MEAN,QUARTERLY_ROLL,"&amp;MID(BZ$5,2,4)-1&amp;"+""/""+"&amp;MID(BN$5,2,1)&amp;"+""F"",NOW,,,'')")</f>
        <v>#NAME?</v>
      </c>
      <c r="BQ12" s="667">
        <f>Income!$BE134</f>
        <v>62.625999999999983</v>
      </c>
      <c r="BR12" s="668">
        <v>59.418080000000032</v>
      </c>
      <c r="BS12" s="669" t="e">
        <f ca="1">_xll.FDSC("na",$C12,"FE_ACTUAL(ACTUAL,EBITDA_ADJ,QUARTERLY,"&amp;MID(BZ$5,2,4)-1&amp;"+""/""+"&amp;MID(BQ$5,2,1)&amp;"+""F"",,,,'')@FE_ESTIMATE(EBITDA_ADJ,MEAN,QUARTERLY_ROLL,"&amp;MID(BZ$5,2,4)-1&amp;"+""/""+"&amp;MID(BQ$5,2,1)&amp;"+""F"",NOW,,,'')")</f>
        <v>#NAME?</v>
      </c>
      <c r="BT12" s="667">
        <f>Income!$BF134</f>
        <v>59.238000000000049</v>
      </c>
      <c r="BU12" s="668">
        <v>55.776349999999979</v>
      </c>
      <c r="BV12" s="669" t="e">
        <f ca="1">_xll.FDSC("na",$C12,"FE_ACTUAL(ACTUAL,EBITDA_ADJ,QUARTERLY,"&amp;MID(BZ$5,2,4)-1&amp;"+""/""+"&amp;MID(BT$5,2,1)&amp;"+""F"",,,,'')@FE_ESTIMATE(EBITDA_ADJ,MEAN,QUARTERLY_ROLL,"&amp;MID(BZ$5,2,4)-1&amp;"+""/""+"&amp;MID(BT$5,2,1)&amp;"+""F"",NOW,,,'')")</f>
        <v>#NAME?</v>
      </c>
      <c r="BW12" s="667">
        <f>Income!$BG134</f>
        <v>51.842999999999989</v>
      </c>
      <c r="BX12" s="668">
        <v>54.913000000000068</v>
      </c>
      <c r="BY12" s="669" t="s">
        <v>405</v>
      </c>
      <c r="BZ12" s="667">
        <f>Income!$BH134</f>
        <v>232.93899999999991</v>
      </c>
      <c r="CA12" s="668">
        <v>54.913000000000068</v>
      </c>
      <c r="CB12" s="669" t="e">
        <f ca="1">_xll.FDS($C12,"FE_ACTUAL(ACTUAL,EBITDA_ADJ,ANNUAL,"&amp;MID(BZ$5,2,4)-1&amp;",,,,'')@FE_ESTIMATE(EBITDA_ADJ,MEAN,ANNUAL,"&amp;MID(BZ$5,2,4)-1&amp;",NOW,,,'')")</f>
        <v>#NAME?</v>
      </c>
      <c r="CC12" s="667">
        <f>Income!$BD134</f>
        <v>59.231999999999992</v>
      </c>
      <c r="CD12" s="668">
        <v>59.231999999999992</v>
      </c>
      <c r="CE12" s="669" t="e">
        <f ca="1">_xll.FDSC("na",$C12,"FE_ACTUAL(ACTUAL,EBITDA_ADJ,QUARTERLY,"&amp;MID(CO$5,2,4)-1&amp;"+""/""+"&amp;MID(CC$5,2,1)&amp;"+""F"",,,,'')@FE_ESTIMATE(EBITDA_ADJ,MEAN,QUARTERLY_ROLL,"&amp;MID(CO$5,2,4)-1&amp;"+""/""+"&amp;MID(CC$5,2,1)&amp;"+""F"",NOW,,,'')")</f>
        <v>#NAME?</v>
      </c>
      <c r="CF12" s="667">
        <f>Income!$BD134</f>
        <v>59.231999999999992</v>
      </c>
      <c r="CG12" s="668">
        <v>59.231999999999992</v>
      </c>
      <c r="CH12" s="669" t="e">
        <f ca="1">_xll.FDSC("na",$C12,"FE_ACTUAL(ACTUAL,EBITDA_ADJ,QUARTERLY,"&amp;MID(CO$5,2,4)-1&amp;"+""/""+"&amp;MID(CF$5,2,1)&amp;"+""F"",,,,'')@FE_ESTIMATE(EBITDA_ADJ,MEAN,QUARTERLY_ROLL,"&amp;MID(CO$5,2,4)-1&amp;"+""/""+"&amp;MID(CF$5,2,1)&amp;"+""F"",NOW,,,'')")</f>
        <v>#NAME?</v>
      </c>
      <c r="CI12" s="667">
        <f>Income!$BD134</f>
        <v>59.231999999999992</v>
      </c>
      <c r="CJ12" s="668"/>
      <c r="CK12" s="669" t="e">
        <f ca="1">_xll.FDSC("na",$C12,"FE_ACTUAL(ACTUAL,EBITDA_ADJ,QUARTERLY,"&amp;MID(CO$5,2,4)-1&amp;"+""/""+"&amp;MID(CI$5,2,1)&amp;"+""F"",,,,'')@FE_ESTIMATE(EBITDA_ADJ,MEAN,QUARTERLY_ROLL,"&amp;MID(CO$5,2,4)-1&amp;"+""/""+"&amp;MID(CI$5,2,1)&amp;"+""F"",NOW,,,'')")</f>
        <v>#NAME?</v>
      </c>
      <c r="CL12" s="667">
        <f>Income!$BD134</f>
        <v>59.231999999999992</v>
      </c>
      <c r="CM12" s="668">
        <v>56.920440000000035</v>
      </c>
      <c r="CN12" s="669" t="s">
        <v>405</v>
      </c>
      <c r="CO12" s="667">
        <f>Income!$BM134</f>
        <v>159.88999999999999</v>
      </c>
      <c r="CP12" s="668">
        <v>225.00244000000009</v>
      </c>
      <c r="CQ12" s="669" t="e">
        <f ca="1">_xll.FDS($C12,"FE_ACTUAL(ACTUAL,EBITDA_ADJ,ANNUAL,"&amp;MID(CO$5,2,4)-1&amp;",,,,'')@FE_ESTIMATE(EBITDA_ADJ,MEAN,ANNUAL,"&amp;MID(CO$5,2,4)-1&amp;",NOW,,,'')")</f>
        <v>#NAME?</v>
      </c>
      <c r="CR12" s="667">
        <f>Income!BN134</f>
        <v>24.424999999999986</v>
      </c>
      <c r="CS12" s="668">
        <v>52.990600000000001</v>
      </c>
      <c r="CT12" s="669" t="e">
        <f ca="1">_xll.FDSC("na",$C12,"FE_ACTUAL(ACTUAL,EBITDA_ADJ,QUARTERLY,"&amp;MID(DD$5,2,4)-1&amp;"+""/""+"&amp;MID(CR$5,2,1)&amp;"+""F"",,,,'')@FE_ESTIMATE(EBITDA_ADJ,MEAN,QUARTERLY_ROLL,"&amp;MID(DD$5,2,4)-1&amp;"+""/""+"&amp;MID(CR$5,2,1)&amp;"+""F"",NOW,,,'')")</f>
        <v>#NAME?</v>
      </c>
      <c r="CU12" s="667">
        <f>Income!BO134</f>
        <v>28.663000000000004</v>
      </c>
      <c r="CV12" s="668">
        <v>51.77530999999999</v>
      </c>
      <c r="CW12" s="669" t="e">
        <f ca="1">_xll.FDSC("na",$C12,"FE_ACTUAL(ACTUAL,EBITDA_ADJ,QUARTERLY,"&amp;MID(DD$5,2,4)-1&amp;"+""/""+"&amp;MID(CU$5,2,1)&amp;"+""F"",,,,'')@FE_ESTIMATE(EBITDA_ADJ,MEAN,QUARTERLY_ROLL,"&amp;MID(DD$5,2,4)-1&amp;"+""/""+"&amp;MID(CU$5,2,1)&amp;"+""F"",NOW,,,'')")</f>
        <v>#NAME?</v>
      </c>
      <c r="CX12" s="667">
        <f>Income!BP134</f>
        <v>37.468000000000004</v>
      </c>
      <c r="CY12" s="668">
        <v>57.972095000000024</v>
      </c>
      <c r="CZ12" s="669" t="e">
        <f ca="1">_xll.FDSC("na",$C12,"FE_ACTUAL(ACTUAL,EBITDA_ADJ,QUARTERLY,"&amp;MID(DD$5,2,4)-1&amp;"+""/""+"&amp;MID(CX$5,2,1)&amp;"+""F"",,,,'')@FE_ESTIMATE(EBITDA_ADJ,MEAN,QUARTERLY_ROLL,"&amp;MID(DD$5,2,4)-1&amp;"+""/""+"&amp;MID(CX$5,2,1)&amp;"+""F"",NOW,,,'')")</f>
        <v>#NAME?</v>
      </c>
      <c r="DA12" s="667">
        <f>Income!BQ134</f>
        <v>39.392000000000003</v>
      </c>
      <c r="DB12" s="668">
        <v>58.079999999999984</v>
      </c>
      <c r="DC12" s="669">
        <v>56.5</v>
      </c>
      <c r="DD12" s="667">
        <f>Income!BR134</f>
        <v>129.94800000000001</v>
      </c>
      <c r="DE12" s="668">
        <v>209.61</v>
      </c>
      <c r="DF12" s="669">
        <v>210.1</v>
      </c>
      <c r="DG12" s="667">
        <f>Income!BS134</f>
        <v>31.250000000000014</v>
      </c>
      <c r="DH12" s="668">
        <v>25.011509999999973</v>
      </c>
      <c r="DI12" s="669">
        <v>28.597000000000001</v>
      </c>
      <c r="DJ12" s="667">
        <f>Income!BT134</f>
        <v>35.27000000000001</v>
      </c>
      <c r="DK12" s="668">
        <v>32.570799999999963</v>
      </c>
      <c r="DL12" s="669">
        <v>32.834000000000003</v>
      </c>
      <c r="DM12" s="667">
        <f>Income!BU134</f>
        <v>39.169000000000011</v>
      </c>
      <c r="DN12" s="668">
        <v>36.565553077305907</v>
      </c>
      <c r="DO12" s="669">
        <v>34.192</v>
      </c>
      <c r="DP12" s="667">
        <f>Income!BV134</f>
        <v>37.961000000000006</v>
      </c>
      <c r="DQ12" s="668">
        <v>37.218194964350147</v>
      </c>
      <c r="DR12" s="669">
        <v>35.32</v>
      </c>
      <c r="DS12" s="667">
        <f>Income!$BW134</f>
        <v>143.65000000000003</v>
      </c>
      <c r="DT12" s="668">
        <v>142.9071949643502</v>
      </c>
      <c r="DU12" s="669">
        <v>141.3922</v>
      </c>
      <c r="DV12" s="667">
        <f>Income!$BX134</f>
        <v>37.85599999999998</v>
      </c>
      <c r="DW12" s="668">
        <v>32.226385070542875</v>
      </c>
      <c r="DX12" s="669">
        <v>30.679400000000001</v>
      </c>
      <c r="DY12" s="667">
        <f>Income!$BY134</f>
        <v>41.172999999999988</v>
      </c>
      <c r="DZ12" s="668">
        <v>33.01385260262667</v>
      </c>
      <c r="EA12" s="669">
        <v>34.200000000000003</v>
      </c>
      <c r="EB12" s="667">
        <f>Income!$BZ134</f>
        <v>48.717999999999996</v>
      </c>
      <c r="EC12" s="668">
        <v>48.717999999999996</v>
      </c>
      <c r="ED12" s="669">
        <v>37.427570000000003</v>
      </c>
      <c r="EE12" s="667">
        <f>Income!CA134</f>
        <v>36.791000000000018</v>
      </c>
      <c r="EF12" s="668">
        <v>36.791000000000018</v>
      </c>
      <c r="EG12" s="669">
        <v>39.242669999999997</v>
      </c>
      <c r="EH12" s="667">
        <f>Income!$CB134</f>
        <v>164.53799999999998</v>
      </c>
      <c r="EI12" s="668">
        <v>164.53799999999998</v>
      </c>
      <c r="EJ12" s="669" t="e">
        <f ca="1">_xll.FDS($C12,"FE_ACTUAL(ACTUAL,EBITDA,ANNUAL,"&amp;MID(EH$5,2,4)-1&amp;",,,,'')@FE_ESTIMATE(EBITDA,MEAN,ANNUAL,"&amp;MID(EH$5,2,4)-1&amp;",NOW,,,'')")</f>
        <v>#NAME?</v>
      </c>
      <c r="EK12" s="667">
        <f>Income!$CC134</f>
        <v>-11.104000000000003</v>
      </c>
      <c r="EL12" s="668">
        <f>Income!$CC$134</f>
        <v>-11.104000000000003</v>
      </c>
      <c r="EM12" s="669">
        <v>38.067664999999998</v>
      </c>
      <c r="EN12" s="667">
        <f>Income!$CD134</f>
        <v>-6.9610000000000056</v>
      </c>
      <c r="EO12" s="668">
        <v>30.963999999999999</v>
      </c>
      <c r="EP12" s="669">
        <v>42.361199999999997</v>
      </c>
      <c r="EQ12" s="667">
        <f>Income!$CE134</f>
        <v>-0.66500000000000625</v>
      </c>
      <c r="ER12" s="668">
        <v>37.431000000000012</v>
      </c>
      <c r="ES12" s="669">
        <v>51.294665999999999</v>
      </c>
      <c r="ET12" s="667">
        <f>Income!$CF134</f>
        <v>-2.785000000000009</v>
      </c>
      <c r="EU12" s="668">
        <v>33.368999999999993</v>
      </c>
      <c r="EV12" s="669">
        <v>41.703400000000002</v>
      </c>
      <c r="EW12" s="667">
        <f>Income!CG134</f>
        <v>-21.515000000000008</v>
      </c>
      <c r="EX12" s="668">
        <v>124.18799999999997</v>
      </c>
      <c r="EY12" s="669">
        <v>182.8706</v>
      </c>
      <c r="EZ12" s="667">
        <f>Income!$CH134</f>
        <v>-2.2730000000000032</v>
      </c>
      <c r="FA12" s="668">
        <v>44.296000000000006</v>
      </c>
      <c r="FB12" s="669">
        <v>37.688400000000001</v>
      </c>
      <c r="FC12" s="667">
        <f>Income!$CI134</f>
        <v>-10.911000000000001</v>
      </c>
      <c r="FD12" s="677" t="s">
        <v>405</v>
      </c>
      <c r="FE12" s="669" t="s">
        <v>405</v>
      </c>
      <c r="FF12" s="676">
        <f>Income!$CJ134</f>
        <v>-15.273261999999992</v>
      </c>
      <c r="FG12" s="677">
        <v>1.4449778999999978</v>
      </c>
      <c r="FH12" s="669" t="s">
        <v>405</v>
      </c>
      <c r="FI12" s="676">
        <f>Income!$CK134</f>
        <v>-15.15986999999998</v>
      </c>
      <c r="FJ12" s="677">
        <v>-1.5689079580000005</v>
      </c>
      <c r="FK12" s="669" t="s">
        <v>405</v>
      </c>
      <c r="FL12" s="676">
        <f>Income!$CL134</f>
        <v>-43.61713199999997</v>
      </c>
      <c r="FM12" s="668">
        <v>86.228811073999978</v>
      </c>
      <c r="FN12" s="669" t="s">
        <v>405</v>
      </c>
      <c r="FO12" s="676">
        <f>Income!$CM134</f>
        <v>-11.887699999999999</v>
      </c>
      <c r="FP12" s="677">
        <v>-2.2113999999999976</v>
      </c>
      <c r="FQ12" s="669" t="s">
        <v>405</v>
      </c>
      <c r="FR12" s="676">
        <f>Income!$CN134</f>
        <v>-7.2169200000000089</v>
      </c>
      <c r="FS12" s="677">
        <v>-1.6226264368000045</v>
      </c>
      <c r="FT12" s="669" t="s">
        <v>405</v>
      </c>
      <c r="FU12" s="676">
        <f>Income!$CO134</f>
        <v>0.36313078000001298</v>
      </c>
      <c r="FV12" s="677">
        <v>7.4815086600000029</v>
      </c>
      <c r="FW12" s="669" t="s">
        <v>405</v>
      </c>
      <c r="FX12" s="676">
        <f>Income!$CP134</f>
        <v>-7.6680699999997159E-2</v>
      </c>
      <c r="FY12" s="677">
        <v>4.937597020359993</v>
      </c>
      <c r="FZ12" s="669" t="s">
        <v>405</v>
      </c>
      <c r="GA12" s="676">
        <f>Income!$CQ134</f>
        <v>-18.818169919999974</v>
      </c>
      <c r="GB12" s="677">
        <v>8.5850792435599956</v>
      </c>
      <c r="GC12" s="669" t="s">
        <v>405</v>
      </c>
      <c r="GD12" s="667"/>
      <c r="GE12" s="668"/>
      <c r="GF12" s="669"/>
      <c r="GG12" s="667"/>
      <c r="GH12" s="668"/>
      <c r="GI12" s="669"/>
      <c r="GJ12" s="667"/>
      <c r="GK12" s="668"/>
      <c r="GL12" s="669"/>
      <c r="GM12" s="667"/>
      <c r="GN12" s="668"/>
      <c r="GO12" s="669"/>
      <c r="GP12" s="667">
        <f>Income!$CV134</f>
        <v>34.032296306300047</v>
      </c>
      <c r="GQ12" s="677">
        <v>34.030632626316418</v>
      </c>
      <c r="GR12" s="669" t="s">
        <v>405</v>
      </c>
    </row>
    <row r="13" spans="3:200" s="725" customFormat="1" ht="18" customHeight="1" x14ac:dyDescent="0.3">
      <c r="C13" s="212"/>
      <c r="E13" s="685" t="s">
        <v>91</v>
      </c>
      <c r="F13" s="667"/>
      <c r="G13" s="668"/>
      <c r="H13" s="686"/>
      <c r="I13" s="667"/>
      <c r="J13" s="668"/>
      <c r="K13" s="686"/>
      <c r="L13" s="667"/>
      <c r="M13" s="668"/>
      <c r="N13" s="669"/>
      <c r="O13" s="667"/>
      <c r="P13" s="668"/>
      <c r="Q13" s="687"/>
      <c r="R13" s="667"/>
      <c r="S13" s="668"/>
      <c r="T13" s="687"/>
      <c r="U13" s="667"/>
      <c r="V13" s="668"/>
      <c r="W13" s="687"/>
      <c r="X13" s="667"/>
      <c r="Y13" s="668"/>
      <c r="Z13" s="687"/>
      <c r="AA13" s="667"/>
      <c r="AB13" s="668"/>
      <c r="AC13" s="687"/>
      <c r="AD13" s="667"/>
      <c r="AE13" s="668"/>
      <c r="AF13" s="687"/>
      <c r="AG13" s="667"/>
      <c r="AH13" s="668"/>
      <c r="AI13" s="687"/>
      <c r="AJ13" s="667"/>
      <c r="AK13" s="668"/>
      <c r="AL13" s="669"/>
      <c r="AM13" s="667"/>
      <c r="AN13" s="668"/>
      <c r="AO13" s="669"/>
      <c r="AP13" s="667"/>
      <c r="AQ13" s="668"/>
      <c r="AR13" s="669"/>
      <c r="AS13" s="667"/>
      <c r="AT13" s="668"/>
      <c r="AU13" s="669"/>
      <c r="AV13" s="667"/>
      <c r="AW13" s="668"/>
      <c r="AX13" s="669"/>
      <c r="AY13" s="667"/>
      <c r="AZ13" s="668"/>
      <c r="BA13" s="669"/>
      <c r="BB13" s="667"/>
      <c r="BC13" s="668"/>
      <c r="BD13" s="669"/>
      <c r="BE13" s="667"/>
      <c r="BF13" s="668"/>
      <c r="BG13" s="669"/>
      <c r="BH13" s="667"/>
      <c r="BI13" s="668"/>
      <c r="BJ13" s="669"/>
      <c r="BK13" s="667"/>
      <c r="BL13" s="668"/>
      <c r="BM13" s="669"/>
      <c r="BN13" s="667"/>
      <c r="BO13" s="668"/>
      <c r="BP13" s="669"/>
      <c r="BQ13" s="667"/>
      <c r="BR13" s="668"/>
      <c r="BS13" s="669"/>
      <c r="BT13" s="667"/>
      <c r="BU13" s="668"/>
      <c r="BV13" s="669"/>
      <c r="BW13" s="667"/>
      <c r="BX13" s="668"/>
      <c r="BY13" s="669"/>
      <c r="BZ13" s="667"/>
      <c r="CA13" s="668"/>
      <c r="CB13" s="669"/>
      <c r="CC13" s="667"/>
      <c r="CD13" s="668"/>
      <c r="CE13" s="669"/>
      <c r="CF13" s="667"/>
      <c r="CG13" s="668"/>
      <c r="CH13" s="669"/>
      <c r="CI13" s="667"/>
      <c r="CJ13" s="668"/>
      <c r="CK13" s="669"/>
      <c r="CL13" s="667"/>
      <c r="CM13" s="668"/>
      <c r="CN13" s="669"/>
      <c r="CO13" s="667"/>
      <c r="CP13" s="668"/>
      <c r="CQ13" s="669"/>
      <c r="CR13" s="667"/>
      <c r="CS13" s="668"/>
      <c r="CT13" s="669"/>
      <c r="CU13" s="667"/>
      <c r="CV13" s="668"/>
      <c r="CW13" s="669"/>
      <c r="CX13" s="667"/>
      <c r="CY13" s="668"/>
      <c r="CZ13" s="669"/>
      <c r="DA13" s="667"/>
      <c r="DB13" s="668"/>
      <c r="DC13" s="669"/>
      <c r="DD13" s="667"/>
      <c r="DE13" s="668"/>
      <c r="DF13" s="669"/>
      <c r="DG13" s="667"/>
      <c r="DH13" s="668"/>
      <c r="DI13" s="669"/>
      <c r="DJ13" s="667"/>
      <c r="DK13" s="668"/>
      <c r="DL13" s="669"/>
      <c r="DM13" s="667"/>
      <c r="DN13" s="668"/>
      <c r="DO13" s="669"/>
      <c r="DP13" s="667"/>
      <c r="DQ13" s="668"/>
      <c r="DR13" s="669"/>
      <c r="DS13" s="667"/>
      <c r="DT13" s="668"/>
      <c r="DU13" s="669"/>
      <c r="DV13" s="667"/>
      <c r="DW13" s="668"/>
      <c r="DX13" s="669"/>
      <c r="DY13" s="667"/>
      <c r="DZ13" s="668"/>
      <c r="EA13" s="669"/>
      <c r="EB13" s="667"/>
      <c r="EC13" s="668"/>
      <c r="ED13" s="669"/>
      <c r="EE13" s="667"/>
      <c r="EF13" s="668"/>
      <c r="EG13" s="669"/>
      <c r="EH13" s="667"/>
      <c r="EI13" s="668"/>
      <c r="EJ13" s="669"/>
      <c r="EK13" s="667"/>
      <c r="EL13" s="668"/>
      <c r="EM13" s="669"/>
      <c r="EN13" s="667"/>
      <c r="EO13" s="668"/>
      <c r="EP13" s="669"/>
      <c r="EQ13" s="667"/>
      <c r="ER13" s="668"/>
      <c r="ES13" s="669"/>
      <c r="ET13" s="667"/>
      <c r="EU13" s="668"/>
      <c r="EV13" s="669"/>
      <c r="EW13" s="667"/>
      <c r="EX13" s="668"/>
      <c r="EY13" s="669"/>
      <c r="EZ13" s="667"/>
      <c r="FA13" s="668"/>
      <c r="FB13" s="669"/>
      <c r="FC13" s="670">
        <f>FC12/FC7</f>
        <v>-0.16834845399000187</v>
      </c>
      <c r="FD13" s="677" t="s">
        <v>405</v>
      </c>
      <c r="FE13" s="669" t="s">
        <v>405</v>
      </c>
      <c r="FF13" s="670">
        <f>FF12/FF7</f>
        <v>-0.20276016731270097</v>
      </c>
      <c r="FG13" s="671">
        <f>FG12/FG7</f>
        <v>1.9264419872119597E-2</v>
      </c>
      <c r="FH13" s="669" t="s">
        <v>405</v>
      </c>
      <c r="FI13" s="670">
        <f>FI12/FI7</f>
        <v>-0.1908339022103813</v>
      </c>
      <c r="FJ13" s="671">
        <f>FJ12/FJ7</f>
        <v>-1.9318203940440492E-2</v>
      </c>
      <c r="FK13" s="669" t="s">
        <v>405</v>
      </c>
      <c r="FL13" s="670">
        <f>FL12/FL7</f>
        <v>-0.1546433342064176</v>
      </c>
      <c r="FM13" s="671">
        <f>FM12/FM7</f>
        <v>0.30642790004975118</v>
      </c>
      <c r="FN13" s="669" t="s">
        <v>405</v>
      </c>
      <c r="FO13" s="670">
        <f>FO12/FO7</f>
        <v>-0.1463780732721521</v>
      </c>
      <c r="FP13" s="671">
        <f>FP12/FP7</f>
        <v>-2.682351114593666E-2</v>
      </c>
      <c r="FQ13" s="669" t="s">
        <v>405</v>
      </c>
      <c r="FR13" s="670">
        <f>FR12/FR7</f>
        <v>-8.1424678009610063E-2</v>
      </c>
      <c r="FS13" s="671">
        <f>FS12/FS7</f>
        <v>-1.8866206272692615E-2</v>
      </c>
      <c r="FT13" s="669" t="s">
        <v>405</v>
      </c>
      <c r="FU13" s="670">
        <f>FU12/FU7</f>
        <v>3.6163674728518697E-3</v>
      </c>
      <c r="FV13" s="671">
        <f>FV12/FV7</f>
        <v>7.4393292995241458E-2</v>
      </c>
      <c r="FW13" s="669" t="s">
        <v>405</v>
      </c>
      <c r="FX13" s="670">
        <f>FX12/FX7</f>
        <v>-7.4976250428587733E-4</v>
      </c>
      <c r="FY13" s="671">
        <f>FY12/FY7</f>
        <v>4.9197112046316258E-2</v>
      </c>
      <c r="FZ13" s="669" t="s">
        <v>405</v>
      </c>
      <c r="GA13" s="670">
        <f>GA12/GA7</f>
        <v>-5.0514260528983071E-2</v>
      </c>
      <c r="GB13" s="671">
        <f>GB12/GB7</f>
        <v>2.3241852267382439E-2</v>
      </c>
      <c r="GC13" s="669" t="s">
        <v>405</v>
      </c>
      <c r="GD13" s="667"/>
      <c r="GE13" s="668"/>
      <c r="GF13" s="669"/>
      <c r="GG13" s="667"/>
      <c r="GH13" s="668"/>
      <c r="GI13" s="669"/>
      <c r="GJ13" s="667"/>
      <c r="GK13" s="668"/>
      <c r="GL13" s="669"/>
      <c r="GM13" s="667"/>
      <c r="GN13" s="668"/>
      <c r="GO13" s="669"/>
      <c r="GP13" s="670">
        <f>GP12/GP7</f>
        <v>6.949163157704992E-2</v>
      </c>
      <c r="GQ13" s="671">
        <f>GQ12/GQ7</f>
        <v>7.4752300917410211E-2</v>
      </c>
      <c r="GR13" s="669" t="s">
        <v>405</v>
      </c>
    </row>
    <row r="14" spans="3:200" s="211" customFormat="1" ht="18" customHeight="1" x14ac:dyDescent="0.3">
      <c r="C14" s="212"/>
      <c r="E14" s="683" t="s">
        <v>679</v>
      </c>
      <c r="F14" s="667"/>
      <c r="G14" s="668"/>
      <c r="H14" s="686"/>
      <c r="I14" s="667"/>
      <c r="J14" s="668"/>
      <c r="K14" s="686"/>
      <c r="L14" s="667"/>
      <c r="M14" s="668"/>
      <c r="N14" s="669"/>
      <c r="O14" s="667"/>
      <c r="P14" s="668"/>
      <c r="Q14" s="687"/>
      <c r="R14" s="667"/>
      <c r="S14" s="668"/>
      <c r="T14" s="687"/>
      <c r="U14" s="667"/>
      <c r="V14" s="668"/>
      <c r="W14" s="687"/>
      <c r="X14" s="667"/>
      <c r="Y14" s="668"/>
      <c r="Z14" s="687"/>
      <c r="AA14" s="667"/>
      <c r="AB14" s="668"/>
      <c r="AC14" s="687"/>
      <c r="AD14" s="667"/>
      <c r="AE14" s="668"/>
      <c r="AF14" s="687"/>
      <c r="AG14" s="667"/>
      <c r="AH14" s="668"/>
      <c r="AI14" s="687"/>
      <c r="AJ14" s="667"/>
      <c r="AK14" s="668"/>
      <c r="AL14" s="669"/>
      <c r="AM14" s="667"/>
      <c r="AN14" s="668"/>
      <c r="AO14" s="669"/>
      <c r="AP14" s="667"/>
      <c r="AQ14" s="668"/>
      <c r="AR14" s="669"/>
      <c r="AS14" s="667"/>
      <c r="AT14" s="668"/>
      <c r="AU14" s="669"/>
      <c r="AV14" s="667"/>
      <c r="AW14" s="668"/>
      <c r="AX14" s="669"/>
      <c r="AY14" s="667"/>
      <c r="AZ14" s="668"/>
      <c r="BA14" s="669"/>
      <c r="BB14" s="667"/>
      <c r="BC14" s="668"/>
      <c r="BD14" s="669"/>
      <c r="BE14" s="667"/>
      <c r="BF14" s="668"/>
      <c r="BG14" s="669"/>
      <c r="BH14" s="667"/>
      <c r="BI14" s="668"/>
      <c r="BJ14" s="669"/>
      <c r="BK14" s="667"/>
      <c r="BL14" s="668"/>
      <c r="BM14" s="669"/>
      <c r="BN14" s="667"/>
      <c r="BO14" s="668"/>
      <c r="BP14" s="669"/>
      <c r="BQ14" s="667"/>
      <c r="BR14" s="668"/>
      <c r="BS14" s="669"/>
      <c r="BT14" s="667"/>
      <c r="BU14" s="668"/>
      <c r="BV14" s="669"/>
      <c r="BW14" s="667"/>
      <c r="BX14" s="668"/>
      <c r="BY14" s="669"/>
      <c r="BZ14" s="667"/>
      <c r="CA14" s="668"/>
      <c r="CB14" s="669"/>
      <c r="CC14" s="667"/>
      <c r="CD14" s="668"/>
      <c r="CE14" s="669"/>
      <c r="CF14" s="667"/>
      <c r="CG14" s="668"/>
      <c r="CH14" s="669"/>
      <c r="CI14" s="667"/>
      <c r="CJ14" s="668"/>
      <c r="CK14" s="669"/>
      <c r="CL14" s="667"/>
      <c r="CM14" s="668"/>
      <c r="CN14" s="669"/>
      <c r="CO14" s="667"/>
      <c r="CP14" s="668"/>
      <c r="CQ14" s="669"/>
      <c r="CR14" s="667"/>
      <c r="CS14" s="668"/>
      <c r="CT14" s="669"/>
      <c r="CU14" s="667"/>
      <c r="CV14" s="668"/>
      <c r="CW14" s="669"/>
      <c r="CX14" s="667"/>
      <c r="CY14" s="668"/>
      <c r="CZ14" s="669"/>
      <c r="DA14" s="667"/>
      <c r="DB14" s="668"/>
      <c r="DC14" s="669"/>
      <c r="DD14" s="667"/>
      <c r="DE14" s="668"/>
      <c r="DF14" s="669"/>
      <c r="DG14" s="667"/>
      <c r="DH14" s="668"/>
      <c r="DI14" s="669"/>
      <c r="DJ14" s="667"/>
      <c r="DK14" s="668"/>
      <c r="DL14" s="669"/>
      <c r="DM14" s="667"/>
      <c r="DN14" s="668"/>
      <c r="DO14" s="669"/>
      <c r="DP14" s="667"/>
      <c r="DQ14" s="668"/>
      <c r="DR14" s="669"/>
      <c r="DS14" s="667"/>
      <c r="DT14" s="668"/>
      <c r="DU14" s="669"/>
      <c r="DV14" s="667"/>
      <c r="DW14" s="668"/>
      <c r="DX14" s="669"/>
      <c r="DY14" s="667"/>
      <c r="DZ14" s="668"/>
      <c r="EA14" s="669"/>
      <c r="EB14" s="693">
        <f>Income!BZ95</f>
        <v>1.3437527394772747E-2</v>
      </c>
      <c r="EC14" s="694">
        <v>1.3437527394772747E-2</v>
      </c>
      <c r="ED14" s="669" t="s">
        <v>405</v>
      </c>
      <c r="EE14" s="693">
        <f>Income!CA95</f>
        <v>-0.10358662769830254</v>
      </c>
      <c r="EF14" s="694">
        <v>-9.9873937116867428E-2</v>
      </c>
      <c r="EG14" s="669" t="s">
        <v>405</v>
      </c>
      <c r="EH14" s="693">
        <f>Income!CB95</f>
        <v>5.1447589646610781E-2</v>
      </c>
      <c r="EI14" s="694">
        <v>5.1447589646610781E-2</v>
      </c>
      <c r="EJ14" s="669" t="s">
        <v>405</v>
      </c>
      <c r="EK14" s="693">
        <f>Income!CC95</f>
        <v>-1.6524303437055125E-2</v>
      </c>
      <c r="EL14" s="694">
        <f>Income!$CC$95</f>
        <v>-1.6524303437055125E-2</v>
      </c>
      <c r="EM14" s="669" t="s">
        <v>405</v>
      </c>
      <c r="EN14" s="693">
        <f>Income!CD95</f>
        <v>-4.2102606171515185E-2</v>
      </c>
      <c r="EO14" s="694">
        <v>3.9768263943440671E-3</v>
      </c>
      <c r="EP14" s="669" t="s">
        <v>405</v>
      </c>
      <c r="EQ14" s="693">
        <f>Income!CE95</f>
        <v>0.28000000000000003</v>
      </c>
      <c r="ER14" s="694">
        <v>0.27971515469835972</v>
      </c>
      <c r="ES14" s="669" t="s">
        <v>405</v>
      </c>
      <c r="ET14" s="693">
        <f>Income!CF95</f>
        <v>6.5827969572849532E-2</v>
      </c>
      <c r="EU14" s="694">
        <v>9.8754951895868595E-2</v>
      </c>
      <c r="EV14" s="669" t="s">
        <v>405</v>
      </c>
      <c r="EW14" s="693">
        <f>Income!CG95</f>
        <v>0.29762583818179483</v>
      </c>
      <c r="EX14" s="694">
        <v>0.36622370523487774</v>
      </c>
      <c r="EY14" s="669" t="s">
        <v>405</v>
      </c>
      <c r="EZ14" s="693">
        <f>Income!CH95</f>
        <v>-3.9188925716513993E-2</v>
      </c>
      <c r="FA14" s="694">
        <v>-3.9188925716513806E-2</v>
      </c>
      <c r="FB14" s="669" t="s">
        <v>405</v>
      </c>
      <c r="FC14" s="693">
        <f>Income!CI95</f>
        <v>0.26628189236649097</v>
      </c>
      <c r="FD14" s="694">
        <v>-0.12640436799895363</v>
      </c>
      <c r="FE14" s="669" t="s">
        <v>405</v>
      </c>
      <c r="FF14" s="693">
        <f>Income!CJ95</f>
        <v>15.724711806918206</v>
      </c>
      <c r="FG14" s="694">
        <v>17.607062157683224</v>
      </c>
      <c r="FH14" s="669" t="s">
        <v>405</v>
      </c>
      <c r="FI14" s="693">
        <f>Income!CK95</f>
        <v>-0.60204761186748235</v>
      </c>
      <c r="FJ14" s="694">
        <v>-0.32533832013408859</v>
      </c>
      <c r="FK14" s="669" t="s">
        <v>405</v>
      </c>
      <c r="FL14" s="693">
        <f>Income!CL95</f>
        <v>15.088756142983547</v>
      </c>
      <c r="FM14" s="694">
        <v>16.698572500190483</v>
      </c>
      <c r="FN14" s="669" t="s">
        <v>405</v>
      </c>
      <c r="FO14" s="693">
        <f>Income!CM95</f>
        <v>-0.38102245939999202</v>
      </c>
      <c r="FP14" s="694">
        <v>-0.2473688518762262</v>
      </c>
      <c r="FQ14" s="669" t="s">
        <v>405</v>
      </c>
      <c r="FR14" s="693">
        <f>Income!CN95</f>
        <v>-0.34048984476307564</v>
      </c>
      <c r="FS14" s="694">
        <v>-0.25043219972113773</v>
      </c>
      <c r="FT14" s="669" t="s">
        <v>405</v>
      </c>
      <c r="FU14" s="693">
        <f>Income!CO95</f>
        <v>-0.26609613802323157</v>
      </c>
      <c r="FV14" s="694">
        <v>-0.14436679691093776</v>
      </c>
      <c r="FW14" s="669" t="s">
        <v>405</v>
      </c>
      <c r="FX14" s="693">
        <f>Income!CP95</f>
        <v>-0.28021435715508897</v>
      </c>
      <c r="FY14" s="694">
        <v>-0.18325227215316933</v>
      </c>
      <c r="FZ14" s="669" t="s">
        <v>405</v>
      </c>
      <c r="GA14" s="693">
        <f>Income!CQ95</f>
        <v>-1.271992848483873</v>
      </c>
      <c r="GB14" s="694">
        <v>-0.82895195105885977</v>
      </c>
      <c r="GC14" s="669" t="s">
        <v>405</v>
      </c>
      <c r="GD14" s="667"/>
      <c r="GE14" s="668"/>
      <c r="GF14" s="669"/>
      <c r="GG14" s="667"/>
      <c r="GH14" s="668"/>
      <c r="GI14" s="669"/>
      <c r="GJ14" s="667"/>
      <c r="GK14" s="668"/>
      <c r="GL14" s="669"/>
      <c r="GM14" s="667"/>
      <c r="GN14" s="668"/>
      <c r="GO14" s="669"/>
      <c r="GP14" s="693">
        <f>Income!CV95</f>
        <v>-0.71814097234036256</v>
      </c>
      <c r="GQ14" s="694">
        <v>-0.54592318865463052</v>
      </c>
      <c r="GR14" s="669" t="s">
        <v>405</v>
      </c>
    </row>
    <row r="15" spans="3:200" ht="18" customHeight="1" x14ac:dyDescent="0.25">
      <c r="C15" s="212" t="s">
        <v>805</v>
      </c>
      <c r="E15" s="688" t="s">
        <v>542</v>
      </c>
      <c r="F15" s="672"/>
      <c r="G15" s="548"/>
      <c r="H15" s="673"/>
      <c r="I15" s="672"/>
      <c r="J15" s="548"/>
      <c r="K15" s="673"/>
      <c r="L15" s="672"/>
      <c r="M15" s="548"/>
      <c r="N15" s="673"/>
      <c r="O15" s="672"/>
      <c r="P15" s="548"/>
      <c r="Q15" s="673"/>
      <c r="R15" s="672"/>
      <c r="S15" s="548"/>
      <c r="T15" s="689"/>
      <c r="U15" s="672"/>
      <c r="V15" s="548"/>
      <c r="W15" s="673"/>
      <c r="X15" s="672"/>
      <c r="Y15" s="548"/>
      <c r="Z15" s="673"/>
      <c r="AA15" s="672"/>
      <c r="AB15" s="548"/>
      <c r="AC15" s="673"/>
      <c r="AD15" s="672"/>
      <c r="AE15" s="548"/>
      <c r="AF15" s="673"/>
      <c r="AG15" s="672"/>
      <c r="AH15" s="548"/>
      <c r="AI15" s="689"/>
      <c r="AJ15" s="672"/>
      <c r="AK15" s="548"/>
      <c r="AL15" s="673"/>
      <c r="AM15" s="672"/>
      <c r="AN15" s="548"/>
      <c r="AO15" s="673"/>
      <c r="AP15" s="672"/>
      <c r="AQ15" s="548"/>
      <c r="AR15" s="673"/>
      <c r="AS15" s="672"/>
      <c r="AT15" s="548"/>
      <c r="AU15" s="673"/>
      <c r="AV15" s="672"/>
      <c r="AW15" s="548"/>
      <c r="AX15" s="689"/>
      <c r="AY15" s="672"/>
      <c r="AZ15" s="548"/>
      <c r="BA15" s="673"/>
      <c r="BB15" s="672"/>
      <c r="BC15" s="548"/>
      <c r="BD15" s="673"/>
      <c r="BE15" s="672"/>
      <c r="BF15" s="548"/>
      <c r="BG15" s="673"/>
      <c r="BH15" s="672"/>
      <c r="BI15" s="548"/>
      <c r="BJ15" s="673"/>
      <c r="BK15" s="672"/>
      <c r="BL15" s="548"/>
      <c r="BM15" s="673"/>
      <c r="BN15" s="672"/>
      <c r="BO15" s="548"/>
      <c r="BP15" s="673"/>
      <c r="BQ15" s="672"/>
      <c r="BR15" s="548"/>
      <c r="BS15" s="673"/>
      <c r="BT15" s="672"/>
      <c r="BU15" s="548"/>
      <c r="BV15" s="673"/>
      <c r="BW15" s="672"/>
      <c r="BX15" s="548"/>
      <c r="BY15" s="673"/>
      <c r="BZ15" s="672"/>
      <c r="CA15" s="548"/>
      <c r="CB15" s="673"/>
      <c r="CC15" s="672"/>
      <c r="CD15" s="548"/>
      <c r="CE15" s="673"/>
      <c r="CF15" s="672"/>
      <c r="CG15" s="548"/>
      <c r="CH15" s="673"/>
      <c r="CI15" s="672"/>
      <c r="CJ15" s="548"/>
      <c r="CK15" s="673"/>
      <c r="CL15" s="672">
        <f>Income!$BL163</f>
        <v>0.26435946462715132</v>
      </c>
      <c r="CM15" s="548" t="s">
        <v>405</v>
      </c>
      <c r="CN15" s="673" t="s">
        <v>405</v>
      </c>
      <c r="CO15" s="672">
        <f>Income!$BM163</f>
        <v>0.47900044182238732</v>
      </c>
      <c r="CP15" s="548" t="s">
        <v>405</v>
      </c>
      <c r="CQ15" s="673" t="e">
        <f ca="1">_xll.FDS($C15,"FE_ACTUAL(ACTUAL,EPS_NONGAAP,ANNUAL,"&amp;MID(CO$5,2,4)-1&amp;",,,,'')@FE_ESTIMATE(EPS_NONGAAP,MEAN,ANNUAL,"&amp;MID(CO$5,2,4)-1&amp;",NOW,,,'')")</f>
        <v>#NAME?</v>
      </c>
      <c r="CR15" s="672">
        <f>Income!BN163</f>
        <v>5.1020538415388991E-2</v>
      </c>
      <c r="CS15" s="548">
        <v>0.17756078393881453</v>
      </c>
      <c r="CT15" s="673" t="s">
        <v>405</v>
      </c>
      <c r="CU15" s="672">
        <f>Income!$BO163</f>
        <v>9.5674716181184324E-2</v>
      </c>
      <c r="CV15" s="548">
        <v>0.17247322560983386</v>
      </c>
      <c r="CW15" s="673">
        <v>0.16500000000000001</v>
      </c>
      <c r="CX15" s="672">
        <f>Income!BP163</f>
        <v>0.16622819340502168</v>
      </c>
      <c r="CY15" s="548">
        <v>0.21853209824792183</v>
      </c>
      <c r="CZ15" s="673" t="s">
        <v>582</v>
      </c>
      <c r="DA15" s="672">
        <f>Income!BQ163</f>
        <v>0.17399116757563873</v>
      </c>
      <c r="DB15" s="548">
        <v>0.22092705508799251</v>
      </c>
      <c r="DC15" s="673" t="s">
        <v>586</v>
      </c>
      <c r="DD15" s="672">
        <f>Income!$BR163</f>
        <v>0.48736209137004105</v>
      </c>
      <c r="DE15" s="548">
        <v>0.75836745198753619</v>
      </c>
      <c r="DF15" s="673" t="s">
        <v>587</v>
      </c>
      <c r="DG15" s="672">
        <f>Income!BS163</f>
        <v>9.3986288940417578E-2</v>
      </c>
      <c r="DH15" s="548">
        <v>2.1301492749313315E-2</v>
      </c>
      <c r="DI15" s="673">
        <v>4.4999999999999998E-2</v>
      </c>
      <c r="DJ15" s="672">
        <f>Income!BT163</f>
        <v>0.14382801664355072</v>
      </c>
      <c r="DK15" s="548">
        <v>6.6388212899485544E-2</v>
      </c>
      <c r="DL15" s="673">
        <v>0.1</v>
      </c>
      <c r="DM15" s="672">
        <f>Income!BU163</f>
        <v>0.17828245910316853</v>
      </c>
      <c r="DN15" s="548">
        <v>0.11631943841750562</v>
      </c>
      <c r="DO15" s="673">
        <v>0.12</v>
      </c>
      <c r="DP15" s="672">
        <f>Income!BV163</f>
        <v>0.1762942362156508</v>
      </c>
      <c r="DQ15" s="548">
        <v>0.11733961969538662</v>
      </c>
      <c r="DR15" s="673">
        <v>0.115</v>
      </c>
      <c r="DS15" s="672">
        <f>Income!$BW163</f>
        <v>0.59204662541009023</v>
      </c>
      <c r="DT15" s="548">
        <v>0.5333580695957123</v>
      </c>
      <c r="DU15" s="673">
        <v>0.52749999999999997</v>
      </c>
      <c r="DV15" s="672">
        <f>Income!$BX163</f>
        <v>0.14852620568850561</v>
      </c>
      <c r="DW15" s="548">
        <v>7.009658964255859E-2</v>
      </c>
      <c r="DX15" s="673">
        <v>8.8333330000000002E-2</v>
      </c>
      <c r="DY15" s="672">
        <f>Income!$BY163</f>
        <v>0.1752967443268538</v>
      </c>
      <c r="DZ15" s="548">
        <v>0.11052343205864827</v>
      </c>
      <c r="EA15" s="673">
        <v>0.11</v>
      </c>
      <c r="EB15" s="672">
        <f>Income!$BZ163</f>
        <v>0.23710410639816659</v>
      </c>
      <c r="EC15" s="548">
        <v>0.23710410639816659</v>
      </c>
      <c r="ED15" s="673">
        <v>0.14777143000000001</v>
      </c>
      <c r="EE15" s="672">
        <f>Income!CA163</f>
        <v>0.15049683606881575</v>
      </c>
      <c r="EF15" s="548">
        <v>0.15049683606881575</v>
      </c>
      <c r="EG15" s="673">
        <v>0.15166667</v>
      </c>
      <c r="EH15" s="672">
        <f>Income!$CB163</f>
        <v>0.71126167448879563</v>
      </c>
      <c r="EI15" s="548">
        <v>0.71126167448879563</v>
      </c>
      <c r="EJ15" s="673" t="e">
        <f ca="1">_xll.FDS($C15,"FE_ACTUAL(ACTUAL,EPS_NONGAAP,ANNUAL,"&amp;MID(EH$5,2,4)-1&amp;",,,,'')@FE_ESTIMATE(EPS_NONGAAP,MEAN,ANNUAL,"&amp;MID(EH$5,2,4)-1&amp;",NOW,,,'')")</f>
        <v>#NAME?</v>
      </c>
      <c r="EK15" s="672">
        <f>Income!$CC163</f>
        <v>-0.13178767541183647</v>
      </c>
      <c r="EL15" s="548">
        <f>Income!$CC$163</f>
        <v>-0.13178767541183647</v>
      </c>
      <c r="EM15" s="673">
        <v>0.14166666999999999</v>
      </c>
      <c r="EN15" s="672">
        <f>Income!$CD163</f>
        <v>-9.1512589133589992E-2</v>
      </c>
      <c r="EO15" s="548">
        <v>0</v>
      </c>
      <c r="EP15" s="673">
        <v>0.17</v>
      </c>
      <c r="EQ15" s="672">
        <f>Income!$CE163</f>
        <v>-1.3435724858621332E-2</v>
      </c>
      <c r="ER15" s="548">
        <v>0</v>
      </c>
      <c r="ES15" s="673">
        <v>0.23666666</v>
      </c>
      <c r="ET15" s="672">
        <f>Income!$CF163</f>
        <v>-5.7038186582542616E-2</v>
      </c>
      <c r="EU15" s="548">
        <v>0</v>
      </c>
      <c r="EV15" s="673">
        <v>0.20599999999999999</v>
      </c>
      <c r="EW15" s="672">
        <f>Income!$CG163</f>
        <v>-0.2936329872862562</v>
      </c>
      <c r="EX15" s="548">
        <v>0</v>
      </c>
      <c r="EY15" s="673">
        <v>0.876</v>
      </c>
      <c r="EZ15" s="672">
        <f>Income!$CH163</f>
        <v>-5.7178137388704808E-2</v>
      </c>
      <c r="FA15" s="548">
        <v>0.24006758205040926</v>
      </c>
      <c r="FB15" s="673">
        <v>0.17799999999999999</v>
      </c>
      <c r="FC15" s="672">
        <f>Income!$CI163</f>
        <v>-0.14027476500361535</v>
      </c>
      <c r="FD15" s="548" t="s">
        <v>405</v>
      </c>
      <c r="FE15" s="673" t="s">
        <v>405</v>
      </c>
      <c r="FF15" s="672">
        <f>Income!$CJ163</f>
        <v>-9.8633573639064526E-2</v>
      </c>
      <c r="FG15" s="548">
        <v>-3.7337088453413096E-2</v>
      </c>
      <c r="FH15" s="673" t="s">
        <v>405</v>
      </c>
      <c r="FI15" s="672">
        <f>Income!$CK163</f>
        <v>-0.12749356415042956</v>
      </c>
      <c r="FJ15" s="548">
        <v>2.1950191530664111E-2</v>
      </c>
      <c r="FK15" s="673" t="e">
        <f ca="1">_xll.FDSC("na",$C15,"FE_ACTUAL(ACTUAL,EPS_NONGAAP,QUARTERLY,"&amp;MID(FL$5,2,4)-1&amp;"+""/""+"&amp;MID(FI$5,2,1)&amp;"+""F"",,,,'')@FE_ESTIMATE(EPS_NONGAAP,MEAN,QUARTERLY_ROLL,"&amp;MID(FL$5,2,4)-1&amp;"+""/""+"&amp;MID(FI$5,2,1)&amp;"+""F"",NOW,,,'')")</f>
        <v>#NAME?</v>
      </c>
      <c r="FL15" s="672">
        <f>Income!$CL163</f>
        <v>-0.42109348648809136</v>
      </c>
      <c r="FM15" s="548">
        <v>0.46941537706353953</v>
      </c>
      <c r="FN15" s="673" t="s">
        <v>405</v>
      </c>
      <c r="FO15" s="672">
        <f>Income!$CM163</f>
        <v>-0.12290188806397583</v>
      </c>
      <c r="FP15" s="548">
        <v>-2.879402470708242E-3</v>
      </c>
      <c r="FQ15" s="673" t="s">
        <v>405</v>
      </c>
      <c r="FR15" s="672">
        <f>Income!$CN163</f>
        <v>-7.4677894333322017E-2</v>
      </c>
      <c r="FS15" s="548">
        <v>-2.4702790644680643E-4</v>
      </c>
      <c r="FT15" s="673" t="s">
        <v>405</v>
      </c>
      <c r="FU15" s="672">
        <f>Income!$CO163</f>
        <v>9.0373328326884151E-3</v>
      </c>
      <c r="FV15" s="548">
        <v>9.9109147206643697E-2</v>
      </c>
      <c r="FW15" s="673" t="s">
        <v>405</v>
      </c>
      <c r="FX15" s="672">
        <f>Income!$CP163</f>
        <v>5.1052120005432651E-4</v>
      </c>
      <c r="FY15" s="548">
        <v>6.650937063432226E-2</v>
      </c>
      <c r="FZ15" s="673" t="s">
        <v>405</v>
      </c>
      <c r="GA15" s="672">
        <f>Income!$CQ163</f>
        <v>-0.19305036371545314</v>
      </c>
      <c r="GB15" s="548">
        <v>0.15898927630771006</v>
      </c>
      <c r="GC15" s="673" t="s">
        <v>405</v>
      </c>
      <c r="GD15" s="672"/>
      <c r="GE15" s="548"/>
      <c r="GF15" s="673"/>
      <c r="GG15" s="672"/>
      <c r="GH15" s="548"/>
      <c r="GI15" s="673"/>
      <c r="GJ15" s="672"/>
      <c r="GK15" s="548"/>
      <c r="GL15" s="673"/>
      <c r="GM15" s="672"/>
      <c r="GN15" s="548"/>
      <c r="GO15" s="673"/>
      <c r="GP15" s="672">
        <f>Income!$CV163</f>
        <v>0.40629473083259154</v>
      </c>
      <c r="GQ15" s="548">
        <v>0.44975476150121363</v>
      </c>
      <c r="GR15" s="673" t="s">
        <v>405</v>
      </c>
    </row>
    <row r="16" spans="3:200" ht="13.5" x14ac:dyDescent="0.25">
      <c r="E16" s="123"/>
      <c r="F16" s="183"/>
      <c r="G16" s="183"/>
      <c r="H16" s="183"/>
      <c r="I16" s="183"/>
      <c r="J16" s="183"/>
      <c r="K16" s="183"/>
      <c r="L16" s="183"/>
      <c r="M16" s="183"/>
      <c r="N16" s="183"/>
      <c r="O16" s="183"/>
      <c r="P16" s="183"/>
      <c r="Q16" s="183"/>
      <c r="R16" s="183"/>
      <c r="S16" s="183"/>
      <c r="T16" s="183"/>
      <c r="DJ16" s="521"/>
    </row>
    <row r="17" spans="5:198" x14ac:dyDescent="0.25">
      <c r="CL17" s="98"/>
      <c r="CN17" s="98"/>
      <c r="DD17" s="98"/>
      <c r="DK17" s="211"/>
      <c r="DM17" s="211"/>
      <c r="DN17" s="211"/>
      <c r="DQ17" s="211"/>
      <c r="DT17" s="211"/>
      <c r="DW17" s="211"/>
      <c r="DY17" s="211"/>
      <c r="DZ17" s="211"/>
      <c r="EB17" s="62"/>
      <c r="EC17" s="211"/>
      <c r="EE17" s="62"/>
      <c r="EF17" s="211"/>
      <c r="EH17" s="62"/>
      <c r="EI17" s="211"/>
      <c r="EK17" s="62" t="e">
        <f>#REF!-#REF!</f>
        <v>#REF!</v>
      </c>
      <c r="EL17" s="211"/>
      <c r="EN17" s="62" t="e">
        <f>#REF!/#REF!-1</f>
        <v>#REF!</v>
      </c>
      <c r="EO17" s="211"/>
      <c r="EQ17" s="62" t="e">
        <f>#REF!/#REF!-1</f>
        <v>#REF!</v>
      </c>
      <c r="ER17" s="211"/>
      <c r="ET17" s="62" t="e">
        <f>#REF!/#REF!-1</f>
        <v>#REF!</v>
      </c>
      <c r="EU17" s="211"/>
      <c r="EW17" s="62" t="e">
        <f>#REF!/#REF!-1</f>
        <v>#REF!</v>
      </c>
      <c r="EX17" s="211"/>
      <c r="EZ17" s="62" t="e">
        <f>#REF!/#REF!-1</f>
        <v>#REF!</v>
      </c>
      <c r="FC17" s="62"/>
      <c r="FF17" s="62"/>
      <c r="FI17" s="62"/>
      <c r="FL17" s="62"/>
      <c r="FM17" s="211"/>
      <c r="FO17" s="62"/>
      <c r="FR17" s="62"/>
      <c r="FU17" s="62"/>
      <c r="FX17" s="62"/>
      <c r="GA17" s="62"/>
      <c r="GP17" s="62"/>
    </row>
    <row r="18" spans="5:198" x14ac:dyDescent="0.25">
      <c r="F18" s="98"/>
      <c r="G18" s="98"/>
      <c r="H18" s="98"/>
      <c r="I18" s="98"/>
      <c r="J18" s="98"/>
      <c r="K18" s="98"/>
      <c r="L18" s="98"/>
      <c r="M18" s="98"/>
      <c r="N18" s="98"/>
      <c r="O18" s="98"/>
      <c r="P18" s="98"/>
      <c r="Q18" s="98"/>
      <c r="R18" s="98"/>
      <c r="S18" s="98"/>
      <c r="T18" s="98"/>
      <c r="DE18" s="211"/>
      <c r="DK18" s="211"/>
      <c r="DN18" s="211"/>
      <c r="DQ18" s="211"/>
      <c r="DT18" s="211"/>
      <c r="DW18" s="211"/>
      <c r="DY18" s="62"/>
      <c r="DZ18" s="62"/>
      <c r="EA18" s="206"/>
      <c r="EB18" s="62"/>
      <c r="EC18" s="211"/>
      <c r="EE18" s="62"/>
      <c r="EF18" s="211"/>
      <c r="EH18" s="62"/>
      <c r="EI18" s="211"/>
      <c r="EK18" s="62" t="e">
        <f>#REF!-#REF!</f>
        <v>#REF!</v>
      </c>
      <c r="EN18" s="62" t="e">
        <f>#REF!/#REF!-1</f>
        <v>#REF!</v>
      </c>
      <c r="EQ18" s="62" t="e">
        <f>#REF!/#REF!-1</f>
        <v>#REF!</v>
      </c>
      <c r="ET18" s="62" t="e">
        <f>#REF!/#REF!-1</f>
        <v>#REF!</v>
      </c>
      <c r="EW18" s="62" t="e">
        <f>#REF!/#REF!-1</f>
        <v>#REF!</v>
      </c>
      <c r="EX18" s="211"/>
      <c r="EZ18" s="62" t="e">
        <f>#REF!/#REF!-1</f>
        <v>#REF!</v>
      </c>
      <c r="FC18" s="62"/>
      <c r="FF18" s="62"/>
      <c r="FI18" s="62"/>
      <c r="FL18" s="62"/>
      <c r="FO18" s="62"/>
      <c r="FR18" s="62"/>
      <c r="FU18" s="62"/>
      <c r="FX18" s="62"/>
      <c r="GA18" s="62"/>
      <c r="GP18" s="62"/>
    </row>
    <row r="19" spans="5:198" ht="13.5" x14ac:dyDescent="0.25">
      <c r="E19" s="123"/>
      <c r="F19" s="183"/>
      <c r="G19" s="183"/>
      <c r="H19" s="183"/>
      <c r="I19" s="183"/>
      <c r="J19" s="183"/>
      <c r="K19" s="183"/>
      <c r="L19" s="183"/>
      <c r="M19" s="183"/>
      <c r="N19" s="183"/>
      <c r="O19" s="183"/>
      <c r="P19" s="183"/>
      <c r="Q19" s="183"/>
      <c r="R19" s="183"/>
      <c r="S19" s="183"/>
      <c r="T19" s="183"/>
      <c r="DE19" s="509"/>
      <c r="DK19" s="211"/>
      <c r="DN19" s="211"/>
      <c r="DQ19" s="211"/>
      <c r="DT19" s="211"/>
      <c r="DW19" s="211"/>
      <c r="DY19" s="62"/>
      <c r="DZ19" s="62"/>
      <c r="EB19" s="206"/>
      <c r="EC19" s="211"/>
      <c r="EE19" s="62"/>
      <c r="EF19" s="211"/>
      <c r="EH19" s="62"/>
      <c r="EI19" s="211"/>
      <c r="EK19" s="62" t="e">
        <f>#REF!-#REF!</f>
        <v>#REF!</v>
      </c>
      <c r="EN19" s="62" t="e">
        <f>#REF!/#REF!-1</f>
        <v>#REF!</v>
      </c>
      <c r="EQ19" s="62" t="e">
        <f>#REF!/#REF!-1</f>
        <v>#REF!</v>
      </c>
      <c r="ET19" s="62" t="e">
        <f>#REF!/#REF!-1</f>
        <v>#REF!</v>
      </c>
      <c r="EW19" s="62" t="e">
        <f>#REF!/#REF!-1</f>
        <v>#REF!</v>
      </c>
      <c r="EX19" s="211"/>
      <c r="EZ19" s="62">
        <f>EZ7/FA7-1</f>
        <v>-0.72474885442368708</v>
      </c>
      <c r="FC19" s="62"/>
      <c r="FF19" s="62"/>
      <c r="FI19" s="62"/>
      <c r="FL19" s="62"/>
      <c r="FO19" s="62"/>
      <c r="FR19" s="62"/>
      <c r="FU19" s="62"/>
      <c r="FX19" s="62"/>
      <c r="GA19" s="62"/>
      <c r="GP19" s="62"/>
    </row>
    <row r="20" spans="5:198" x14ac:dyDescent="0.25">
      <c r="J20" s="220"/>
      <c r="O20" s="220"/>
      <c r="T20" s="220"/>
      <c r="DK20" s="211"/>
      <c r="DN20" s="211"/>
      <c r="DQ20" s="211"/>
      <c r="DT20" s="211"/>
      <c r="DW20" s="211"/>
      <c r="DY20" s="206"/>
      <c r="DZ20" s="206"/>
      <c r="EB20" s="206"/>
      <c r="EC20" s="206"/>
      <c r="EE20" s="62"/>
      <c r="EF20" s="206"/>
      <c r="EH20" s="62"/>
      <c r="EI20" s="206"/>
      <c r="EK20" s="62">
        <f>EK7-EL7</f>
        <v>0</v>
      </c>
      <c r="EL20" s="206"/>
      <c r="EN20" s="62" t="e">
        <f>EN7/EO7-1</f>
        <v>#DIV/0!</v>
      </c>
      <c r="EO20" s="206"/>
      <c r="EQ20" s="62" t="e">
        <f>EQ7/ER7-1</f>
        <v>#DIV/0!</v>
      </c>
      <c r="ER20" s="206"/>
      <c r="ET20" s="62" t="e">
        <f>ET7/EU7-1</f>
        <v>#DIV/0!</v>
      </c>
      <c r="EU20" s="206"/>
      <c r="EW20" s="62" t="e">
        <f>EW7/EX7-1</f>
        <v>#DIV/0!</v>
      </c>
      <c r="EX20" s="206"/>
      <c r="EZ20" s="62" t="e">
        <f>#REF!/#REF!-1</f>
        <v>#REF!</v>
      </c>
      <c r="FC20" s="62"/>
      <c r="FF20" s="62"/>
      <c r="FI20" s="62"/>
      <c r="FL20" s="62"/>
      <c r="FM20" s="206"/>
      <c r="FO20" s="62"/>
      <c r="FR20" s="62"/>
      <c r="FU20" s="62"/>
      <c r="FX20" s="62"/>
      <c r="GA20" s="62"/>
      <c r="GP20" s="62"/>
    </row>
    <row r="21" spans="5:198" ht="13.5" x14ac:dyDescent="0.25">
      <c r="E21" s="123"/>
      <c r="J21" s="183"/>
      <c r="O21" s="183"/>
      <c r="T21" s="183"/>
      <c r="DK21" s="211"/>
      <c r="DN21" s="211"/>
      <c r="DQ21" s="211"/>
      <c r="DT21" s="211"/>
      <c r="DW21" s="211"/>
      <c r="DY21" s="206"/>
      <c r="DZ21" s="206"/>
      <c r="EB21" s="206"/>
      <c r="EC21" s="211"/>
      <c r="EE21" s="62"/>
      <c r="EF21" s="597"/>
      <c r="EG21" s="696"/>
      <c r="EH21" s="62"/>
      <c r="EI21" s="211"/>
      <c r="EK21" s="62" t="e">
        <f>#REF!-#REF!</f>
        <v>#REF!</v>
      </c>
      <c r="EN21" s="62" t="e">
        <f>#REF!/#REF!-1</f>
        <v>#REF!</v>
      </c>
      <c r="EQ21" s="62" t="e">
        <f>#REF!/#REF!-1</f>
        <v>#REF!</v>
      </c>
      <c r="ET21" s="62" t="e">
        <f>#REF!/#REF!-1</f>
        <v>#REF!</v>
      </c>
      <c r="EW21" s="62" t="e">
        <f>#REF!/#REF!-1</f>
        <v>#REF!</v>
      </c>
      <c r="EX21" s="211"/>
      <c r="EZ21" s="62" t="e">
        <f>#REF!/#REF!-1</f>
        <v>#REF!</v>
      </c>
      <c r="FC21" s="62"/>
      <c r="FF21" s="62"/>
      <c r="FI21" s="62"/>
      <c r="FL21" s="62"/>
      <c r="FO21" s="62"/>
      <c r="FR21" s="62"/>
      <c r="FU21" s="62"/>
      <c r="FX21" s="62"/>
      <c r="GA21" s="62"/>
      <c r="GP21" s="62"/>
    </row>
    <row r="22" spans="5:198" x14ac:dyDescent="0.25">
      <c r="DK22" s="211"/>
      <c r="DY22" s="206"/>
      <c r="EB22" s="206"/>
      <c r="EE22" s="62"/>
      <c r="EH22" s="62"/>
      <c r="EK22" s="62" t="e">
        <f>#REF!-#REF!</f>
        <v>#REF!</v>
      </c>
      <c r="EN22" s="62"/>
      <c r="EQ22" s="62"/>
      <c r="ET22" s="62"/>
      <c r="EW22" s="62"/>
      <c r="EZ22" s="62" t="e">
        <f>#REF!/#REF!-1</f>
        <v>#REF!</v>
      </c>
      <c r="FC22" s="62"/>
      <c r="FF22" s="62"/>
      <c r="FI22" s="62"/>
      <c r="FL22" s="62"/>
      <c r="FO22" s="62"/>
      <c r="FR22" s="62"/>
      <c r="FU22" s="62"/>
      <c r="FX22" s="62"/>
      <c r="GA22" s="62"/>
      <c r="GP22" s="62"/>
    </row>
    <row r="23" spans="5:198" x14ac:dyDescent="0.25">
      <c r="DK23" s="211"/>
      <c r="DM23" s="96"/>
      <c r="DN23" s="96"/>
      <c r="DY23" s="206"/>
      <c r="EB23" s="206"/>
      <c r="EE23" s="62"/>
      <c r="EH23" s="62"/>
      <c r="EK23" s="62" t="e">
        <f>#REF!-#REF!</f>
        <v>#REF!</v>
      </c>
      <c r="EN23" s="62" t="e">
        <f>#REF!/#REF!-1</f>
        <v>#REF!</v>
      </c>
      <c r="EQ23" s="62" t="e">
        <f>#REF!/#REF!-1</f>
        <v>#REF!</v>
      </c>
      <c r="ET23" s="62" t="e">
        <f>#REF!/#REF!-1</f>
        <v>#REF!</v>
      </c>
      <c r="EW23" s="62" t="e">
        <f>#REF!/#REF!-1</f>
        <v>#REF!</v>
      </c>
      <c r="EZ23" s="62" t="e">
        <f>#REF!/#REF!-1</f>
        <v>#REF!</v>
      </c>
      <c r="FC23" s="62"/>
      <c r="FF23" s="62"/>
      <c r="FI23" s="62"/>
      <c r="FL23" s="62"/>
      <c r="FO23" s="62"/>
      <c r="FR23" s="62"/>
      <c r="FU23" s="62"/>
      <c r="FX23" s="62"/>
      <c r="GA23" s="62"/>
      <c r="GP23" s="62"/>
    </row>
    <row r="24" spans="5:198" x14ac:dyDescent="0.25">
      <c r="DK24" s="211"/>
      <c r="DY24" s="206"/>
      <c r="EB24" s="206"/>
      <c r="EE24" s="62"/>
      <c r="EH24" s="62"/>
      <c r="EK24" s="62" t="e">
        <f>#REF!-#REF!</f>
        <v>#REF!</v>
      </c>
      <c r="EN24" s="62" t="e">
        <f>#REF!/#REF!-1</f>
        <v>#REF!</v>
      </c>
      <c r="EQ24" s="62" t="e">
        <f>#REF!/#REF!-1</f>
        <v>#REF!</v>
      </c>
      <c r="ET24" s="62" t="e">
        <f>#REF!/#REF!-1</f>
        <v>#REF!</v>
      </c>
      <c r="EW24" s="62" t="e">
        <f>#REF!/#REF!-1</f>
        <v>#REF!</v>
      </c>
      <c r="EZ24" s="62">
        <f>EZ12/FA12-1</f>
        <v>-1.0513138883872133</v>
      </c>
      <c r="FC24" s="62"/>
      <c r="FF24" s="62"/>
      <c r="FI24" s="62"/>
      <c r="FL24" s="62"/>
      <c r="FO24" s="62"/>
      <c r="FR24" s="62"/>
      <c r="FU24" s="62"/>
      <c r="FX24" s="62"/>
      <c r="GA24" s="62"/>
      <c r="GP24" s="62"/>
    </row>
    <row r="25" spans="5:198" x14ac:dyDescent="0.25">
      <c r="DY25" s="206"/>
      <c r="EB25" s="206"/>
      <c r="EE25" s="62"/>
      <c r="EH25" s="62"/>
      <c r="EK25" s="62" t="e">
        <f>#REF!-#REF!</f>
        <v>#REF!</v>
      </c>
      <c r="EN25" s="62" t="e">
        <f>#REF!/#REF!-1</f>
        <v>#REF!</v>
      </c>
      <c r="EQ25" s="62" t="e">
        <f>#REF!/#REF!-1</f>
        <v>#REF!</v>
      </c>
      <c r="ET25" s="62" t="e">
        <f>#REF!/#REF!-1</f>
        <v>#REF!</v>
      </c>
      <c r="EW25" s="62" t="e">
        <f>#REF!/#REF!-1</f>
        <v>#REF!</v>
      </c>
      <c r="EZ25" s="62">
        <f t="shared" ref="EZ25:EZ26" si="0">EZ14/FA14-1</f>
        <v>4.8849813083506888E-15</v>
      </c>
      <c r="FC25" s="62"/>
      <c r="FF25" s="62"/>
      <c r="FI25" s="62"/>
      <c r="FL25" s="62"/>
      <c r="FO25" s="62"/>
      <c r="FR25" s="62"/>
      <c r="FU25" s="62"/>
      <c r="FX25" s="62"/>
      <c r="GA25" s="62"/>
      <c r="GP25" s="62"/>
    </row>
    <row r="26" spans="5:198" x14ac:dyDescent="0.25">
      <c r="DY26" s="665"/>
      <c r="DZ26" s="62"/>
      <c r="EB26" s="206"/>
      <c r="EE26" s="62"/>
      <c r="EH26" s="62"/>
      <c r="EK26" s="62" t="e">
        <f>#REF!-#REF!</f>
        <v>#REF!</v>
      </c>
      <c r="EN26" s="62" t="e">
        <f>#REF!/#REF!-1</f>
        <v>#REF!</v>
      </c>
      <c r="EQ26" s="62" t="e">
        <f>#REF!/#REF!-1</f>
        <v>#REF!</v>
      </c>
      <c r="ET26" s="62" t="e">
        <f>#REF!/#REF!-1</f>
        <v>#REF!</v>
      </c>
      <c r="EW26" s="62" t="e">
        <f>#REF!/#REF!-1</f>
        <v>#REF!</v>
      </c>
      <c r="EZ26" s="62">
        <f t="shared" si="0"/>
        <v>-1.2381751709262376</v>
      </c>
      <c r="FC26" s="62"/>
      <c r="FF26" s="62"/>
      <c r="FI26" s="62"/>
      <c r="FL26" s="62"/>
      <c r="FO26" s="62"/>
      <c r="FR26" s="62"/>
      <c r="FU26" s="62"/>
      <c r="FX26" s="62"/>
      <c r="GA26" s="62"/>
      <c r="GP26" s="62"/>
    </row>
    <row r="27" spans="5:198" x14ac:dyDescent="0.25">
      <c r="EB27" s="206"/>
      <c r="EE27" s="62"/>
      <c r="EH27" s="62"/>
      <c r="EK27" s="62">
        <f>EK12-EL12</f>
        <v>0</v>
      </c>
      <c r="EN27" s="62">
        <f t="shared" ref="EN27" si="1">EN12/EO12-1</f>
        <v>-1.2248094561426175</v>
      </c>
      <c r="EQ27" s="62">
        <f>EQ12/ER12-1</f>
        <v>-1.0177660228153136</v>
      </c>
      <c r="ET27" s="62">
        <f>ET12/EU12-1</f>
        <v>-1.0834606970541523</v>
      </c>
      <c r="EW27" s="62">
        <f>EW12/EX12-1</f>
        <v>-1.1732454021322511</v>
      </c>
      <c r="EZ27" s="62"/>
      <c r="FC27" s="62"/>
      <c r="FF27" s="62"/>
      <c r="FI27" s="62"/>
      <c r="FL27" s="62"/>
      <c r="GA27" s="62"/>
    </row>
    <row r="28" spans="5:198" x14ac:dyDescent="0.25">
      <c r="EB28" s="206"/>
      <c r="EE28" s="62"/>
      <c r="EG28" s="62"/>
      <c r="EH28" s="62"/>
      <c r="EK28" s="62">
        <f t="shared" ref="EK28:EK29" si="2">EK14-EL14</f>
        <v>0</v>
      </c>
      <c r="EN28" s="62">
        <f>EN14/EO14-1</f>
        <v>-11.586986203721256</v>
      </c>
      <c r="EQ28" s="62">
        <f>EQ14/ER14-1</f>
        <v>1.0183406113533078E-3</v>
      </c>
      <c r="ET28" s="62">
        <f>ET14/EU14-1</f>
        <v>-0.3334210760159011</v>
      </c>
      <c r="EW28" s="62">
        <f>EW14/EX14-1</f>
        <v>-0.18731137846220969</v>
      </c>
      <c r="EZ28" s="62"/>
      <c r="FC28" s="62"/>
      <c r="FF28" s="62"/>
      <c r="FI28" s="62"/>
      <c r="FL28" s="62"/>
      <c r="GA28" s="62"/>
    </row>
    <row r="29" spans="5:198" x14ac:dyDescent="0.25">
      <c r="EB29" s="206"/>
      <c r="EE29" s="62"/>
      <c r="EG29" s="62"/>
      <c r="EH29" s="62"/>
      <c r="EK29" s="62">
        <f t="shared" si="2"/>
        <v>0</v>
      </c>
      <c r="EN29" s="62" t="e">
        <f>EN15/EO15-1</f>
        <v>#DIV/0!</v>
      </c>
      <c r="EQ29" s="62" t="e">
        <f t="shared" ref="EQ29" si="3">EQ15/ER15-1</f>
        <v>#DIV/0!</v>
      </c>
      <c r="ET29" s="62" t="e">
        <f>ET15/EU15-1</f>
        <v>#DIV/0!</v>
      </c>
      <c r="EW29" s="62" t="e">
        <f t="shared" ref="EW29" si="4">EW15/EX15-1</f>
        <v>#DIV/0!</v>
      </c>
      <c r="EZ29" s="62"/>
      <c r="FC29" s="62"/>
      <c r="FF29" s="62"/>
      <c r="FI29" s="62"/>
      <c r="FL29" s="62"/>
      <c r="GA29" s="62"/>
    </row>
    <row r="30" spans="5:198" x14ac:dyDescent="0.25">
      <c r="EB30" s="206"/>
      <c r="EE30" s="206"/>
      <c r="EH30" s="206"/>
      <c r="EK30" s="206"/>
      <c r="EN30" s="206"/>
      <c r="EQ30" s="206"/>
      <c r="ET30" s="206"/>
      <c r="EW30" s="206"/>
      <c r="FL30" s="206"/>
    </row>
    <row r="31" spans="5:198" x14ac:dyDescent="0.25">
      <c r="FM31" s="725"/>
      <c r="GA31" s="725"/>
    </row>
    <row r="32" spans="5:198" x14ac:dyDescent="0.25">
      <c r="FM32" s="725"/>
      <c r="GA32" s="725"/>
    </row>
    <row r="33" spans="135:183" x14ac:dyDescent="0.25">
      <c r="EE33" s="211"/>
    </row>
    <row r="34" spans="135:183" x14ac:dyDescent="0.25">
      <c r="FL34" s="725"/>
      <c r="GA34" s="725"/>
    </row>
    <row r="35" spans="135:183" x14ac:dyDescent="0.25">
      <c r="FL35" s="725"/>
      <c r="GA35" s="725"/>
    </row>
  </sheetData>
  <phoneticPr fontId="7" type="noConversion"/>
  <printOptions horizontalCentered="1"/>
  <pageMargins left="0" right="0" top="0" bottom="0" header="0" footer="0"/>
  <pageSetup scale="82" orientation="landscape" horizontalDpi="1200" verticalDpi="1200" r:id="rId1"/>
  <headerFooter alignWithMargins="0">
    <oddFooter>&amp;R&amp;"Book Antiqua,Regular"&amp;8Daniel Salmon
BMO Capital Markets
 (212) 885-4029</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B9567-DA15-496B-988A-A7CB69A11100}">
  <sheetPr codeName="Sheet7"/>
  <dimension ref="A1:CW136"/>
  <sheetViews>
    <sheetView showGridLines="0" tabSelected="1" topLeftCell="A4" zoomScaleNormal="100" zoomScaleSheetLayoutView="100" workbookViewId="0">
      <selection activeCell="O63" sqref="O63"/>
    </sheetView>
  </sheetViews>
  <sheetFormatPr defaultRowHeight="11.25" x14ac:dyDescent="0.2"/>
  <cols>
    <col min="1" max="1" width="1.1640625" style="806" customWidth="1"/>
    <col min="2" max="2" width="7.5" style="806" customWidth="1"/>
    <col min="3" max="3" width="8.83203125" style="806" customWidth="1"/>
    <col min="4" max="4" width="16.6640625" style="806" customWidth="1"/>
    <col min="5" max="5" width="10.1640625" style="806" bestFit="1" customWidth="1"/>
    <col min="6" max="6" width="9.1640625" style="806" customWidth="1"/>
    <col min="7" max="7" width="10.5" style="806" customWidth="1"/>
    <col min="8" max="16" width="7.83203125" style="806" customWidth="1"/>
    <col min="17" max="17" width="1.83203125" style="806" customWidth="1"/>
    <col min="18" max="19" width="9.33203125" style="806"/>
    <col min="20" max="20" width="11.1640625" style="806" bestFit="1" customWidth="1"/>
    <col min="21" max="34" width="9.33203125" style="806"/>
    <col min="35" max="35" width="11.1640625" style="806" bestFit="1" customWidth="1"/>
    <col min="36" max="43" width="9.33203125" style="806"/>
    <col min="44" max="44" width="11.6640625" style="806" bestFit="1" customWidth="1"/>
    <col min="45" max="46" width="9.33203125" style="806"/>
    <col min="47" max="48" width="10.6640625" style="806" customWidth="1"/>
    <col min="49" max="59" width="9.33203125" style="806"/>
    <col min="60" max="60" width="10.6640625" style="806" customWidth="1"/>
    <col min="61" max="284" width="9.33203125" style="806"/>
    <col min="285" max="285" width="1.83203125" style="806" customWidth="1"/>
    <col min="286" max="300" width="8.83203125" style="806" customWidth="1"/>
    <col min="301" max="301" width="1.83203125" style="806" customWidth="1"/>
    <col min="302" max="540" width="9.33203125" style="806"/>
    <col min="541" max="541" width="1.83203125" style="806" customWidth="1"/>
    <col min="542" max="556" width="8.83203125" style="806" customWidth="1"/>
    <col min="557" max="557" width="1.83203125" style="806" customWidth="1"/>
    <col min="558" max="796" width="9.33203125" style="806"/>
    <col min="797" max="797" width="1.83203125" style="806" customWidth="1"/>
    <col min="798" max="812" width="8.83203125" style="806" customWidth="1"/>
    <col min="813" max="813" width="1.83203125" style="806" customWidth="1"/>
    <col min="814" max="1052" width="9.33203125" style="806"/>
    <col min="1053" max="1053" width="1.83203125" style="806" customWidth="1"/>
    <col min="1054" max="1068" width="8.83203125" style="806" customWidth="1"/>
    <col min="1069" max="1069" width="1.83203125" style="806" customWidth="1"/>
    <col min="1070" max="1308" width="9.33203125" style="806"/>
    <col min="1309" max="1309" width="1.83203125" style="806" customWidth="1"/>
    <col min="1310" max="1324" width="8.83203125" style="806" customWidth="1"/>
    <col min="1325" max="1325" width="1.83203125" style="806" customWidth="1"/>
    <col min="1326" max="1564" width="9.33203125" style="806"/>
    <col min="1565" max="1565" width="1.83203125" style="806" customWidth="1"/>
    <col min="1566" max="1580" width="8.83203125" style="806" customWidth="1"/>
    <col min="1581" max="1581" width="1.83203125" style="806" customWidth="1"/>
    <col min="1582" max="1820" width="9.33203125" style="806"/>
    <col min="1821" max="1821" width="1.83203125" style="806" customWidth="1"/>
    <col min="1822" max="1836" width="8.83203125" style="806" customWidth="1"/>
    <col min="1837" max="1837" width="1.83203125" style="806" customWidth="1"/>
    <col min="1838" max="2076" width="9.33203125" style="806"/>
    <col min="2077" max="2077" width="1.83203125" style="806" customWidth="1"/>
    <col min="2078" max="2092" width="8.83203125" style="806" customWidth="1"/>
    <col min="2093" max="2093" width="1.83203125" style="806" customWidth="1"/>
    <col min="2094" max="2332" width="9.33203125" style="806"/>
    <col min="2333" max="2333" width="1.83203125" style="806" customWidth="1"/>
    <col min="2334" max="2348" width="8.83203125" style="806" customWidth="1"/>
    <col min="2349" max="2349" width="1.83203125" style="806" customWidth="1"/>
    <col min="2350" max="2588" width="9.33203125" style="806"/>
    <col min="2589" max="2589" width="1.83203125" style="806" customWidth="1"/>
    <col min="2590" max="2604" width="8.83203125" style="806" customWidth="1"/>
    <col min="2605" max="2605" width="1.83203125" style="806" customWidth="1"/>
    <col min="2606" max="2844" width="9.33203125" style="806"/>
    <col min="2845" max="2845" width="1.83203125" style="806" customWidth="1"/>
    <col min="2846" max="2860" width="8.83203125" style="806" customWidth="1"/>
    <col min="2861" max="2861" width="1.83203125" style="806" customWidth="1"/>
    <col min="2862" max="3100" width="9.33203125" style="806"/>
    <col min="3101" max="3101" width="1.83203125" style="806" customWidth="1"/>
    <col min="3102" max="3116" width="8.83203125" style="806" customWidth="1"/>
    <col min="3117" max="3117" width="1.83203125" style="806" customWidth="1"/>
    <col min="3118" max="3356" width="9.33203125" style="806"/>
    <col min="3357" max="3357" width="1.83203125" style="806" customWidth="1"/>
    <col min="3358" max="3372" width="8.83203125" style="806" customWidth="1"/>
    <col min="3373" max="3373" width="1.83203125" style="806" customWidth="1"/>
    <col min="3374" max="3612" width="9.33203125" style="806"/>
    <col min="3613" max="3613" width="1.83203125" style="806" customWidth="1"/>
    <col min="3614" max="3628" width="8.83203125" style="806" customWidth="1"/>
    <col min="3629" max="3629" width="1.83203125" style="806" customWidth="1"/>
    <col min="3630" max="3868" width="9.33203125" style="806"/>
    <col min="3869" max="3869" width="1.83203125" style="806" customWidth="1"/>
    <col min="3870" max="3884" width="8.83203125" style="806" customWidth="1"/>
    <col min="3885" max="3885" width="1.83203125" style="806" customWidth="1"/>
    <col min="3886" max="4124" width="9.33203125" style="806"/>
    <col min="4125" max="4125" width="1.83203125" style="806" customWidth="1"/>
    <col min="4126" max="4140" width="8.83203125" style="806" customWidth="1"/>
    <col min="4141" max="4141" width="1.83203125" style="806" customWidth="1"/>
    <col min="4142" max="4380" width="9.33203125" style="806"/>
    <col min="4381" max="4381" width="1.83203125" style="806" customWidth="1"/>
    <col min="4382" max="4396" width="8.83203125" style="806" customWidth="1"/>
    <col min="4397" max="4397" width="1.83203125" style="806" customWidth="1"/>
    <col min="4398" max="4636" width="9.33203125" style="806"/>
    <col min="4637" max="4637" width="1.83203125" style="806" customWidth="1"/>
    <col min="4638" max="4652" width="8.83203125" style="806" customWidth="1"/>
    <col min="4653" max="4653" width="1.83203125" style="806" customWidth="1"/>
    <col min="4654" max="4892" width="9.33203125" style="806"/>
    <col min="4893" max="4893" width="1.83203125" style="806" customWidth="1"/>
    <col min="4894" max="4908" width="8.83203125" style="806" customWidth="1"/>
    <col min="4909" max="4909" width="1.83203125" style="806" customWidth="1"/>
    <col min="4910" max="5148" width="9.33203125" style="806"/>
    <col min="5149" max="5149" width="1.83203125" style="806" customWidth="1"/>
    <col min="5150" max="5164" width="8.83203125" style="806" customWidth="1"/>
    <col min="5165" max="5165" width="1.83203125" style="806" customWidth="1"/>
    <col min="5166" max="5404" width="9.33203125" style="806"/>
    <col min="5405" max="5405" width="1.83203125" style="806" customWidth="1"/>
    <col min="5406" max="5420" width="8.83203125" style="806" customWidth="1"/>
    <col min="5421" max="5421" width="1.83203125" style="806" customWidth="1"/>
    <col min="5422" max="5660" width="9.33203125" style="806"/>
    <col min="5661" max="5661" width="1.83203125" style="806" customWidth="1"/>
    <col min="5662" max="5676" width="8.83203125" style="806" customWidth="1"/>
    <col min="5677" max="5677" width="1.83203125" style="806" customWidth="1"/>
    <col min="5678" max="5916" width="9.33203125" style="806"/>
    <col min="5917" max="5917" width="1.83203125" style="806" customWidth="1"/>
    <col min="5918" max="5932" width="8.83203125" style="806" customWidth="1"/>
    <col min="5933" max="5933" width="1.83203125" style="806" customWidth="1"/>
    <col min="5934" max="6172" width="9.33203125" style="806"/>
    <col min="6173" max="6173" width="1.83203125" style="806" customWidth="1"/>
    <col min="6174" max="6188" width="8.83203125" style="806" customWidth="1"/>
    <col min="6189" max="6189" width="1.83203125" style="806" customWidth="1"/>
    <col min="6190" max="6428" width="9.33203125" style="806"/>
    <col min="6429" max="6429" width="1.83203125" style="806" customWidth="1"/>
    <col min="6430" max="6444" width="8.83203125" style="806" customWidth="1"/>
    <col min="6445" max="6445" width="1.83203125" style="806" customWidth="1"/>
    <col min="6446" max="6684" width="9.33203125" style="806"/>
    <col min="6685" max="6685" width="1.83203125" style="806" customWidth="1"/>
    <col min="6686" max="6700" width="8.83203125" style="806" customWidth="1"/>
    <col min="6701" max="6701" width="1.83203125" style="806" customWidth="1"/>
    <col min="6702" max="6940" width="9.33203125" style="806"/>
    <col min="6941" max="6941" width="1.83203125" style="806" customWidth="1"/>
    <col min="6942" max="6956" width="8.83203125" style="806" customWidth="1"/>
    <col min="6957" max="6957" width="1.83203125" style="806" customWidth="1"/>
    <col min="6958" max="7196" width="9.33203125" style="806"/>
    <col min="7197" max="7197" width="1.83203125" style="806" customWidth="1"/>
    <col min="7198" max="7212" width="8.83203125" style="806" customWidth="1"/>
    <col min="7213" max="7213" width="1.83203125" style="806" customWidth="1"/>
    <col min="7214" max="7452" width="9.33203125" style="806"/>
    <col min="7453" max="7453" width="1.83203125" style="806" customWidth="1"/>
    <col min="7454" max="7468" width="8.83203125" style="806" customWidth="1"/>
    <col min="7469" max="7469" width="1.83203125" style="806" customWidth="1"/>
    <col min="7470" max="7708" width="9.33203125" style="806"/>
    <col min="7709" max="7709" width="1.83203125" style="806" customWidth="1"/>
    <col min="7710" max="7724" width="8.83203125" style="806" customWidth="1"/>
    <col min="7725" max="7725" width="1.83203125" style="806" customWidth="1"/>
    <col min="7726" max="7964" width="9.33203125" style="806"/>
    <col min="7965" max="7965" width="1.83203125" style="806" customWidth="1"/>
    <col min="7966" max="7980" width="8.83203125" style="806" customWidth="1"/>
    <col min="7981" max="7981" width="1.83203125" style="806" customWidth="1"/>
    <col min="7982" max="8220" width="9.33203125" style="806"/>
    <col min="8221" max="8221" width="1.83203125" style="806" customWidth="1"/>
    <col min="8222" max="8236" width="8.83203125" style="806" customWidth="1"/>
    <col min="8237" max="8237" width="1.83203125" style="806" customWidth="1"/>
    <col min="8238" max="8476" width="9.33203125" style="806"/>
    <col min="8477" max="8477" width="1.83203125" style="806" customWidth="1"/>
    <col min="8478" max="8492" width="8.83203125" style="806" customWidth="1"/>
    <col min="8493" max="8493" width="1.83203125" style="806" customWidth="1"/>
    <col min="8494" max="8732" width="9.33203125" style="806"/>
    <col min="8733" max="8733" width="1.83203125" style="806" customWidth="1"/>
    <col min="8734" max="8748" width="8.83203125" style="806" customWidth="1"/>
    <col min="8749" max="8749" width="1.83203125" style="806" customWidth="1"/>
    <col min="8750" max="8988" width="9.33203125" style="806"/>
    <col min="8989" max="8989" width="1.83203125" style="806" customWidth="1"/>
    <col min="8990" max="9004" width="8.83203125" style="806" customWidth="1"/>
    <col min="9005" max="9005" width="1.83203125" style="806" customWidth="1"/>
    <col min="9006" max="9244" width="9.33203125" style="806"/>
    <col min="9245" max="9245" width="1.83203125" style="806" customWidth="1"/>
    <col min="9246" max="9260" width="8.83203125" style="806" customWidth="1"/>
    <col min="9261" max="9261" width="1.83203125" style="806" customWidth="1"/>
    <col min="9262" max="9500" width="9.33203125" style="806"/>
    <col min="9501" max="9501" width="1.83203125" style="806" customWidth="1"/>
    <col min="9502" max="9516" width="8.83203125" style="806" customWidth="1"/>
    <col min="9517" max="9517" width="1.83203125" style="806" customWidth="1"/>
    <col min="9518" max="9756" width="9.33203125" style="806"/>
    <col min="9757" max="9757" width="1.83203125" style="806" customWidth="1"/>
    <col min="9758" max="9772" width="8.83203125" style="806" customWidth="1"/>
    <col min="9773" max="9773" width="1.83203125" style="806" customWidth="1"/>
    <col min="9774" max="10012" width="9.33203125" style="806"/>
    <col min="10013" max="10013" width="1.83203125" style="806" customWidth="1"/>
    <col min="10014" max="10028" width="8.83203125" style="806" customWidth="1"/>
    <col min="10029" max="10029" width="1.83203125" style="806" customWidth="1"/>
    <col min="10030" max="10268" width="9.33203125" style="806"/>
    <col min="10269" max="10269" width="1.83203125" style="806" customWidth="1"/>
    <col min="10270" max="10284" width="8.83203125" style="806" customWidth="1"/>
    <col min="10285" max="10285" width="1.83203125" style="806" customWidth="1"/>
    <col min="10286" max="10524" width="9.33203125" style="806"/>
    <col min="10525" max="10525" width="1.83203125" style="806" customWidth="1"/>
    <col min="10526" max="10540" width="8.83203125" style="806" customWidth="1"/>
    <col min="10541" max="10541" width="1.83203125" style="806" customWidth="1"/>
    <col min="10542" max="10780" width="9.33203125" style="806"/>
    <col min="10781" max="10781" width="1.83203125" style="806" customWidth="1"/>
    <col min="10782" max="10796" width="8.83203125" style="806" customWidth="1"/>
    <col min="10797" max="10797" width="1.83203125" style="806" customWidth="1"/>
    <col min="10798" max="11036" width="9.33203125" style="806"/>
    <col min="11037" max="11037" width="1.83203125" style="806" customWidth="1"/>
    <col min="11038" max="11052" width="8.83203125" style="806" customWidth="1"/>
    <col min="11053" max="11053" width="1.83203125" style="806" customWidth="1"/>
    <col min="11054" max="11292" width="9.33203125" style="806"/>
    <col min="11293" max="11293" width="1.83203125" style="806" customWidth="1"/>
    <col min="11294" max="11308" width="8.83203125" style="806" customWidth="1"/>
    <col min="11309" max="11309" width="1.83203125" style="806" customWidth="1"/>
    <col min="11310" max="11548" width="9.33203125" style="806"/>
    <col min="11549" max="11549" width="1.83203125" style="806" customWidth="1"/>
    <col min="11550" max="11564" width="8.83203125" style="806" customWidth="1"/>
    <col min="11565" max="11565" width="1.83203125" style="806" customWidth="1"/>
    <col min="11566" max="11804" width="9.33203125" style="806"/>
    <col min="11805" max="11805" width="1.83203125" style="806" customWidth="1"/>
    <col min="11806" max="11820" width="8.83203125" style="806" customWidth="1"/>
    <col min="11821" max="11821" width="1.83203125" style="806" customWidth="1"/>
    <col min="11822" max="12060" width="9.33203125" style="806"/>
    <col min="12061" max="12061" width="1.83203125" style="806" customWidth="1"/>
    <col min="12062" max="12076" width="8.83203125" style="806" customWidth="1"/>
    <col min="12077" max="12077" width="1.83203125" style="806" customWidth="1"/>
    <col min="12078" max="12316" width="9.33203125" style="806"/>
    <col min="12317" max="12317" width="1.83203125" style="806" customWidth="1"/>
    <col min="12318" max="12332" width="8.83203125" style="806" customWidth="1"/>
    <col min="12333" max="12333" width="1.83203125" style="806" customWidth="1"/>
    <col min="12334" max="12572" width="9.33203125" style="806"/>
    <col min="12573" max="12573" width="1.83203125" style="806" customWidth="1"/>
    <col min="12574" max="12588" width="8.83203125" style="806" customWidth="1"/>
    <col min="12589" max="12589" width="1.83203125" style="806" customWidth="1"/>
    <col min="12590" max="12828" width="9.33203125" style="806"/>
    <col min="12829" max="12829" width="1.83203125" style="806" customWidth="1"/>
    <col min="12830" max="12844" width="8.83203125" style="806" customWidth="1"/>
    <col min="12845" max="12845" width="1.83203125" style="806" customWidth="1"/>
    <col min="12846" max="13084" width="9.33203125" style="806"/>
    <col min="13085" max="13085" width="1.83203125" style="806" customWidth="1"/>
    <col min="13086" max="13100" width="8.83203125" style="806" customWidth="1"/>
    <col min="13101" max="13101" width="1.83203125" style="806" customWidth="1"/>
    <col min="13102" max="13340" width="9.33203125" style="806"/>
    <col min="13341" max="13341" width="1.83203125" style="806" customWidth="1"/>
    <col min="13342" max="13356" width="8.83203125" style="806" customWidth="1"/>
    <col min="13357" max="13357" width="1.83203125" style="806" customWidth="1"/>
    <col min="13358" max="13596" width="9.33203125" style="806"/>
    <col min="13597" max="13597" width="1.83203125" style="806" customWidth="1"/>
    <col min="13598" max="13612" width="8.83203125" style="806" customWidth="1"/>
    <col min="13613" max="13613" width="1.83203125" style="806" customWidth="1"/>
    <col min="13614" max="13852" width="9.33203125" style="806"/>
    <col min="13853" max="13853" width="1.83203125" style="806" customWidth="1"/>
    <col min="13854" max="13868" width="8.83203125" style="806" customWidth="1"/>
    <col min="13869" max="13869" width="1.83203125" style="806" customWidth="1"/>
    <col min="13870" max="14108" width="9.33203125" style="806"/>
    <col min="14109" max="14109" width="1.83203125" style="806" customWidth="1"/>
    <col min="14110" max="14124" width="8.83203125" style="806" customWidth="1"/>
    <col min="14125" max="14125" width="1.83203125" style="806" customWidth="1"/>
    <col min="14126" max="14364" width="9.33203125" style="806"/>
    <col min="14365" max="14365" width="1.83203125" style="806" customWidth="1"/>
    <col min="14366" max="14380" width="8.83203125" style="806" customWidth="1"/>
    <col min="14381" max="14381" width="1.83203125" style="806" customWidth="1"/>
    <col min="14382" max="14620" width="9.33203125" style="806"/>
    <col min="14621" max="14621" width="1.83203125" style="806" customWidth="1"/>
    <col min="14622" max="14636" width="8.83203125" style="806" customWidth="1"/>
    <col min="14637" max="14637" width="1.83203125" style="806" customWidth="1"/>
    <col min="14638" max="14876" width="9.33203125" style="806"/>
    <col min="14877" max="14877" width="1.83203125" style="806" customWidth="1"/>
    <col min="14878" max="14892" width="8.83203125" style="806" customWidth="1"/>
    <col min="14893" max="14893" width="1.83203125" style="806" customWidth="1"/>
    <col min="14894" max="15132" width="9.33203125" style="806"/>
    <col min="15133" max="15133" width="1.83203125" style="806" customWidth="1"/>
    <col min="15134" max="15148" width="8.83203125" style="806" customWidth="1"/>
    <col min="15149" max="15149" width="1.83203125" style="806" customWidth="1"/>
    <col min="15150" max="15388" width="9.33203125" style="806"/>
    <col min="15389" max="15389" width="1.83203125" style="806" customWidth="1"/>
    <col min="15390" max="15404" width="8.83203125" style="806" customWidth="1"/>
    <col min="15405" max="15405" width="1.83203125" style="806" customWidth="1"/>
    <col min="15406" max="15644" width="9.33203125" style="806"/>
    <col min="15645" max="15645" width="1.83203125" style="806" customWidth="1"/>
    <col min="15646" max="15660" width="8.83203125" style="806" customWidth="1"/>
    <col min="15661" max="15661" width="1.83203125" style="806" customWidth="1"/>
    <col min="15662" max="15900" width="9.33203125" style="806"/>
    <col min="15901" max="15901" width="1.83203125" style="806" customWidth="1"/>
    <col min="15902" max="15916" width="8.83203125" style="806" customWidth="1"/>
    <col min="15917" max="15917" width="1.83203125" style="806" customWidth="1"/>
    <col min="15918" max="16156" width="9.33203125" style="806"/>
    <col min="16157" max="16157" width="1.83203125" style="806" customWidth="1"/>
    <col min="16158" max="16172" width="8.83203125" style="806" customWidth="1"/>
    <col min="16173" max="16173" width="1.83203125" style="806" customWidth="1"/>
    <col min="16174" max="16384" width="9.33203125" style="806"/>
  </cols>
  <sheetData>
    <row r="1" spans="1:101" x14ac:dyDescent="0.2">
      <c r="B1" s="806" t="s">
        <v>469</v>
      </c>
      <c r="C1" s="807">
        <f ca="1">TODAY()</f>
        <v>43433</v>
      </c>
      <c r="D1" s="808">
        <f ca="1">YEAR(C1)</f>
        <v>2018</v>
      </c>
    </row>
    <row r="2" spans="1:101" x14ac:dyDescent="0.2">
      <c r="AR2" s="809"/>
    </row>
    <row r="3" spans="1:101" x14ac:dyDescent="0.2">
      <c r="B3" s="1087"/>
      <c r="C3" s="888"/>
      <c r="D3" s="888"/>
      <c r="E3" s="888"/>
      <c r="F3" s="888"/>
      <c r="G3" s="888"/>
      <c r="H3" s="888"/>
      <c r="I3" s="888"/>
      <c r="J3" s="888"/>
      <c r="K3" s="888"/>
      <c r="L3" s="888"/>
      <c r="M3" s="888"/>
      <c r="N3" s="888"/>
      <c r="O3" s="888"/>
      <c r="P3" s="889"/>
      <c r="AR3" s="809"/>
    </row>
    <row r="4" spans="1:101" x14ac:dyDescent="0.2">
      <c r="B4" s="856"/>
      <c r="C4" s="810"/>
      <c r="D4" s="810"/>
      <c r="E4" s="811" t="s">
        <v>817</v>
      </c>
      <c r="F4" s="811" t="s">
        <v>818</v>
      </c>
      <c r="G4" s="811" t="s">
        <v>819</v>
      </c>
      <c r="H4" s="812" t="s">
        <v>820</v>
      </c>
      <c r="I4" s="813"/>
      <c r="J4" s="813"/>
      <c r="K4" s="812" t="s">
        <v>821</v>
      </c>
      <c r="L4" s="813"/>
      <c r="M4" s="813"/>
      <c r="N4" s="811" t="s">
        <v>822</v>
      </c>
      <c r="O4" s="814" t="s">
        <v>823</v>
      </c>
      <c r="P4" s="1088" t="s">
        <v>824</v>
      </c>
      <c r="Q4" s="816"/>
      <c r="R4" s="816"/>
      <c r="S4" s="815" t="s">
        <v>817</v>
      </c>
      <c r="T4" s="810"/>
      <c r="U4" s="810"/>
      <c r="V4" s="810"/>
      <c r="W4" s="810"/>
      <c r="X4" s="810"/>
      <c r="Y4" s="810"/>
      <c r="Z4" s="810"/>
      <c r="AA4" s="810"/>
      <c r="AB4" s="810"/>
      <c r="AC4" s="817" t="s">
        <v>825</v>
      </c>
      <c r="AD4" s="817"/>
      <c r="AE4" s="817"/>
      <c r="AF4" s="817"/>
      <c r="AG4" s="817"/>
      <c r="AH4" s="817" t="s">
        <v>826</v>
      </c>
      <c r="AI4" s="817"/>
      <c r="AJ4" s="817"/>
      <c r="AK4" s="817"/>
      <c r="AL4" s="817"/>
      <c r="AM4" s="817" t="s">
        <v>827</v>
      </c>
      <c r="AN4" s="817"/>
      <c r="AO4" s="817"/>
      <c r="AP4" s="817"/>
      <c r="AQ4" s="817"/>
      <c r="AR4" s="817" t="s">
        <v>828</v>
      </c>
      <c r="AS4" s="817"/>
      <c r="AT4" s="817"/>
      <c r="AU4" s="817"/>
      <c r="AV4" s="817"/>
      <c r="AW4" s="817" t="s">
        <v>829</v>
      </c>
      <c r="AX4" s="817"/>
      <c r="AY4" s="817"/>
      <c r="AZ4" s="817"/>
      <c r="BA4" s="817"/>
      <c r="BB4" s="817" t="s">
        <v>830</v>
      </c>
      <c r="BC4" s="817"/>
      <c r="BD4" s="817"/>
      <c r="BE4" s="817"/>
      <c r="BF4" s="817"/>
      <c r="BG4" s="817" t="s">
        <v>831</v>
      </c>
      <c r="BH4" s="817"/>
      <c r="BI4" s="817"/>
      <c r="BJ4" s="817"/>
      <c r="BK4" s="817"/>
      <c r="BL4" s="817" t="s">
        <v>832</v>
      </c>
      <c r="BM4" s="817"/>
      <c r="BN4" s="817"/>
      <c r="BO4" s="817"/>
      <c r="BP4" s="817"/>
      <c r="BQ4" s="817" t="s">
        <v>833</v>
      </c>
      <c r="BR4" s="817"/>
      <c r="BS4" s="817"/>
      <c r="BT4" s="817"/>
      <c r="BU4" s="817"/>
      <c r="BV4" s="817" t="s">
        <v>834</v>
      </c>
      <c r="BW4" s="817"/>
      <c r="BX4" s="817"/>
      <c r="BY4" s="817" t="s">
        <v>835</v>
      </c>
      <c r="BZ4" s="817"/>
      <c r="CA4" s="817"/>
      <c r="CB4" s="817" t="s">
        <v>836</v>
      </c>
      <c r="CC4" s="817"/>
      <c r="CD4" s="817"/>
      <c r="CE4" s="817" t="s">
        <v>837</v>
      </c>
      <c r="CF4" s="817"/>
      <c r="CG4" s="817"/>
      <c r="CH4" s="817" t="s">
        <v>838</v>
      </c>
      <c r="CI4" s="817"/>
      <c r="CJ4" s="817"/>
      <c r="CK4" s="817" t="s">
        <v>839</v>
      </c>
      <c r="CL4" s="817"/>
      <c r="CM4" s="817"/>
      <c r="CN4" s="810"/>
      <c r="CO4" s="810"/>
      <c r="CP4" s="810"/>
      <c r="CQ4" s="810"/>
      <c r="CR4" s="810"/>
      <c r="CS4" s="810"/>
      <c r="CT4" s="816"/>
      <c r="CU4" s="816"/>
      <c r="CV4" s="816"/>
    </row>
    <row r="5" spans="1:101" x14ac:dyDescent="0.2">
      <c r="B5" s="1089" t="s">
        <v>840</v>
      </c>
      <c r="C5" s="818" t="s">
        <v>841</v>
      </c>
      <c r="D5" s="818"/>
      <c r="E5" s="819" t="s">
        <v>842</v>
      </c>
      <c r="F5" s="819" t="s">
        <v>843</v>
      </c>
      <c r="G5" s="819" t="s">
        <v>41</v>
      </c>
      <c r="H5" s="820">
        <f ca="1">$D$1</f>
        <v>2018</v>
      </c>
      <c r="I5" s="820">
        <f ca="1">H5+1</f>
        <v>2019</v>
      </c>
      <c r="J5" s="821">
        <f ca="1">I5+1</f>
        <v>2020</v>
      </c>
      <c r="K5" s="820">
        <f ca="1">$D$1</f>
        <v>2018</v>
      </c>
      <c r="L5" s="820">
        <f ca="1">K5+1</f>
        <v>2019</v>
      </c>
      <c r="M5" s="821">
        <f ca="1">L5+1</f>
        <v>2020</v>
      </c>
      <c r="N5" s="822" t="s">
        <v>844</v>
      </c>
      <c r="O5" s="823" t="s">
        <v>845</v>
      </c>
      <c r="P5" s="1090" t="s">
        <v>846</v>
      </c>
      <c r="Q5" s="816"/>
      <c r="R5" s="824" t="s">
        <v>469</v>
      </c>
      <c r="S5" s="825" t="s">
        <v>842</v>
      </c>
      <c r="T5" s="825" t="s">
        <v>847</v>
      </c>
      <c r="U5" s="825" t="s">
        <v>848</v>
      </c>
      <c r="V5" s="825" t="s">
        <v>849</v>
      </c>
      <c r="W5" s="825" t="s">
        <v>850</v>
      </c>
      <c r="X5" s="825" t="s">
        <v>23</v>
      </c>
      <c r="Y5" s="825" t="s">
        <v>851</v>
      </c>
      <c r="Z5" s="825" t="s">
        <v>852</v>
      </c>
      <c r="AA5" s="825" t="s">
        <v>853</v>
      </c>
      <c r="AB5" s="825" t="s">
        <v>854</v>
      </c>
      <c r="AC5" s="825" t="s">
        <v>855</v>
      </c>
      <c r="AD5" s="825">
        <f ca="1">YEAR(CS7)+1</f>
        <v>2018</v>
      </c>
      <c r="AE5" s="825">
        <f ca="1">AD5+1</f>
        <v>2019</v>
      </c>
      <c r="AF5" s="825">
        <f ca="1">AE5+1</f>
        <v>2020</v>
      </c>
      <c r="AG5" s="825">
        <f ca="1">AF5+1</f>
        <v>2021</v>
      </c>
      <c r="AH5" s="825" t="s">
        <v>855</v>
      </c>
      <c r="AI5" s="825">
        <f ca="1">YEAR(CS7)+1</f>
        <v>2018</v>
      </c>
      <c r="AJ5" s="825">
        <f ca="1">AI5+1</f>
        <v>2019</v>
      </c>
      <c r="AK5" s="825">
        <f ca="1">AJ5+1</f>
        <v>2020</v>
      </c>
      <c r="AL5" s="825">
        <f ca="1">AK5+1</f>
        <v>2021</v>
      </c>
      <c r="AM5" s="825" t="s">
        <v>855</v>
      </c>
      <c r="AN5" s="826">
        <f>YEAR(CO7)+1</f>
        <v>2019</v>
      </c>
      <c r="AO5" s="825">
        <f>AN5+1</f>
        <v>2020</v>
      </c>
      <c r="AP5" s="825">
        <f>AO5+1</f>
        <v>2021</v>
      </c>
      <c r="AQ5" s="825">
        <f>AP5+1</f>
        <v>2022</v>
      </c>
      <c r="AR5" s="825" t="s">
        <v>855</v>
      </c>
      <c r="AS5" s="825">
        <f>YEAR(CO7)+1</f>
        <v>2019</v>
      </c>
      <c r="AT5" s="825">
        <f>AS5+1</f>
        <v>2020</v>
      </c>
      <c r="AU5" s="825">
        <f>AT5+1</f>
        <v>2021</v>
      </c>
      <c r="AV5" s="825">
        <f>AU5+1</f>
        <v>2022</v>
      </c>
      <c r="AW5" s="825" t="s">
        <v>855</v>
      </c>
      <c r="AX5" s="825">
        <f ca="1">YEAR(CS7)+1</f>
        <v>2018</v>
      </c>
      <c r="AY5" s="825">
        <f ca="1">AX5+1</f>
        <v>2019</v>
      </c>
      <c r="AZ5" s="825">
        <f ca="1">AY5+1</f>
        <v>2020</v>
      </c>
      <c r="BA5" s="825">
        <f ca="1">AZ5+1</f>
        <v>2021</v>
      </c>
      <c r="BB5" s="825" t="s">
        <v>855</v>
      </c>
      <c r="BC5" s="825">
        <f ca="1">YEAR(CS7)+1</f>
        <v>2018</v>
      </c>
      <c r="BD5" s="825">
        <f ca="1">BC5+1</f>
        <v>2019</v>
      </c>
      <c r="BE5" s="825">
        <f ca="1">BD5+1</f>
        <v>2020</v>
      </c>
      <c r="BF5" s="825">
        <f ca="1">BE5+1</f>
        <v>2021</v>
      </c>
      <c r="BG5" s="825" t="s">
        <v>855</v>
      </c>
      <c r="BH5" s="825">
        <f ca="1">YEAR(CS7)+1</f>
        <v>2018</v>
      </c>
      <c r="BI5" s="825">
        <f ca="1">BH5+1</f>
        <v>2019</v>
      </c>
      <c r="BJ5" s="825">
        <f ca="1">BI5+1</f>
        <v>2020</v>
      </c>
      <c r="BK5" s="825">
        <f ca="1">BJ5+1</f>
        <v>2021</v>
      </c>
      <c r="BL5" s="825" t="s">
        <v>855</v>
      </c>
      <c r="BM5" s="825">
        <f ca="1">YEAR(CS7)+1</f>
        <v>2018</v>
      </c>
      <c r="BN5" s="825">
        <f ca="1">BM5+1</f>
        <v>2019</v>
      </c>
      <c r="BO5" s="825">
        <f ca="1">BN5+1</f>
        <v>2020</v>
      </c>
      <c r="BP5" s="825">
        <f ca="1">BO5+1</f>
        <v>2021</v>
      </c>
      <c r="BQ5" s="825" t="s">
        <v>855</v>
      </c>
      <c r="BR5" s="825">
        <f ca="1">YEAR(CS7)+1</f>
        <v>2018</v>
      </c>
      <c r="BS5" s="825">
        <f ca="1">BR5+1</f>
        <v>2019</v>
      </c>
      <c r="BT5" s="825">
        <f ca="1">BS5+1</f>
        <v>2020</v>
      </c>
      <c r="BU5" s="825">
        <f ca="1">BT5+1</f>
        <v>2021</v>
      </c>
      <c r="BV5" s="825">
        <f ca="1">YEAR(CS7)+1</f>
        <v>2018</v>
      </c>
      <c r="BW5" s="825">
        <f ca="1">BV5+1</f>
        <v>2019</v>
      </c>
      <c r="BX5" s="825">
        <f ca="1">BW5+1</f>
        <v>2020</v>
      </c>
      <c r="BY5" s="825">
        <f ca="1">YEAR(CS7)+1</f>
        <v>2018</v>
      </c>
      <c r="BZ5" s="825">
        <f ca="1">BY5+1</f>
        <v>2019</v>
      </c>
      <c r="CA5" s="825">
        <f ca="1">BZ5+1</f>
        <v>2020</v>
      </c>
      <c r="CB5" s="825">
        <f ca="1">YEAR(CS7)+1</f>
        <v>2018</v>
      </c>
      <c r="CC5" s="825">
        <f ca="1">CB5+1</f>
        <v>2019</v>
      </c>
      <c r="CD5" s="825">
        <f ca="1">CC5+1</f>
        <v>2020</v>
      </c>
      <c r="CE5" s="825">
        <f ca="1">YEAR(CS7)+1</f>
        <v>2018</v>
      </c>
      <c r="CF5" s="825">
        <f ca="1">CE5+1</f>
        <v>2019</v>
      </c>
      <c r="CG5" s="825">
        <f ca="1">CF5+1</f>
        <v>2020</v>
      </c>
      <c r="CH5" s="825">
        <f ca="1">YEAR(CS7)+1</f>
        <v>2018</v>
      </c>
      <c r="CI5" s="825">
        <f ca="1">CH5+1</f>
        <v>2019</v>
      </c>
      <c r="CJ5" s="825">
        <f ca="1">CI5+1</f>
        <v>2020</v>
      </c>
      <c r="CK5" s="825" t="s">
        <v>856</v>
      </c>
      <c r="CL5" s="825" t="s">
        <v>857</v>
      </c>
      <c r="CM5" s="825" t="s">
        <v>858</v>
      </c>
      <c r="CN5" s="825" t="s">
        <v>859</v>
      </c>
      <c r="CO5" s="825" t="s">
        <v>860</v>
      </c>
      <c r="CP5" s="825" t="s">
        <v>861</v>
      </c>
      <c r="CQ5" s="825" t="s">
        <v>862</v>
      </c>
      <c r="CR5" s="825" t="s">
        <v>863</v>
      </c>
      <c r="CS5" s="825" t="s">
        <v>860</v>
      </c>
      <c r="CT5" s="825"/>
      <c r="CU5" s="827" t="s">
        <v>864</v>
      </c>
      <c r="CV5" s="827"/>
    </row>
    <row r="6" spans="1:101" ht="4.5" customHeight="1" x14ac:dyDescent="0.2">
      <c r="B6" s="1091"/>
      <c r="C6" s="810"/>
      <c r="D6" s="810"/>
      <c r="E6" s="815"/>
      <c r="F6" s="815"/>
      <c r="G6" s="815"/>
      <c r="H6" s="828"/>
      <c r="I6" s="828"/>
      <c r="J6" s="828"/>
      <c r="K6" s="828"/>
      <c r="L6" s="828"/>
      <c r="M6" s="828"/>
      <c r="N6" s="815"/>
      <c r="O6" s="828"/>
      <c r="P6" s="1092"/>
      <c r="Q6" s="816"/>
      <c r="R6" s="815"/>
      <c r="S6" s="815"/>
      <c r="T6" s="815"/>
      <c r="U6" s="815"/>
      <c r="V6" s="815"/>
      <c r="W6" s="815"/>
      <c r="X6" s="815"/>
      <c r="Y6" s="815"/>
      <c r="Z6" s="815"/>
      <c r="AA6" s="815"/>
      <c r="AB6" s="815"/>
      <c r="AC6" s="815"/>
      <c r="AD6" s="815"/>
      <c r="AE6" s="815"/>
      <c r="AF6" s="815"/>
      <c r="AG6" s="815"/>
      <c r="AH6" s="815"/>
      <c r="AI6" s="815"/>
      <c r="AJ6" s="815"/>
      <c r="AK6" s="815"/>
      <c r="AL6" s="815"/>
      <c r="AM6" s="815"/>
      <c r="AN6" s="829"/>
      <c r="AO6" s="815"/>
      <c r="AP6" s="815"/>
      <c r="AQ6" s="815"/>
      <c r="AR6" s="815"/>
      <c r="AS6" s="815"/>
      <c r="AT6" s="815"/>
      <c r="AU6" s="815"/>
      <c r="AV6" s="815"/>
      <c r="AW6" s="815"/>
      <c r="AX6" s="815"/>
      <c r="AY6" s="815"/>
      <c r="AZ6" s="815"/>
      <c r="BA6" s="815"/>
      <c r="BB6" s="815"/>
      <c r="BC6" s="815"/>
      <c r="BD6" s="815"/>
      <c r="BE6" s="815"/>
      <c r="BF6" s="815"/>
      <c r="BG6" s="815"/>
      <c r="BH6" s="815"/>
      <c r="BI6" s="815"/>
      <c r="BJ6" s="815"/>
      <c r="BK6" s="815"/>
      <c r="BL6" s="815"/>
      <c r="BM6" s="815"/>
      <c r="BN6" s="815"/>
      <c r="BO6" s="815"/>
      <c r="BP6" s="815"/>
      <c r="BQ6" s="815"/>
      <c r="BR6" s="815"/>
      <c r="BS6" s="815"/>
      <c r="BT6" s="815"/>
      <c r="BU6" s="815"/>
      <c r="BV6" s="815"/>
      <c r="BW6" s="815"/>
      <c r="BX6" s="815"/>
      <c r="BY6" s="815"/>
      <c r="BZ6" s="815"/>
      <c r="CA6" s="815"/>
      <c r="CB6" s="815"/>
      <c r="CC6" s="815"/>
      <c r="CD6" s="815"/>
      <c r="CE6" s="815"/>
      <c r="CF6" s="815"/>
      <c r="CG6" s="815"/>
      <c r="CH6" s="815"/>
      <c r="CI6" s="815"/>
      <c r="CJ6" s="815"/>
      <c r="CK6" s="815"/>
      <c r="CL6" s="815"/>
      <c r="CM6" s="815"/>
      <c r="CN6" s="815"/>
      <c r="CO6" s="815"/>
      <c r="CP6" s="815"/>
      <c r="CQ6" s="815"/>
      <c r="CR6" s="815"/>
      <c r="CS6" s="815"/>
      <c r="CT6" s="815"/>
      <c r="CU6" s="817"/>
      <c r="CV6" s="817"/>
    </row>
    <row r="7" spans="1:101" s="847" customFormat="1" ht="11.25" customHeight="1" x14ac:dyDescent="0.25">
      <c r="A7" s="806"/>
      <c r="B7" s="1093" t="s">
        <v>865</v>
      </c>
      <c r="C7" s="816" t="str">
        <f>_xll.BDP($B7&amp;" EQUITY","Name")</f>
        <v>SALESFORCE.COM INC</v>
      </c>
      <c r="D7" s="816"/>
      <c r="E7" s="831">
        <f ca="1">+S7</f>
        <v>142.38999999999999</v>
      </c>
      <c r="F7" s="832">
        <f ca="1">S7*CN7</f>
        <v>108928.34999999999</v>
      </c>
      <c r="G7" s="832">
        <f ca="1">AB7</f>
        <v>109154.34999999999</v>
      </c>
      <c r="H7" s="833">
        <f ca="1">IF(ISERROR(AB7/BV7),"N/A",AB7/BV7)</f>
        <v>8.3921637536133531</v>
      </c>
      <c r="I7" s="833">
        <f ca="1">IF(ISERROR(AB7/BW7),"N/A",AB7/BW7)</f>
        <v>6.9273811550882671</v>
      </c>
      <c r="J7" s="833">
        <f ca="1">IF(ISERROR(AB7/BX7),"N/A",AB7/BX7)</f>
        <v>5.8597510390410248</v>
      </c>
      <c r="K7" s="833">
        <f ca="1">IF(ISERROR(AB7/BY7),"N/A",AB7/BY7)</f>
        <v>10.914096728998944</v>
      </c>
      <c r="L7" s="833">
        <f ca="1">IF(ISERROR(AB7/BZ7),"N/A",AB7/BZ7)</f>
        <v>8.9786049442463547</v>
      </c>
      <c r="M7" s="833">
        <f ca="1">IF(ISERROR(AB7/CA7),"N/A",AB7/CA7)</f>
        <v>7.5573852219544957</v>
      </c>
      <c r="N7" s="834">
        <f t="shared" ref="N7:N10" ca="1" si="0">IF(ISERROR(RATE(1,,-BV7,BW7)),"N/A",RATE(1,,-BV7,BW7))</f>
        <v>0.2114482465641698</v>
      </c>
      <c r="O7" s="834">
        <f ca="1">IF(ISERROR(BY7/BV7),"N/A",BY7/BV7)</f>
        <v>0.76892884147849172</v>
      </c>
      <c r="P7" s="1094">
        <f ca="1">IF(ISERROR(-BG7/AC7),"N/A",-BG7/AC7)</f>
        <v>4.5152343538944081E-2</v>
      </c>
      <c r="Q7" s="835"/>
      <c r="R7" s="836">
        <f t="shared" ref="R7:R59" ca="1" si="1">+$C$1</f>
        <v>43433</v>
      </c>
      <c r="S7" s="837">
        <f ca="1">_xll.BDH(B7&amp;" Equity","PX_LAST",R7,R7,"days=a","fill=p")*CL7*CM7</f>
        <v>142.38999999999999</v>
      </c>
      <c r="T7" s="838">
        <f ca="1">IF(ISERROR(_xll.BDP(B7&amp;" Equity","BS_ST_BORROW", "EQY_FUND_DT=" &amp;TEXT(R7,"YYYYMMDD"), "EQY_FUND_RELATIVE_PERIOD=-0F"&amp;CT7)+0),_xll.BDP(B7&amp;" Equity","BS_ST_BORROW", "EQY_FUND_DT=" &amp;TEXT(R7,"YYYYMMDD"), "EQY_FUND_RELATIVE_PERIOD=-1F"&amp;CT7),_xll.BDP(B7&amp;" Equity","BS_ST_BORROW", "EQY_FUND_DT=" &amp;TEXT(R7,"YYYYMMDD"), "EQY_FUND_RELATIVE_PERIOD=-0F"&amp;CT7))</f>
        <v>503</v>
      </c>
      <c r="U7" s="838">
        <f ca="1">IF(ISERROR(_xll.BDP(B7&amp;" Equity","BS_LT_BORROW", "EQY_FUND_DT=" &amp;TEXT(R7,"YYYYMMDD"), "EQY_FUND_RELATIVE_PERIOD=-0F"&amp;CT7)+0),_xll.BDP(B7&amp;" Equity","BS_LT_BORROW", "EQY_FUND_DT=" &amp;TEXT(R7,"YYYYMMDD"), "EQY_FUND_RELATIVE_PERIOD=-1F"&amp;CT7),_xll.BDP(B7&amp;" Equity","BS_LT_BORROW", "EQY_FUND_DT=" &amp;TEXT(R7,"YYYYMMDD"), "EQY_FUND_RELATIVE_PERIOD=-0F"&amp;CT7))</f>
        <v>3173</v>
      </c>
      <c r="V7" s="838">
        <f ca="1">IF(ISERROR(_xll.BDP(B7&amp;" Equity","BS_PFD_EQY", "EQY_FUND_DT=" &amp;TEXT(R7,"YYYYMMDD"),"EQY_FUND_RELATIVE_PERIOD=-0F"&amp;CT7)+0),_xll.BDP(B7&amp;" Equity","BS_PFD_EQY", "EQY_FUND_DT=" &amp;TEXT(R7,"YYYYMMDD"),"EQY_FUND_RELATIVE_PERIOD=-1F"&amp;CT7),_xll.BDP(B7&amp;" Equity","BS_PFD_EQY", "EQY_FUND_DT=" &amp;TEXT(R7,"YYYYMMDD"), "EQY_FUND_RELATIVE_PERIOD=-0F"&amp;CT7))</f>
        <v>0</v>
      </c>
      <c r="W7" s="838">
        <f ca="1">IF(ISERROR(_xll.BDP(B7&amp;" Equity","BS_MINORITY_INT", "EQY_FUND_DT=" &amp;TEXT(R7,"YYYYMMDD"),"EQY_FUND_RELATIVE_PERIOD=-0F"&amp;CT7)+0),_xll.BDP(B7&amp;" Equity","BS_MINORITY_INT", "EQY_FUND_DT=" &amp;TEXT(R7,"YYYYMMDD"),"EQY_FUND_RELATIVE_PERIOD=-1F"&amp;CT7),_xll.BDP(B7&amp;" Equity","BS_MINORITY_INT", "EQY_FUND_DT=" &amp;TEXT(R7,"YYYYMMDD"),"EQY_FUND_RELATIVE_PERIOD=-0F"&amp;CT7))</f>
        <v>0</v>
      </c>
      <c r="X7" s="838">
        <f ca="1">IF(ISERROR(_xll.BDP(B7&amp;" Equity","BS_CASH_NEAR_CASH_ITEM", "EQY_FUND_DT=" &amp;TEXT(R7,"YYYYMMDD"),"EQY_FUND_RELATIVE_PERIOD=-0F"&amp;CT7)+0),_xll.BDP(B7&amp;" Equity","BS_CASH_NEAR_CASH_ITEM", "EQY_FUND_DT=" &amp;TEXT(R7,"YYYYMMDD"),"EQY_FUND_RELATIVE_PERIOD=-1F"&amp;CT7),_xll.BDP(B7&amp;" Equity","BS_CASH_NEAR_CASH_ITEM", "EQY_FUND_DT=" &amp;TEXT(R7,"YYYYMMDD"),"EQY_FUND_RELATIVE_PERIOD=-0F"&amp;CT7))</f>
        <v>2105</v>
      </c>
      <c r="Y7" s="838">
        <f ca="1">IF(ISERROR(_xll.BDP(B7&amp;" Equity","BS_MKT_SEC_OTHER_ST_INVEST", "EQY_FUND_DT=" &amp;TEXT(R7,"YYYYMMDD"),"EQY_FUND_RELATIVE_PERIOD=-0F"&amp;CT7)+0),_xll.BDP(B7&amp;" Equity","BS_MKT_SEC_OTHER_ST_INVEST", "EQY_FUND_DT=" &amp;TEXT(R7,"YYYYMMDD"),"EQY_FUND_RELATIVE_PERIOD=-1F"&amp;CT7),_xll.BDP(B7&amp;" Equity","BS_MKT_SEC_OTHER_ST_INVEST", "EQY_FUND_DT=" &amp;TEXT(R7,"YYYYMMDD"),"EQY_FUND_RELATIVE_PERIOD=-0F"&amp;CT7))</f>
        <v>1345</v>
      </c>
      <c r="Z7" s="838">
        <f ca="1">IF(ISERROR(_xll.BDP(B7&amp;" Equity","BS_SH_CAP_AND_APIC", "EQY_FUND_DT=" &amp;TEXT(R7,"YYYYMMDD"),"EQY_FUND_RELATIVE_PERIOD=-0F"&amp;CT7)+0),_xll.BDP(B7&amp;" Equity","BS_SH_CAP_AND_APIC", "EQY_FUND_DT=" &amp;TEXT(R7,"YYYYMMDD"),"EQY_FUND_RELATIVE_PERIOD=-1F"&amp;CT7),_xll.BDP(B7&amp;" Equity","BS_SH_CAP_AND_APIC", "EQY_FUND_DT=" &amp;TEXT(R7,"YYYYMMDD"),"EQY_FUND_RELATIVE_PERIOD=-0F"&amp;CT7))</f>
        <v>13394</v>
      </c>
      <c r="AA7" s="838">
        <f ca="1">IF(ISERROR(_xll.BDP(B7&amp;" Equity","BS_RETAIN_EARN", "EQY_FUND_DT=" &amp;TEXT(R7,"YYYYMMDD"),"EQY_FUND_RELATIVE_PERIOD=-0F"&amp;CT7)+0),_xll.BDP(B7&amp;" Equity","BS_RETAIN_EARN", "EQY_FUND_DT=" &amp;TEXT(R7,"YYYYMMDD"),"EQY_FUND_RELATIVE_PERIOD=-1F"&amp;CT7),_xll.BDP(B7&amp;" Equity","BS_RETAIN_EARN", "EQY_FUND_DT=" &amp;TEXT(R7,"YYYYMMDD"),"EQY_FUND_RELATIVE_PERIOD=-0F"&amp;CT7))</f>
        <v>1299</v>
      </c>
      <c r="AB7" s="838">
        <f ca="1">F7+T7+U7+V7+W7-X7-Y7</f>
        <v>109154.34999999999</v>
      </c>
      <c r="AC7" s="838">
        <f ca="1">_xll.BDH(B7&amp;" EQUITY","TRAIL_12M_NET_SALES", R7,R7,"days=a","fill=p")</f>
        <v>12530.003000000001</v>
      </c>
      <c r="AD7" s="838">
        <f ca="1">_xll.BDH(B7&amp;" EQUITY","BEST_Sales",R7,R7,"BEST_FPERIOD_OVERRIDE="&amp;RIGHT(YEAR(CS7)+1,2)&amp;"Y", "days=a","fill=p")</f>
        <v>10441.237999999999</v>
      </c>
      <c r="AE7" s="838">
        <f ca="1">_xll.BDH(B7&amp;" EQUITY","BEST_Sales",R7,R7,"BEST_FPERIOD_OVERRIDE="&amp;RIGHT(YEAR(CS7)+2,2)&amp;"Y","days=a","fill=p")</f>
        <v>13239.923000000001</v>
      </c>
      <c r="AF7" s="838">
        <f ca="1">_xll.BDH(B7&amp;" EQUITY","BEST_Sales",R7,R7,"BEST_FPERIOD_OVERRIDE="&amp;RIGHT(YEAR(CS7)+3,2)&amp;"Y","days=a","fill=p")</f>
        <v>15985.763000000001</v>
      </c>
      <c r="AG7" s="838">
        <f ca="1">_xll.BDH(B7&amp;" EQUITY","BEST_Sales",R7,R7,"BEST_FPERIOD_OVERRIDE="&amp;RIGHT(YEAR(CS7)+4,2)&amp;"Y","days=a","fill=p")</f>
        <v>18868</v>
      </c>
      <c r="AH7" s="838">
        <f ca="1">_xll.BDH(B7&amp;" EQUITY","TRAIL_12M_EBITDA",R7,R7,"days=a","fill=p")</f>
        <v>1352.558</v>
      </c>
      <c r="AI7" s="838">
        <f ca="1">_xll.BDH(B7&amp;" EQUITY","BEST_GROSS_MARGIN",R7,R7,"BEST_FPERIOD_OVERRIDE="&amp;RIGHT(YEAR(CS7)+1,2)&amp;"Y", "days=a","fill=p")%*AD7</f>
        <v>7951.2115617599993</v>
      </c>
      <c r="AJ7" s="838">
        <f ca="1">_xll.BDH(B7&amp;" EQUITY","BEST_GROSS_MARGIN",R7,R7,"BEST_FPERIOD_OVERRIDE="&amp;RIGHT(YEAR(CS7)+2,2)&amp;"Y", "days=a","fill=p")%*AE7</f>
        <v>10187.591151580002</v>
      </c>
      <c r="AK7" s="838">
        <f ca="1">_xll.BDH(B7&amp;" EQUITY","BEST_GROSS_MARGIN",R7,R7,"BEST_FPERIOD_OVERRIDE="&amp;RIGHT(YEAR(CS7)+3,2)&amp;"Y", "days=a","fill=p")%*AF7</f>
        <v>12336.213307100001</v>
      </c>
      <c r="AL7" s="838">
        <f ca="1">_xll.BDH(B7&amp;" EQUITY","BEST_GROSS_MARGIN",R7,R7,"BEST_FPERIOD_OVERRIDE="&amp;RIGHT(YEAR(CS7)+4,2)&amp;"Y", "days=a","fill=p")%*AG7</f>
        <v>14634.964199999999</v>
      </c>
      <c r="AM7" s="838">
        <f ca="1">_xll.BDH(B7&amp;" EQUITY","TRAIL_12M_OPER_INC",R7,R7,"days=a","fill=p")</f>
        <v>475.86900000000003</v>
      </c>
      <c r="AN7" s="838">
        <f ca="1">_xll.BDH(B7&amp;" EQUITY","BEST_EBIT",R7,R7,"BEST_FPERIOD_OVERRIDE="&amp;RIGHT(YEAR(CS7)+1,2)&amp;"Y", "days=a","fill=p")</f>
        <v>1526</v>
      </c>
      <c r="AO7" s="838">
        <f ca="1">_xll.BDH(B7&amp;" EQUITY","BEST_EBIT",R7,R7,"BEST_FPERIOD_OVERRIDE="&amp;RIGHT(YEAR(CS7)+2,2)&amp;"Y", "days=a","fill=p")</f>
        <v>2248.4290000000001</v>
      </c>
      <c r="AP7" s="838">
        <f ca="1">_xll.BDH(B7&amp;" EQUITY","BEST_EBIT",R7,R7,"BEST_FPERIOD_OVERRIDE="&amp;RIGHT(YEAR(CS7)+3,2)&amp;"Y", "days=a","fill=p")</f>
        <v>2877.5</v>
      </c>
      <c r="AQ7" s="838">
        <f ca="1">_xll.BDH(B7&amp;" EQUITY","BEST_EBIT",R7,R7,"BEST_FPERIOD_OVERRIDE="&amp;RIGHT(YEAR(CS7)+4,2)&amp;"Y", "days=a","fill=p")</f>
        <v>3644</v>
      </c>
      <c r="AR7" s="838">
        <f ca="1">_xll.BDH(B7&amp;" EQUITY","TRAIL_12M_EST_COMP_NET_INC_ADJ",R7,R7,"days=a","fill=p")</f>
        <v>535.89499999999998</v>
      </c>
      <c r="AS7" s="838">
        <f ca="1">_xll.BDH(B7&amp;" EQUITY","BEST_NET_INCOME",R7,R7,"BEST_FPERIOD_OVERRIDE="&amp;RIGHT(YEAR(CS7)+1,2)&amp;"Y", "days=a","fill=p")</f>
        <v>980.07899999999995</v>
      </c>
      <c r="AT7" s="838">
        <f ca="1">_xll.BDH(B7&amp;" EQUITY","BEST_NET_INCOME",R7,R7,"BEST_FPERIOD_OVERRIDE="&amp;RIGHT(YEAR(CS7)+2,2)&amp;"Y", "days=a","fill=p")</f>
        <v>2013.405</v>
      </c>
      <c r="AU7" s="838">
        <f ca="1">_xll.BDH(B7&amp;" EQUITY","BEST_NET_INCOME",R7,R7,"BEST_FPERIOD_OVERRIDE="&amp;RIGHT(YEAR(CS7)+3,2)&amp;"Y", "days=a","fill=p")</f>
        <v>2218.444</v>
      </c>
      <c r="AV7" s="838">
        <f ca="1">_xll.BDH(B7&amp;" EQUITY","BEST_NET_INCOME",R7,R7,"BEST_FPERIOD_OVERRIDE="&amp;RIGHT(YEAR(CS7)+4,2)&amp;"Y", "days=a","fill=p")</f>
        <v>2857.4</v>
      </c>
      <c r="AW7" s="837">
        <f ca="1">_xll.BDH(B7&amp;" EQUITY","T12M_DIL_EPS_CONT_OPS", R7,R7,"days=a","fill=p")</f>
        <v>0.63980000000000004</v>
      </c>
      <c r="AX7" s="837">
        <f ca="1">_xll.BDH(B7&amp;" EQUITY","BEST_EPS",R7,R7,"BEST_FPERIOD_OVERRIDE="&amp;RIGHT(YEAR(CS7)+1,2)&amp;"Y", "days=a","fill=p")</f>
        <v>1.335</v>
      </c>
      <c r="AY7" s="837">
        <f ca="1">_xll.BDH(B7&amp;" EQUITY","BEST_EPS",R7,R7,"BEST_FPERIOD_OVERRIDE="&amp;RIGHT(YEAR(CS7)+2,2)&amp;"Y", "days=a","fill=p")</f>
        <v>2.5339999999999998</v>
      </c>
      <c r="AZ7" s="837">
        <f ca="1">_xll.BDH(B7&amp;" EQUITY","BEST_EPS",R7,R7,"BEST_FPERIOD_OVERRIDE="&amp;RIGHT(YEAR(CS7)+3,2)&amp;"Y", "days=a","fill=p")</f>
        <v>2.7349999999999999</v>
      </c>
      <c r="BA7" s="837">
        <f ca="1">_xll.BDH(B7&amp;" EQUITY","BEST_EPS",R7,R7,"BEST_FPERIOD_OVERRIDE="&amp;RIGHT(YEAR(CS7)+4,2)&amp;"Y", "days=a","fill=p")</f>
        <v>3.45</v>
      </c>
      <c r="BB7" s="839">
        <f t="shared" ref="BB7:BF10" ca="1" si="2">+AR7/AW7</f>
        <v>837.59768677711781</v>
      </c>
      <c r="BC7" s="839">
        <f t="shared" ca="1" si="2"/>
        <v>734.1415730337078</v>
      </c>
      <c r="BD7" s="839">
        <f t="shared" ca="1" si="2"/>
        <v>794.55603788476719</v>
      </c>
      <c r="BE7" s="839">
        <f t="shared" ca="1" si="2"/>
        <v>811.13126142595979</v>
      </c>
      <c r="BF7" s="839">
        <f t="shared" ca="1" si="2"/>
        <v>828.231884057971</v>
      </c>
      <c r="BG7" s="838">
        <f ca="1">_xll.BDH(B7&amp;" EQUITY","TRAIL_12M_CAP_EXPEND", R7,R7,"days=a","fill=p")</f>
        <v>-565.75900000000001</v>
      </c>
      <c r="BH7" s="838">
        <f ca="1">_xll.BDH(B7&amp;" EQUITY","BEST_CAPEX",R7,R7,"BEST_FPERIOD_OVERRIDE="&amp;RIGHT(YEAR(CS7)+1,2)&amp;"Y", "days=a","fill=p")</f>
        <v>-529.45799999999997</v>
      </c>
      <c r="BI7" s="838">
        <f ca="1">_xll.BDH(B7&amp;" EQUITY","BEST_CAPEX",R7,R7,"BEST_FPERIOD_OVERRIDE="&amp;RIGHT(YEAR(CS7)+2,2)&amp;"Y", "days=a","fill=p")</f>
        <v>-594.15800000000002</v>
      </c>
      <c r="BJ7" s="838">
        <f ca="1">_xll.BDH(B7&amp;" EQUITY","BEST_CAPEX",R7,R7,"BEST_FPERIOD_OVERRIDE="&amp;RIGHT(YEAR(CS7)+3,2)&amp;"Y", "days=a","fill=p")</f>
        <v>-753.6</v>
      </c>
      <c r="BK7" s="838">
        <f ca="1">_xll.BDH(B7&amp;" EQUITY","BEST_CAPEX",R7,R7,"BEST_FPERIOD_OVERRIDE="&amp;RIGHT(YEAR(CS7)+4,2)&amp;"Y", "days=a","fill=p")</f>
        <v>-907.38499999999999</v>
      </c>
      <c r="BL7" s="838">
        <f t="shared" ref="BL7:BP10" ca="1" si="3">+AH7-AM7</f>
        <v>876.68899999999996</v>
      </c>
      <c r="BM7" s="838">
        <f t="shared" ca="1" si="3"/>
        <v>6425.2115617599993</v>
      </c>
      <c r="BN7" s="838">
        <f t="shared" ca="1" si="3"/>
        <v>7939.1621515800016</v>
      </c>
      <c r="BO7" s="838">
        <f t="shared" ca="1" si="3"/>
        <v>9458.7133071000007</v>
      </c>
      <c r="BP7" s="838">
        <f t="shared" ca="1" si="3"/>
        <v>10990.964199999999</v>
      </c>
      <c r="BQ7" s="837">
        <f t="shared" ref="BQ7:BU10" ca="1" si="4">(AR7+BL7+BG7)/BB7</f>
        <v>1.0110164024669011</v>
      </c>
      <c r="BR7" s="837">
        <f t="shared" ca="1" si="4"/>
        <v>9.3658128272818821</v>
      </c>
      <c r="BS7" s="837">
        <f t="shared" ca="1" si="4"/>
        <v>11.778161269145416</v>
      </c>
      <c r="BT7" s="837">
        <f t="shared" ca="1" si="4"/>
        <v>13.467064859387255</v>
      </c>
      <c r="BU7" s="837">
        <f t="shared" ca="1" si="4"/>
        <v>15.62482614964653</v>
      </c>
      <c r="BV7" s="838">
        <f t="shared" ref="BV7:BV10" ca="1" si="5">IF(CQ7=12,AD7,IF(ISERROR(AD7*CU7+AE7*CV7),"N/A",AD7*CU7+AE7*CV7))</f>
        <v>13006.69925</v>
      </c>
      <c r="BW7" s="838">
        <f ca="1">IF($CQ7=12,AE7,IF(ISERROR(AE7*$CU7+AF7*$CV7),"N/A",AE7*$CU7+AF7*$CV7))</f>
        <v>15756.943000000001</v>
      </c>
      <c r="BX7" s="838">
        <f ca="1">IF($CQ7=12,AF7,IF(ISERROR(AF7*$CU7+AG7*$CV7),"N/A",AF7*$CU7+AG7*$CV7))</f>
        <v>18627.813583333329</v>
      </c>
      <c r="BY7" s="838">
        <f t="shared" ref="BY7:BY10" ca="1" si="6">IF(CQ7=12,AI7,IF(ISERROR(AI7*CU7+AJ7*CV7),"N/A",AI7*CU7+AJ7*CV7))</f>
        <v>10001.226185761667</v>
      </c>
      <c r="BZ7" s="838">
        <f ca="1">IF($CQ7=12,AJ7,IF(ISERROR(AJ7*$CU7+AK7*$CV7),"N/A",AJ7*$CU7+AK7*$CV7))</f>
        <v>12157.161460806668</v>
      </c>
      <c r="CA7" s="838">
        <f ca="1">IF($CQ7=12,AK7,IF(ISERROR(AK7*$CU7+AL7*$CV7),"N/A",AK7*$CU7+AL7*$CV7))</f>
        <v>14443.401625591665</v>
      </c>
      <c r="CB7" s="838">
        <f t="shared" ref="CB7:CB10" ca="1" si="7">IF(CQ7=12,AN7,IF(ISERROR(AN7*CU7+AO7*CV7),"N/A",AN7*CU7+AO7*CV7))</f>
        <v>2188.2265833333331</v>
      </c>
      <c r="CC7" s="838">
        <f ca="1">IF($CQ7=12,AO7,IF(ISERROR(AO7*$CU7+AP7*$CV7),"N/A",AO7*$CU7+AP7*$CV7))</f>
        <v>2825.0774166666665</v>
      </c>
      <c r="CD7" s="838">
        <f ca="1">IF($CQ7=12,AP7,IF(ISERROR(AP7*$CU7+AQ7*$CV7),"N/A",AP7*$CU7+AQ7*$CV7))</f>
        <v>3580.1249999999995</v>
      </c>
      <c r="CE7" s="837">
        <f t="shared" ref="CE7:CE10" ca="1" si="8">IF(CQ7=12,AX7,IF(ISERROR(AX7*CU7+AY7*CV7),"N/A",AX7*CU7+AY7*CV7))</f>
        <v>2.4340833333333332</v>
      </c>
      <c r="CF7" s="837">
        <f ca="1">IF($CQ7=12,AY7,IF(ISERROR(AY7*$CU7+AZ7*$CV7),"N/A",AY7*$CU7+AZ7*$CV7))</f>
        <v>2.7182499999999998</v>
      </c>
      <c r="CG7" s="837">
        <f t="shared" ref="CG7:CG10" ca="1" si="9">IF($CQ7=12,AZ7,IF(ISERROR(AZ7*$CU7+BA7*$CV7),"N/A",AZ7*$CU7+BA7*$CV7))</f>
        <v>3.3904166666666669</v>
      </c>
      <c r="CH7" s="837">
        <f t="shared" ref="CH7:CH10" ca="1" si="10">IF(CQ7=12,BR7,IF(ISERROR(BR7*CU7+BS7*CV7),"N/A",BR7*CU7+BS7*CV7))</f>
        <v>11.577132232323455</v>
      </c>
      <c r="CI7" s="837">
        <f ca="1">IF($CQ7=12,BS7,IF(ISERROR(BS7*$CU7+BT7*$CV7),"N/A",BS7*$CU7+BT7*$CV7))</f>
        <v>13.326322893533767</v>
      </c>
      <c r="CJ7" s="837">
        <f t="shared" ref="CJ7:CJ10" ca="1" si="11">IF($CQ7=12,BT7,IF(ISERROR(BT7*$CU7+BU7*$CV7),"N/A",BT7*$CU7+BU7*$CV7))</f>
        <v>15.445012708791589</v>
      </c>
      <c r="CK7" s="840"/>
      <c r="CL7" s="841">
        <f>IF(CK7="",1,_xll.BDP(CK7&amp;" CURNCY","LAST PRICE"))</f>
        <v>1</v>
      </c>
      <c r="CM7" s="842">
        <v>1</v>
      </c>
      <c r="CN7" s="843">
        <f ca="1">_xll.BDH(B7&amp;" EQUITY","BS_SH_OUT",R7,R7,"EQY_FUND_PER="&amp;CT7,"days=a","fill=p")</f>
        <v>765</v>
      </c>
      <c r="CO7" s="844" t="str">
        <f>_xll.BDP(B7&amp;" EQUITY","EQY_FISCAL_YR_END")</f>
        <v>01/2018</v>
      </c>
      <c r="CP7" s="845">
        <f t="shared" ref="CP7:CP10" si="12">DAY(DATE(YEAR(CO7),1+MONTH(CO7),0))</f>
        <v>31</v>
      </c>
      <c r="CQ7" s="844">
        <f t="shared" ref="CQ7" si="13">+MONTH(CO7)</f>
        <v>1</v>
      </c>
      <c r="CR7" s="844">
        <f t="shared" ref="CR7" si="14">YEAR(CO7)</f>
        <v>2018</v>
      </c>
      <c r="CS7" s="836">
        <f ca="1">+DATE(CR7,CQ7,CP7)-((CR7-YEAR($R$7)+1)*365)</f>
        <v>42766</v>
      </c>
      <c r="CT7" s="830" t="s">
        <v>866</v>
      </c>
      <c r="CU7" s="846">
        <f t="shared" ref="CU7" ca="1" si="15">+MONTH(CS7)/12</f>
        <v>8.3333333333333329E-2</v>
      </c>
      <c r="CV7" s="846">
        <f t="shared" ref="CV7:CV10" ca="1" si="16">1-CU7</f>
        <v>0.91666666666666663</v>
      </c>
      <c r="CW7" s="806"/>
    </row>
    <row r="8" spans="1:101" s="847" customFormat="1" ht="11.25" customHeight="1" x14ac:dyDescent="0.25">
      <c r="A8" s="806"/>
      <c r="B8" s="1093" t="s">
        <v>867</v>
      </c>
      <c r="C8" s="816" t="str">
        <f>_xll.BDP($B8&amp;" EQUITY","Name")</f>
        <v>TABLEAU SOFTWARE INC-CL A</v>
      </c>
      <c r="D8" s="816"/>
      <c r="E8" s="831">
        <f t="shared" ref="E8" ca="1" si="17">+S8</f>
        <v>119.815</v>
      </c>
      <c r="F8" s="832">
        <f t="shared" ref="F8" ca="1" si="18">S8*CN8</f>
        <v>10010.1957865</v>
      </c>
      <c r="G8" s="832">
        <f t="shared" ref="G8" ca="1" si="19">AB8</f>
        <v>9053.4367865000004</v>
      </c>
      <c r="H8" s="833">
        <f t="shared" ref="H8" ca="1" si="20">IF(ISERROR(AB8/BV8),"N/A",AB8/BV8)</f>
        <v>9.2472121163991456</v>
      </c>
      <c r="I8" s="833">
        <f t="shared" ref="I8" ca="1" si="21">IF(ISERROR(AB8/BW8),"N/A",AB8/BW8)</f>
        <v>7.1237822653683489</v>
      </c>
      <c r="J8" s="833">
        <f ca="1">IF(ISERROR(AB8/BX8),"N/A",AB8/BX8)</f>
        <v>5.949284540886298</v>
      </c>
      <c r="K8" s="833">
        <f t="shared" ref="K8" ca="1" si="22">IF(ISERROR(AB8/BY8),"N/A",AB8/BY8)</f>
        <v>10.577913654082755</v>
      </c>
      <c r="L8" s="833">
        <f t="shared" ref="L8" ca="1" si="23">IF(ISERROR(AB8/BZ8),"N/A",AB8/BZ8)</f>
        <v>8.0635028924550625</v>
      </c>
      <c r="M8" s="833">
        <f ca="1">IF(ISERROR(AB8/CA8),"N/A",AB8/CA8)</f>
        <v>6.6900767380956259</v>
      </c>
      <c r="N8" s="834">
        <f ca="1">IF(ISERROR(RATE(1,,-BV8,BW8)),"N/A",RATE(1,,-BV8,BW8))</f>
        <v>0.29807618648785311</v>
      </c>
      <c r="O8" s="834">
        <f ca="1">IF(ISERROR(BY8/BV8),"N/A",BY8/BV8)</f>
        <v>0.87419999999999998</v>
      </c>
      <c r="P8" s="1094">
        <f t="shared" ref="P8:P10" ca="1" si="24">IF(ISERROR(-BG8/AC8),"N/A",-BG8/AC8)</f>
        <v>3.0537273312667538E-2</v>
      </c>
      <c r="Q8" s="835"/>
      <c r="R8" s="836">
        <f t="shared" ca="1" si="1"/>
        <v>43433</v>
      </c>
      <c r="S8" s="837">
        <f ca="1">_xll.BDH(B8&amp;" Equity","PX_LAST",R8,R8,"days=a","fill=p")*CL8*CM8</f>
        <v>119.815</v>
      </c>
      <c r="T8" s="838">
        <f ca="1">IF(ISERROR(_xll.BDP(B8&amp;" Equity","BS_ST_BORROW", "EQY_FUND_DT=" &amp;TEXT(R8,"YYYYMMDD"), "EQY_FUND_RELATIVE_PERIOD=-0F"&amp;CT8)+0),_xll.BDP(B8&amp;" Equity","BS_ST_BORROW", "EQY_FUND_DT=" &amp;TEXT(R8,"YYYYMMDD"), "EQY_FUND_RELATIVE_PERIOD=-1F"&amp;CT8),_xll.BDP(B8&amp;" Equity","BS_ST_BORROW", "EQY_FUND_DT=" &amp;TEXT(R8,"YYYYMMDD"), "EQY_FUND_RELATIVE_PERIOD=-0F"&amp;CT8))</f>
        <v>0</v>
      </c>
      <c r="U8" s="838">
        <f ca="1">IF(ISERROR(_xll.BDP(B8&amp;" Equity","BS_LT_BORROW", "EQY_FUND_DT=" &amp;TEXT(R8,"YYYYMMDD"), "EQY_FUND_RELATIVE_PERIOD=-0F"&amp;CT8)+0),_xll.BDP(B8&amp;" Equity","BS_LT_BORROW", "EQY_FUND_DT=" &amp;TEXT(R8,"YYYYMMDD"), "EQY_FUND_RELATIVE_PERIOD=-1F"&amp;CT8),_xll.BDP(B8&amp;" Equity","BS_LT_BORROW", "EQY_FUND_DT=" &amp;TEXT(R8,"YYYYMMDD"), "EQY_FUND_RELATIVE_PERIOD=-0F"&amp;CT8))</f>
        <v>0</v>
      </c>
      <c r="V8" s="838">
        <f ca="1">IF(ISERROR(_xll.BDP(B8&amp;" Equity","BS_PFD_EQY", "EQY_FUND_DT=" &amp;TEXT(R8,"YYYYMMDD"),"EQY_FUND_RELATIVE_PERIOD=-0F"&amp;CT8)+0),_xll.BDP(B8&amp;" Equity","BS_PFD_EQY", "EQY_FUND_DT=" &amp;TEXT(R8,"YYYYMMDD"),"EQY_FUND_RELATIVE_PERIOD=-1F"&amp;CT8),_xll.BDP(B8&amp;" Equity","BS_PFD_EQY", "EQY_FUND_DT=" &amp;TEXT(R8,"YYYYMMDD"), "EQY_FUND_RELATIVE_PERIOD=-0F"&amp;CT8))</f>
        <v>0</v>
      </c>
      <c r="W8" s="838">
        <f ca="1">IF(ISERROR(_xll.BDP(B8&amp;" Equity","BS_MINORITY_INT", "EQY_FUND_DT=" &amp;TEXT(R8,"YYYYMMDD"),"EQY_FUND_RELATIVE_PERIOD=-0F"&amp;CT8)+0),_xll.BDP(B8&amp;" Equity","BS_MINORITY_INT", "EQY_FUND_DT=" &amp;TEXT(R8,"YYYYMMDD"),"EQY_FUND_RELATIVE_PERIOD=-1F"&amp;CT8),_xll.BDP(B8&amp;" Equity","BS_MINORITY_INT", "EQY_FUND_DT=" &amp;TEXT(R8,"YYYYMMDD"),"EQY_FUND_RELATIVE_PERIOD=-0F"&amp;CT8))</f>
        <v>0</v>
      </c>
      <c r="X8" s="838">
        <f ca="1">IF(ISERROR(_xll.BDP(B8&amp;" Equity","BS_CASH_NEAR_CASH_ITEM", "EQY_FUND_DT=" &amp;TEXT(R8,"YYYYMMDD"),"EQY_FUND_RELATIVE_PERIOD=-0F"&amp;CT8)+0),_xll.BDP(B8&amp;" Equity","BS_CASH_NEAR_CASH_ITEM", "EQY_FUND_DT=" &amp;TEXT(R8,"YYYYMMDD"),"EQY_FUND_RELATIVE_PERIOD=-1F"&amp;CT8),_xll.BDP(B8&amp;" Equity","BS_CASH_NEAR_CASH_ITEM", "EQY_FUND_DT=" &amp;TEXT(R8,"YYYYMMDD"),"EQY_FUND_RELATIVE_PERIOD=-0F"&amp;CT8))</f>
        <v>639.25400000000002</v>
      </c>
      <c r="Y8" s="838">
        <f ca="1">IF(ISERROR(_xll.BDP(B8&amp;" Equity","BS_MKT_SEC_OTHER_ST_INVEST", "EQY_FUND_DT=" &amp;TEXT(R8,"YYYYMMDD"),"EQY_FUND_RELATIVE_PERIOD=-0F"&amp;CT8)+0),_xll.BDP(B8&amp;" Equity","BS_MKT_SEC_OTHER_ST_INVEST", "EQY_FUND_DT=" &amp;TEXT(R8,"YYYYMMDD"),"EQY_FUND_RELATIVE_PERIOD=-1F"&amp;CT8),_xll.BDP(B8&amp;" Equity","BS_MKT_SEC_OTHER_ST_INVEST", "EQY_FUND_DT=" &amp;TEXT(R8,"YYYYMMDD"),"EQY_FUND_RELATIVE_PERIOD=-0F"&amp;CT8))</f>
        <v>317.505</v>
      </c>
      <c r="Z8" s="838">
        <f ca="1">IF(ISERROR(_xll.BDP(B8&amp;" Equity","BS_SH_CAP_AND_APIC", "EQY_FUND_DT=" &amp;TEXT(R8,"YYYYMMDD"),"EQY_FUND_RELATIVE_PERIOD=-0F"&amp;CT8)+0),_xll.BDP(B8&amp;" Equity","BS_SH_CAP_AND_APIC", "EQY_FUND_DT=" &amp;TEXT(R8,"YYYYMMDD"),"EQY_FUND_RELATIVE_PERIOD=-1F"&amp;CT8),_xll.BDP(B8&amp;" Equity","BS_SH_CAP_AND_APIC", "EQY_FUND_DT=" &amp;TEXT(R8,"YYYYMMDD"),"EQY_FUND_RELATIVE_PERIOD=-0F"&amp;CT8))</f>
        <v>1290.085</v>
      </c>
      <c r="AA8" s="838">
        <f ca="1">IF(ISERROR(_xll.BDP(B8&amp;" Equity","BS_RETAIN_EARN", "EQY_FUND_DT=" &amp;TEXT(R8,"YYYYMMDD"),"EQY_FUND_RELATIVE_PERIOD=-0F"&amp;CT8)+0),_xll.BDP(B8&amp;" Equity","BS_RETAIN_EARN", "EQY_FUND_DT=" &amp;TEXT(R8,"YYYYMMDD"),"EQY_FUND_RELATIVE_PERIOD=-1F"&amp;CT8),_xll.BDP(B8&amp;" Equity","BS_RETAIN_EARN", "EQY_FUND_DT=" &amp;TEXT(R8,"YYYYMMDD"),"EQY_FUND_RELATIVE_PERIOD=-0F"&amp;CT8))</f>
        <v>-330.34</v>
      </c>
      <c r="AB8" s="838">
        <f ca="1">F8+T8+U8+V8+W8-X8-Y8</f>
        <v>9053.4367865000004</v>
      </c>
      <c r="AC8" s="838">
        <f ca="1">_xll.BDH(B8&amp;" EQUITY","TRAIL_12M_NET_SALES", R8,R8,"days=a","fill=p")</f>
        <v>1068.432</v>
      </c>
      <c r="AD8" s="838">
        <f ca="1">_xll.BDH(B8&amp;" EQUITY","BEST_Sales",R8,R8,"BEST_FPERIOD_OVERRIDE="&amp;RIGHT(YEAR(CS8)+1,2)&amp;"Y", "days=a","fill=p")</f>
        <v>979.04499999999996</v>
      </c>
      <c r="AE8" s="838">
        <f ca="1">_xll.BDH(B8&amp;" EQUITY","BEST_Sales",R8,R8,"BEST_FPERIOD_OVERRIDE="&amp;RIGHT(YEAR(CS8)+2,2)&amp;"Y","days=a","fill=p")</f>
        <v>1270.875</v>
      </c>
      <c r="AF8" s="838">
        <f ca="1">_xll.BDH(B8&amp;" EQUITY","BEST_Sales",R8,R8,"BEST_FPERIOD_OVERRIDE="&amp;RIGHT(YEAR(CS8)+3,2)&amp;"Y","days=a","fill=p")</f>
        <v>1521.769</v>
      </c>
      <c r="AG8" s="838">
        <f ca="1">_xll.BDH(B8&amp;" EQUITY","BEST_Sales",R8,R8,"BEST_FPERIOD_OVERRIDE="&amp;RIGHT(YEAR(CS8)+4,2)&amp;"Y","days=a","fill=p")</f>
        <v>1493</v>
      </c>
      <c r="AH8" s="838">
        <f ca="1">_xll.BDH(B8&amp;" EQUITY","TRAIL_12M_EBITDA",R8,R8,"days=a","fill=p")</f>
        <v>-91.733999999999995</v>
      </c>
      <c r="AI8" s="838">
        <f ca="1">_xll.BDH(B8&amp;" EQUITY","BEST_GROSS_MARGIN",R8,R8,"BEST_FPERIOD_OVERRIDE="&amp;RIGHT(YEAR(CS8)+1,2)&amp;"Y", "days=a","fill=p")%*AD8</f>
        <v>855.88113899999996</v>
      </c>
      <c r="AJ8" s="838">
        <f ca="1">_xll.BDH(B8&amp;" EQUITY","BEST_GROSS_MARGIN",R8,R8,"BEST_FPERIOD_OVERRIDE="&amp;RIGHT(YEAR(CS8)+2,2)&amp;"Y", "days=a","fill=p")%*AE8</f>
        <v>1122.7672275</v>
      </c>
      <c r="AK8" s="838">
        <f ca="1">_xll.BDH(B8&amp;" EQUITY","BEST_GROSS_MARGIN",R8,R8,"BEST_FPERIOD_OVERRIDE="&amp;RIGHT(YEAR(CS8)+3,2)&amp;"Y", "days=a","fill=p")%*AF8</f>
        <v>1353.2635186300001</v>
      </c>
      <c r="AL8" s="838" t="e">
        <f ca="1">_xll.BDH(B8&amp;" EQUITY","BEST_GROSS_MARGIN",R8,R8,"BEST_FPERIOD_OVERRIDE="&amp;RIGHT(YEAR(CS8)+4,2)&amp;"Y", "days=a","fill=p")%*AG8</f>
        <v>#VALUE!</v>
      </c>
      <c r="AM8" s="838">
        <f ca="1">_xll.BDH(B8&amp;" EQUITY","TRAIL_12M_OPER_INC",R8,R8,"days=a","fill=p")</f>
        <v>-130.089</v>
      </c>
      <c r="AN8" s="838">
        <f ca="1">_xll.BDH(B8&amp;" EQUITY","BEST_EBIT",R8,R8,"BEST_FPERIOD_OVERRIDE="&amp;RIGHT(YEAR(CS8)+1,2)&amp;"Y", "days=a","fill=p")</f>
        <v>-52.34</v>
      </c>
      <c r="AO8" s="838">
        <f ca="1">_xll.BDH(B8&amp;" EQUITY","BEST_EBIT",R8,R8,"BEST_FPERIOD_OVERRIDE="&amp;RIGHT(YEAR(CS8)+2,2)&amp;"Y", "days=a","fill=p")</f>
        <v>135.017</v>
      </c>
      <c r="AP8" s="838">
        <f ca="1">_xll.BDH(B8&amp;" EQUITY","BEST_EBIT",R8,R8,"BEST_FPERIOD_OVERRIDE="&amp;RIGHT(YEAR(CS8)+3,2)&amp;"Y", "days=a","fill=p")</f>
        <v>188.3</v>
      </c>
      <c r="AQ8" s="838" t="str">
        <f ca="1">_xll.BDH(B8&amp;" EQUITY","BEST_EBIT",R8,R8,"BEST_FPERIOD_OVERRIDE="&amp;RIGHT(YEAR(CS8)+4,2)&amp;"Y", "days=a","fill=p")</f>
        <v>#N/A N/A</v>
      </c>
      <c r="AR8" s="838">
        <f ca="1">_xll.BDH(B8&amp;" EQUITY","TRAIL_12M_EST_COMP_NET_INC_ADJ",R8,R8,"days=a","fill=p")</f>
        <v>-121.71299999999999</v>
      </c>
      <c r="AS8" s="838">
        <f ca="1">_xll.BDH(B8&amp;" EQUITY","BEST_NET_INCOME",R8,R8,"BEST_FPERIOD_OVERRIDE="&amp;RIGHT(YEAR(CS8)+1,2)&amp;"Y", "days=a","fill=p")</f>
        <v>-28.911000000000001</v>
      </c>
      <c r="AT8" s="838">
        <f ca="1">_xll.BDH(B8&amp;" EQUITY","BEST_NET_INCOME",R8,R8,"BEST_FPERIOD_OVERRIDE="&amp;RIGHT(YEAR(CS8)+2,2)&amp;"Y", "days=a","fill=p")</f>
        <v>77.036000000000001</v>
      </c>
      <c r="AU8" s="838">
        <f ca="1">_xll.BDH(B8&amp;" EQUITY","BEST_NET_INCOME",R8,R8,"BEST_FPERIOD_OVERRIDE="&amp;RIGHT(YEAR(CS8)+3,2)&amp;"Y", "days=a","fill=p")</f>
        <v>164.58</v>
      </c>
      <c r="AV8" s="838">
        <f ca="1">_xll.BDH(B8&amp;" EQUITY","BEST_NET_INCOME",R8,R8,"BEST_FPERIOD_OVERRIDE="&amp;RIGHT(YEAR(CS8)+4,2)&amp;"Y", "days=a","fill=p")</f>
        <v>146</v>
      </c>
      <c r="AW8" s="837">
        <f ca="1">_xll.BDH(B8&amp;" EQUITY","T12M_DIL_EPS_CONT_OPS", R8,R8,"days=a","fill=p")</f>
        <v>-1.5</v>
      </c>
      <c r="AX8" s="837">
        <f ca="1">_xll.BDH(B8&amp;" EQUITY","BEST_EPS",R8,R8,"BEST_FPERIOD_OVERRIDE="&amp;RIGHT(YEAR(CS8)+1,2)&amp;"Y", "days=a","fill=p")</f>
        <v>-0.34899999999999998</v>
      </c>
      <c r="AY8" s="837">
        <f ca="1">_xll.BDH(B8&amp;" EQUITY","BEST_EPS",R8,R8,"BEST_FPERIOD_OVERRIDE="&amp;RIGHT(YEAR(CS8)+2,2)&amp;"Y", "days=a","fill=p")</f>
        <v>0.83099999999999996</v>
      </c>
      <c r="AZ8" s="837">
        <f ca="1">_xll.BDH(B8&amp;" EQUITY","BEST_EPS",R8,R8,"BEST_FPERIOD_OVERRIDE="&amp;RIGHT(YEAR(CS8)+3,2)&amp;"Y", "days=a","fill=p")</f>
        <v>1.792</v>
      </c>
      <c r="BA8" s="837">
        <f ca="1">_xll.BDH(B8&amp;" EQUITY","BEST_EPS",R8,R8,"BEST_FPERIOD_OVERRIDE="&amp;RIGHT(YEAR(CS8)+4,2)&amp;"Y", "days=a","fill=p")</f>
        <v>1.58</v>
      </c>
      <c r="BB8" s="839">
        <f t="shared" ca="1" si="2"/>
        <v>81.141999999999996</v>
      </c>
      <c r="BC8" s="839">
        <f t="shared" ca="1" si="2"/>
        <v>82.839541547277946</v>
      </c>
      <c r="BD8" s="839">
        <f t="shared" ca="1" si="2"/>
        <v>92.702767749699163</v>
      </c>
      <c r="BE8" s="839">
        <f t="shared" ca="1" si="2"/>
        <v>91.841517857142861</v>
      </c>
      <c r="BF8" s="839">
        <f t="shared" ca="1" si="2"/>
        <v>92.405063291139243</v>
      </c>
      <c r="BG8" s="838">
        <f ca="1">_xll.BDH(B8&amp;" EQUITY","TRAIL_12M_CAP_EXPEND", R8,R8,"days=a","fill=p")</f>
        <v>-32.627000000000002</v>
      </c>
      <c r="BH8" s="838">
        <f ca="1">_xll.BDH(B8&amp;" EQUITY","BEST_CAPEX",R8,R8,"BEST_FPERIOD_OVERRIDE="&amp;RIGHT(YEAR(CS8)+1,2)&amp;"Y", "days=a","fill=p")</f>
        <v>-34.006999999999998</v>
      </c>
      <c r="BI8" s="838">
        <f ca="1">_xll.BDH(B8&amp;" EQUITY","BEST_CAPEX",R8,R8,"BEST_FPERIOD_OVERRIDE="&amp;RIGHT(YEAR(CS8)+2,2)&amp;"Y", "days=a","fill=p")</f>
        <v>-48.286999999999999</v>
      </c>
      <c r="BJ8" s="838">
        <f ca="1">_xll.BDH(B8&amp;" EQUITY","BEST_CAPEX",R8,R8,"BEST_FPERIOD_OVERRIDE="&amp;RIGHT(YEAR(CS8)+3,2)&amp;"Y", "days=a","fill=p")</f>
        <v>-56.9</v>
      </c>
      <c r="BK8" s="838">
        <f ca="1">_xll.BDH(B8&amp;" EQUITY","BEST_CAPEX",R8,R8,"BEST_FPERIOD_OVERRIDE="&amp;RIGHT(YEAR(CS8)+4,2)&amp;"Y", "days=a","fill=p")</f>
        <v>-58</v>
      </c>
      <c r="BL8" s="838">
        <f t="shared" ca="1" si="3"/>
        <v>38.355000000000004</v>
      </c>
      <c r="BM8" s="838">
        <f t="shared" ca="1" si="3"/>
        <v>908.22113899999999</v>
      </c>
      <c r="BN8" s="838">
        <f t="shared" ca="1" si="3"/>
        <v>987.75022749999994</v>
      </c>
      <c r="BO8" s="838">
        <f t="shared" ca="1" si="3"/>
        <v>1164.9635186300002</v>
      </c>
      <c r="BP8" s="838" t="e">
        <f t="shared" ca="1" si="3"/>
        <v>#VALUE!</v>
      </c>
      <c r="BQ8" s="837">
        <f t="shared" ca="1" si="4"/>
        <v>-1.4294077050109684</v>
      </c>
      <c r="BR8" s="837">
        <f t="shared" ca="1" si="4"/>
        <v>10.204102089550689</v>
      </c>
      <c r="BS8" s="837">
        <f t="shared" ca="1" si="4"/>
        <v>10.965144322816604</v>
      </c>
      <c r="BT8" s="837">
        <f t="shared" ca="1" si="4"/>
        <v>13.856952153268683</v>
      </c>
      <c r="BU8" s="837" t="e">
        <f t="shared" ca="1" si="4"/>
        <v>#VALUE!</v>
      </c>
      <c r="BV8" s="838">
        <f ca="1">IF(CQ8=12,AD8,IF(ISERROR(AD8*CU8+AE8*CV8),"N/A",AD8*CU8+AE8*CV8))</f>
        <v>979.04499999999996</v>
      </c>
      <c r="BW8" s="838">
        <f ca="1">IF(CQ8=12,AE8,IF(ISERROR(AE8*CU8+AF8*CV8),"N/A",AE8*CU8+AF8*CV8))</f>
        <v>1270.875</v>
      </c>
      <c r="BX8" s="838">
        <f t="shared" ref="BX8:BX10" ca="1" si="25">IF($CQ8=12,AF8,IF(ISERROR(AF8*$CU8+AG8*$CV8),"N/A",AF8*$CU8+AG8*$CV8))</f>
        <v>1521.769</v>
      </c>
      <c r="BY8" s="838">
        <f ca="1">IF(CQ8=12,AI8,IF(ISERROR(AI8*CU8+AJ8*CV8),"N/A",AI8*CU8+AJ8*CV8))</f>
        <v>855.88113899999996</v>
      </c>
      <c r="BZ8" s="838">
        <f ca="1">IF(CQ8=12,AJ8,IF(ISERROR(AJ8*CU8+AK8*CV8),"N/A",AJ8*CU8+AK8*CV8))</f>
        <v>1122.7672275</v>
      </c>
      <c r="CA8" s="838">
        <f t="shared" ref="CA8:CA10" ca="1" si="26">IF($CQ8=12,AK8,IF(ISERROR(AK8*$CU8+AL8*$CV8),"N/A",AK8*$CU8+AL8*$CV8))</f>
        <v>1353.2635186300001</v>
      </c>
      <c r="CB8" s="838">
        <f ca="1">IF(CQ8=12,AN8,IF(ISERROR(AN8*CU8+AO8*CV8),"N/A",AN8*CU8+AO8*CV8))</f>
        <v>-52.34</v>
      </c>
      <c r="CC8" s="838">
        <f ca="1">IF(CQ8=12,AO8,IF(ISERROR(AO8*CU8+AP8*CV8),"N/A",AO8*CU8+AP8*CV8))</f>
        <v>135.017</v>
      </c>
      <c r="CD8" s="838">
        <f t="shared" ref="CD8:CD10" ca="1" si="27">IF($CQ8=12,AP8,IF(ISERROR(AP8*$CU8+AQ8*$CV8),"N/A",AP8*$CU8+AQ8*$CV8))</f>
        <v>188.3</v>
      </c>
      <c r="CE8" s="837">
        <f ca="1">IF(CQ8=12,AX8,IF(ISERROR(AX8*CU8+AY8*CV8),"N/A",AX8*CU8+AY8*CV8))</f>
        <v>-0.34899999999999998</v>
      </c>
      <c r="CF8" s="837">
        <f ca="1">IF(CQ8=12,AY8,IF(ISERROR(AY8*CU8+AZ8*CV8),"N/A",AY8*CU8+AZ8*CV8))</f>
        <v>0.83099999999999996</v>
      </c>
      <c r="CG8" s="837">
        <f t="shared" ca="1" si="9"/>
        <v>1.792</v>
      </c>
      <c r="CH8" s="837">
        <f ca="1">IF(CQ8=12,BR8,IF(ISERROR(BR8*CU8+BS8*CV8),"N/A",BR8*CU8+BS8*CV8))</f>
        <v>10.204102089550689</v>
      </c>
      <c r="CI8" s="837">
        <f ca="1">IF(CQ8=12,BS8,IF(ISERROR(BS8*CU8+BT8*CV8),"N/A",BS8*CU8+BT8*CV8))</f>
        <v>10.965144322816604</v>
      </c>
      <c r="CJ8" s="837">
        <f t="shared" ca="1" si="11"/>
        <v>13.856952153268683</v>
      </c>
      <c r="CK8" s="840"/>
      <c r="CL8" s="841">
        <f>IF(CK8="",1,_xll.BDP(CK8&amp;" CURNCY","LAST PRICE"))</f>
        <v>1</v>
      </c>
      <c r="CM8" s="842">
        <v>1</v>
      </c>
      <c r="CN8" s="843">
        <f ca="1">_xll.BDH(B8&amp;" EQUITY","BS_SH_OUT",R8,R8,"EQY_FUND_PER="&amp;CT8,"days=a","fill=p")</f>
        <v>83.5471</v>
      </c>
      <c r="CO8" s="844" t="str">
        <f>_xll.BDP(B8&amp;" EQUITY","EQY_FISCAL_YR_END")</f>
        <v>12/2017</v>
      </c>
      <c r="CP8" s="845">
        <f>DAY(DATE(YEAR(CO8),1+MONTH(CO8),0))</f>
        <v>31</v>
      </c>
      <c r="CQ8" s="844">
        <f>+MONTH(CO8)</f>
        <v>12</v>
      </c>
      <c r="CR8" s="844">
        <f>YEAR(CO8)</f>
        <v>2017</v>
      </c>
      <c r="CS8" s="836">
        <f t="shared" ref="CS8" ca="1" si="28">+DATE(CR8,CQ8,CP8)-((CR8-YEAR($R$7)+1)*365)</f>
        <v>43100</v>
      </c>
      <c r="CT8" s="830" t="s">
        <v>866</v>
      </c>
      <c r="CU8" s="846">
        <f ca="1">+MONTH(CS8)/12</f>
        <v>1</v>
      </c>
      <c r="CV8" s="846">
        <f ca="1">1-CU8</f>
        <v>0</v>
      </c>
      <c r="CW8" s="806"/>
    </row>
    <row r="9" spans="1:101" s="847" customFormat="1" ht="11.25" customHeight="1" x14ac:dyDescent="0.25">
      <c r="A9" s="806"/>
      <c r="B9" s="1093" t="s">
        <v>868</v>
      </c>
      <c r="C9" s="816" t="str">
        <f>_xll.BDP($B9&amp;" EQUITY","Name")</f>
        <v>WORKDAY INC-CLASS A</v>
      </c>
      <c r="D9" s="816"/>
      <c r="E9" s="831">
        <f ca="1">+S9</f>
        <v>144.715</v>
      </c>
      <c r="F9" s="832">
        <f ca="1">S9*CN9</f>
        <v>31403.155000000002</v>
      </c>
      <c r="G9" s="832">
        <f ca="1">AB9</f>
        <v>29595.069000000007</v>
      </c>
      <c r="H9" s="833">
        <f ca="1">IF(ISERROR(AB9/BV9),"N/A",AB9/BV9)</f>
        <v>10.891603192777373</v>
      </c>
      <c r="I9" s="833">
        <f ca="1">IF(ISERROR(AB9/BW9),"N/A",AB9/BW9)</f>
        <v>8.6944489987195368</v>
      </c>
      <c r="J9" s="833">
        <f t="shared" ref="J9:J10" ca="1" si="29">IF(ISERROR(AB9/BX9),"N/A",AB9/BX9)</f>
        <v>7.0999789823998967</v>
      </c>
      <c r="K9" s="833">
        <f ca="1">IF(ISERROR(AB9/BY9),"N/A",AB9/BY9)</f>
        <v>14.630575278794621</v>
      </c>
      <c r="L9" s="833">
        <f ca="1">IF(ISERROR(AB9/BZ9),"N/A",AB9/BZ9)</f>
        <v>11.50676344287846</v>
      </c>
      <c r="M9" s="833">
        <f t="shared" ref="M9:M10" ca="1" si="30">IF(ISERROR(AB9/CA9),"N/A",AB9/CA9)</f>
        <v>9.2611958455290093</v>
      </c>
      <c r="N9" s="834">
        <f t="shared" ca="1" si="0"/>
        <v>0.25270769825453238</v>
      </c>
      <c r="O9" s="834">
        <f ca="1">IF(ISERROR(BY9/BV9),"N/A",BY9/BV9)</f>
        <v>0.7444412119982412</v>
      </c>
      <c r="P9" s="1094">
        <f t="shared" ca="1" si="24"/>
        <v>7.1913639223929182E-2</v>
      </c>
      <c r="Q9" s="835"/>
      <c r="R9" s="836">
        <f t="shared" ca="1" si="1"/>
        <v>43433</v>
      </c>
      <c r="S9" s="837">
        <f ca="1">_xll.BDH(B9&amp;" Equity","PX_LAST",R9,R9,"days=a","fill=p")*CL9*CM9</f>
        <v>144.715</v>
      </c>
      <c r="T9" s="838">
        <f ca="1">IF(ISERROR(_xll.BDP(B9&amp;" Equity","BS_ST_BORROW", "EQY_FUND_DT=" &amp;TEXT(R9,"YYYYMMDD"), "EQY_FUND_RELATIVE_PERIOD=-0F"&amp;CT9)+0),_xll.BDP(B9&amp;" Equity","BS_ST_BORROW", "EQY_FUND_DT=" &amp;TEXT(R9,"YYYYMMDD"), "EQY_FUND_RELATIVE_PERIOD=-1F"&amp;CT9),_xll.BDP(B9&amp;" Equity","BS_ST_BORROW", "EQY_FUND_DT=" &amp;TEXT(R9,"YYYYMMDD"), "EQY_FUND_RELATIVE_PERIOD=-0F"&amp;CT9))</f>
        <v>226.87699999999998</v>
      </c>
      <c r="U9" s="838">
        <f ca="1">IF(ISERROR(_xll.BDP(B9&amp;" Equity","BS_LT_BORROW", "EQY_FUND_DT=" &amp;TEXT(R9,"YYYYMMDD"), "EQY_FUND_RELATIVE_PERIOD=-0F"&amp;CT9)+0),_xll.BDP(B9&amp;" Equity","BS_LT_BORROW", "EQY_FUND_DT=" &amp;TEXT(R9,"YYYYMMDD"), "EQY_FUND_RELATIVE_PERIOD=-1F"&amp;CT9),_xll.BDP(B9&amp;" Equity","BS_LT_BORROW", "EQY_FUND_DT=" &amp;TEXT(R9,"YYYYMMDD"), "EQY_FUND_RELATIVE_PERIOD=-0F"&amp;CT9))</f>
        <v>950.13199999999995</v>
      </c>
      <c r="V9" s="838">
        <f ca="1">IF(ISERROR(_xll.BDP(B9&amp;" Equity","BS_PFD_EQY", "EQY_FUND_DT=" &amp;TEXT(R9,"YYYYMMDD"),"EQY_FUND_RELATIVE_PERIOD=-0F"&amp;CT9)+0),_xll.BDP(B9&amp;" Equity","BS_PFD_EQY", "EQY_FUND_DT=" &amp;TEXT(R9,"YYYYMMDD"),"EQY_FUND_RELATIVE_PERIOD=-1F"&amp;CT9),_xll.BDP(B9&amp;" Equity","BS_PFD_EQY", "EQY_FUND_DT=" &amp;TEXT(R9,"YYYYMMDD"), "EQY_FUND_RELATIVE_PERIOD=-0F"&amp;CT9))</f>
        <v>0</v>
      </c>
      <c r="W9" s="838">
        <f ca="1">IF(ISERROR(_xll.BDP(B9&amp;" Equity","BS_MINORITY_INT", "EQY_FUND_DT=" &amp;TEXT(R9,"YYYYMMDD"),"EQY_FUND_RELATIVE_PERIOD=-0F"&amp;CT9)+0),_xll.BDP(B9&amp;" Equity","BS_MINORITY_INT", "EQY_FUND_DT=" &amp;TEXT(R9,"YYYYMMDD"),"EQY_FUND_RELATIVE_PERIOD=-1F"&amp;CT9),_xll.BDP(B9&amp;" Equity","BS_MINORITY_INT", "EQY_FUND_DT=" &amp;TEXT(R9,"YYYYMMDD"),"EQY_FUND_RELATIVE_PERIOD=-0F"&amp;CT9))</f>
        <v>0</v>
      </c>
      <c r="X9" s="838">
        <f ca="1">IF(ISERROR(_xll.BDP(B9&amp;" Equity","BS_CASH_NEAR_CASH_ITEM", "EQY_FUND_DT=" &amp;TEXT(R9,"YYYYMMDD"),"EQY_FUND_RELATIVE_PERIOD=-0F"&amp;CT9)+0),_xll.BDP(B9&amp;" Equity","BS_CASH_NEAR_CASH_ITEM", "EQY_FUND_DT=" &amp;TEXT(R9,"YYYYMMDD"),"EQY_FUND_RELATIVE_PERIOD=-1F"&amp;CT9),_xll.BDP(B9&amp;" Equity","BS_CASH_NEAR_CASH_ITEM", "EQY_FUND_DT=" &amp;TEXT(R9,"YYYYMMDD"),"EQY_FUND_RELATIVE_PERIOD=-0F"&amp;CT9))</f>
        <v>1693.7429999999999</v>
      </c>
      <c r="Y9" s="838">
        <f ca="1">IF(ISERROR(_xll.BDP(B9&amp;" Equity","BS_MKT_SEC_OTHER_ST_INVEST", "EQY_FUND_DT=" &amp;TEXT(R9,"YYYYMMDD"),"EQY_FUND_RELATIVE_PERIOD=-0F"&amp;CT9)+0),_xll.BDP(B9&amp;" Equity","BS_MKT_SEC_OTHER_ST_INVEST", "EQY_FUND_DT=" &amp;TEXT(R9,"YYYYMMDD"),"EQY_FUND_RELATIVE_PERIOD=-1F"&amp;CT9),_xll.BDP(B9&amp;" Equity","BS_MKT_SEC_OTHER_ST_INVEST", "EQY_FUND_DT=" &amp;TEXT(R9,"YYYYMMDD"),"EQY_FUND_RELATIVE_PERIOD=-0F"&amp;CT9))</f>
        <v>1291.3519999999999</v>
      </c>
      <c r="Z9" s="838">
        <f ca="1">IF(ISERROR(_xll.BDP(B9&amp;" Equity","BS_SH_CAP_AND_APIC", "EQY_FUND_DT=" &amp;TEXT(R9,"YYYYMMDD"),"EQY_FUND_RELATIVE_PERIOD=-0F"&amp;CT9)+0),_xll.BDP(B9&amp;" Equity","BS_SH_CAP_AND_APIC", "EQY_FUND_DT=" &amp;TEXT(R9,"YYYYMMDD"),"EQY_FUND_RELATIVE_PERIOD=-1F"&amp;CT9),_xll.BDP(B9&amp;" Equity","BS_SH_CAP_AND_APIC", "EQY_FUND_DT=" &amp;TEXT(R9,"YYYYMMDD"),"EQY_FUND_RELATIVE_PERIOD=-0F"&amp;CT9))</f>
        <v>3869.3289999999997</v>
      </c>
      <c r="AA9" s="838">
        <f ca="1">IF(ISERROR(_xll.BDP(B9&amp;" Equity","BS_RETAIN_EARN", "EQY_FUND_DT=" &amp;TEXT(R9,"YYYYMMDD"),"EQY_FUND_RELATIVE_PERIOD=-0F"&amp;CT9)+0),_xll.BDP(B9&amp;" Equity","BS_RETAIN_EARN", "EQY_FUND_DT=" &amp;TEXT(R9,"YYYYMMDD"),"EQY_FUND_RELATIVE_PERIOD=-1F"&amp;CT9),_xll.BDP(B9&amp;" Equity","BS_RETAIN_EARN", "EQY_FUND_DT=" &amp;TEXT(R9,"YYYYMMDD"),"EQY_FUND_RELATIVE_PERIOD=-0F"&amp;CT9))</f>
        <v>-2094.105</v>
      </c>
      <c r="AB9" s="838">
        <f ca="1">F9+T9+U9+V9+W9-X9-Y9</f>
        <v>29595.069000000007</v>
      </c>
      <c r="AC9" s="838">
        <f ca="1">_xll.BDH(B9&amp;" EQUITY","TRAIL_12M_NET_SALES", R9,R9,"days=a","fill=p")</f>
        <v>2428.232</v>
      </c>
      <c r="AD9" s="838">
        <f ca="1">_xll.BDH(B9&amp;" EQUITY","BEST_Sales",R9,R9,"BEST_FPERIOD_OVERRIDE="&amp;RIGHT(YEAR(CS9)+1,2)&amp;"Y", "days=a","fill=p")</f>
        <v>2134.8440000000001</v>
      </c>
      <c r="AE9" s="838">
        <f ca="1">_xll.BDH(B9&amp;" EQUITY","BEST_Sales",R9,R9,"BEST_FPERIOD_OVERRIDE="&amp;RIGHT(YEAR(CS9)+2,2)&amp;"Y","days=a","fill=p")</f>
        <v>2770.1819999999998</v>
      </c>
      <c r="AF9" s="838">
        <f ca="1">_xll.BDH(B9&amp;" EQUITY","BEST_Sales",R9,R9,"BEST_FPERIOD_OVERRIDE="&amp;RIGHT(YEAR(CS9)+3,2)&amp;"Y","days=a","fill=p")</f>
        <v>3461.5149999999999</v>
      </c>
      <c r="AG9" s="838">
        <f ca="1">_xll.BDH(B9&amp;" EQUITY","BEST_Sales",R9,R9,"BEST_FPERIOD_OVERRIDE="&amp;RIGHT(YEAR(CS9)+4,2)&amp;"Y","days=a","fill=p")</f>
        <v>4232.5879999999997</v>
      </c>
      <c r="AH9" s="838">
        <f ca="1">_xll.BDH(B9&amp;" EQUITY","TRAIL_12M_EBITDA",R9,R9,"days=a","fill=p")</f>
        <v>-107.837</v>
      </c>
      <c r="AI9" s="838">
        <f ca="1">_xll.BDH(B9&amp;" EQUITY","BEST_GROSS_MARGIN",R9,R9,"BEST_FPERIOD_OVERRIDE="&amp;RIGHT(YEAR(CS9)+1,2)&amp;"Y", "days=a","fill=p")%*AD9</f>
        <v>1578.33286608</v>
      </c>
      <c r="AJ9" s="838">
        <f ca="1">_xll.BDH(B9&amp;" EQUITY","BEST_GROSS_MARGIN",R9,R9,"BEST_FPERIOD_OVERRIDE="&amp;RIGHT(YEAR(CS9)+2,2)&amp;"Y", "days=a","fill=p")%*AE9</f>
        <v>2063.2315536000001</v>
      </c>
      <c r="AK9" s="838">
        <f ca="1">_xll.BDH(B9&amp;" EQUITY","BEST_GROSS_MARGIN",R9,R9,"BEST_FPERIOD_OVERRIDE="&amp;RIGHT(YEAR(CS9)+3,2)&amp;"Y", "days=a","fill=p")%*AF9</f>
        <v>2618.2207157000003</v>
      </c>
      <c r="AL9" s="838">
        <f ca="1">_xll.BDH(B9&amp;" EQUITY","BEST_GROSS_MARGIN",R9,R9,"BEST_FPERIOD_OVERRIDE="&amp;RIGHT(YEAR(CS9)+4,2)&amp;"Y", "days=a","fill=p")%*AG9</f>
        <v>3248.0880311999995</v>
      </c>
      <c r="AM9" s="838">
        <f ca="1">_xll.BDH(B9&amp;" EQUITY","TRAIL_12M_OPER_INC",R9,R9,"days=a","fill=p")</f>
        <v>-321.64</v>
      </c>
      <c r="AN9" s="838">
        <f ca="1">_xll.BDH(B9&amp;" EQUITY","BEST_EBIT",R9,R9,"BEST_FPERIOD_OVERRIDE="&amp;RIGHT(YEAR(CS9)+1,2)&amp;"Y", "days=a","fill=p")</f>
        <v>205.375</v>
      </c>
      <c r="AO9" s="838">
        <f ca="1">_xll.BDH(B9&amp;" EQUITY","BEST_EBIT",R9,R9,"BEST_FPERIOD_OVERRIDE="&amp;RIGHT(YEAR(CS9)+2,2)&amp;"Y", "days=a","fill=p")</f>
        <v>253.625</v>
      </c>
      <c r="AP9" s="838">
        <f ca="1">_xll.BDH(B9&amp;" EQUITY","BEST_EBIT",R9,R9,"BEST_FPERIOD_OVERRIDE="&amp;RIGHT(YEAR(CS9)+3,2)&amp;"Y", "days=a","fill=p")</f>
        <v>413.286</v>
      </c>
      <c r="AQ9" s="838">
        <f ca="1">_xll.BDH(B9&amp;" EQUITY","BEST_EBIT",R9,R9,"BEST_FPERIOD_OVERRIDE="&amp;RIGHT(YEAR(CS9)+4,2)&amp;"Y", "days=a","fill=p")</f>
        <v>575</v>
      </c>
      <c r="AR9" s="838">
        <f ca="1">_xll.BDH(B9&amp;" EQUITY","TRAIL_12M_EST_COMP_NET_INC_ADJ",R9,R9,"days=a","fill=p")</f>
        <v>-298.38639999999998</v>
      </c>
      <c r="AS9" s="838">
        <f ca="1">_xll.BDH(B9&amp;" EQUITY","BEST_NET_INCOME",R9,R9,"BEST_FPERIOD_OVERRIDE="&amp;RIGHT(YEAR(CS9)+1,2)&amp;"Y", "days=a","fill=p")</f>
        <v>225.03200000000001</v>
      </c>
      <c r="AT9" s="838">
        <f ca="1">_xll.BDH(B9&amp;" EQUITY","BEST_NET_INCOME",R9,R9,"BEST_FPERIOD_OVERRIDE="&amp;RIGHT(YEAR(CS9)+2,2)&amp;"Y", "days=a","fill=p")</f>
        <v>254.43299999999999</v>
      </c>
      <c r="AU9" s="838">
        <f ca="1">_xll.BDH(B9&amp;" EQUITY","BEST_NET_INCOME",R9,R9,"BEST_FPERIOD_OVERRIDE="&amp;RIGHT(YEAR(CS9)+3,2)&amp;"Y", "days=a","fill=p")</f>
        <v>377.36700000000002</v>
      </c>
      <c r="AV9" s="838">
        <f ca="1">_xll.BDH(B9&amp;" EQUITY","BEST_NET_INCOME",R9,R9,"BEST_FPERIOD_OVERRIDE="&amp;RIGHT(YEAR(CS9)+4,2)&amp;"Y", "days=a","fill=p")</f>
        <v>559.42899999999997</v>
      </c>
      <c r="AW9" s="837">
        <f ca="1">_xll.BDH(B9&amp;" EQUITY","T12M_DIL_EPS_CONT_OPS", R9,R9,"days=a","fill=p")</f>
        <v>-1.5808</v>
      </c>
      <c r="AX9" s="837">
        <f ca="1">_xll.BDH(B9&amp;" EQUITY","BEST_EPS",R9,R9,"BEST_FPERIOD_OVERRIDE="&amp;RIGHT(YEAR(CS9)+1,2)&amp;"Y", "days=a","fill=p")</f>
        <v>0.97699999999999998</v>
      </c>
      <c r="AY9" s="837">
        <f ca="1">_xll.BDH(B9&amp;" EQUITY","BEST_EPS",R9,R9,"BEST_FPERIOD_OVERRIDE="&amp;RIGHT(YEAR(CS9)+2,2)&amp;"Y", "days=a","fill=p")</f>
        <v>1.0649999999999999</v>
      </c>
      <c r="AZ9" s="837">
        <f ca="1">_xll.BDH(B9&amp;" EQUITY","BEST_EPS",R9,R9,"BEST_FPERIOD_OVERRIDE="&amp;RIGHT(YEAR(CS9)+3,2)&amp;"Y", "days=a","fill=p")</f>
        <v>1.492</v>
      </c>
      <c r="BA9" s="837">
        <f ca="1">_xll.BDH(B9&amp;" EQUITY","BEST_EPS",R9,R9,"BEST_FPERIOD_OVERRIDE="&amp;RIGHT(YEAR(CS9)+4,2)&amp;"Y", "days=a","fill=p")</f>
        <v>2.0779999999999998</v>
      </c>
      <c r="BB9" s="839">
        <f t="shared" ca="1" si="2"/>
        <v>188.75657894736841</v>
      </c>
      <c r="BC9" s="839">
        <f t="shared" ca="1" si="2"/>
        <v>230.3295803480041</v>
      </c>
      <c r="BD9" s="839">
        <f t="shared" ca="1" si="2"/>
        <v>238.90422535211269</v>
      </c>
      <c r="BE9" s="839">
        <f t="shared" ca="1" si="2"/>
        <v>252.92694369973191</v>
      </c>
      <c r="BF9" s="839">
        <f t="shared" ca="1" si="2"/>
        <v>269.21511068334939</v>
      </c>
      <c r="BG9" s="838">
        <f ca="1">_xll.BDH(B9&amp;" EQUITY","TRAIL_12M_CAP_EXPEND", R9,R9,"days=a","fill=p")</f>
        <v>-174.62299999999999</v>
      </c>
      <c r="BH9" s="838">
        <f ca="1">_xll.BDH(B9&amp;" EQUITY","BEST_CAPEX",R9,R9,"BEST_FPERIOD_OVERRIDE="&amp;RIGHT(YEAR(CS9)+1,2)&amp;"Y", "days=a","fill=p")</f>
        <v>-158.333</v>
      </c>
      <c r="BI9" s="838">
        <f ca="1">_xll.BDH(B9&amp;" EQUITY","BEST_CAPEX",R9,R9,"BEST_FPERIOD_OVERRIDE="&amp;RIGHT(YEAR(CS9)+2,2)&amp;"Y", "days=a","fill=p")</f>
        <v>-216.267</v>
      </c>
      <c r="BJ9" s="838">
        <f ca="1">_xll.BDH(B9&amp;" EQUITY","BEST_CAPEX",R9,R9,"BEST_FPERIOD_OVERRIDE="&amp;RIGHT(YEAR(CS9)+3,2)&amp;"Y", "days=a","fill=p")</f>
        <v>-233.429</v>
      </c>
      <c r="BK9" s="838">
        <f ca="1">_xll.BDH(B9&amp;" EQUITY","BEST_CAPEX",R9,R9,"BEST_FPERIOD_OVERRIDE="&amp;RIGHT(YEAR(CS9)+4,2)&amp;"Y", "days=a","fill=p")</f>
        <v>-288.286</v>
      </c>
      <c r="BL9" s="838">
        <f t="shared" ca="1" si="3"/>
        <v>213.803</v>
      </c>
      <c r="BM9" s="838">
        <f t="shared" ca="1" si="3"/>
        <v>1372.95786608</v>
      </c>
      <c r="BN9" s="838">
        <f t="shared" ca="1" si="3"/>
        <v>1809.6065536000001</v>
      </c>
      <c r="BO9" s="838">
        <f t="shared" ca="1" si="3"/>
        <v>2204.9347157000002</v>
      </c>
      <c r="BP9" s="838">
        <f t="shared" ca="1" si="3"/>
        <v>2673.0880311999995</v>
      </c>
      <c r="BQ9" s="837">
        <f t="shared" ca="1" si="4"/>
        <v>-1.3732310759471611</v>
      </c>
      <c r="BR9" s="837">
        <f t="shared" ca="1" si="4"/>
        <v>6.2504210874904897</v>
      </c>
      <c r="BS9" s="837">
        <f t="shared" ca="1" si="4"/>
        <v>7.7343653126127503</v>
      </c>
      <c r="BT9" s="837">
        <f t="shared" ca="1" si="4"/>
        <v>9.2867635268171309</v>
      </c>
      <c r="BU9" s="837">
        <f t="shared" ca="1" si="4"/>
        <v>10.936351320424215</v>
      </c>
      <c r="BV9" s="838">
        <f t="shared" ca="1" si="5"/>
        <v>2717.2371666666663</v>
      </c>
      <c r="BW9" s="838">
        <f t="shared" ref="BW9:BW10" ca="1" si="31">IF(CQ9=12,AE9,IF(ISERROR(AE9*CU9+AF9*CV9),"N/A",AE9*CU9+AF9*CV9))</f>
        <v>3403.9039166666666</v>
      </c>
      <c r="BX9" s="838">
        <f t="shared" ca="1" si="25"/>
        <v>4168.3319166666661</v>
      </c>
      <c r="BY9" s="838">
        <f t="shared" ca="1" si="6"/>
        <v>2022.8233296399999</v>
      </c>
      <c r="BZ9" s="838">
        <f t="shared" ref="BZ9:BZ10" ca="1" si="32">IF(CQ9=12,AJ9,IF(ISERROR(AJ9*CU9+AK9*CV9),"N/A",AJ9*CU9+AK9*CV9))</f>
        <v>2571.9716188583338</v>
      </c>
      <c r="CA9" s="838">
        <f t="shared" ca="1" si="26"/>
        <v>3195.5990882416659</v>
      </c>
      <c r="CB9" s="838">
        <f t="shared" ca="1" si="7"/>
        <v>249.60416666666666</v>
      </c>
      <c r="CC9" s="838">
        <f t="shared" ref="CC9:CC10" ca="1" si="33">IF(CQ9=12,AO9,IF(ISERROR(AO9*CU9+AP9*CV9),"N/A",AO9*CU9+AP9*CV9))</f>
        <v>399.98091666666664</v>
      </c>
      <c r="CD9" s="838">
        <f t="shared" ca="1" si="27"/>
        <v>561.5238333333333</v>
      </c>
      <c r="CE9" s="837">
        <f t="shared" ca="1" si="8"/>
        <v>1.0576666666666665</v>
      </c>
      <c r="CF9" s="837">
        <f t="shared" ref="CF9:CF10" ca="1" si="34">IF(CQ9=12,AY9,IF(ISERROR(AY9*CU9+AZ9*CV9),"N/A",AY9*CU9+AZ9*CV9))</f>
        <v>1.4564166666666667</v>
      </c>
      <c r="CG9" s="837">
        <f t="shared" ca="1" si="9"/>
        <v>2.0291666666666663</v>
      </c>
      <c r="CH9" s="837">
        <f t="shared" ca="1" si="10"/>
        <v>7.6107032938525609</v>
      </c>
      <c r="CI9" s="837">
        <f t="shared" ref="CI9:CI10" ca="1" si="35">IF(CQ9=12,BS9,IF(ISERROR(BS9*CU9+BT9*CV9),"N/A",BS9*CU9+BT9*CV9))</f>
        <v>9.1573970089667647</v>
      </c>
      <c r="CJ9" s="837">
        <f t="shared" ca="1" si="11"/>
        <v>10.798885670956958</v>
      </c>
      <c r="CK9" s="840"/>
      <c r="CL9" s="841">
        <f>IF(CK9="",1,_xll.BDP(CK9&amp;" CURNCY","LAST PRICE"))</f>
        <v>1</v>
      </c>
      <c r="CM9" s="842">
        <v>1</v>
      </c>
      <c r="CN9" s="843">
        <f ca="1">_xll.BDH(B9&amp;" EQUITY","BS_SH_OUT",R9,R9,"EQY_FUND_PER="&amp;CT9,"days=a","fill=p")</f>
        <v>217</v>
      </c>
      <c r="CO9" s="844" t="str">
        <f>_xll.BDP(B9&amp;" EQUITY","EQY_FISCAL_YR_END")</f>
        <v>01/2018</v>
      </c>
      <c r="CP9" s="845">
        <f t="shared" si="12"/>
        <v>31</v>
      </c>
      <c r="CQ9" s="844">
        <f t="shared" ref="CQ9:CQ10" si="36">+MONTH(CO9)</f>
        <v>1</v>
      </c>
      <c r="CR9" s="844">
        <f t="shared" ref="CR9:CR10" si="37">YEAR(CO9)</f>
        <v>2018</v>
      </c>
      <c r="CS9" s="836">
        <f ca="1">+DATE(CR9,CQ9,CP9)-((CR9-YEAR($R$7)+1)*365)</f>
        <v>42766</v>
      </c>
      <c r="CT9" s="830" t="s">
        <v>866</v>
      </c>
      <c r="CU9" s="846">
        <f t="shared" ref="CU9:CU10" ca="1" si="38">+MONTH(CS9)/12</f>
        <v>8.3333333333333329E-2</v>
      </c>
      <c r="CV9" s="846">
        <f t="shared" ca="1" si="16"/>
        <v>0.91666666666666663</v>
      </c>
      <c r="CW9" s="806"/>
    </row>
    <row r="10" spans="1:101" s="847" customFormat="1" ht="11.25" customHeight="1" x14ac:dyDescent="0.25">
      <c r="A10" s="806"/>
      <c r="B10" s="1093" t="s">
        <v>869</v>
      </c>
      <c r="C10" s="816" t="str">
        <f>_xll.BDP($B10&amp;" EQUITY","Name")</f>
        <v>SPLUNK INC</v>
      </c>
      <c r="D10" s="816"/>
      <c r="E10" s="831">
        <f t="shared" ref="E10" ca="1" si="39">+S10</f>
        <v>99.599900000000005</v>
      </c>
      <c r="F10" s="832">
        <f t="shared" ref="F10" ca="1" si="40">S10*CN10</f>
        <v>14602.490738850001</v>
      </c>
      <c r="G10" s="832">
        <f t="shared" ref="G10" ca="1" si="41">AB10</f>
        <v>13710.907738850001</v>
      </c>
      <c r="H10" s="833">
        <f t="shared" ref="H10" ca="1" si="42">IF(ISERROR(AB10/BV10),"N/A",AB10/BV10)</f>
        <v>8.3081640469068141</v>
      </c>
      <c r="I10" s="833">
        <f ca="1">IF(ISERROR(AB10/BW10),"N/A",AB10/BW10)</f>
        <v>6.6511389186373222</v>
      </c>
      <c r="J10" s="833">
        <f t="shared" ca="1" si="29"/>
        <v>5.40683982611319</v>
      </c>
      <c r="K10" s="833">
        <f t="shared" ref="K10" ca="1" si="43">IF(ISERROR(AB10/BY10),"N/A",AB10/BY10)</f>
        <v>9.9697775020544501</v>
      </c>
      <c r="L10" s="833">
        <f ca="1">IF(ISERROR(AB10/BZ10),"N/A",AB10/BZ10)</f>
        <v>7.971491811519539</v>
      </c>
      <c r="M10" s="833">
        <f t="shared" ca="1" si="30"/>
        <v>6.4400063169667492</v>
      </c>
      <c r="N10" s="834">
        <f t="shared" ca="1" si="0"/>
        <v>0.24913404283682894</v>
      </c>
      <c r="O10" s="834">
        <f t="shared" ref="O10" ca="1" si="44">IF(ISERROR(BY10/BV10),"N/A",BY10/BV10)</f>
        <v>0.83333495107536426</v>
      </c>
      <c r="P10" s="1094">
        <f t="shared" ca="1" si="24"/>
        <v>4.506399837604725E-2</v>
      </c>
      <c r="Q10" s="835"/>
      <c r="R10" s="836">
        <f t="shared" ca="1" si="1"/>
        <v>43433</v>
      </c>
      <c r="S10" s="837">
        <f ca="1">_xll.BDH(B10&amp;" Equity","PX_LAST",R10,R10,"days=a","fill=p")*CL10*CM10</f>
        <v>99.599900000000005</v>
      </c>
      <c r="T10" s="838">
        <f ca="1">IF(ISERROR(_xll.BDP(B10&amp;" Equity","BS_ST_BORROW", "EQY_FUND_DT=" &amp;TEXT(R10,"YYYYMMDD"), "EQY_FUND_RELATIVE_PERIOD=-0F"&amp;CT10)+0),_xll.BDP(B10&amp;" Equity","BS_ST_BORROW", "EQY_FUND_DT=" &amp;TEXT(R10,"YYYYMMDD"), "EQY_FUND_RELATIVE_PERIOD=-1F"&amp;CT10),_xll.BDP(B10&amp;" Equity","BS_ST_BORROW", "EQY_FUND_DT=" &amp;TEXT(R10,"YYYYMMDD"), "EQY_FUND_RELATIVE_PERIOD=-0F"&amp;CT10))</f>
        <v>0</v>
      </c>
      <c r="U10" s="838">
        <f ca="1">IF(ISERROR(_xll.BDP(B10&amp;" Equity","BS_LT_BORROW", "EQY_FUND_DT=" &amp;TEXT(R10,"YYYYMMDD"), "EQY_FUND_RELATIVE_PERIOD=-0F"&amp;CT10)+0),_xll.BDP(B10&amp;" Equity","BS_LT_BORROW", "EQY_FUND_DT=" &amp;TEXT(R10,"YYYYMMDD"), "EQY_FUND_RELATIVE_PERIOD=-1F"&amp;CT10),_xll.BDP(B10&amp;" Equity","BS_LT_BORROW", "EQY_FUND_DT=" &amp;TEXT(R10,"YYYYMMDD"), "EQY_FUND_RELATIVE_PERIOD=-0F"&amp;CT10))</f>
        <v>0</v>
      </c>
      <c r="V10" s="838">
        <f ca="1">IF(ISERROR(_xll.BDP(B10&amp;" Equity","BS_PFD_EQY", "EQY_FUND_DT=" &amp;TEXT(R10,"YYYYMMDD"),"EQY_FUND_RELATIVE_PERIOD=-0F"&amp;CT10)+0),_xll.BDP(B10&amp;" Equity","BS_PFD_EQY", "EQY_FUND_DT=" &amp;TEXT(R10,"YYYYMMDD"),"EQY_FUND_RELATIVE_PERIOD=-1F"&amp;CT10),_xll.BDP(B10&amp;" Equity","BS_PFD_EQY", "EQY_FUND_DT=" &amp;TEXT(R10,"YYYYMMDD"), "EQY_FUND_RELATIVE_PERIOD=-0F"&amp;CT10))</f>
        <v>0</v>
      </c>
      <c r="W10" s="838">
        <f ca="1">IF(ISERROR(_xll.BDP(B10&amp;" Equity","BS_MINORITY_INT", "EQY_FUND_DT=" &amp;TEXT(R10,"YYYYMMDD"),"EQY_FUND_RELATIVE_PERIOD=-0F"&amp;CT10)+0),_xll.BDP(B10&amp;" Equity","BS_MINORITY_INT", "EQY_FUND_DT=" &amp;TEXT(R10,"YYYYMMDD"),"EQY_FUND_RELATIVE_PERIOD=-1F"&amp;CT10),_xll.BDP(B10&amp;" Equity","BS_MINORITY_INT", "EQY_FUND_DT=" &amp;TEXT(R10,"YYYYMMDD"),"EQY_FUND_RELATIVE_PERIOD=-0F"&amp;CT10))</f>
        <v>0</v>
      </c>
      <c r="X10" s="838">
        <f ca="1">IF(ISERROR(_xll.BDP(B10&amp;" Equity","BS_CASH_NEAR_CASH_ITEM", "EQY_FUND_DT=" &amp;TEXT(R10,"YYYYMMDD"),"EQY_FUND_RELATIVE_PERIOD=-0F"&amp;CT10)+0),_xll.BDP(B10&amp;" Equity","BS_CASH_NEAR_CASH_ITEM", "EQY_FUND_DT=" &amp;TEXT(R10,"YYYYMMDD"),"EQY_FUND_RELATIVE_PERIOD=-1F"&amp;CT10),_xll.BDP(B10&amp;" Equity","BS_CASH_NEAR_CASH_ITEM", "EQY_FUND_DT=" &amp;TEXT(R10,"YYYYMMDD"),"EQY_FUND_RELATIVE_PERIOD=-0F"&amp;CT10))</f>
        <v>419.68099999999998</v>
      </c>
      <c r="Y10" s="838">
        <f ca="1">IF(ISERROR(_xll.BDP(B10&amp;" Equity","BS_MKT_SEC_OTHER_ST_INVEST", "EQY_FUND_DT=" &amp;TEXT(R10,"YYYYMMDD"),"EQY_FUND_RELATIVE_PERIOD=-0F"&amp;CT10)+0),_xll.BDP(B10&amp;" Equity","BS_MKT_SEC_OTHER_ST_INVEST", "EQY_FUND_DT=" &amp;TEXT(R10,"YYYYMMDD"),"EQY_FUND_RELATIVE_PERIOD=-1F"&amp;CT10),_xll.BDP(B10&amp;" Equity","BS_MKT_SEC_OTHER_ST_INVEST", "EQY_FUND_DT=" &amp;TEXT(R10,"YYYYMMDD"),"EQY_FUND_RELATIVE_PERIOD=-0F"&amp;CT10))</f>
        <v>471.90199999999999</v>
      </c>
      <c r="Z10" s="838">
        <f ca="1">IF(ISERROR(_xll.BDP(B10&amp;" Equity","BS_SH_CAP_AND_APIC", "EQY_FUND_DT=" &amp;TEXT(R10,"YYYYMMDD"),"EQY_FUND_RELATIVE_PERIOD=-0F"&amp;CT10)+0),_xll.BDP(B10&amp;" Equity","BS_SH_CAP_AND_APIC", "EQY_FUND_DT=" &amp;TEXT(R10,"YYYYMMDD"),"EQY_FUND_RELATIVE_PERIOD=-1F"&amp;CT10),_xll.BDP(B10&amp;" Equity","BS_SH_CAP_AND_APIC", "EQY_FUND_DT=" &amp;TEXT(R10,"YYYYMMDD"),"EQY_FUND_RELATIVE_PERIOD=-0F"&amp;CT10))</f>
        <v>2328.0309999999999</v>
      </c>
      <c r="AA10" s="838">
        <f ca="1">IF(ISERROR(_xll.BDP(B10&amp;" Equity","BS_RETAIN_EARN", "EQY_FUND_DT=" &amp;TEXT(R10,"YYYYMMDD"),"EQY_FUND_RELATIVE_PERIOD=-0F"&amp;CT10)+0),_xll.BDP(B10&amp;" Equity","BS_RETAIN_EARN", "EQY_FUND_DT=" &amp;TEXT(R10,"YYYYMMDD"),"EQY_FUND_RELATIVE_PERIOD=-1F"&amp;CT10),_xll.BDP(B10&amp;" Equity","BS_RETAIN_EARN", "EQY_FUND_DT=" &amp;TEXT(R10,"YYYYMMDD"),"EQY_FUND_RELATIVE_PERIOD=-0F"&amp;CT10))</f>
        <v>-1181.1949999999999</v>
      </c>
      <c r="AB10" s="838">
        <f ca="1">F10+T10+U10+V10+W10-X10-Y10</f>
        <v>13710.907738850001</v>
      </c>
      <c r="AC10" s="838">
        <f ca="1">_xll.BDH(B10&amp;" EQUITY","TRAIL_12M_NET_SALES", R10,R10,"days=a","fill=p")</f>
        <v>1448.318</v>
      </c>
      <c r="AD10" s="838">
        <f ca="1">_xll.BDH(B10&amp;" EQUITY","BEST_Sales",R10,R10,"BEST_FPERIOD_OVERRIDE="&amp;RIGHT(YEAR(CS10)+1,2)&amp;"Y", "days=a","fill=p")</f>
        <v>1241.7570000000001</v>
      </c>
      <c r="AE10" s="838">
        <f ca="1">_xll.BDH(B10&amp;" EQUITY","BEST_Sales",R10,R10,"BEST_FPERIOD_OVERRIDE="&amp;RIGHT(YEAR(CS10)+2,2)&amp;"Y","days=a","fill=p")</f>
        <v>1687.433</v>
      </c>
      <c r="AF10" s="838">
        <f ca="1">_xll.BDH(B10&amp;" EQUITY","BEST_Sales",R10,R10,"BEST_FPERIOD_OVERRIDE="&amp;RIGHT(YEAR(CS10)+3,2)&amp;"Y","days=a","fill=p")</f>
        <v>2095.4380000000001</v>
      </c>
      <c r="AG10" s="838">
        <f ca="1">_xll.BDH(B10&amp;" EQUITY","BEST_Sales",R10,R10,"BEST_FPERIOD_OVERRIDE="&amp;RIGHT(YEAR(CS10)+4,2)&amp;"Y","days=a","fill=p")</f>
        <v>2575.8820000000001</v>
      </c>
      <c r="AH10" s="838">
        <f ca="1">_xll.BDH(B10&amp;" EQUITY","TRAIL_12M_EBITDA",R10,R10,"days=a","fill=p")</f>
        <v>-255.48099999999999</v>
      </c>
      <c r="AI10" s="838">
        <f ca="1">_xll.BDH(B10&amp;" EQUITY","BEST_GROSS_MARGIN",R10,R10,"BEST_FPERIOD_OVERRIDE="&amp;RIGHT(YEAR(CS10)+1,2)&amp;"Y", "days=a","fill=p")%*AD10</f>
        <v>1034.5201742700001</v>
      </c>
      <c r="AJ10" s="838">
        <f ca="1">_xll.BDH(B10&amp;" EQUITY","BEST_GROSS_MARGIN",R10,R10,"BEST_FPERIOD_OVERRIDE="&amp;RIGHT(YEAR(CS10)+2,2)&amp;"Y", "days=a","fill=p")%*AE10</f>
        <v>1406.2222905499998</v>
      </c>
      <c r="AK10" s="838">
        <f ca="1">_xll.BDH(B10&amp;" EQUITY","BEST_GROSS_MARGIN",R10,R10,"BEST_FPERIOD_OVERRIDE="&amp;RIGHT(YEAR(CS10)+3,2)&amp;"Y", "days=a","fill=p")%*AF10</f>
        <v>1748.5172847200001</v>
      </c>
      <c r="AL10" s="838">
        <f ca="1">_xll.BDH(B10&amp;" EQUITY","BEST_GROSS_MARGIN",R10,R10,"BEST_FPERIOD_OVERRIDE="&amp;RIGHT(YEAR(CS10)+4,2)&amp;"Y", "days=a","fill=p")%*AG10</f>
        <v>2163.6120859000002</v>
      </c>
      <c r="AM10" s="838">
        <f ca="1">_xll.BDH(B10&amp;" EQUITY","TRAIL_12M_OPER_INC",R10,R10,"days=a","fill=p")</f>
        <v>-300.053</v>
      </c>
      <c r="AN10" s="838">
        <f ca="1">_xll.BDH(B10&amp;" EQUITY","BEST_EBIT",R10,R10,"BEST_FPERIOD_OVERRIDE="&amp;RIGHT(YEAR(CS10)+1,2)&amp;"Y", "days=a","fill=p")</f>
        <v>106.875</v>
      </c>
      <c r="AO10" s="838">
        <f ca="1">_xll.BDH(B10&amp;" EQUITY","BEST_EBIT",R10,R10,"BEST_FPERIOD_OVERRIDE="&amp;RIGHT(YEAR(CS10)+2,2)&amp;"Y", "days=a","fill=p")</f>
        <v>194.833</v>
      </c>
      <c r="AP10" s="838">
        <f ca="1">_xll.BDH(B10&amp;" EQUITY","BEST_EBIT",R10,R10,"BEST_FPERIOD_OVERRIDE="&amp;RIGHT(YEAR(CS10)+3,2)&amp;"Y", "days=a","fill=p")</f>
        <v>279.85700000000003</v>
      </c>
      <c r="AQ10" s="838">
        <f ca="1">_xll.BDH(B10&amp;" EQUITY","BEST_EBIT",R10,R10,"BEST_FPERIOD_OVERRIDE="&amp;RIGHT(YEAR(CS10)+4,2)&amp;"Y", "days=a","fill=p")</f>
        <v>442</v>
      </c>
      <c r="AR10" s="838">
        <f ca="1">_xll.BDH(B10&amp;" EQUITY","TRAIL_12M_EST_COMP_NET_INC_ADJ",R10,R10,"days=a","fill=p")</f>
        <v>-286.84410000000003</v>
      </c>
      <c r="AS10" s="838">
        <f ca="1">_xll.BDH(B10&amp;" EQUITY","BEST_NET_INCOME",R10,R10,"BEST_FPERIOD_OVERRIDE="&amp;RIGHT(YEAR(CS10)+1,2)&amp;"Y", "days=a","fill=p")</f>
        <v>83.441999999999993</v>
      </c>
      <c r="AT10" s="838">
        <f ca="1">_xll.BDH(B10&amp;" EQUITY","BEST_NET_INCOME",R10,R10,"BEST_FPERIOD_OVERRIDE="&amp;RIGHT(YEAR(CS10)+2,2)&amp;"Y", "days=a","fill=p")</f>
        <v>165.93299999999999</v>
      </c>
      <c r="AU10" s="838">
        <f ca="1">_xll.BDH(B10&amp;" EQUITY","BEST_NET_INCOME",R10,R10,"BEST_FPERIOD_OVERRIDE="&amp;RIGHT(YEAR(CS10)+3,2)&amp;"Y", "days=a","fill=p")</f>
        <v>246.333</v>
      </c>
      <c r="AV10" s="838">
        <f ca="1">_xll.BDH(B10&amp;" EQUITY","BEST_NET_INCOME",R10,R10,"BEST_FPERIOD_OVERRIDE="&amp;RIGHT(YEAR(CS10)+4,2)&amp;"Y", "days=a","fill=p")</f>
        <v>351.86700000000002</v>
      </c>
      <c r="AW10" s="837">
        <f ca="1">_xll.BDH(B10&amp;" EQUITY","T12M_DIL_EPS_CONT_OPS", R10,R10,"days=a","fill=p")</f>
        <v>-2.2419000000000002</v>
      </c>
      <c r="AX10" s="837">
        <f ca="1">_xll.BDH(B10&amp;" EQUITY","BEST_EPS",R10,R10,"BEST_FPERIOD_OVERRIDE="&amp;RIGHT(YEAR(CS10)+1,2)&amp;"Y", "days=a","fill=p")</f>
        <v>0.58199999999999996</v>
      </c>
      <c r="AY10" s="837">
        <f ca="1">_xll.BDH(B10&amp;" EQUITY","BEST_EPS",R10,R10,"BEST_FPERIOD_OVERRIDE="&amp;RIGHT(YEAR(CS10)+2,2)&amp;"Y", "days=a","fill=p")</f>
        <v>1.101</v>
      </c>
      <c r="AZ10" s="837">
        <f ca="1">_xll.BDH(B10&amp;" EQUITY","BEST_EPS",R10,R10,"BEST_FPERIOD_OVERRIDE="&amp;RIGHT(YEAR(CS10)+3,2)&amp;"Y", "days=a","fill=p")</f>
        <v>1.554</v>
      </c>
      <c r="BA10" s="837">
        <f ca="1">_xll.BDH(B10&amp;" EQUITY","BEST_EPS",R10,R10,"BEST_FPERIOD_OVERRIDE="&amp;RIGHT(YEAR(CS10)+4,2)&amp;"Y", "days=a","fill=p")</f>
        <v>2.1080000000000001</v>
      </c>
      <c r="BB10" s="839">
        <f t="shared" ca="1" si="2"/>
        <v>127.94687541817208</v>
      </c>
      <c r="BC10" s="839">
        <f t="shared" ca="1" si="2"/>
        <v>143.37113402061854</v>
      </c>
      <c r="BD10" s="839">
        <f t="shared" ca="1" si="2"/>
        <v>150.71117166212534</v>
      </c>
      <c r="BE10" s="839">
        <f t="shared" ca="1" si="2"/>
        <v>158.51544401544402</v>
      </c>
      <c r="BF10" s="839">
        <f t="shared" ca="1" si="2"/>
        <v>166.91982922201137</v>
      </c>
      <c r="BG10" s="838">
        <f ca="1">_xll.BDH(B10&amp;" EQUITY","TRAIL_12M_CAP_EXPEND", R10,R10,"days=a","fill=p")</f>
        <v>-65.266999999999996</v>
      </c>
      <c r="BH10" s="838">
        <f ca="1">_xll.BDH(B10&amp;" EQUITY","BEST_CAPEX",R10,R10,"BEST_FPERIOD_OVERRIDE="&amp;RIGHT(YEAR(CS10)+1,2)&amp;"Y", "days=a","fill=p")</f>
        <v>-19.878</v>
      </c>
      <c r="BI10" s="838">
        <f ca="1">_xll.BDH(B10&amp;" EQUITY","BEST_CAPEX",R10,R10,"BEST_FPERIOD_OVERRIDE="&amp;RIGHT(YEAR(CS10)+2,2)&amp;"Y", "days=a","fill=p")</f>
        <v>-23.376000000000001</v>
      </c>
      <c r="BJ10" s="838">
        <f ca="1">_xll.BDH(B10&amp;" EQUITY","BEST_CAPEX",R10,R10,"BEST_FPERIOD_OVERRIDE="&amp;RIGHT(YEAR(CS10)+3,2)&amp;"Y", "days=a","fill=p")</f>
        <v>-29.928999999999998</v>
      </c>
      <c r="BK10" s="838">
        <f ca="1">_xll.BDH(B10&amp;" EQUITY","BEST_CAPEX",R10,R10,"BEST_FPERIOD_OVERRIDE="&amp;RIGHT(YEAR(CS10)+4,2)&amp;"Y", "days=a","fill=p")</f>
        <v>-32.975000000000001</v>
      </c>
      <c r="BL10" s="838">
        <f t="shared" ca="1" si="3"/>
        <v>44.572000000000003</v>
      </c>
      <c r="BM10" s="838">
        <f t="shared" ca="1" si="3"/>
        <v>927.6451742700001</v>
      </c>
      <c r="BN10" s="838">
        <f t="shared" ca="1" si="3"/>
        <v>1211.3892905499997</v>
      </c>
      <c r="BO10" s="838">
        <f t="shared" ca="1" si="3"/>
        <v>1468.6602847200002</v>
      </c>
      <c r="BP10" s="838">
        <f t="shared" ca="1" si="3"/>
        <v>1721.6120859000002</v>
      </c>
      <c r="BQ10" s="837">
        <f t="shared" ca="1" si="4"/>
        <v>-2.4036468182193742</v>
      </c>
      <c r="BR10" s="837">
        <f t="shared" ca="1" si="4"/>
        <v>6.9135895523254485</v>
      </c>
      <c r="BS10" s="837">
        <f t="shared" ca="1" si="4"/>
        <v>8.983715511052953</v>
      </c>
      <c r="BT10" s="837">
        <f t="shared" ca="1" si="4"/>
        <v>10.630284608456359</v>
      </c>
      <c r="BU10" s="837">
        <f t="shared" ca="1" si="4"/>
        <v>12.224455868487814</v>
      </c>
      <c r="BV10" s="838">
        <f t="shared" ca="1" si="5"/>
        <v>1650.2933333333333</v>
      </c>
      <c r="BW10" s="838">
        <f t="shared" ca="1" si="31"/>
        <v>2061.4375833333334</v>
      </c>
      <c r="BX10" s="838">
        <f t="shared" ca="1" si="25"/>
        <v>2535.8449999999998</v>
      </c>
      <c r="BY10" s="838">
        <f t="shared" ca="1" si="6"/>
        <v>1375.2471141933331</v>
      </c>
      <c r="BZ10" s="838">
        <f t="shared" ca="1" si="32"/>
        <v>1719.9927018725</v>
      </c>
      <c r="CA10" s="838">
        <f t="shared" ca="1" si="26"/>
        <v>2129.0208524683335</v>
      </c>
      <c r="CB10" s="838">
        <f t="shared" ca="1" si="7"/>
        <v>187.50316666666666</v>
      </c>
      <c r="CC10" s="838">
        <f t="shared" ca="1" si="33"/>
        <v>272.7716666666667</v>
      </c>
      <c r="CD10" s="838">
        <f t="shared" ca="1" si="27"/>
        <v>428.48808333333329</v>
      </c>
      <c r="CE10" s="837">
        <f t="shared" ca="1" si="8"/>
        <v>1.05775</v>
      </c>
      <c r="CF10" s="837">
        <f t="shared" ca="1" si="34"/>
        <v>1.5162499999999999</v>
      </c>
      <c r="CG10" s="837">
        <f t="shared" ca="1" si="9"/>
        <v>2.0618333333333334</v>
      </c>
      <c r="CH10" s="837">
        <f t="shared" ca="1" si="10"/>
        <v>8.8112050144923266</v>
      </c>
      <c r="CI10" s="837">
        <f t="shared" ca="1" si="35"/>
        <v>10.493070517006075</v>
      </c>
      <c r="CJ10" s="837">
        <f t="shared" ca="1" si="11"/>
        <v>12.091608263485192</v>
      </c>
      <c r="CK10" s="840"/>
      <c r="CL10" s="841">
        <f>IF(CK10="",1,_xll.BDP(CK10&amp;" CURNCY","LAST PRICE"))</f>
        <v>1</v>
      </c>
      <c r="CM10" s="842">
        <v>1</v>
      </c>
      <c r="CN10" s="843">
        <f ca="1">_xll.BDH(B10&amp;" EQUITY","BS_SH_OUT",R10,R10,"EQY_FUND_PER="&amp;CT10,"days=a","fill=p")</f>
        <v>146.61150000000001</v>
      </c>
      <c r="CO10" s="844" t="str">
        <f>_xll.BDP(B10&amp;" EQUITY","EQY_FISCAL_YR_END")</f>
        <v>01/2018</v>
      </c>
      <c r="CP10" s="845">
        <f t="shared" si="12"/>
        <v>31</v>
      </c>
      <c r="CQ10" s="844">
        <f t="shared" si="36"/>
        <v>1</v>
      </c>
      <c r="CR10" s="844">
        <f t="shared" si="37"/>
        <v>2018</v>
      </c>
      <c r="CS10" s="836">
        <f t="shared" ref="CS10" ca="1" si="45">+DATE(CR10,CQ10,CP10)-((CR10-YEAR($R$7)+1)*365)</f>
        <v>42766</v>
      </c>
      <c r="CT10" s="830" t="s">
        <v>866</v>
      </c>
      <c r="CU10" s="846">
        <f t="shared" ca="1" si="38"/>
        <v>8.3333333333333329E-2</v>
      </c>
      <c r="CV10" s="846">
        <f t="shared" ca="1" si="16"/>
        <v>0.91666666666666663</v>
      </c>
      <c r="CW10" s="806"/>
    </row>
    <row r="11" spans="1:101" s="847" customFormat="1" ht="11.25" customHeight="1" x14ac:dyDescent="0.25">
      <c r="A11" s="806"/>
      <c r="B11" s="1093" t="s">
        <v>870</v>
      </c>
      <c r="C11" s="816" t="str">
        <f>_xll.BDP($B11&amp;" EQUITY","Name")</f>
        <v>SERVICENOW INC</v>
      </c>
      <c r="D11" s="816"/>
      <c r="E11" s="831">
        <f ca="1">+S11</f>
        <v>179.06</v>
      </c>
      <c r="F11" s="832">
        <f ca="1">S11*CN11</f>
        <v>32106.407017999998</v>
      </c>
      <c r="G11" s="832">
        <f ca="1">AB11</f>
        <v>31294.977017999998</v>
      </c>
      <c r="H11" s="833">
        <f ca="1">IF(ISERROR(AB11/BV11),"N/A",AB11/BV11)</f>
        <v>11.989461762228053</v>
      </c>
      <c r="I11" s="833">
        <f ca="1">IF(ISERROR(AB11/BW11),"N/A",AB11/BW11)</f>
        <v>9.2880879458960681</v>
      </c>
      <c r="J11" s="833">
        <f t="shared" ref="J11" ca="1" si="46">IF(ISERROR(AB11/BX11),"N/A",AB11/BX11)</f>
        <v>7.3159274410014845</v>
      </c>
      <c r="K11" s="833">
        <f ca="1">IF(ISERROR(AB11/BY11),"N/A",AB11/BY11)</f>
        <v>15.032676867230117</v>
      </c>
      <c r="L11" s="833">
        <f ca="1">IF(ISERROR(AB11/BZ11),"N/A",AB11/BZ11)</f>
        <v>11.542585805408445</v>
      </c>
      <c r="M11" s="833">
        <f t="shared" ref="M11" ca="1" si="47">IF(ISERROR(AB11/CA11),"N/A",AB11/CA11)</f>
        <v>8.9618632444832862</v>
      </c>
      <c r="N11" s="834">
        <f t="shared" ref="N11" ca="1" si="48">IF(ISERROR(RATE(1,,-BV11,BW11)),"N/A",RATE(1,,-BV11,BW11))</f>
        <v>0.29084283353772344</v>
      </c>
      <c r="O11" s="834">
        <f ca="1">IF(ISERROR(BY11/BV11),"N/A",BY11/BV11)</f>
        <v>0.79756000000000005</v>
      </c>
      <c r="P11" s="1094">
        <f t="shared" ref="P11" ca="1" si="49">IF(ISERROR(-BG11/AC11),"N/A",-BG11/AC11)</f>
        <v>7.0090521755347385E-2</v>
      </c>
      <c r="Q11" s="835"/>
      <c r="R11" s="836">
        <f t="shared" ca="1" si="1"/>
        <v>43433</v>
      </c>
      <c r="S11" s="837">
        <f ca="1">_xll.BDH(B11&amp;" Equity","PX_LAST",R11,R11,"days=a","fill=p")*CL11*CM11</f>
        <v>179.06</v>
      </c>
      <c r="T11" s="838">
        <f ca="1">IF(ISERROR(_xll.BDP(B11&amp;" Equity","BS_ST_BORROW", "EQY_FUND_DT=" &amp;TEXT(R11,"YYYYMMDD"), "EQY_FUND_RELATIVE_PERIOD=-0F"&amp;CT11)+0),_xll.BDP(B11&amp;" Equity","BS_ST_BORROW", "EQY_FUND_DT=" &amp;TEXT(R11,"YYYYMMDD"), "EQY_FUND_RELATIVE_PERIOD=-1F"&amp;CT11),_xll.BDP(B11&amp;" Equity","BS_ST_BORROW", "EQY_FUND_DT=" &amp;TEXT(R11,"YYYYMMDD"), "EQY_FUND_RELATIVE_PERIOD=-0F"&amp;CT11))</f>
        <v>160.97199999999998</v>
      </c>
      <c r="U11" s="838">
        <f ca="1">IF(ISERROR(_xll.BDP(B11&amp;" Equity","BS_LT_BORROW", "EQY_FUND_DT=" &amp;TEXT(R11,"YYYYMMDD"), "EQY_FUND_RELATIVE_PERIOD=-0F"&amp;CT11)+0),_xll.BDP(B11&amp;" Equity","BS_LT_BORROW", "EQY_FUND_DT=" &amp;TEXT(R11,"YYYYMMDD"), "EQY_FUND_RELATIVE_PERIOD=-1F"&amp;CT11),_xll.BDP(B11&amp;" Equity","BS_LT_BORROW", "EQY_FUND_DT=" &amp;TEXT(R11,"YYYYMMDD"), "EQY_FUND_RELATIVE_PERIOD=-0F"&amp;CT11))</f>
        <v>653.63799999999992</v>
      </c>
      <c r="V11" s="838">
        <f ca="1">IF(ISERROR(_xll.BDP(B11&amp;" Equity","BS_PFD_EQY", "EQY_FUND_DT=" &amp;TEXT(R11,"YYYYMMDD"),"EQY_FUND_RELATIVE_PERIOD=-0F"&amp;CT11)+0),_xll.BDP(B11&amp;" Equity","BS_PFD_EQY", "EQY_FUND_DT=" &amp;TEXT(R11,"YYYYMMDD"),"EQY_FUND_RELATIVE_PERIOD=-1F"&amp;CT11),_xll.BDP(B11&amp;" Equity","BS_PFD_EQY", "EQY_FUND_DT=" &amp;TEXT(R11,"YYYYMMDD"), "EQY_FUND_RELATIVE_PERIOD=-0F"&amp;CT11))</f>
        <v>0</v>
      </c>
      <c r="W11" s="838">
        <f ca="1">IF(ISERROR(_xll.BDP(B11&amp;" Equity","BS_MINORITY_INT", "EQY_FUND_DT=" &amp;TEXT(R11,"YYYYMMDD"),"EQY_FUND_RELATIVE_PERIOD=-0F"&amp;CT11)+0),_xll.BDP(B11&amp;" Equity","BS_MINORITY_INT", "EQY_FUND_DT=" &amp;TEXT(R11,"YYYYMMDD"),"EQY_FUND_RELATIVE_PERIOD=-1F"&amp;CT11),_xll.BDP(B11&amp;" Equity","BS_MINORITY_INT", "EQY_FUND_DT=" &amp;TEXT(R11,"YYYYMMDD"),"EQY_FUND_RELATIVE_PERIOD=-0F"&amp;CT11))</f>
        <v>0</v>
      </c>
      <c r="X11" s="838">
        <f ca="1">IF(ISERROR(_xll.BDP(B11&amp;" Equity","BS_CASH_NEAR_CASH_ITEM", "EQY_FUND_DT=" &amp;TEXT(R11,"YYYYMMDD"),"EQY_FUND_RELATIVE_PERIOD=-0F"&amp;CT11)+0),_xll.BDP(B11&amp;" Equity","BS_CASH_NEAR_CASH_ITEM", "EQY_FUND_DT=" &amp;TEXT(R11,"YYYYMMDD"),"EQY_FUND_RELATIVE_PERIOD=-1F"&amp;CT11),_xll.BDP(B11&amp;" Equity","BS_CASH_NEAR_CASH_ITEM", "EQY_FUND_DT=" &amp;TEXT(R11,"YYYYMMDD"),"EQY_FUND_RELATIVE_PERIOD=-0F"&amp;CT11))</f>
        <v>703.62900000000002</v>
      </c>
      <c r="Y11" s="838">
        <f ca="1">IF(ISERROR(_xll.BDP(B11&amp;" Equity","BS_MKT_SEC_OTHER_ST_INVEST", "EQY_FUND_DT=" &amp;TEXT(R11,"YYYYMMDD"),"EQY_FUND_RELATIVE_PERIOD=-0F"&amp;CT11)+0),_xll.BDP(B11&amp;" Equity","BS_MKT_SEC_OTHER_ST_INVEST", "EQY_FUND_DT=" &amp;TEXT(R11,"YYYYMMDD"),"EQY_FUND_RELATIVE_PERIOD=-1F"&amp;CT11),_xll.BDP(B11&amp;" Equity","BS_MKT_SEC_OTHER_ST_INVEST", "EQY_FUND_DT=" &amp;TEXT(R11,"YYYYMMDD"),"EQY_FUND_RELATIVE_PERIOD=-0F"&amp;CT11))</f>
        <v>922.41099999999994</v>
      </c>
      <c r="Z11" s="838">
        <f ca="1">IF(ISERROR(_xll.BDP(B11&amp;" Equity","BS_SH_CAP_AND_APIC", "EQY_FUND_DT=" &amp;TEXT(R11,"YYYYMMDD"),"EQY_FUND_RELATIVE_PERIOD=-0F"&amp;CT11)+0),_xll.BDP(B11&amp;" Equity","BS_SH_CAP_AND_APIC", "EQY_FUND_DT=" &amp;TEXT(R11,"YYYYMMDD"),"EQY_FUND_RELATIVE_PERIOD=-1F"&amp;CT11),_xll.BDP(B11&amp;" Equity","BS_SH_CAP_AND_APIC", "EQY_FUND_DT=" &amp;TEXT(R11,"YYYYMMDD"),"EQY_FUND_RELATIVE_PERIOD=-0F"&amp;CT11))</f>
        <v>2007.3969999999999</v>
      </c>
      <c r="AA11" s="838">
        <f ca="1">IF(ISERROR(_xll.BDP(B11&amp;" Equity","BS_RETAIN_EARN", "EQY_FUND_DT=" &amp;TEXT(R11,"YYYYMMDD"),"EQY_FUND_RELATIVE_PERIOD=-0F"&amp;CT11)+0),_xll.BDP(B11&amp;" Equity","BS_RETAIN_EARN", "EQY_FUND_DT=" &amp;TEXT(R11,"YYYYMMDD"),"EQY_FUND_RELATIVE_PERIOD=-1F"&amp;CT11),_xll.BDP(B11&amp;" Equity","BS_RETAIN_EARN", "EQY_FUND_DT=" &amp;TEXT(R11,"YYYYMMDD"),"EQY_FUND_RELATIVE_PERIOD=-0F"&amp;CT11))</f>
        <v>-987.21299999999997</v>
      </c>
      <c r="AB11" s="838">
        <f ca="1">F11+T11+U11+V11+W11-X11-Y11</f>
        <v>31294.977017999998</v>
      </c>
      <c r="AC11" s="838">
        <f ca="1">_xll.BDH(B11&amp;" EQUITY","TRAIL_12M_NET_SALES", R11,R11,"days=a","fill=p")</f>
        <v>2439.7449999999999</v>
      </c>
      <c r="AD11" s="838">
        <f ca="1">_xll.BDH(B11&amp;" EQUITY","BEST_Sales",R11,R11,"BEST_FPERIOD_OVERRIDE="&amp;RIGHT(YEAR(CS11)+1,2)&amp;"Y", "days=a","fill=p")</f>
        <v>2610.2069999999999</v>
      </c>
      <c r="AE11" s="838">
        <f ca="1">_xll.BDH(B11&amp;" EQUITY","BEST_Sales",R11,R11,"BEST_FPERIOD_OVERRIDE="&amp;RIGHT(YEAR(CS11)+2,2)&amp;"Y","days=a","fill=p")</f>
        <v>3369.3670000000002</v>
      </c>
      <c r="AF11" s="838">
        <f ca="1">_xll.BDH(B11&amp;" EQUITY","BEST_Sales",R11,R11,"BEST_FPERIOD_OVERRIDE="&amp;RIGHT(YEAR(CS11)+3,2)&amp;"Y","days=a","fill=p")</f>
        <v>4277.6499999999996</v>
      </c>
      <c r="AG11" s="838">
        <f ca="1">_xll.BDH(B11&amp;" EQUITY","BEST_Sales",R11,R11,"BEST_FPERIOD_OVERRIDE="&amp;RIGHT(YEAR(CS11)+4,2)&amp;"Y","days=a","fill=p")</f>
        <v>5277</v>
      </c>
      <c r="AH11" s="838">
        <f ca="1">_xll.BDH(B11&amp;" EQUITY","TRAIL_12M_EBITDA",R11,R11,"days=a","fill=p")</f>
        <v>82.722999999999999</v>
      </c>
      <c r="AI11" s="838">
        <f ca="1">_xll.BDH(B11&amp;" EQUITY","BEST_GROSS_MARGIN",R11,R11,"BEST_FPERIOD_OVERRIDE="&amp;RIGHT(YEAR(CS11)+1,2)&amp;"Y", "days=a","fill=p")%*AD11</f>
        <v>2081.7966949199999</v>
      </c>
      <c r="AJ11" s="838">
        <f ca="1">_xll.BDH(B11&amp;" EQUITY","BEST_GROSS_MARGIN",R11,R11,"BEST_FPERIOD_OVERRIDE="&amp;RIGHT(YEAR(CS11)+2,2)&amp;"Y", "days=a","fill=p")%*AE11</f>
        <v>2711.2622375600004</v>
      </c>
      <c r="AK11" s="838">
        <f ca="1">_xll.BDH(B11&amp;" EQUITY","BEST_GROSS_MARGIN",R11,R11,"BEST_FPERIOD_OVERRIDE="&amp;RIGHT(YEAR(CS11)+3,2)&amp;"Y", "days=a","fill=p")%*AF11</f>
        <v>3492.0168009999993</v>
      </c>
      <c r="AL11" s="838" t="e">
        <f ca="1">_xll.BDH(B11&amp;" EQUITY","BEST_GROSS_MARGIN",R11,R11,"BEST_FPERIOD_OVERRIDE="&amp;RIGHT(YEAR(CS11)+4,2)&amp;"Y", "days=a","fill=p")%*AG11</f>
        <v>#VALUE!</v>
      </c>
      <c r="AM11" s="838">
        <f ca="1">_xll.BDH(B11&amp;" EQUITY","TRAIL_12M_OPER_INC",R11,R11,"days=a","fill=p")</f>
        <v>-55.835999999999999</v>
      </c>
      <c r="AN11" s="838">
        <f ca="1">_xll.BDH(B11&amp;" EQUITY","BEST_EBIT",R11,R11,"BEST_FPERIOD_OVERRIDE="&amp;RIGHT(YEAR(CS11)+1,2)&amp;"Y", "days=a","fill=p")</f>
        <v>530.28599999999994</v>
      </c>
      <c r="AO11" s="838">
        <f ca="1">_xll.BDH(B11&amp;" EQUITY","BEST_EBIT",R11,R11,"BEST_FPERIOD_OVERRIDE="&amp;RIGHT(YEAR(CS11)+2,2)&amp;"Y", "days=a","fill=p")</f>
        <v>756.625</v>
      </c>
      <c r="AP11" s="838">
        <f ca="1">_xll.BDH(B11&amp;" EQUITY","BEST_EBIT",R11,R11,"BEST_FPERIOD_OVERRIDE="&amp;RIGHT(YEAR(CS11)+3,2)&amp;"Y", "days=a","fill=p")</f>
        <v>1030.3330000000001</v>
      </c>
      <c r="AQ11" s="838" t="str">
        <f ca="1">_xll.BDH(B11&amp;" EQUITY","BEST_EBIT",R11,R11,"BEST_FPERIOD_OVERRIDE="&amp;RIGHT(YEAR(CS11)+4,2)&amp;"Y", "days=a","fill=p")</f>
        <v>#N/A N/A</v>
      </c>
      <c r="AR11" s="838">
        <f ca="1">_xll.BDH(B11&amp;" EQUITY","TRAIL_12M_EST_COMP_NET_INC_ADJ",R11,R11,"days=a","fill=p")</f>
        <v>-43.043599999999998</v>
      </c>
      <c r="AS11" s="838">
        <f ca="1">_xll.BDH(B11&amp;" EQUITY","BEST_NET_INCOME",R11,R11,"BEST_FPERIOD_OVERRIDE="&amp;RIGHT(YEAR(CS11)+1,2)&amp;"Y", "days=a","fill=p")</f>
        <v>444.48099999999999</v>
      </c>
      <c r="AT11" s="838">
        <f ca="1">_xll.BDH(B11&amp;" EQUITY","BEST_NET_INCOME",R11,R11,"BEST_FPERIOD_OVERRIDE="&amp;RIGHT(YEAR(CS11)+2,2)&amp;"Y", "days=a","fill=p")</f>
        <v>608.40700000000004</v>
      </c>
      <c r="AU11" s="838">
        <f ca="1">_xll.BDH(B11&amp;" EQUITY","BEST_NET_INCOME",R11,R11,"BEST_FPERIOD_OVERRIDE="&amp;RIGHT(YEAR(CS11)+3,2)&amp;"Y", "days=a","fill=p")</f>
        <v>837.5</v>
      </c>
      <c r="AV11" s="838">
        <f ca="1">_xll.BDH(B11&amp;" EQUITY","BEST_NET_INCOME",R11,R11,"BEST_FPERIOD_OVERRIDE="&amp;RIGHT(YEAR(CS11)+4,2)&amp;"Y", "days=a","fill=p")</f>
        <v>1033</v>
      </c>
      <c r="AW11" s="837">
        <f ca="1">_xll.BDH(B11&amp;" EQUITY","T12M_DIL_EPS_CONT_OPS", R11,R11,"days=a","fill=p")</f>
        <v>-0.33310000000000001</v>
      </c>
      <c r="AX11" s="837">
        <f ca="1">_xll.BDH(B11&amp;" EQUITY","BEST_EPS",R11,R11,"BEST_FPERIOD_OVERRIDE="&amp;RIGHT(YEAR(CS11)+1,2)&amp;"Y", "days=a","fill=p")</f>
        <v>2.3639999999999999</v>
      </c>
      <c r="AY11" s="837">
        <f ca="1">_xll.BDH(B11&amp;" EQUITY","BEST_EPS",R11,R11,"BEST_FPERIOD_OVERRIDE="&amp;RIGHT(YEAR(CS11)+2,2)&amp;"Y", "days=a","fill=p")</f>
        <v>3.1349999999999998</v>
      </c>
      <c r="AZ11" s="837">
        <f ca="1">_xll.BDH(B11&amp;" EQUITY","BEST_EPS",R11,R11,"BEST_FPERIOD_OVERRIDE="&amp;RIGHT(YEAR(CS11)+3,2)&amp;"Y", "days=a","fill=p")</f>
        <v>4.2069999999999999</v>
      </c>
      <c r="BA11" s="837">
        <f ca="1">_xll.BDH(B11&amp;" EQUITY","BEST_EPS",R11,R11,"BEST_FPERIOD_OVERRIDE="&amp;RIGHT(YEAR(CS11)+4,2)&amp;"Y", "days=a","fill=p")</f>
        <v>4.8600000000000003</v>
      </c>
      <c r="BB11" s="839">
        <f ca="1">+AR11/AW11</f>
        <v>129.22125487841487</v>
      </c>
      <c r="BC11" s="839">
        <f ca="1">+AS11/AX11</f>
        <v>188.02072758037227</v>
      </c>
      <c r="BD11" s="839">
        <f ca="1">+AT11/AY11</f>
        <v>194.06921850079746</v>
      </c>
      <c r="BE11" s="839">
        <f ca="1">+AU11/AZ11</f>
        <v>199.0729736154029</v>
      </c>
      <c r="BF11" s="839">
        <f ca="1">+AV11/BA11</f>
        <v>212.55144032921808</v>
      </c>
      <c r="BG11" s="838">
        <f ca="1">_xll.BDH(B11&amp;" EQUITY","TRAIL_12M_CAP_EXPEND", R11,R11,"days=a","fill=p")</f>
        <v>-171.00299999999999</v>
      </c>
      <c r="BH11" s="838">
        <f ca="1">_xll.BDH(B11&amp;" EQUITY","BEST_CAPEX",R11,R11,"BEST_FPERIOD_OVERRIDE="&amp;RIGHT(YEAR(CS11)+1,2)&amp;"Y", "days=a","fill=p")</f>
        <v>-191.125</v>
      </c>
      <c r="BI11" s="838">
        <f ca="1">_xll.BDH(B11&amp;" EQUITY","BEST_CAPEX",R11,R11,"BEST_FPERIOD_OVERRIDE="&amp;RIGHT(YEAR(CS11)+2,2)&amp;"Y", "days=a","fill=p")</f>
        <v>-218.93700000000001</v>
      </c>
      <c r="BJ11" s="838">
        <f ca="1">_xll.BDH(B11&amp;" EQUITY","BEST_CAPEX",R11,R11,"BEST_FPERIOD_OVERRIDE="&amp;RIGHT(YEAR(CS11)+3,2)&amp;"Y", "days=a","fill=p")</f>
        <v>-266.18200000000002</v>
      </c>
      <c r="BK11" s="838" t="str">
        <f ca="1">_xll.BDH(B11&amp;" EQUITY","BEST_CAPEX",R11,R11,"BEST_FPERIOD_OVERRIDE="&amp;RIGHT(YEAR(CS11)+4,2)&amp;"Y", "days=a","fill=p")</f>
        <v>#N/A N/A</v>
      </c>
      <c r="BL11" s="838">
        <f ca="1">+AH11-AM11</f>
        <v>138.559</v>
      </c>
      <c r="BM11" s="838">
        <f ca="1">+AI11-AN11</f>
        <v>1551.5106949199999</v>
      </c>
      <c r="BN11" s="838">
        <f ca="1">+AJ11-AO11</f>
        <v>1954.6372375600004</v>
      </c>
      <c r="BO11" s="838">
        <f ca="1">+AK11-AP11</f>
        <v>2461.6838009999992</v>
      </c>
      <c r="BP11" s="838" t="e">
        <f ca="1">+AL11-AQ11</f>
        <v>#VALUE!</v>
      </c>
      <c r="BQ11" s="837">
        <f ca="1">(AR11+BL11+BG11)/BB11</f>
        <v>-0.58417324666152459</v>
      </c>
      <c r="BR11" s="837">
        <f ca="1">(AS11+BM11+BH11)/BC11</f>
        <v>9.5992964081499075</v>
      </c>
      <c r="BS11" s="837">
        <f ca="1">(AT11+BN11+BI11)/BD11</f>
        <v>12.078717354913078</v>
      </c>
      <c r="BT11" s="837">
        <f ca="1">(AU11+BO11+BJ11)/BE11</f>
        <v>15.235628151411341</v>
      </c>
      <c r="BU11" s="837" t="e">
        <f ca="1">(AV11+BP11+BK11)/BF11</f>
        <v>#VALUE!</v>
      </c>
      <c r="BV11" s="838">
        <f t="shared" ref="BV11" ca="1" si="50">IF(CQ11=12,AD11,IF(ISERROR(AD11*CU11+AE11*CV11),"N/A",AD11*CU11+AE11*CV11))</f>
        <v>2610.2069999999999</v>
      </c>
      <c r="BW11" s="838">
        <f t="shared" ref="BW11" ca="1" si="51">IF(CQ11=12,AE11,IF(ISERROR(AE11*CU11+AF11*CV11),"N/A",AE11*CU11+AF11*CV11))</f>
        <v>3369.3670000000002</v>
      </c>
      <c r="BX11" s="838">
        <f t="shared" ref="BX11" ca="1" si="52">IF($CQ11=12,AF11,IF(ISERROR(AF11*$CU11+AG11*$CV11),"N/A",AF11*$CU11+AG11*$CV11))</f>
        <v>4277.6499999999996</v>
      </c>
      <c r="BY11" s="838">
        <f t="shared" ref="BY11" ca="1" si="53">IF(CQ11=12,AI11,IF(ISERROR(AI11*CU11+AJ11*CV11),"N/A",AI11*CU11+AJ11*CV11))</f>
        <v>2081.7966949199999</v>
      </c>
      <c r="BZ11" s="838">
        <f t="shared" ref="BZ11" ca="1" si="54">IF(CQ11=12,AJ11,IF(ISERROR(AJ11*CU11+AK11*CV11),"N/A",AJ11*CU11+AK11*CV11))</f>
        <v>2711.2622375600004</v>
      </c>
      <c r="CA11" s="838">
        <f t="shared" ref="CA11" ca="1" si="55">IF($CQ11=12,AK11,IF(ISERROR(AK11*$CU11+AL11*$CV11),"N/A",AK11*$CU11+AL11*$CV11))</f>
        <v>3492.0168009999993</v>
      </c>
      <c r="CB11" s="838">
        <f t="shared" ref="CB11" ca="1" si="56">IF(CQ11=12,AN11,IF(ISERROR(AN11*CU11+AO11*CV11),"N/A",AN11*CU11+AO11*CV11))</f>
        <v>530.28599999999994</v>
      </c>
      <c r="CC11" s="838">
        <f t="shared" ref="CC11" ca="1" si="57">IF(CQ11=12,AO11,IF(ISERROR(AO11*CU11+AP11*CV11),"N/A",AO11*CU11+AP11*CV11))</f>
        <v>756.625</v>
      </c>
      <c r="CD11" s="838">
        <f t="shared" ref="CD11" ca="1" si="58">IF($CQ11=12,AP11,IF(ISERROR(AP11*$CU11+AQ11*$CV11),"N/A",AP11*$CU11+AQ11*$CV11))</f>
        <v>1030.3330000000001</v>
      </c>
      <c r="CE11" s="837">
        <f t="shared" ref="CE11" ca="1" si="59">IF(CQ11=12,AX11,IF(ISERROR(AX11*CU11+AY11*CV11),"N/A",AX11*CU11+AY11*CV11))</f>
        <v>2.3639999999999999</v>
      </c>
      <c r="CF11" s="837">
        <f t="shared" ref="CF11" ca="1" si="60">IF(CQ11=12,AY11,IF(ISERROR(AY11*CU11+AZ11*CV11),"N/A",AY11*CU11+AZ11*CV11))</f>
        <v>3.1349999999999998</v>
      </c>
      <c r="CG11" s="837">
        <f t="shared" ref="CG11" ca="1" si="61">IF($CQ11=12,AZ11,IF(ISERROR(AZ11*$CU11+BA11*$CV11),"N/A",AZ11*$CU11+BA11*$CV11))</f>
        <v>4.2069999999999999</v>
      </c>
      <c r="CH11" s="837">
        <f t="shared" ref="CH11" ca="1" si="62">IF(CQ11=12,BR11,IF(ISERROR(BR11*CU11+BS11*CV11),"N/A",BR11*CU11+BS11*CV11))</f>
        <v>9.5992964081499075</v>
      </c>
      <c r="CI11" s="837">
        <f t="shared" ref="CI11" ca="1" si="63">IF(CQ11=12,BS11,IF(ISERROR(BS11*CU11+BT11*CV11),"N/A",BS11*CU11+BT11*CV11))</f>
        <v>12.078717354913078</v>
      </c>
      <c r="CJ11" s="837">
        <f t="shared" ref="CJ11" ca="1" si="64">IF($CQ11=12,BT11,IF(ISERROR(BT11*$CU11+BU11*$CV11),"N/A",BT11*$CU11+BU11*$CV11))</f>
        <v>15.235628151411341</v>
      </c>
      <c r="CK11" s="840"/>
      <c r="CL11" s="841">
        <f>IF(CK11="",1,_xll.BDP(CK11&amp;" CURNCY","LAST PRICE"))</f>
        <v>1</v>
      </c>
      <c r="CM11" s="842">
        <v>1</v>
      </c>
      <c r="CN11" s="843">
        <f ca="1">_xll.BDH(B11&amp;" EQUITY","BS_SH_OUT",R11,R11,"EQY_FUND_PER="&amp;CT11,"days=a","fill=p")</f>
        <v>179.30529999999999</v>
      </c>
      <c r="CO11" s="844" t="str">
        <f>_xll.BDP(B11&amp;" EQUITY","EQY_FISCAL_YR_END")</f>
        <v>12/2017</v>
      </c>
      <c r="CP11" s="845">
        <f t="shared" ref="CP11" si="65">DAY(DATE(YEAR(CO11),1+MONTH(CO11),0))</f>
        <v>31</v>
      </c>
      <c r="CQ11" s="844">
        <f t="shared" ref="CQ11" si="66">+MONTH(CO11)</f>
        <v>12</v>
      </c>
      <c r="CR11" s="844">
        <f t="shared" ref="CR11" si="67">YEAR(CO11)</f>
        <v>2017</v>
      </c>
      <c r="CS11" s="836">
        <f ca="1">+DATE(CR11,CQ11,CP11)-((CR11-YEAR($R$7)+1)*365)</f>
        <v>43100</v>
      </c>
      <c r="CT11" s="830" t="s">
        <v>866</v>
      </c>
      <c r="CU11" s="846">
        <f t="shared" ref="CU11" ca="1" si="68">+MONTH(CS11)/12</f>
        <v>1</v>
      </c>
      <c r="CV11" s="846">
        <f t="shared" ref="CV11" ca="1" si="69">1-CU11</f>
        <v>0</v>
      </c>
      <c r="CW11" s="806"/>
    </row>
    <row r="12" spans="1:101" ht="5.0999999999999996" customHeight="1" x14ac:dyDescent="0.2">
      <c r="B12" s="1095"/>
      <c r="E12" s="848"/>
      <c r="F12" s="849"/>
      <c r="G12" s="849"/>
      <c r="H12" s="850"/>
      <c r="I12" s="850"/>
      <c r="J12" s="850"/>
      <c r="K12" s="850"/>
      <c r="L12" s="850"/>
      <c r="M12" s="850"/>
      <c r="N12" s="851"/>
      <c r="O12" s="851"/>
      <c r="P12" s="1096"/>
      <c r="T12" s="852"/>
      <c r="U12" s="852"/>
      <c r="V12" s="852"/>
      <c r="W12" s="852"/>
      <c r="X12" s="852"/>
      <c r="Y12" s="852"/>
      <c r="Z12" s="852"/>
      <c r="AA12" s="852"/>
      <c r="AB12" s="852"/>
      <c r="AC12" s="852"/>
      <c r="AD12" s="852"/>
      <c r="AE12" s="852"/>
      <c r="AF12" s="852"/>
      <c r="AG12" s="852"/>
      <c r="AH12" s="852"/>
      <c r="AI12" s="852"/>
      <c r="AJ12" s="852"/>
      <c r="AK12" s="852"/>
      <c r="AL12" s="852"/>
      <c r="AM12" s="852"/>
      <c r="AN12" s="852"/>
      <c r="AO12" s="852"/>
      <c r="AP12" s="852"/>
      <c r="AQ12" s="852"/>
      <c r="AR12" s="853"/>
      <c r="AS12" s="852"/>
      <c r="AT12" s="852"/>
      <c r="AW12" s="852"/>
      <c r="AX12" s="852"/>
      <c r="AY12" s="852"/>
      <c r="AZ12" s="852"/>
      <c r="BA12" s="852"/>
      <c r="BB12" s="852"/>
      <c r="BC12" s="852"/>
      <c r="BD12" s="852"/>
      <c r="BE12" s="852"/>
      <c r="BF12" s="852"/>
      <c r="BG12" s="852"/>
      <c r="BI12" s="854"/>
      <c r="BJ12" s="854"/>
      <c r="BK12" s="854"/>
      <c r="BL12" s="854"/>
      <c r="BM12" s="854"/>
      <c r="BN12" s="854"/>
      <c r="BO12" s="836"/>
      <c r="BP12" s="836"/>
      <c r="BR12" s="855"/>
      <c r="BS12" s="855"/>
    </row>
    <row r="13" spans="1:101" s="847" customFormat="1" ht="11.25" customHeight="1" x14ac:dyDescent="0.25">
      <c r="A13" s="806"/>
      <c r="B13" s="1093" t="s">
        <v>982</v>
      </c>
      <c r="C13" s="816" t="str">
        <f>_xll.BDP($B13&amp;" EQUITY","Name")</f>
        <v>TRADE DESK INC/THE -CLASS A</v>
      </c>
      <c r="D13" s="816"/>
      <c r="E13" s="831">
        <f ca="1">+S13</f>
        <v>140.70590000000001</v>
      </c>
      <c r="F13" s="832">
        <f ca="1">S13*CN13</f>
        <v>6076.3842915000005</v>
      </c>
      <c r="G13" s="832">
        <f ca="1">AB13</f>
        <v>5910.0352915000003</v>
      </c>
      <c r="H13" s="833">
        <f ca="1">IF(ISERROR(AB13/BV13),"N/A",AB13/BV13)</f>
        <v>12.717575307608552</v>
      </c>
      <c r="I13" s="833">
        <f ca="1">IF(ISERROR(AB13/BW13),"N/A",AB13/BW13)</f>
        <v>9.5664765655097401</v>
      </c>
      <c r="J13" s="833">
        <f ca="1">IF(ISERROR(AB13/BX13),"N/A",AB13/BX13)</f>
        <v>7.533505789037604</v>
      </c>
      <c r="K13" s="833">
        <f ca="1">IF(ISERROR(AB13/BY13),"N/A",AB13/BY13)</f>
        <v>16.640595757420414</v>
      </c>
      <c r="L13" s="833">
        <f ca="1">IF(ISERROR(AB13/BZ13),"N/A",AB13/BZ13)</f>
        <v>12.513376802498025</v>
      </c>
      <c r="M13" s="833">
        <f ca="1">IF(ISERROR(AB13/CA13),"N/A",AB13/CA13)</f>
        <v>9.8864905367947564</v>
      </c>
      <c r="N13" s="834">
        <f ca="1">IF(ISERROR(RATE(1,,-BV13,BW13)),"N/A",RATE(1,,-BV13,BW13))</f>
        <v>0.32938968914213884</v>
      </c>
      <c r="O13" s="834">
        <f ca="1">IF(ISERROR(BY13/BV13),"N/A",BY13/BV13)</f>
        <v>0.76424999999999998</v>
      </c>
      <c r="P13" s="1094">
        <f ca="1">IF(ISERROR(-BG13/AC13),"N/A",-BG13/AC13)</f>
        <v>4.0410132689987936E-2</v>
      </c>
      <c r="Q13" s="835"/>
      <c r="R13" s="836">
        <f t="shared" ca="1" si="1"/>
        <v>43433</v>
      </c>
      <c r="S13" s="837">
        <f ca="1">_xll.BDH(B13&amp;" Equity","PX_LAST",R13,R13,"days=a","fill=p")*CL13*CM13</f>
        <v>140.70590000000001</v>
      </c>
      <c r="T13" s="838">
        <f ca="1">IF(ISERROR(_xll.BDP(B13&amp;" Equity","BS_ST_BORROW", "EQY_FUND_DT=" &amp;TEXT(R13,"YYYYMMDD"), "EQY_FUND_RELATIVE_PERIOD=-0F"&amp;CT13)+0),_xll.BDP(B13&amp;" Equity","BS_ST_BORROW", "EQY_FUND_DT=" &amp;TEXT(R13,"YYYYMMDD"), "EQY_FUND_RELATIVE_PERIOD=-1F"&amp;CT13),_xll.BDP(B13&amp;" Equity","BS_ST_BORROW", "EQY_FUND_DT=" &amp;TEXT(R13,"YYYYMMDD"), "EQY_FUND_RELATIVE_PERIOD=-0F"&amp;CT13))</f>
        <v>0</v>
      </c>
      <c r="U13" s="838">
        <f ca="1">IF(ISERROR(_xll.BDP(B13&amp;" Equity","BS_LT_BORROW", "EQY_FUND_DT=" &amp;TEXT(R13,"YYYYMMDD"), "EQY_FUND_RELATIVE_PERIOD=-0F"&amp;CT13)+0),_xll.BDP(B13&amp;" Equity","BS_LT_BORROW", "EQY_FUND_DT=" &amp;TEXT(R13,"YYYYMMDD"), "EQY_FUND_RELATIVE_PERIOD=-1F"&amp;CT13),_xll.BDP(B13&amp;" Equity","BS_LT_BORROW", "EQY_FUND_DT=" &amp;TEXT(R13,"YYYYMMDD"), "EQY_FUND_RELATIVE_PERIOD=-0F"&amp;CT13))</f>
        <v>0</v>
      </c>
      <c r="V13" s="838">
        <f ca="1">IF(ISERROR(_xll.BDP(B13&amp;" Equity","BS_PFD_EQY", "EQY_FUND_DT=" &amp;TEXT(R13,"YYYYMMDD"),"EQY_FUND_RELATIVE_PERIOD=-0F"&amp;CT13)+0),_xll.BDP(B13&amp;" Equity","BS_PFD_EQY", "EQY_FUND_DT=" &amp;TEXT(R13,"YYYYMMDD"),"EQY_FUND_RELATIVE_PERIOD=-1F"&amp;CT13),_xll.BDP(B13&amp;" Equity","BS_PFD_EQY", "EQY_FUND_DT=" &amp;TEXT(R13,"YYYYMMDD"), "EQY_FUND_RELATIVE_PERIOD=-0F"&amp;CT13))</f>
        <v>0</v>
      </c>
      <c r="W13" s="838">
        <f ca="1">IF(ISERROR(_xll.BDP(B13&amp;" Equity","BS_MINORITY_INT", "EQY_FUND_DT=" &amp;TEXT(R13,"YYYYMMDD"),"EQY_FUND_RELATIVE_PERIOD=-0F"&amp;CT13)+0),_xll.BDP(B13&amp;" Equity","BS_MINORITY_INT", "EQY_FUND_DT=" &amp;TEXT(R13,"YYYYMMDD"),"EQY_FUND_RELATIVE_PERIOD=-1F"&amp;CT13),_xll.BDP(B13&amp;" Equity","BS_MINORITY_INT", "EQY_FUND_DT=" &amp;TEXT(R13,"YYYYMMDD"),"EQY_FUND_RELATIVE_PERIOD=-0F"&amp;CT13))</f>
        <v>0</v>
      </c>
      <c r="X13" s="838">
        <f ca="1">IF(ISERROR(_xll.BDP(B13&amp;" Equity","BS_CASH_NEAR_CASH_ITEM", "EQY_FUND_DT=" &amp;TEXT(R13,"YYYYMMDD"),"EQY_FUND_RELATIVE_PERIOD=-0F"&amp;CT13)+0),_xll.BDP(B13&amp;" Equity","BS_CASH_NEAR_CASH_ITEM", "EQY_FUND_DT=" &amp;TEXT(R13,"YYYYMMDD"),"EQY_FUND_RELATIVE_PERIOD=-1F"&amp;CT13),_xll.BDP(B13&amp;" Equity","BS_CASH_NEAR_CASH_ITEM", "EQY_FUND_DT=" &amp;TEXT(R13,"YYYYMMDD"),"EQY_FUND_RELATIVE_PERIOD=-0F"&amp;CT13))</f>
        <v>166.34899999999999</v>
      </c>
      <c r="Y13" s="838">
        <f ca="1">IF(ISERROR(_xll.BDP(B13&amp;" Equity","BS_MKT_SEC_OTHER_ST_INVEST", "EQY_FUND_DT=" &amp;TEXT(R13,"YYYYMMDD"),"EQY_FUND_RELATIVE_PERIOD=-0F"&amp;CT13)+0),_xll.BDP(B13&amp;" Equity","BS_MKT_SEC_OTHER_ST_INVEST", "EQY_FUND_DT=" &amp;TEXT(R13,"YYYYMMDD"),"EQY_FUND_RELATIVE_PERIOD=-1F"&amp;CT13),_xll.BDP(B13&amp;" Equity","BS_MKT_SEC_OTHER_ST_INVEST", "EQY_FUND_DT=" &amp;TEXT(R13,"YYYYMMDD"),"EQY_FUND_RELATIVE_PERIOD=-0F"&amp;CT13))</f>
        <v>0</v>
      </c>
      <c r="Z13" s="838">
        <f ca="1">IF(ISERROR(_xll.BDP(B13&amp;" Equity","BS_SH_CAP_AND_APIC", "EQY_FUND_DT=" &amp;TEXT(R13,"YYYYMMDD"),"EQY_FUND_RELATIVE_PERIOD=-0F"&amp;CT13)+0),_xll.BDP(B13&amp;" Equity","BS_SH_CAP_AND_APIC", "EQY_FUND_DT=" &amp;TEXT(R13,"YYYYMMDD"),"EQY_FUND_RELATIVE_PERIOD=-1F"&amp;CT13),_xll.BDP(B13&amp;" Equity","BS_SH_CAP_AND_APIC", "EQY_FUND_DT=" &amp;TEXT(R13,"YYYYMMDD"),"EQY_FUND_RELATIVE_PERIOD=-0F"&amp;CT13))</f>
        <v>252.32899999999998</v>
      </c>
      <c r="AA13" s="838">
        <f ca="1">IF(ISERROR(_xll.BDP(B13&amp;" Equity","BS_RETAIN_EARN", "EQY_FUND_DT=" &amp;TEXT(R13,"YYYYMMDD"),"EQY_FUND_RELATIVE_PERIOD=-0F"&amp;CT13)+0),_xll.BDP(B13&amp;" Equity","BS_RETAIN_EARN", "EQY_FUND_DT=" &amp;TEXT(R13,"YYYYMMDD"),"EQY_FUND_RELATIVE_PERIOD=-1F"&amp;CT13),_xll.BDP(B13&amp;" Equity","BS_RETAIN_EARN", "EQY_FUND_DT=" &amp;TEXT(R13,"YYYYMMDD"),"EQY_FUND_RELATIVE_PERIOD=-0F"&amp;CT13))</f>
        <v>84.685000000000002</v>
      </c>
      <c r="AB13" s="838">
        <f ca="1">F13+T13+U13+V13+W13-X13-Y13</f>
        <v>5910.0352915000003</v>
      </c>
      <c r="AC13" s="838">
        <f ca="1">_xll.BDH(B13&amp;" EQUITY","TRAIL_12M_NET_SALES", R13,R13,"days=a","fill=p")</f>
        <v>419.47399999999999</v>
      </c>
      <c r="AD13" s="838">
        <f ca="1">_xll.BDH(B13&amp;" EQUITY","BEST_Sales",R13,R13,"BEST_FPERIOD_OVERRIDE="&amp;RIGHT(YEAR(CS13)+1,2)&amp;"Y", "days=a","fill=p")</f>
        <v>464.714</v>
      </c>
      <c r="AE13" s="838">
        <f ca="1">_xll.BDH(B13&amp;" EQUITY","BEST_Sales",R13,R13,"BEST_FPERIOD_OVERRIDE="&amp;RIGHT(YEAR(CS13)+2,2)&amp;"Y","days=a","fill=p")</f>
        <v>617.78599999999994</v>
      </c>
      <c r="AF13" s="838">
        <f ca="1">_xll.BDH(B13&amp;" EQUITY","BEST_Sales",R13,R13,"BEST_FPERIOD_OVERRIDE="&amp;RIGHT(YEAR(CS13)+3,2)&amp;"Y","days=a","fill=p")</f>
        <v>784.5</v>
      </c>
      <c r="AG13" s="838">
        <f ca="1">_xll.BDH(B13&amp;" EQUITY","BEST_Sales",R13,R13,"BEST_FPERIOD_OVERRIDE="&amp;RIGHT(YEAR(CS13)+4,2)&amp;"Y","days=a","fill=p")</f>
        <v>991.2</v>
      </c>
      <c r="AH13" s="838">
        <f ca="1">_xll.BDH(B13&amp;" EQUITY","TRAIL_12M_EBITDA",R13,R13,"days=a","fill=p")</f>
        <v>97.831999999999994</v>
      </c>
      <c r="AI13" s="838">
        <f ca="1">_xll.BDH(B13&amp;" EQUITY","BEST_GROSS_MARGIN",R13,R13,"BEST_FPERIOD_OVERRIDE="&amp;RIGHT(YEAR(CS13)+1,2)&amp;"Y", "days=a","fill=p")%*AD13</f>
        <v>355.15767449999998</v>
      </c>
      <c r="AJ13" s="838">
        <f ca="1">_xll.BDH(B13&amp;" EQUITY","BEST_GROSS_MARGIN",R13,R13,"BEST_FPERIOD_OVERRIDE="&amp;RIGHT(YEAR(CS13)+2,2)&amp;"Y", "days=a","fill=p")%*AE13</f>
        <v>472.29739699999999</v>
      </c>
      <c r="AK13" s="838">
        <f ca="1">_xll.BDH(B13&amp;" EQUITY","BEST_GROSS_MARGIN",R13,R13,"BEST_FPERIOD_OVERRIDE="&amp;RIGHT(YEAR(CS13)+3,2)&amp;"Y", "days=a","fill=p")%*AF13</f>
        <v>597.78899999999999</v>
      </c>
      <c r="AL13" s="838" t="e">
        <f ca="1">_xll.BDH(B13&amp;" EQUITY","BEST_GROSS_MARGIN",R13,R13,"BEST_FPERIOD_OVERRIDE="&amp;RIGHT(YEAR(CS13)+4,2)&amp;"Y", "days=a","fill=p")%*AG13</f>
        <v>#VALUE!</v>
      </c>
      <c r="AM13" s="838">
        <f ca="1">_xll.BDH(B13&amp;" EQUITY","TRAIL_12M_OPER_INC",R13,R13,"days=a","fill=p")</f>
        <v>87.673000000000002</v>
      </c>
      <c r="AN13" s="838">
        <f ca="1">_xll.BDH(B13&amp;" EQUITY","BEST_EBIT",R13,R13,"BEST_FPERIOD_OVERRIDE="&amp;RIGHT(YEAR(CS13)+1,2)&amp;"Y", "days=a","fill=p")</f>
        <v>94.8</v>
      </c>
      <c r="AO13" s="838">
        <f ca="1">_xll.BDH(B13&amp;" EQUITY","BEST_EBIT",R13,R13,"BEST_FPERIOD_OVERRIDE="&amp;RIGHT(YEAR(CS13)+2,2)&amp;"Y", "days=a","fill=p")</f>
        <v>141.333</v>
      </c>
      <c r="AP13" s="838">
        <f ca="1">_xll.BDH(B13&amp;" EQUITY","BEST_EBIT",R13,R13,"BEST_FPERIOD_OVERRIDE="&amp;RIGHT(YEAR(CS13)+3,2)&amp;"Y", "days=a","fill=p")</f>
        <v>195.5</v>
      </c>
      <c r="AQ13" s="838" t="str">
        <f ca="1">_xll.BDH(B13&amp;" EQUITY","BEST_EBIT",R13,R13,"BEST_FPERIOD_OVERRIDE="&amp;RIGHT(YEAR(CS13)+4,2)&amp;"Y", "days=a","fill=p")</f>
        <v>#N/A N/A</v>
      </c>
      <c r="AR13" s="838">
        <f ca="1">_xll.BDH(B13&amp;" EQUITY","TRAIL_12M_EST_COMP_NET_INC_ADJ",R13,R13,"days=a","fill=p")</f>
        <v>65.516000000000005</v>
      </c>
      <c r="AS13" s="838">
        <f ca="1">_xll.BDH(B13&amp;" EQUITY","BEST_NET_INCOME",R13,R13,"BEST_FPERIOD_OVERRIDE="&amp;RIGHT(YEAR(CS13)+1,2)&amp;"Y", "days=a","fill=p")</f>
        <v>112.25</v>
      </c>
      <c r="AT13" s="838">
        <f ca="1">_xll.BDH(B13&amp;" EQUITY","BEST_NET_INCOME",R13,R13,"BEST_FPERIOD_OVERRIDE="&amp;RIGHT(YEAR(CS13)+2,2)&amp;"Y", "days=a","fill=p")</f>
        <v>128.85599999999999</v>
      </c>
      <c r="AU13" s="838">
        <f ca="1">_xll.BDH(B13&amp;" EQUITY","BEST_NET_INCOME",R13,R13,"BEST_FPERIOD_OVERRIDE="&amp;RIGHT(YEAR(CS13)+3,2)&amp;"Y", "days=a","fill=p")</f>
        <v>170.81299999999999</v>
      </c>
      <c r="AV13" s="838">
        <f ca="1">_xll.BDH(B13&amp;" EQUITY","BEST_NET_INCOME",R13,R13,"BEST_FPERIOD_OVERRIDE="&amp;RIGHT(YEAR(CS13)+4,2)&amp;"Y", "days=a","fill=p")</f>
        <v>201</v>
      </c>
      <c r="AW13" s="837">
        <f ca="1">_xll.BDH(B13&amp;" EQUITY","T12M_DIL_EPS_CONT_OPS", R13,R13,"days=a","fill=p")</f>
        <v>1.45</v>
      </c>
      <c r="AX13" s="837">
        <f ca="1">_xll.BDH(B13&amp;" EQUITY","BEST_EPS",R13,R13,"BEST_FPERIOD_OVERRIDE="&amp;RIGHT(YEAR(CS13)+1,2)&amp;"Y", "days=a","fill=p")</f>
        <v>2.3490000000000002</v>
      </c>
      <c r="AY13" s="837">
        <f ca="1">_xll.BDH(B13&amp;" EQUITY","BEST_EPS",R13,R13,"BEST_FPERIOD_OVERRIDE="&amp;RIGHT(YEAR(CS13)+2,2)&amp;"Y", "days=a","fill=p")</f>
        <v>2.6920000000000002</v>
      </c>
      <c r="AZ13" s="837">
        <f ca="1">_xll.BDH(B13&amp;" EQUITY","BEST_EPS",R13,R13,"BEST_FPERIOD_OVERRIDE="&amp;RIGHT(YEAR(CS13)+3,2)&amp;"Y", "days=a","fill=p")</f>
        <v>3.581</v>
      </c>
      <c r="BA13" s="837">
        <f ca="1">_xll.BDH(B13&amp;" EQUITY","BEST_EPS",R13,R13,"BEST_FPERIOD_OVERRIDE="&amp;RIGHT(YEAR(CS13)+4,2)&amp;"Y", "days=a","fill=p")</f>
        <v>4.5600000000000005</v>
      </c>
      <c r="BB13" s="839">
        <f ca="1">+AR13/AW13</f>
        <v>45.183448275862077</v>
      </c>
      <c r="BC13" s="839">
        <f ca="1">+AS13/AX13</f>
        <v>47.786292039165602</v>
      </c>
      <c r="BD13" s="839">
        <f ca="1">+AT13/AY13</f>
        <v>47.866270430906383</v>
      </c>
      <c r="BE13" s="839">
        <f ca="1">+AU13/AZ13</f>
        <v>47.699804523876011</v>
      </c>
      <c r="BF13" s="839">
        <f ca="1">+AV13/BA13</f>
        <v>44.078947368421048</v>
      </c>
      <c r="BG13" s="838">
        <f ca="1">_xll.BDH(B13&amp;" EQUITY","TRAIL_12M_CAP_EXPEND", R13,R13,"days=a","fill=p")</f>
        <v>-16.951000000000001</v>
      </c>
      <c r="BH13" s="838">
        <f ca="1">_xll.BDH(B13&amp;" EQUITY","BEST_CAPEX",R13,R13,"BEST_FPERIOD_OVERRIDE="&amp;RIGHT(YEAR(CS13)+1,2)&amp;"Y", "days=a","fill=p")</f>
        <v>-19.533000000000001</v>
      </c>
      <c r="BI13" s="838">
        <f ca="1">_xll.BDH(B13&amp;" EQUITY","BEST_CAPEX",R13,R13,"BEST_FPERIOD_OVERRIDE="&amp;RIGHT(YEAR(CS13)+2,2)&amp;"Y", "days=a","fill=p")</f>
        <v>-22.728999999999999</v>
      </c>
      <c r="BJ13" s="838">
        <f ca="1">_xll.BDH(B13&amp;" EQUITY","BEST_CAPEX",R13,R13,"BEST_FPERIOD_OVERRIDE="&amp;RIGHT(YEAR(CS13)+3,2)&amp;"Y", "days=a","fill=p")</f>
        <v>-27.7</v>
      </c>
      <c r="BK13" s="838">
        <f ca="1">_xll.BDH(B13&amp;" EQUITY","BEST_CAPEX",R13,R13,"BEST_FPERIOD_OVERRIDE="&amp;RIGHT(YEAR(CS13)+4,2)&amp;"Y", "days=a","fill=p")</f>
        <v>-35.466999999999999</v>
      </c>
      <c r="BL13" s="838">
        <f ca="1">+AH13-AM13</f>
        <v>10.158999999999992</v>
      </c>
      <c r="BM13" s="838">
        <f ca="1">+AI13-AN13</f>
        <v>260.35767449999997</v>
      </c>
      <c r="BN13" s="838">
        <f ca="1">+AJ13-AO13</f>
        <v>330.96439699999996</v>
      </c>
      <c r="BO13" s="838">
        <f ca="1">+AK13-AP13</f>
        <v>402.28899999999999</v>
      </c>
      <c r="BP13" s="838" t="e">
        <f ca="1">+AL13-AQ13</f>
        <v>#VALUE!</v>
      </c>
      <c r="BQ13" s="837">
        <f ca="1">(AR13+BL13+BG13)/BB13</f>
        <v>1.2996794676109649</v>
      </c>
      <c r="BR13" s="837">
        <f ca="1">(AS13+BM13+BH13)/BC13</f>
        <v>7.3886183554610234</v>
      </c>
      <c r="BS13" s="837">
        <f ca="1">(AT13+BN13+BI13)/BD13</f>
        <v>9.1315114602657239</v>
      </c>
      <c r="BT13" s="837">
        <f ca="1">(AU13+BO13+BJ13)/BE13</f>
        <v>11.434051049978631</v>
      </c>
      <c r="BU13" s="837" t="e">
        <f ca="1">(AV13+BP13+BK13)/BF13</f>
        <v>#VALUE!</v>
      </c>
      <c r="BV13" s="838">
        <f ca="1">IF(CQ13=12,AD13,IF(ISERROR(AD13*CU13+AE13*CV13),"N/A",AD13*CU13+AE13*CV13))</f>
        <v>464.714</v>
      </c>
      <c r="BW13" s="838">
        <f ca="1">IF(CQ13=12,AE13,IF(ISERROR(AE13*CU13+AF13*CV13),"N/A",AE13*CU13+AF13*CV13))</f>
        <v>617.78599999999994</v>
      </c>
      <c r="BX13" s="838">
        <f ca="1">IF($CQ13=12,AF13,IF(ISERROR(AF13*$CU13+AG13*$CV13),"N/A",AF13*$CU13+AG13*$CV13))</f>
        <v>784.5</v>
      </c>
      <c r="BY13" s="838">
        <f ca="1">IF(CQ13=12,AI13,IF(ISERROR(AI13*CU13+AJ13*CV13),"N/A",AI13*CU13+AJ13*CV13))</f>
        <v>355.15767449999998</v>
      </c>
      <c r="BZ13" s="838">
        <f ca="1">IF(CQ13=12,AJ13,IF(ISERROR(AJ13*CU13+AK13*CV13),"N/A",AJ13*CU13+AK13*CV13))</f>
        <v>472.29739699999999</v>
      </c>
      <c r="CA13" s="838">
        <f ca="1">IF($CQ13=12,AK13,IF(ISERROR(AK13*$CU13+AL13*$CV13),"N/A",AK13*$CU13+AL13*$CV13))</f>
        <v>597.78899999999999</v>
      </c>
      <c r="CB13" s="838">
        <f ca="1">IF(CQ13=12,AN13,IF(ISERROR(AN13*CU13+AO13*CV13),"N/A",AN13*CU13+AO13*CV13))</f>
        <v>94.8</v>
      </c>
      <c r="CC13" s="838">
        <f ca="1">IF(CQ13=12,AO13,IF(ISERROR(AO13*CU13+AP13*CV13),"N/A",AO13*CU13+AP13*CV13))</f>
        <v>141.333</v>
      </c>
      <c r="CD13" s="838">
        <f ca="1">IF($CQ13=12,AP13,IF(ISERROR(AP13*$CU13+AQ13*$CV13),"N/A",AP13*$CU13+AQ13*$CV13))</f>
        <v>195.5</v>
      </c>
      <c r="CE13" s="837">
        <f ca="1">IF(CQ13=12,AX13,IF(ISERROR(AX13*CU13+AY13*CV13),"N/A",AX13*CU13+AY13*CV13))</f>
        <v>2.3490000000000002</v>
      </c>
      <c r="CF13" s="837">
        <f ca="1">IF(CQ13=12,AY13,IF(ISERROR(AY13*CU13+AZ13*CV13),"N/A",AY13*CU13+AZ13*CV13))</f>
        <v>2.6920000000000002</v>
      </c>
      <c r="CG13" s="837">
        <f ca="1">IF($CQ13=12,AZ13,IF(ISERROR(AZ13*$CU13+BA13*$CV13),"N/A",AZ13*$CU13+BA13*$CV13))</f>
        <v>3.581</v>
      </c>
      <c r="CH13" s="837">
        <f ca="1">IF(CQ13=12,BR13,IF(ISERROR(BR13*CU13+BS13*CV13),"N/A",BR13*CU13+BS13*CV13))</f>
        <v>7.3886183554610234</v>
      </c>
      <c r="CI13" s="837">
        <f ca="1">IF(CQ13=12,BS13,IF(ISERROR(BS13*CU13+BT13*CV13),"N/A",BS13*CU13+BT13*CV13))</f>
        <v>9.1315114602657239</v>
      </c>
      <c r="CJ13" s="837">
        <f ca="1">IF($CQ13=12,BT13,IF(ISERROR(BT13*$CU13+BU13*$CV13),"N/A",BT13*$CU13+BU13*$CV13))</f>
        <v>11.434051049978631</v>
      </c>
      <c r="CK13" s="840"/>
      <c r="CL13" s="841">
        <f>IF(CK13="",1,_xll.BDP(CK13&amp;" CURNCY","LAST PRICE"))</f>
        <v>1</v>
      </c>
      <c r="CM13" s="842">
        <v>1</v>
      </c>
      <c r="CN13" s="843">
        <f ca="1">_xll.BDH(B13&amp;" EQUITY","BS_SH_OUT",R13,R13,"EQY_FUND_PER="&amp;CT13,"days=a","fill=p")</f>
        <v>43.185000000000002</v>
      </c>
      <c r="CO13" s="844" t="str">
        <f>_xll.BDP(B13&amp;" EQUITY","EQY_FISCAL_YR_END")</f>
        <v>12/2017</v>
      </c>
      <c r="CP13" s="845">
        <f>DAY(DATE(YEAR(CO13),1+MONTH(CO13),0))</f>
        <v>31</v>
      </c>
      <c r="CQ13" s="844">
        <f>+MONTH(CO13)</f>
        <v>12</v>
      </c>
      <c r="CR13" s="844">
        <f>YEAR(CO13)</f>
        <v>2017</v>
      </c>
      <c r="CS13" s="836">
        <f ca="1">+DATE(CR13,CQ13,CP13)-((CR13-YEAR($R$7)+1)*365)</f>
        <v>43100</v>
      </c>
      <c r="CT13" s="830" t="s">
        <v>866</v>
      </c>
      <c r="CU13" s="846">
        <f ca="1">+MONTH(CS13)/12</f>
        <v>1</v>
      </c>
      <c r="CV13" s="846">
        <f ca="1">1-CU13</f>
        <v>0</v>
      </c>
      <c r="CW13" s="806"/>
    </row>
    <row r="14" spans="1:101" s="847" customFormat="1" ht="11.25" customHeight="1" x14ac:dyDescent="0.25">
      <c r="A14" s="806"/>
      <c r="B14" s="1093" t="s">
        <v>990</v>
      </c>
      <c r="C14" s="816" t="str">
        <f>_xll.BDP($B14&amp;" EQUITY","Name")</f>
        <v>OKTA INC</v>
      </c>
      <c r="D14" s="816"/>
      <c r="E14" s="831">
        <f t="shared" ref="E14" ca="1" si="70">+S14</f>
        <v>58.73</v>
      </c>
      <c r="F14" s="832">
        <f t="shared" ref="F14" ca="1" si="71">S14*CN14</f>
        <v>6401.2176199999994</v>
      </c>
      <c r="G14" s="832">
        <f t="shared" ref="G14" ca="1" si="72">AB14</f>
        <v>6128.7236199999998</v>
      </c>
      <c r="H14" s="833">
        <f t="shared" ref="H14" ca="1" si="73">IF(ISERROR(AB14/BV14),"N/A",AB14/BV14)</f>
        <v>16.778998667393388</v>
      </c>
      <c r="I14" s="833">
        <f t="shared" ref="I14" ca="1" si="74">IF(ISERROR(AB14/BW14),"N/A",AB14/BW14)</f>
        <v>12.552934960343171</v>
      </c>
      <c r="J14" s="833">
        <f ca="1">IF(ISERROR(AB14/BX14),"N/A",AB14/BX14)</f>
        <v>10.012975390670418</v>
      </c>
      <c r="K14" s="833">
        <f t="shared" ref="K14" ca="1" si="75">IF(ISERROR(AB14/BY14),"N/A",AB14/BY14)</f>
        <v>22.787420313495637</v>
      </c>
      <c r="L14" s="833">
        <f t="shared" ref="L14" ca="1" si="76">IF(ISERROR(AB14/BZ14),"N/A",AB14/BZ14)</f>
        <v>16.820114104395376</v>
      </c>
      <c r="M14" s="833">
        <f ca="1">IF(ISERROR(AB14/CA14),"N/A",AB14/CA14)</f>
        <v>13.093930204711553</v>
      </c>
      <c r="N14" s="834">
        <f ca="1">IF(ISERROR(RATE(1,,-BV14,BW14)),"N/A",RATE(1,,-BV14,BW14))</f>
        <v>0.33665941235265401</v>
      </c>
      <c r="O14" s="834">
        <f ca="1">IF(ISERROR(BY14/BV14),"N/A",BY14/BV14)</f>
        <v>0.73632725585248371</v>
      </c>
      <c r="P14" s="1094">
        <f t="shared" ref="P14:P20" ca="1" si="77">IF(ISERROR(-BG14/AC14),"N/A",-BG14/AC14)</f>
        <v>3.4497755980197102E-2</v>
      </c>
      <c r="Q14" s="835"/>
      <c r="R14" s="836">
        <f t="shared" ca="1" si="1"/>
        <v>43433</v>
      </c>
      <c r="S14" s="837">
        <f ca="1">_xll.BDH(B14&amp;" Equity","PX_LAST",R14,R14,"days=a","fill=p")*CL14*CM14</f>
        <v>58.73</v>
      </c>
      <c r="T14" s="838">
        <f ca="1">IF(ISERROR(_xll.BDP(B14&amp;" Equity","BS_ST_BORROW", "EQY_FUND_DT=" &amp;TEXT(R14,"YYYYMMDD"), "EQY_FUND_RELATIVE_PERIOD=-0F"&amp;CT14)+0),_xll.BDP(B14&amp;" Equity","BS_ST_BORROW", "EQY_FUND_DT=" &amp;TEXT(R14,"YYYYMMDD"), "EQY_FUND_RELATIVE_PERIOD=-1F"&amp;CT14),_xll.BDP(B14&amp;" Equity","BS_ST_BORROW", "EQY_FUND_DT=" &amp;TEXT(R14,"YYYYMMDD"), "EQY_FUND_RELATIVE_PERIOD=-0F"&amp;CT14))</f>
        <v>0</v>
      </c>
      <c r="U14" s="838">
        <f ca="1">IF(ISERROR(_xll.BDP(B14&amp;" Equity","BS_LT_BORROW", "EQY_FUND_DT=" &amp;TEXT(R14,"YYYYMMDD"), "EQY_FUND_RELATIVE_PERIOD=-0F"&amp;CT14)+0),_xll.BDP(B14&amp;" Equity","BS_LT_BORROW", "EQY_FUND_DT=" &amp;TEXT(R14,"YYYYMMDD"), "EQY_FUND_RELATIVE_PERIOD=-1F"&amp;CT14),_xll.BDP(B14&amp;" Equity","BS_LT_BORROW", "EQY_FUND_DT=" &amp;TEXT(R14,"YYYYMMDD"), "EQY_FUND_RELATIVE_PERIOD=-0F"&amp;CT14))</f>
        <v>263.762</v>
      </c>
      <c r="V14" s="838">
        <f ca="1">IF(ISERROR(_xll.BDP(B14&amp;" Equity","BS_PFD_EQY", "EQY_FUND_DT=" &amp;TEXT(R14,"YYYYMMDD"),"EQY_FUND_RELATIVE_PERIOD=-0F"&amp;CT14)+0),_xll.BDP(B14&amp;" Equity","BS_PFD_EQY", "EQY_FUND_DT=" &amp;TEXT(R14,"YYYYMMDD"),"EQY_FUND_RELATIVE_PERIOD=-1F"&amp;CT14),_xll.BDP(B14&amp;" Equity","BS_PFD_EQY", "EQY_FUND_DT=" &amp;TEXT(R14,"YYYYMMDD"), "EQY_FUND_RELATIVE_PERIOD=-0F"&amp;CT14))</f>
        <v>0</v>
      </c>
      <c r="W14" s="838">
        <f ca="1">IF(ISERROR(_xll.BDP(B14&amp;" Equity","BS_MINORITY_INT", "EQY_FUND_DT=" &amp;TEXT(R14,"YYYYMMDD"),"EQY_FUND_RELATIVE_PERIOD=-0F"&amp;CT14)+0),_xll.BDP(B14&amp;" Equity","BS_MINORITY_INT", "EQY_FUND_DT=" &amp;TEXT(R14,"YYYYMMDD"),"EQY_FUND_RELATIVE_PERIOD=-1F"&amp;CT14),_xll.BDP(B14&amp;" Equity","BS_MINORITY_INT", "EQY_FUND_DT=" &amp;TEXT(R14,"YYYYMMDD"),"EQY_FUND_RELATIVE_PERIOD=-0F"&amp;CT14))</f>
        <v>0</v>
      </c>
      <c r="X14" s="838">
        <f ca="1">IF(ISERROR(_xll.BDP(B14&amp;" Equity","BS_CASH_NEAR_CASH_ITEM", "EQY_FUND_DT=" &amp;TEXT(R14,"YYYYMMDD"),"EQY_FUND_RELATIVE_PERIOD=-0F"&amp;CT14)+0),_xll.BDP(B14&amp;" Equity","BS_CASH_NEAR_CASH_ITEM", "EQY_FUND_DT=" &amp;TEXT(R14,"YYYYMMDD"),"EQY_FUND_RELATIVE_PERIOD=-1F"&amp;CT14),_xll.BDP(B14&amp;" Equity","BS_CASH_NEAR_CASH_ITEM", "EQY_FUND_DT=" &amp;TEXT(R14,"YYYYMMDD"),"EQY_FUND_RELATIVE_PERIOD=-0F"&amp;CT14))</f>
        <v>192.88200000000001</v>
      </c>
      <c r="Y14" s="838">
        <f ca="1">IF(ISERROR(_xll.BDP(B14&amp;" Equity","BS_MKT_SEC_OTHER_ST_INVEST", "EQY_FUND_DT=" &amp;TEXT(R14,"YYYYMMDD"),"EQY_FUND_RELATIVE_PERIOD=-0F"&amp;CT14)+0),_xll.BDP(B14&amp;" Equity","BS_MKT_SEC_OTHER_ST_INVEST", "EQY_FUND_DT=" &amp;TEXT(R14,"YYYYMMDD"),"EQY_FUND_RELATIVE_PERIOD=-1F"&amp;CT14),_xll.BDP(B14&amp;" Equity","BS_MKT_SEC_OTHER_ST_INVEST", "EQY_FUND_DT=" &amp;TEXT(R14,"YYYYMMDD"),"EQY_FUND_RELATIVE_PERIOD=-0F"&amp;CT14))</f>
        <v>343.37399999999997</v>
      </c>
      <c r="Z14" s="838">
        <f ca="1">IF(ISERROR(_xll.BDP(B14&amp;" Equity","BS_SH_CAP_AND_APIC", "EQY_FUND_DT=" &amp;TEXT(R14,"YYYYMMDD"),"EQY_FUND_RELATIVE_PERIOD=-0F"&amp;CT14)+0),_xll.BDP(B14&amp;" Equity","BS_SH_CAP_AND_APIC", "EQY_FUND_DT=" &amp;TEXT(R14,"YYYYMMDD"),"EQY_FUND_RELATIVE_PERIOD=-1F"&amp;CT14),_xll.BDP(B14&amp;" Equity","BS_SH_CAP_AND_APIC", "EQY_FUND_DT=" &amp;TEXT(R14,"YYYYMMDD"),"EQY_FUND_RELATIVE_PERIOD=-0F"&amp;CT14))</f>
        <v>677.50799999999992</v>
      </c>
      <c r="AA14" s="838">
        <f ca="1">IF(ISERROR(_xll.BDP(B14&amp;" Equity","BS_RETAIN_EARN", "EQY_FUND_DT=" &amp;TEXT(R14,"YYYYMMDD"),"EQY_FUND_RELATIVE_PERIOD=-0F"&amp;CT14)+0),_xll.BDP(B14&amp;" Equity","BS_RETAIN_EARN", "EQY_FUND_DT=" &amp;TEXT(R14,"YYYYMMDD"),"EQY_FUND_RELATIVE_PERIOD=-1F"&amp;CT14),_xll.BDP(B14&amp;" Equity","BS_RETAIN_EARN", "EQY_FUND_DT=" &amp;TEXT(R14,"YYYYMMDD"),"EQY_FUND_RELATIVE_PERIOD=-0F"&amp;CT14))</f>
        <v>-432.363</v>
      </c>
      <c r="AB14" s="838">
        <f ca="1">F14+T14+U14+V14+W14-X14-Y14</f>
        <v>6128.7236199999998</v>
      </c>
      <c r="AC14" s="838">
        <f ca="1">_xll.BDH(B14&amp;" EQUITY","TRAIL_12M_NET_SALES", R14,R14,"days=a","fill=p")</f>
        <v>324.19499999999999</v>
      </c>
      <c r="AD14" s="838">
        <f ca="1">_xll.BDH(B14&amp;" EQUITY","BEST_Sales",R14,R14,"BEST_FPERIOD_OVERRIDE="&amp;RIGHT(YEAR(CS14)+1,2)&amp;"Y", "days=a","fill=p")</f>
        <v>259.83300000000003</v>
      </c>
      <c r="AE14" s="838">
        <f ca="1">_xll.BDH(B14&amp;" EQUITY","BEST_Sales",R14,R14,"BEST_FPERIOD_OVERRIDE="&amp;RIGHT(YEAR(CS14)+2,2)&amp;"Y","days=a","fill=p")</f>
        <v>374.846</v>
      </c>
      <c r="AF14" s="838">
        <f ca="1">_xll.BDH(B14&amp;" EQUITY","BEST_Sales",R14,R14,"BEST_FPERIOD_OVERRIDE="&amp;RIGHT(YEAR(CS14)+3,2)&amp;"Y","days=a","fill=p")</f>
        <v>498.53800000000001</v>
      </c>
      <c r="AG14" s="838">
        <f ca="1">_xll.BDH(B14&amp;" EQUITY","BEST_Sales",R14,R14,"BEST_FPERIOD_OVERRIDE="&amp;RIGHT(YEAR(CS14)+4,2)&amp;"Y","days=a","fill=p")</f>
        <v>622.4</v>
      </c>
      <c r="AH14" s="838">
        <f ca="1">_xll.BDH(B14&amp;" EQUITY","TRAIL_12M_EBITDA",R14,R14,"days=a","fill=p")</f>
        <v>-116.569</v>
      </c>
      <c r="AI14" s="838">
        <f ca="1">_xll.BDH(B14&amp;" EQUITY","BEST_GROSS_MARGIN",R14,R14,"BEST_FPERIOD_OVERRIDE="&amp;RIGHT(YEAR(CS14)+1,2)&amp;"Y", "days=a","fill=p")%*AD14</f>
        <v>186.07420629000003</v>
      </c>
      <c r="AJ14" s="838">
        <f ca="1">_xll.BDH(B14&amp;" EQUITY","BEST_GROSS_MARGIN",R14,R14,"BEST_FPERIOD_OVERRIDE="&amp;RIGHT(YEAR(CS14)+2,2)&amp;"Y", "days=a","fill=p")%*AE14</f>
        <v>276.4864096</v>
      </c>
      <c r="AK14" s="838">
        <f ca="1">_xll.BDH(B14&amp;" EQUITY","BEST_GROSS_MARGIN",R14,R14,"BEST_FPERIOD_OVERRIDE="&amp;RIGHT(YEAR(CS14)+3,2)&amp;"Y", "days=a","fill=p")%*AF14</f>
        <v>372.35803220000003</v>
      </c>
      <c r="AL14" s="838">
        <f ca="1">_xll.BDH(B14&amp;" EQUITY","BEST_GROSS_MARGIN",R14,R14,"BEST_FPERIOD_OVERRIDE="&amp;RIGHT(YEAR(CS14)+4,2)&amp;"Y", "days=a","fill=p")%*AG14</f>
        <v>476.75839999999994</v>
      </c>
      <c r="AM14" s="838">
        <f ca="1">_xll.BDH(B14&amp;" EQUITY","TRAIL_12M_OPER_INC",R14,R14,"days=a","fill=p")</f>
        <v>-123.98099999999999</v>
      </c>
      <c r="AN14" s="838">
        <f ca="1">_xll.BDH(B14&amp;" EQUITY","BEST_EBIT",R14,R14,"BEST_FPERIOD_OVERRIDE="&amp;RIGHT(YEAR(CS14)+1,2)&amp;"Y", "days=a","fill=p")</f>
        <v>-72</v>
      </c>
      <c r="AO14" s="838">
        <f ca="1">_xll.BDH(B14&amp;" EQUITY","BEST_EBIT",R14,R14,"BEST_FPERIOD_OVERRIDE="&amp;RIGHT(YEAR(CS14)+2,2)&amp;"Y", "days=a","fill=p")</f>
        <v>-54</v>
      </c>
      <c r="AP14" s="838">
        <f ca="1">_xll.BDH(B14&amp;" EQUITY","BEST_EBIT",R14,R14,"BEST_FPERIOD_OVERRIDE="&amp;RIGHT(YEAR(CS14)+3,2)&amp;"Y", "days=a","fill=p")</f>
        <v>-22</v>
      </c>
      <c r="AQ14" s="838">
        <f ca="1">_xll.BDH(B14&amp;" EQUITY","BEST_EBIT",R14,R14,"BEST_FPERIOD_OVERRIDE="&amp;RIGHT(YEAR(CS14)+4,2)&amp;"Y", "days=a","fill=p")</f>
        <v>8</v>
      </c>
      <c r="AR14" s="838">
        <f ca="1">_xll.BDH(B14&amp;" EQUITY","TRAIL_12M_EST_COMP_NET_INC_ADJ",R14,R14,"days=a","fill=p")</f>
        <v>-123.625</v>
      </c>
      <c r="AS14" s="838">
        <f ca="1">_xll.BDH(B14&amp;" EQUITY","BEST_NET_INCOME",R14,R14,"BEST_FPERIOD_OVERRIDE="&amp;RIGHT(YEAR(CS14)+1,2)&amp;"Y", "days=a","fill=p")</f>
        <v>-67.772999999999996</v>
      </c>
      <c r="AT14" s="838">
        <f ca="1">_xll.BDH(B14&amp;" EQUITY","BEST_NET_INCOME",R14,R14,"BEST_FPERIOD_OVERRIDE="&amp;RIGHT(YEAR(CS14)+2,2)&amp;"Y", "days=a","fill=p")</f>
        <v>-50.515000000000001</v>
      </c>
      <c r="AU14" s="838">
        <f ca="1">_xll.BDH(B14&amp;" EQUITY","BEST_NET_INCOME",R14,R14,"BEST_FPERIOD_OVERRIDE="&amp;RIGHT(YEAR(CS14)+3,2)&amp;"Y", "days=a","fill=p")</f>
        <v>-33.831000000000003</v>
      </c>
      <c r="AV14" s="838">
        <f ca="1">_xll.BDH(B14&amp;" EQUITY","BEST_NET_INCOME",R14,R14,"BEST_FPERIOD_OVERRIDE="&amp;RIGHT(YEAR(CS14)+4,2)&amp;"Y", "days=a","fill=p")</f>
        <v>-1.7149999999999999</v>
      </c>
      <c r="AW14" s="837">
        <f ca="1">_xll.BDH(B14&amp;" EQUITY","T12M_DIL_EPS_CONT_OPS", R14,R14,"days=a","fill=p")</f>
        <v>-1.21</v>
      </c>
      <c r="AX14" s="837">
        <f ca="1">_xll.BDH(B14&amp;" EQUITY","BEST_EPS",R14,R14,"BEST_FPERIOD_OVERRIDE="&amp;RIGHT(YEAR(CS14)+1,2)&amp;"Y", "days=a","fill=p")</f>
        <v>-0.82499999999999996</v>
      </c>
      <c r="AY14" s="837">
        <f ca="1">_xll.BDH(B14&amp;" EQUITY","BEST_EPS",R14,R14,"BEST_FPERIOD_OVERRIDE="&amp;RIGHT(YEAR(CS14)+2,2)&amp;"Y", "days=a","fill=p")</f>
        <v>-0.47099999999999997</v>
      </c>
      <c r="AZ14" s="837">
        <f ca="1">_xll.BDH(B14&amp;" EQUITY","BEST_EPS",R14,R14,"BEST_FPERIOD_OVERRIDE="&amp;RIGHT(YEAR(CS14)+3,2)&amp;"Y", "days=a","fill=p")</f>
        <v>-0.29699999999999999</v>
      </c>
      <c r="BA14" s="837">
        <f ca="1">_xll.BDH(B14&amp;" EQUITY","BEST_EPS",R14,R14,"BEST_FPERIOD_OVERRIDE="&amp;RIGHT(YEAR(CS14)+4,2)&amp;"Y", "days=a","fill=p")</f>
        <v>-4.9000000000000002E-2</v>
      </c>
      <c r="BB14" s="839">
        <f t="shared" ref="BB14:BB16" ca="1" si="78">+AR14/AW14</f>
        <v>102.16942148760332</v>
      </c>
      <c r="BC14" s="839">
        <f t="shared" ref="BC14:BC16" ca="1" si="79">+AS14/AX14</f>
        <v>82.149090909090916</v>
      </c>
      <c r="BD14" s="839">
        <f t="shared" ref="BD14:BD16" ca="1" si="80">+AT14/AY14</f>
        <v>107.25053078556265</v>
      </c>
      <c r="BE14" s="839">
        <f t="shared" ref="BE14:BE16" ca="1" si="81">+AU14/AZ14</f>
        <v>113.90909090909092</v>
      </c>
      <c r="BF14" s="839">
        <f t="shared" ref="BF14:BF16" ca="1" si="82">+AV14/BA14</f>
        <v>34.999999999999993</v>
      </c>
      <c r="BG14" s="838">
        <f ca="1">_xll.BDH(B14&amp;" EQUITY","TRAIL_12M_CAP_EXPEND", R14,R14,"days=a","fill=p")</f>
        <v>-11.183999999999999</v>
      </c>
      <c r="BH14" s="838">
        <f ca="1">_xll.BDH(B14&amp;" EQUITY","BEST_CAPEX",R14,R14,"BEST_FPERIOD_OVERRIDE="&amp;RIGHT(YEAR(CS14)+1,2)&amp;"Y", "days=a","fill=p")</f>
        <v>-6.5120000000000005</v>
      </c>
      <c r="BI14" s="838">
        <f ca="1">_xll.BDH(B14&amp;" EQUITY","BEST_CAPEX",R14,R14,"BEST_FPERIOD_OVERRIDE="&amp;RIGHT(YEAR(CS14)+2,2)&amp;"Y", "days=a","fill=p")</f>
        <v>-20.25</v>
      </c>
      <c r="BJ14" s="838">
        <f ca="1">_xll.BDH(B14&amp;" EQUITY","BEST_CAPEX",R14,R14,"BEST_FPERIOD_OVERRIDE="&amp;RIGHT(YEAR(CS14)+3,2)&amp;"Y", "days=a","fill=p")</f>
        <v>-15.116</v>
      </c>
      <c r="BK14" s="838">
        <f ca="1">_xll.BDH(B14&amp;" EQUITY","BEST_CAPEX",R14,R14,"BEST_FPERIOD_OVERRIDE="&amp;RIGHT(YEAR(CS14)+4,2)&amp;"Y", "days=a","fill=p")</f>
        <v>-13.08</v>
      </c>
      <c r="BL14" s="838">
        <f t="shared" ref="BL14:BL16" ca="1" si="83">+AH14-AM14</f>
        <v>7.4119999999999919</v>
      </c>
      <c r="BM14" s="838">
        <f t="shared" ref="BM14:BM16" ca="1" si="84">+AI14-AN14</f>
        <v>258.07420629000001</v>
      </c>
      <c r="BN14" s="838">
        <f t="shared" ref="BN14:BN16" ca="1" si="85">+AJ14-AO14</f>
        <v>330.4864096</v>
      </c>
      <c r="BO14" s="838">
        <f t="shared" ref="BO14:BO16" ca="1" si="86">+AK14-AP14</f>
        <v>394.35803220000003</v>
      </c>
      <c r="BP14" s="838">
        <f t="shared" ref="BP14:BP16" ca="1" si="87">+AL14-AQ14</f>
        <v>468.75839999999994</v>
      </c>
      <c r="BQ14" s="837">
        <f t="shared" ref="BQ14:BQ16" ca="1" si="88">(AR14+BL14+BG14)/BB14</f>
        <v>-1.2469190697674417</v>
      </c>
      <c r="BR14" s="837">
        <f t="shared" ref="BR14:BR16" ca="1" si="89">(AS14+BM14+BH14)/BC14</f>
        <v>2.2372640312403167</v>
      </c>
      <c r="BS14" s="837">
        <f t="shared" ref="BS14:BS16" ca="1" si="90">(AT14+BN14+BI14)/BD14</f>
        <v>2.4216328599742649</v>
      </c>
      <c r="BT14" s="837">
        <f t="shared" ref="BT14:BT16" ca="1" si="91">(AU14+BO14+BJ14)/BE14</f>
        <v>3.0323394686352754</v>
      </c>
      <c r="BU14" s="837">
        <f t="shared" ref="BU14:BU16" ca="1" si="92">(AV14+BP14+BK14)/BF14</f>
        <v>12.970382857142859</v>
      </c>
      <c r="BV14" s="838">
        <f ca="1">IF(CQ14=12,AD14,IF(ISERROR(AD14*CU14+AE14*CV14),"N/A",AD14*CU14+AE14*CV14))</f>
        <v>365.26158333333336</v>
      </c>
      <c r="BW14" s="838">
        <f ca="1">IF(CQ14=12,AE14,IF(ISERROR(AE14*CU14+AF14*CV14),"N/A",AE14*CU14+AF14*CV14))</f>
        <v>488.23033333333331</v>
      </c>
      <c r="BX14" s="838">
        <f t="shared" ref="BX14:BX20" ca="1" si="93">IF($CQ14=12,AF14,IF(ISERROR(AF14*$CU14+AG14*$CV14),"N/A",AF14*$CU14+AG14*$CV14))</f>
        <v>612.07816666666668</v>
      </c>
      <c r="BY14" s="838">
        <f ca="1">IF(CQ14=12,AI14,IF(ISERROR(AI14*CU14+AJ14*CV14),"N/A",AI14*CU14+AJ14*CV14))</f>
        <v>268.95205932416667</v>
      </c>
      <c r="BZ14" s="838">
        <f ca="1">IF(CQ14=12,AJ14,IF(ISERROR(AJ14*CU14+AK14*CV14),"N/A",AJ14*CU14+AK14*CV14))</f>
        <v>364.36873031666664</v>
      </c>
      <c r="CA14" s="838">
        <f t="shared" ref="CA14:CA20" ca="1" si="94">IF($CQ14=12,AK14,IF(ISERROR(AK14*$CU14+AL14*$CV14),"N/A",AK14*$CU14+AL14*$CV14))</f>
        <v>468.05836934999991</v>
      </c>
      <c r="CB14" s="838">
        <f ca="1">IF(CQ14=12,AN14,IF(ISERROR(AN14*CU14+AO14*CV14),"N/A",AN14*CU14+AO14*CV14))</f>
        <v>-55.5</v>
      </c>
      <c r="CC14" s="838">
        <f ca="1">IF(CQ14=12,AO14,IF(ISERROR(AO14*CU14+AP14*CV14),"N/A",AO14*CU14+AP14*CV14))</f>
        <v>-24.666666666666664</v>
      </c>
      <c r="CD14" s="838">
        <f t="shared" ref="CD14:CD20" ca="1" si="95">IF($CQ14=12,AP14,IF(ISERROR(AP14*$CU14+AQ14*$CV14),"N/A",AP14*$CU14+AQ14*$CV14))</f>
        <v>5.5</v>
      </c>
      <c r="CE14" s="837">
        <f ca="1">IF(CQ14=12,AX14,IF(ISERROR(AX14*CU14+AY14*CV14),"N/A",AX14*CU14+AY14*CV14))</f>
        <v>-0.50049999999999994</v>
      </c>
      <c r="CF14" s="837">
        <f ca="1">IF(CQ14=12,AY14,IF(ISERROR(AY14*CU14+AZ14*CV14),"N/A",AY14*CU14+AZ14*CV14))</f>
        <v>-0.3115</v>
      </c>
      <c r="CG14" s="837">
        <f t="shared" ref="CG14:CG20" ca="1" si="96">IF($CQ14=12,AZ14,IF(ISERROR(AZ14*$CU14+BA14*$CV14),"N/A",AZ14*$CU14+BA14*$CV14))</f>
        <v>-6.9666666666666668E-2</v>
      </c>
      <c r="CH14" s="837">
        <f ca="1">IF(CQ14=12,BR14,IF(ISERROR(BR14*CU14+BS14*CV14),"N/A",BR14*CU14+BS14*CV14))</f>
        <v>2.4062687909131024</v>
      </c>
      <c r="CI14" s="837">
        <f ca="1">IF(CQ14=12,BS14,IF(ISERROR(BS14*CU14+BT14*CV14),"N/A",BS14*CU14+BT14*CV14))</f>
        <v>2.9814472512468577</v>
      </c>
      <c r="CJ14" s="837">
        <f t="shared" ref="CJ14:CJ20" ca="1" si="97">IF($CQ14=12,BT14,IF(ISERROR(BT14*$CU14+BU14*$CV14),"N/A",BT14*$CU14+BU14*$CV14))</f>
        <v>12.142212574767226</v>
      </c>
      <c r="CK14" s="840"/>
      <c r="CL14" s="841">
        <f>IF(CK14="",1,_xll.BDP(CK14&amp;" CURNCY","LAST PRICE"))</f>
        <v>1</v>
      </c>
      <c r="CM14" s="842">
        <v>1</v>
      </c>
      <c r="CN14" s="843">
        <f ca="1">_xll.BDH(B14&amp;" EQUITY","BS_SH_OUT",R14,R14,"EQY_FUND_PER="&amp;CT14,"days=a","fill=p")</f>
        <v>108.994</v>
      </c>
      <c r="CO14" s="844" t="str">
        <f>_xll.BDP(B14&amp;" EQUITY","EQY_FISCAL_YR_END")</f>
        <v>01/2018</v>
      </c>
      <c r="CP14" s="845">
        <f>DAY(DATE(YEAR(CO14),1+MONTH(CO14),0))</f>
        <v>31</v>
      </c>
      <c r="CQ14" s="844">
        <f>+MONTH(CO14)</f>
        <v>1</v>
      </c>
      <c r="CR14" s="844">
        <f>YEAR(CO14)</f>
        <v>2018</v>
      </c>
      <c r="CS14" s="836">
        <f t="shared" ref="CS14" ca="1" si="98">+DATE(CR14,CQ14,CP14)-((CR14-YEAR($R$7)+1)*365)</f>
        <v>42766</v>
      </c>
      <c r="CT14" s="830" t="s">
        <v>866</v>
      </c>
      <c r="CU14" s="846">
        <f ca="1">+MONTH(CS14)/12</f>
        <v>8.3333333333333329E-2</v>
      </c>
      <c r="CV14" s="846">
        <f ca="1">1-CU14</f>
        <v>0.91666666666666663</v>
      </c>
      <c r="CW14" s="806"/>
    </row>
    <row r="15" spans="1:101" s="847" customFormat="1" ht="11.25" customHeight="1" x14ac:dyDescent="0.25">
      <c r="A15" s="806"/>
      <c r="B15" s="1093" t="s">
        <v>991</v>
      </c>
      <c r="C15" s="816" t="str">
        <f>_xll.BDP($B15&amp;" EQUITY","Name")</f>
        <v>ZENDESK INC</v>
      </c>
      <c r="D15" s="816"/>
      <c r="E15" s="831">
        <f ca="1">+S15</f>
        <v>57.594999999999999</v>
      </c>
      <c r="F15" s="832">
        <f ca="1">S15*CN15</f>
        <v>6102.6970860000001</v>
      </c>
      <c r="G15" s="832">
        <f ca="1">AB15</f>
        <v>6104.0160859999996</v>
      </c>
      <c r="H15" s="833">
        <f ca="1">IF(ISERROR(AB15/BV15),"N/A",AB15/BV15)</f>
        <v>10.308905063408719</v>
      </c>
      <c r="I15" s="833">
        <f ca="1">IF(ISERROR(AB15/BW15),"N/A",AB15/BW15)</f>
        <v>7.8379410897585702</v>
      </c>
      <c r="J15" s="833">
        <f t="shared" ref="J15:J20" ca="1" si="99">IF(ISERROR(AB15/BX15),"N/A",AB15/BX15)</f>
        <v>6.0179118039096604</v>
      </c>
      <c r="K15" s="833">
        <f ca="1">IF(ISERROR(AB15/BY15),"N/A",AB15/BY15)</f>
        <v>14.139219672759182</v>
      </c>
      <c r="L15" s="833">
        <f ca="1">IF(ISERROR(AB15/BZ15),"N/A",AB15/BZ15)</f>
        <v>10.608585316999269</v>
      </c>
      <c r="M15" s="833">
        <f t="shared" ref="M15:M20" ca="1" si="100">IF(ISERROR(AB15/CA15),"N/A",AB15/CA15)</f>
        <v>7.932395444420564</v>
      </c>
      <c r="N15" s="834">
        <f t="shared" ref="N15:N20" ca="1" si="101">IF(ISERROR(RATE(1,,-BV15,BW15)),"N/A",RATE(1,,-BV15,BW15))</f>
        <v>0.31525676773442823</v>
      </c>
      <c r="O15" s="834">
        <f ca="1">IF(ISERROR(BY15/BV15),"N/A",BY15/BV15)</f>
        <v>0.72909999999999997</v>
      </c>
      <c r="P15" s="1094">
        <f t="shared" ca="1" si="77"/>
        <v>6.9150996404977377E-2</v>
      </c>
      <c r="Q15" s="835"/>
      <c r="R15" s="836">
        <f t="shared" ca="1" si="1"/>
        <v>43433</v>
      </c>
      <c r="S15" s="837">
        <f ca="1">_xll.BDH(B15&amp;" Equity","PX_LAST",R15,R15,"days=a","fill=p")*CL15*CM15</f>
        <v>57.594999999999999</v>
      </c>
      <c r="T15" s="838">
        <f ca="1">IF(ISERROR(_xll.BDP(B15&amp;" Equity","BS_ST_BORROW", "EQY_FUND_DT=" &amp;TEXT(R15,"YYYYMMDD"), "EQY_FUND_RELATIVE_PERIOD=-0F"&amp;CT15)+0),_xll.BDP(B15&amp;" Equity","BS_ST_BORROW", "EQY_FUND_DT=" &amp;TEXT(R15,"YYYYMMDD"), "EQY_FUND_RELATIVE_PERIOD=-1F"&amp;CT15),_xll.BDP(B15&amp;" Equity","BS_ST_BORROW", "EQY_FUND_DT=" &amp;TEXT(R15,"YYYYMMDD"), "EQY_FUND_RELATIVE_PERIOD=-0F"&amp;CT15))</f>
        <v>0</v>
      </c>
      <c r="U15" s="838">
        <f ca="1">IF(ISERROR(_xll.BDP(B15&amp;" Equity","BS_LT_BORROW", "EQY_FUND_DT=" &amp;TEXT(R15,"YYYYMMDD"), "EQY_FUND_RELATIVE_PERIOD=-0F"&amp;CT15)+0),_xll.BDP(B15&amp;" Equity","BS_LT_BORROW", "EQY_FUND_DT=" &amp;TEXT(R15,"YYYYMMDD"), "EQY_FUND_RELATIVE_PERIOD=-1F"&amp;CT15),_xll.BDP(B15&amp;" Equity","BS_LT_BORROW", "EQY_FUND_DT=" &amp;TEXT(R15,"YYYYMMDD"), "EQY_FUND_RELATIVE_PERIOD=-0F"&amp;CT15))</f>
        <v>452.07499999999999</v>
      </c>
      <c r="V15" s="838">
        <f ca="1">IF(ISERROR(_xll.BDP(B15&amp;" Equity","BS_PFD_EQY", "EQY_FUND_DT=" &amp;TEXT(R15,"YYYYMMDD"),"EQY_FUND_RELATIVE_PERIOD=-0F"&amp;CT15)+0),_xll.BDP(B15&amp;" Equity","BS_PFD_EQY", "EQY_FUND_DT=" &amp;TEXT(R15,"YYYYMMDD"),"EQY_FUND_RELATIVE_PERIOD=-1F"&amp;CT15),_xll.BDP(B15&amp;" Equity","BS_PFD_EQY", "EQY_FUND_DT=" &amp;TEXT(R15,"YYYYMMDD"), "EQY_FUND_RELATIVE_PERIOD=-0F"&amp;CT15))</f>
        <v>0</v>
      </c>
      <c r="W15" s="838">
        <f ca="1">IF(ISERROR(_xll.BDP(B15&amp;" Equity","BS_MINORITY_INT", "EQY_FUND_DT=" &amp;TEXT(R15,"YYYYMMDD"),"EQY_FUND_RELATIVE_PERIOD=-0F"&amp;CT15)+0),_xll.BDP(B15&amp;" Equity","BS_MINORITY_INT", "EQY_FUND_DT=" &amp;TEXT(R15,"YYYYMMDD"),"EQY_FUND_RELATIVE_PERIOD=-1F"&amp;CT15),_xll.BDP(B15&amp;" Equity","BS_MINORITY_INT", "EQY_FUND_DT=" &amp;TEXT(R15,"YYYYMMDD"),"EQY_FUND_RELATIVE_PERIOD=-0F"&amp;CT15))</f>
        <v>0</v>
      </c>
      <c r="X15" s="838">
        <f ca="1">IF(ISERROR(_xll.BDP(B15&amp;" Equity","BS_CASH_NEAR_CASH_ITEM", "EQY_FUND_DT=" &amp;TEXT(R15,"YYYYMMDD"),"EQY_FUND_RELATIVE_PERIOD=-0F"&amp;CT15)+0),_xll.BDP(B15&amp;" Equity","BS_CASH_NEAR_CASH_ITEM", "EQY_FUND_DT=" &amp;TEXT(R15,"YYYYMMDD"),"EQY_FUND_RELATIVE_PERIOD=-1F"&amp;CT15),_xll.BDP(B15&amp;" Equity","BS_CASH_NEAR_CASH_ITEM", "EQY_FUND_DT=" &amp;TEXT(R15,"YYYYMMDD"),"EQY_FUND_RELATIVE_PERIOD=-0F"&amp;CT15))</f>
        <v>157.15799999999999</v>
      </c>
      <c r="Y15" s="838">
        <f ca="1">IF(ISERROR(_xll.BDP(B15&amp;" Equity","BS_MKT_SEC_OTHER_ST_INVEST", "EQY_FUND_DT=" &amp;TEXT(R15,"YYYYMMDD"),"EQY_FUND_RELATIVE_PERIOD=-0F"&amp;CT15)+0),_xll.BDP(B15&amp;" Equity","BS_MKT_SEC_OTHER_ST_INVEST", "EQY_FUND_DT=" &amp;TEXT(R15,"YYYYMMDD"),"EQY_FUND_RELATIVE_PERIOD=-1F"&amp;CT15),_xll.BDP(B15&amp;" Equity","BS_MKT_SEC_OTHER_ST_INVEST", "EQY_FUND_DT=" &amp;TEXT(R15,"YYYYMMDD"),"EQY_FUND_RELATIVE_PERIOD=-0F"&amp;CT15))</f>
        <v>293.59800000000001</v>
      </c>
      <c r="Z15" s="838">
        <f ca="1">IF(ISERROR(_xll.BDP(B15&amp;" Equity","BS_SH_CAP_AND_APIC", "EQY_FUND_DT=" &amp;TEXT(R15,"YYYYMMDD"),"EQY_FUND_RELATIVE_PERIOD=-0F"&amp;CT15)+0),_xll.BDP(B15&amp;" Equity","BS_SH_CAP_AND_APIC", "EQY_FUND_DT=" &amp;TEXT(R15,"YYYYMMDD"),"EQY_FUND_RELATIVE_PERIOD=-1F"&amp;CT15),_xll.BDP(B15&amp;" Equity","BS_SH_CAP_AND_APIC", "EQY_FUND_DT=" &amp;TEXT(R15,"YYYYMMDD"),"EQY_FUND_RELATIVE_PERIOD=-0F"&amp;CT15))</f>
        <v>906.452</v>
      </c>
      <c r="AA15" s="838">
        <f ca="1">IF(ISERROR(_xll.BDP(B15&amp;" Equity","BS_RETAIN_EARN", "EQY_FUND_DT=" &amp;TEXT(R15,"YYYYMMDD"),"EQY_FUND_RELATIVE_PERIOD=-0F"&amp;CT15)+0),_xll.BDP(B15&amp;" Equity","BS_RETAIN_EARN", "EQY_FUND_DT=" &amp;TEXT(R15,"YYYYMMDD"),"EQY_FUND_RELATIVE_PERIOD=-1F"&amp;CT15),_xll.BDP(B15&amp;" Equity","BS_RETAIN_EARN", "EQY_FUND_DT=" &amp;TEXT(R15,"YYYYMMDD"),"EQY_FUND_RELATIVE_PERIOD=-0F"&amp;CT15))</f>
        <v>-501.67499999999995</v>
      </c>
      <c r="AB15" s="838">
        <f ca="1">F15+T15+U15+V15+W15-X15-Y15</f>
        <v>6104.0160859999996</v>
      </c>
      <c r="AC15" s="838">
        <f ca="1">_xll.BDH(B15&amp;" EQUITY","TRAIL_12M_NET_SALES", R15,R15,"days=a","fill=p")</f>
        <v>549.92700000000002</v>
      </c>
      <c r="AD15" s="838">
        <f ca="1">_xll.BDH(B15&amp;" EQUITY","BEST_Sales",R15,R15,"BEST_FPERIOD_OVERRIDE="&amp;RIGHT(YEAR(CS15)+1,2)&amp;"Y", "days=a","fill=p")</f>
        <v>592.11099999999999</v>
      </c>
      <c r="AE15" s="838">
        <f ca="1">_xll.BDH(B15&amp;" EQUITY","BEST_Sales",R15,R15,"BEST_FPERIOD_OVERRIDE="&amp;RIGHT(YEAR(CS15)+2,2)&amp;"Y","days=a","fill=p")</f>
        <v>778.77800000000002</v>
      </c>
      <c r="AF15" s="838">
        <f ca="1">_xll.BDH(B15&amp;" EQUITY","BEST_Sales",R15,R15,"BEST_FPERIOD_OVERRIDE="&amp;RIGHT(YEAR(CS15)+3,2)&amp;"Y","days=a","fill=p")</f>
        <v>1014.308</v>
      </c>
      <c r="AG15" s="838" t="str">
        <f ca="1">_xll.BDH(B15&amp;" EQUITY","BEST_Sales",R15,R15,"BEST_FPERIOD_OVERRIDE="&amp;RIGHT(YEAR(CS15)+4,2)&amp;"Y","days=a","fill=p")</f>
        <v>#N/A N/A</v>
      </c>
      <c r="AH15" s="838">
        <f ca="1">_xll.BDH(B15&amp;" EQUITY","TRAIL_12M_EBITDA",R15,R15,"days=a","fill=p")</f>
        <v>-95.075000000000003</v>
      </c>
      <c r="AI15" s="838">
        <f ca="1">_xll.BDH(B15&amp;" EQUITY","BEST_GROSS_MARGIN",R15,R15,"BEST_FPERIOD_OVERRIDE="&amp;RIGHT(YEAR(CS15)+1,2)&amp;"Y", "days=a","fill=p")%*AD15</f>
        <v>431.70813009999995</v>
      </c>
      <c r="AJ15" s="838">
        <f ca="1">_xll.BDH(B15&amp;" EQUITY","BEST_GROSS_MARGIN",R15,R15,"BEST_FPERIOD_OVERRIDE="&amp;RIGHT(YEAR(CS15)+2,2)&amp;"Y", "days=a","fill=p")%*AE15</f>
        <v>575.38454974000001</v>
      </c>
      <c r="AK15" s="838">
        <f ca="1">_xll.BDH(B15&amp;" EQUITY","BEST_GROSS_MARGIN",R15,R15,"BEST_FPERIOD_OVERRIDE="&amp;RIGHT(YEAR(CS15)+3,2)&amp;"Y", "days=a","fill=p")%*AF15</f>
        <v>769.50476419999995</v>
      </c>
      <c r="AL15" s="838" t="e">
        <f ca="1">_xll.BDH(B15&amp;" EQUITY","BEST_GROSS_MARGIN",R15,R15,"BEST_FPERIOD_OVERRIDE="&amp;RIGHT(YEAR(CS15)+4,2)&amp;"Y", "days=a","fill=p")%*AG15</f>
        <v>#VALUE!</v>
      </c>
      <c r="AM15" s="838">
        <f ca="1">_xll.BDH(B15&amp;" EQUITY","TRAIL_12M_OPER_INC",R15,R15,"days=a","fill=p")</f>
        <v>-129.93600000000001</v>
      </c>
      <c r="AN15" s="838">
        <f ca="1">_xll.BDH(B15&amp;" EQUITY","BEST_EBIT",R15,R15,"BEST_FPERIOD_OVERRIDE="&amp;RIGHT(YEAR(CS15)+1,2)&amp;"Y", "days=a","fill=p")</f>
        <v>-1.25</v>
      </c>
      <c r="AO15" s="838">
        <f ca="1">_xll.BDH(B15&amp;" EQUITY","BEST_EBIT",R15,R15,"BEST_FPERIOD_OVERRIDE="&amp;RIGHT(YEAR(CS15)+2,2)&amp;"Y", "days=a","fill=p")</f>
        <v>23.75</v>
      </c>
      <c r="AP15" s="838">
        <f ca="1">_xll.BDH(B15&amp;" EQUITY","BEST_EBIT",R15,R15,"BEST_FPERIOD_OVERRIDE="&amp;RIGHT(YEAR(CS15)+3,2)&amp;"Y", "days=a","fill=p")</f>
        <v>90.6</v>
      </c>
      <c r="AQ15" s="838" t="str">
        <f ca="1">_xll.BDH(B15&amp;" EQUITY","BEST_EBIT",R15,R15,"BEST_FPERIOD_OVERRIDE="&amp;RIGHT(YEAR(CS15)+4,2)&amp;"Y", "days=a","fill=p")</f>
        <v>#N/A N/A</v>
      </c>
      <c r="AR15" s="838">
        <f ca="1">_xll.BDH(B15&amp;" EQUITY","TRAIL_12M_EST_COMP_NET_INC_ADJ",R15,R15,"days=a","fill=p")</f>
        <v>-93.725999999999999</v>
      </c>
      <c r="AS15" s="838">
        <f ca="1">_xll.BDH(B15&amp;" EQUITY","BEST_NET_INCOME",R15,R15,"BEST_FPERIOD_OVERRIDE="&amp;RIGHT(YEAR(CS15)+1,2)&amp;"Y", "days=a","fill=p")</f>
        <v>17.646999999999998</v>
      </c>
      <c r="AT15" s="838">
        <f ca="1">_xll.BDH(B15&amp;" EQUITY","BEST_NET_INCOME",R15,R15,"BEST_FPERIOD_OVERRIDE="&amp;RIGHT(YEAR(CS15)+2,2)&amp;"Y", "days=a","fill=p")</f>
        <v>36.247</v>
      </c>
      <c r="AU15" s="838">
        <f ca="1">_xll.BDH(B15&amp;" EQUITY","BEST_NET_INCOME",R15,R15,"BEST_FPERIOD_OVERRIDE="&amp;RIGHT(YEAR(CS15)+3,2)&amp;"Y", "days=a","fill=p")</f>
        <v>94.757999999999996</v>
      </c>
      <c r="AV15" s="838" t="str">
        <f ca="1">_xll.BDH(B15&amp;" EQUITY","BEST_NET_INCOME",R15,R15,"BEST_FPERIOD_OVERRIDE="&amp;RIGHT(YEAR(CS15)+4,2)&amp;"Y", "days=a","fill=p")</f>
        <v>#N/A N/A</v>
      </c>
      <c r="AW15" s="837">
        <f ca="1">_xll.BDH(B15&amp;" EQUITY","T12M_DIL_EPS_CONT_OPS", R15,R15,"days=a","fill=p")</f>
        <v>-1.1448</v>
      </c>
      <c r="AX15" s="837">
        <f ca="1">_xll.BDH(B15&amp;" EQUITY","BEST_EPS",R15,R15,"BEST_FPERIOD_OVERRIDE="&amp;RIGHT(YEAR(CS15)+1,2)&amp;"Y", "days=a","fill=p")</f>
        <v>0.16</v>
      </c>
      <c r="AY15" s="837">
        <f ca="1">_xll.BDH(B15&amp;" EQUITY","BEST_EPS",R15,R15,"BEST_FPERIOD_OVERRIDE="&amp;RIGHT(YEAR(CS15)+2,2)&amp;"Y", "days=a","fill=p")</f>
        <v>0.29599999999999999</v>
      </c>
      <c r="AZ15" s="837">
        <f ca="1">_xll.BDH(B15&amp;" EQUITY","BEST_EPS",R15,R15,"BEST_FPERIOD_OVERRIDE="&amp;RIGHT(YEAR(CS15)+3,2)&amp;"Y", "days=a","fill=p")</f>
        <v>0.73099999999999998</v>
      </c>
      <c r="BA15" s="837" t="str">
        <f ca="1">_xll.BDH(B15&amp;" EQUITY","BEST_EPS",R15,R15,"BEST_FPERIOD_OVERRIDE="&amp;RIGHT(YEAR(CS15)+4,2)&amp;"Y", "days=a","fill=p")</f>
        <v>#N/A N/A</v>
      </c>
      <c r="BB15" s="839">
        <f t="shared" ca="1" si="78"/>
        <v>81.871069182389931</v>
      </c>
      <c r="BC15" s="839">
        <f t="shared" ca="1" si="79"/>
        <v>110.29374999999999</v>
      </c>
      <c r="BD15" s="839">
        <f t="shared" ca="1" si="80"/>
        <v>122.45608108108108</v>
      </c>
      <c r="BE15" s="839">
        <f t="shared" ca="1" si="81"/>
        <v>129.62790697674419</v>
      </c>
      <c r="BF15" s="839" t="e">
        <f t="shared" ca="1" si="82"/>
        <v>#VALUE!</v>
      </c>
      <c r="BG15" s="838">
        <f ca="1">_xll.BDH(B15&amp;" EQUITY","TRAIL_12M_CAP_EXPEND", R15,R15,"days=a","fill=p")</f>
        <v>-38.027999999999999</v>
      </c>
      <c r="BH15" s="838">
        <f ca="1">_xll.BDH(B15&amp;" EQUITY","BEST_CAPEX",R15,R15,"BEST_FPERIOD_OVERRIDE="&amp;RIGHT(YEAR(CS15)+1,2)&amp;"Y", "days=a","fill=p")</f>
        <v>-39.232999999999997</v>
      </c>
      <c r="BI15" s="838">
        <f ca="1">_xll.BDH(B15&amp;" EQUITY","BEST_CAPEX",R15,R15,"BEST_FPERIOD_OVERRIDE="&amp;RIGHT(YEAR(CS15)+2,2)&amp;"Y", "days=a","fill=p")</f>
        <v>-42.744</v>
      </c>
      <c r="BJ15" s="838">
        <f ca="1">_xll.BDH(B15&amp;" EQUITY","BEST_CAPEX",R15,R15,"BEST_FPERIOD_OVERRIDE="&amp;RIGHT(YEAR(CS15)+3,2)&amp;"Y", "days=a","fill=p")</f>
        <v>-49.767000000000003</v>
      </c>
      <c r="BK15" s="838" t="str">
        <f ca="1">_xll.BDH(B15&amp;" EQUITY","BEST_CAPEX",R15,R15,"BEST_FPERIOD_OVERRIDE="&amp;RIGHT(YEAR(CS15)+4,2)&amp;"Y", "days=a","fill=p")</f>
        <v>#N/A N/A</v>
      </c>
      <c r="BL15" s="838">
        <f t="shared" ca="1" si="83"/>
        <v>34.861000000000004</v>
      </c>
      <c r="BM15" s="838">
        <f t="shared" ca="1" si="84"/>
        <v>432.95813009999995</v>
      </c>
      <c r="BN15" s="838">
        <f t="shared" ca="1" si="85"/>
        <v>551.63454974000001</v>
      </c>
      <c r="BO15" s="838">
        <f t="shared" ca="1" si="86"/>
        <v>678.90476419999993</v>
      </c>
      <c r="BP15" s="838" t="e">
        <f t="shared" ca="1" si="87"/>
        <v>#VALUE!</v>
      </c>
      <c r="BQ15" s="837">
        <f t="shared" ca="1" si="88"/>
        <v>-1.1834827731899367</v>
      </c>
      <c r="BR15" s="837">
        <f t="shared" ca="1" si="89"/>
        <v>3.7297864121947071</v>
      </c>
      <c r="BS15" s="837">
        <f t="shared" ca="1" si="90"/>
        <v>4.4516984777509858</v>
      </c>
      <c r="BT15" s="837">
        <f t="shared" ca="1" si="91"/>
        <v>5.5844129638679574</v>
      </c>
      <c r="BU15" s="837" t="e">
        <f t="shared" ca="1" si="92"/>
        <v>#VALUE!</v>
      </c>
      <c r="BV15" s="838">
        <f t="shared" ref="BV15:BV20" ca="1" si="102">IF(CQ15=12,AD15,IF(ISERROR(AD15*CU15+AE15*CV15),"N/A",AD15*CU15+AE15*CV15))</f>
        <v>592.11099999999999</v>
      </c>
      <c r="BW15" s="838">
        <f t="shared" ref="BW15:BW20" ca="1" si="103">IF(CQ15=12,AE15,IF(ISERROR(AE15*CU15+AF15*CV15),"N/A",AE15*CU15+AF15*CV15))</f>
        <v>778.77800000000002</v>
      </c>
      <c r="BX15" s="838">
        <f t="shared" ca="1" si="93"/>
        <v>1014.308</v>
      </c>
      <c r="BY15" s="838">
        <f t="shared" ref="BY15:BY20" ca="1" si="104">IF(CQ15=12,AI15,IF(ISERROR(AI15*CU15+AJ15*CV15),"N/A",AI15*CU15+AJ15*CV15))</f>
        <v>431.70813009999995</v>
      </c>
      <c r="BZ15" s="838">
        <f t="shared" ref="BZ15:BZ20" ca="1" si="105">IF(CQ15=12,AJ15,IF(ISERROR(AJ15*CU15+AK15*CV15),"N/A",AJ15*CU15+AK15*CV15))</f>
        <v>575.38454974000001</v>
      </c>
      <c r="CA15" s="838">
        <f t="shared" ca="1" si="94"/>
        <v>769.50476419999995</v>
      </c>
      <c r="CB15" s="838">
        <f t="shared" ref="CB15:CB20" ca="1" si="106">IF(CQ15=12,AN15,IF(ISERROR(AN15*CU15+AO15*CV15),"N/A",AN15*CU15+AO15*CV15))</f>
        <v>-1.25</v>
      </c>
      <c r="CC15" s="838">
        <f t="shared" ref="CC15:CC20" ca="1" si="107">IF(CQ15=12,AO15,IF(ISERROR(AO15*CU15+AP15*CV15),"N/A",AO15*CU15+AP15*CV15))</f>
        <v>23.75</v>
      </c>
      <c r="CD15" s="838">
        <f t="shared" ca="1" si="95"/>
        <v>90.6</v>
      </c>
      <c r="CE15" s="837">
        <f t="shared" ref="CE15:CE20" ca="1" si="108">IF(CQ15=12,AX15,IF(ISERROR(AX15*CU15+AY15*CV15),"N/A",AX15*CU15+AY15*CV15))</f>
        <v>0.16</v>
      </c>
      <c r="CF15" s="837">
        <f t="shared" ref="CF15:CF20" ca="1" si="109">IF(CQ15=12,AY15,IF(ISERROR(AY15*CU15+AZ15*CV15),"N/A",AY15*CU15+AZ15*CV15))</f>
        <v>0.29599999999999999</v>
      </c>
      <c r="CG15" s="837">
        <f t="shared" ca="1" si="96"/>
        <v>0.73099999999999998</v>
      </c>
      <c r="CH15" s="837">
        <f t="shared" ref="CH15:CH20" ca="1" si="110">IF(CQ15=12,BR15,IF(ISERROR(BR15*CU15+BS15*CV15),"N/A",BR15*CU15+BS15*CV15))</f>
        <v>3.7297864121947071</v>
      </c>
      <c r="CI15" s="837">
        <f t="shared" ref="CI15:CI20" ca="1" si="111">IF(CQ15=12,BS15,IF(ISERROR(BS15*CU15+BT15*CV15),"N/A",BS15*CU15+BT15*CV15))</f>
        <v>4.4516984777509858</v>
      </c>
      <c r="CJ15" s="837">
        <f t="shared" ca="1" si="97"/>
        <v>5.5844129638679574</v>
      </c>
      <c r="CK15" s="840"/>
      <c r="CL15" s="841">
        <f>IF(CK15="",1,_xll.BDP(CK15&amp;" CURNCY","LAST PRICE"))</f>
        <v>1</v>
      </c>
      <c r="CM15" s="842">
        <v>1</v>
      </c>
      <c r="CN15" s="843">
        <f ca="1">_xll.BDH(B15&amp;" EQUITY","BS_SH_OUT",R15,R15,"EQY_FUND_PER="&amp;CT15,"days=a","fill=p")</f>
        <v>105.9588</v>
      </c>
      <c r="CO15" s="844" t="str">
        <f>_xll.BDP(B15&amp;" EQUITY","EQY_FISCAL_YR_END")</f>
        <v>12/2017</v>
      </c>
      <c r="CP15" s="845">
        <f t="shared" ref="CP15:CP20" si="112">DAY(DATE(YEAR(CO15),1+MONTH(CO15),0))</f>
        <v>31</v>
      </c>
      <c r="CQ15" s="844">
        <f t="shared" ref="CQ15:CQ20" si="113">+MONTH(CO15)</f>
        <v>12</v>
      </c>
      <c r="CR15" s="844">
        <f t="shared" ref="CR15:CR20" si="114">YEAR(CO15)</f>
        <v>2017</v>
      </c>
      <c r="CS15" s="836">
        <f ca="1">+DATE(CR15,CQ15,CP15)-((CR15-YEAR($R$7)+1)*365)</f>
        <v>43100</v>
      </c>
      <c r="CT15" s="830" t="s">
        <v>866</v>
      </c>
      <c r="CU15" s="846">
        <f t="shared" ref="CU15:CU20" ca="1" si="115">+MONTH(CS15)/12</f>
        <v>1</v>
      </c>
      <c r="CV15" s="846">
        <f t="shared" ref="CV15:CV20" ca="1" si="116">1-CU15</f>
        <v>0</v>
      </c>
      <c r="CW15" s="806"/>
    </row>
    <row r="16" spans="1:101" s="847" customFormat="1" ht="11.25" customHeight="1" x14ac:dyDescent="0.25">
      <c r="A16" s="806"/>
      <c r="B16" s="1093" t="s">
        <v>992</v>
      </c>
      <c r="C16" s="816" t="str">
        <f>_xll.BDP($B16&amp;" EQUITY","Name")</f>
        <v>YEXT INC</v>
      </c>
      <c r="D16" s="816"/>
      <c r="E16" s="831">
        <f t="shared" ref="E16" ca="1" si="117">+S16</f>
        <v>17.97</v>
      </c>
      <c r="F16" s="832">
        <f t="shared" ref="F16" ca="1" si="118">S16*CN16</f>
        <v>1769.3423729999997</v>
      </c>
      <c r="G16" s="832">
        <f t="shared" ref="G16" ca="1" si="119">AB16</f>
        <v>1644.5233729999998</v>
      </c>
      <c r="H16" s="833">
        <f t="shared" ref="H16" ca="1" si="120">IF(ISERROR(AB16/BV16),"N/A",AB16/BV16)</f>
        <v>7.376611709559854</v>
      </c>
      <c r="I16" s="833">
        <f ca="1">IF(ISERROR(AB16/BW16),"N/A",AB16/BW16)</f>
        <v>5.5896559909361274</v>
      </c>
      <c r="J16" s="833">
        <f t="shared" ca="1" si="99"/>
        <v>4.3664443226520619</v>
      </c>
      <c r="K16" s="833">
        <f t="shared" ref="K16" ca="1" si="121">IF(ISERROR(AB16/BY16),"N/A",AB16/BY16)</f>
        <v>9.7692171829340619</v>
      </c>
      <c r="L16" s="833">
        <f ca="1">IF(ISERROR(AB16/BZ16),"N/A",AB16/BZ16)</f>
        <v>7.3802339830211423</v>
      </c>
      <c r="M16" s="833">
        <f t="shared" ca="1" si="100"/>
        <v>5.7272262898338422</v>
      </c>
      <c r="N16" s="834">
        <f t="shared" ca="1" si="101"/>
        <v>0.31968974862162436</v>
      </c>
      <c r="O16" s="834">
        <f t="shared" ref="O16" ca="1" si="122">IF(ISERROR(BY16/BV16),"N/A",BY16/BV16)</f>
        <v>0.75508728810391545</v>
      </c>
      <c r="P16" s="1094">
        <f t="shared" ca="1" si="77"/>
        <v>2.2619785134706333E-2</v>
      </c>
      <c r="Q16" s="835"/>
      <c r="R16" s="836">
        <f t="shared" ca="1" si="1"/>
        <v>43433</v>
      </c>
      <c r="S16" s="837">
        <f ca="1">_xll.BDH(B16&amp;" Equity","PX_LAST",R16,R16,"days=a","fill=p")*CL16*CM16</f>
        <v>17.97</v>
      </c>
      <c r="T16" s="838">
        <f ca="1">IF(ISERROR(_xll.BDP(B16&amp;" Equity","BS_ST_BORROW", "EQY_FUND_DT=" &amp;TEXT(R16,"YYYYMMDD"), "EQY_FUND_RELATIVE_PERIOD=-0F"&amp;CT16)+0),_xll.BDP(B16&amp;" Equity","BS_ST_BORROW", "EQY_FUND_DT=" &amp;TEXT(R16,"YYYYMMDD"), "EQY_FUND_RELATIVE_PERIOD=-1F"&amp;CT16),_xll.BDP(B16&amp;" Equity","BS_ST_BORROW", "EQY_FUND_DT=" &amp;TEXT(R16,"YYYYMMDD"), "EQY_FUND_RELATIVE_PERIOD=-0F"&amp;CT16))</f>
        <v>0</v>
      </c>
      <c r="U16" s="838">
        <f ca="1">IF(ISERROR(_xll.BDP(B16&amp;" Equity","BS_LT_BORROW", "EQY_FUND_DT=" &amp;TEXT(R16,"YYYYMMDD"), "EQY_FUND_RELATIVE_PERIOD=-0F"&amp;CT16)+0),_xll.BDP(B16&amp;" Equity","BS_LT_BORROW", "EQY_FUND_DT=" &amp;TEXT(R16,"YYYYMMDD"), "EQY_FUND_RELATIVE_PERIOD=-1F"&amp;CT16),_xll.BDP(B16&amp;" Equity","BS_LT_BORROW", "EQY_FUND_DT=" &amp;TEXT(R16,"YYYYMMDD"), "EQY_FUND_RELATIVE_PERIOD=-0F"&amp;CT16))</f>
        <v>0</v>
      </c>
      <c r="V16" s="838">
        <f ca="1">IF(ISERROR(_xll.BDP(B16&amp;" Equity","BS_PFD_EQY", "EQY_FUND_DT=" &amp;TEXT(R16,"YYYYMMDD"),"EQY_FUND_RELATIVE_PERIOD=-0F"&amp;CT16)+0),_xll.BDP(B16&amp;" Equity","BS_PFD_EQY", "EQY_FUND_DT=" &amp;TEXT(R16,"YYYYMMDD"),"EQY_FUND_RELATIVE_PERIOD=-1F"&amp;CT16),_xll.BDP(B16&amp;" Equity","BS_PFD_EQY", "EQY_FUND_DT=" &amp;TEXT(R16,"YYYYMMDD"), "EQY_FUND_RELATIVE_PERIOD=-0F"&amp;CT16))</f>
        <v>0</v>
      </c>
      <c r="W16" s="838">
        <f ca="1">IF(ISERROR(_xll.BDP(B16&amp;" Equity","BS_MINORITY_INT", "EQY_FUND_DT=" &amp;TEXT(R16,"YYYYMMDD"),"EQY_FUND_RELATIVE_PERIOD=-0F"&amp;CT16)+0),_xll.BDP(B16&amp;" Equity","BS_MINORITY_INT", "EQY_FUND_DT=" &amp;TEXT(R16,"YYYYMMDD"),"EQY_FUND_RELATIVE_PERIOD=-1F"&amp;CT16),_xll.BDP(B16&amp;" Equity","BS_MINORITY_INT", "EQY_FUND_DT=" &amp;TEXT(R16,"YYYYMMDD"),"EQY_FUND_RELATIVE_PERIOD=-0F"&amp;CT16))</f>
        <v>0</v>
      </c>
      <c r="X16" s="838">
        <f ca="1">IF(ISERROR(_xll.BDP(B16&amp;" Equity","BS_CASH_NEAR_CASH_ITEM", "EQY_FUND_DT=" &amp;TEXT(R16,"YYYYMMDD"),"EQY_FUND_RELATIVE_PERIOD=-0F"&amp;CT16)+0),_xll.BDP(B16&amp;" Equity","BS_CASH_NEAR_CASH_ITEM", "EQY_FUND_DT=" &amp;TEXT(R16,"YYYYMMDD"),"EQY_FUND_RELATIVE_PERIOD=-1F"&amp;CT16),_xll.BDP(B16&amp;" Equity","BS_CASH_NEAR_CASH_ITEM", "EQY_FUND_DT=" &amp;TEXT(R16,"YYYYMMDD"),"EQY_FUND_RELATIVE_PERIOD=-0F"&amp;CT16))</f>
        <v>47.155000000000001</v>
      </c>
      <c r="Y16" s="838">
        <f ca="1">IF(ISERROR(_xll.BDP(B16&amp;" Equity","BS_MKT_SEC_OTHER_ST_INVEST", "EQY_FUND_DT=" &amp;TEXT(R16,"YYYYMMDD"),"EQY_FUND_RELATIVE_PERIOD=-0F"&amp;CT16)+0),_xll.BDP(B16&amp;" Equity","BS_MKT_SEC_OTHER_ST_INVEST", "EQY_FUND_DT=" &amp;TEXT(R16,"YYYYMMDD"),"EQY_FUND_RELATIVE_PERIOD=-1F"&amp;CT16),_xll.BDP(B16&amp;" Equity","BS_MKT_SEC_OTHER_ST_INVEST", "EQY_FUND_DT=" &amp;TEXT(R16,"YYYYMMDD"),"EQY_FUND_RELATIVE_PERIOD=-0F"&amp;CT16))</f>
        <v>77.664000000000001</v>
      </c>
      <c r="Z16" s="838">
        <f ca="1">IF(ISERROR(_xll.BDP(B16&amp;" Equity","BS_SH_CAP_AND_APIC", "EQY_FUND_DT=" &amp;TEXT(R16,"YYYYMMDD"),"EQY_FUND_RELATIVE_PERIOD=-0F"&amp;CT16)+0),_xll.BDP(B16&amp;" Equity","BS_SH_CAP_AND_APIC", "EQY_FUND_DT=" &amp;TEXT(R16,"YYYYMMDD"),"EQY_FUND_RELATIVE_PERIOD=-1F"&amp;CT16),_xll.BDP(B16&amp;" Equity","BS_SH_CAP_AND_APIC", "EQY_FUND_DT=" &amp;TEXT(R16,"YYYYMMDD"),"EQY_FUND_RELATIVE_PERIOD=-0F"&amp;CT16))</f>
        <v>361.82399999999996</v>
      </c>
      <c r="AA16" s="838">
        <f ca="1">IF(ISERROR(_xll.BDP(B16&amp;" Equity","BS_RETAIN_EARN", "EQY_FUND_DT=" &amp;TEXT(R16,"YYYYMMDD"),"EQY_FUND_RELATIVE_PERIOD=-0F"&amp;CT16)+0),_xll.BDP(B16&amp;" Equity","BS_RETAIN_EARN", "EQY_FUND_DT=" &amp;TEXT(R16,"YYYYMMDD"),"EQY_FUND_RELATIVE_PERIOD=-1F"&amp;CT16),_xll.BDP(B16&amp;" Equity","BS_RETAIN_EARN", "EQY_FUND_DT=" &amp;TEXT(R16,"YYYYMMDD"),"EQY_FUND_RELATIVE_PERIOD=-0F"&amp;CT16))</f>
        <v>-286.21600000000001</v>
      </c>
      <c r="AB16" s="838">
        <f ca="1">F16+T16+U16+V16+W16-X16-Y16</f>
        <v>1644.5233729999998</v>
      </c>
      <c r="AC16" s="838">
        <f ca="1">_xll.BDH(B16&amp;" EQUITY","TRAIL_12M_NET_SALES", R16,R16,"days=a","fill=p")</f>
        <v>198.54300000000001</v>
      </c>
      <c r="AD16" s="838">
        <f ca="1">_xll.BDH(B16&amp;" EQUITY","BEST_Sales",R16,R16,"BEST_FPERIOD_OVERRIDE="&amp;RIGHT(YEAR(CS16)+1,2)&amp;"Y", "days=a","fill=p")</f>
        <v>170</v>
      </c>
      <c r="AE16" s="838">
        <f ca="1">_xll.BDH(B16&amp;" EQUITY","BEST_Sales",R16,R16,"BEST_FPERIOD_OVERRIDE="&amp;RIGHT(YEAR(CS16)+2,2)&amp;"Y","days=a","fill=p")</f>
        <v>227.75</v>
      </c>
      <c r="AF16" s="838">
        <f ca="1">_xll.BDH(B16&amp;" EQUITY","BEST_Sales",R16,R16,"BEST_FPERIOD_OVERRIDE="&amp;RIGHT(YEAR(CS16)+3,2)&amp;"Y","days=a","fill=p")</f>
        <v>300.25</v>
      </c>
      <c r="AG16" s="838">
        <f ca="1">_xll.BDH(B16&amp;" EQUITY","BEST_Sales",R16,R16,"BEST_FPERIOD_OVERRIDE="&amp;RIGHT(YEAR(CS16)+4,2)&amp;"Y","days=a","fill=p")</f>
        <v>383.57100000000003</v>
      </c>
      <c r="AH16" s="838">
        <f ca="1">_xll.BDH(B16&amp;" EQUITY","TRAIL_12M_EBITDA",R16,R16,"days=a","fill=p")</f>
        <v>-68.009</v>
      </c>
      <c r="AI16" s="838">
        <f ca="1">_xll.BDH(B16&amp;" EQUITY","BEST_GROSS_MARGIN",R16,R16,"BEST_FPERIOD_OVERRIDE="&amp;RIGHT(YEAR(CS16)+1,2)&amp;"Y", "days=a","fill=p")%*AD16</f>
        <v>126.90500000000002</v>
      </c>
      <c r="AJ16" s="838">
        <f ca="1">_xll.BDH(B16&amp;" EQUITY","BEST_GROSS_MARGIN",R16,R16,"BEST_FPERIOD_OVERRIDE="&amp;RIGHT(YEAR(CS16)+2,2)&amp;"Y", "days=a","fill=p")%*AE16</f>
        <v>172.10384249999998</v>
      </c>
      <c r="AK16" s="838">
        <f ca="1">_xll.BDH(B16&amp;" EQUITY","BEST_GROSS_MARGIN",R16,R16,"BEST_FPERIOD_OVERRIDE="&amp;RIGHT(YEAR(CS16)+3,2)&amp;"Y", "days=a","fill=p")%*AF16</f>
        <v>227.43937499999998</v>
      </c>
      <c r="AL16" s="838">
        <f ca="1">_xll.BDH(B16&amp;" EQUITY","BEST_GROSS_MARGIN",R16,R16,"BEST_FPERIOD_OVERRIDE="&amp;RIGHT(YEAR(CS16)+4,2)&amp;"Y", "days=a","fill=p")%*AG16</f>
        <v>292.56878025000003</v>
      </c>
      <c r="AM16" s="838">
        <f ca="1">_xll.BDH(B16&amp;" EQUITY","TRAIL_12M_OPER_INC",R16,R16,"days=a","fill=p")</f>
        <v>-73.944000000000003</v>
      </c>
      <c r="AN16" s="838">
        <f ca="1">_xll.BDH(B16&amp;" EQUITY","BEST_EBIT",R16,R16,"BEST_FPERIOD_OVERRIDE="&amp;RIGHT(YEAR(CS16)+1,2)&amp;"Y", "days=a","fill=p")</f>
        <v>-45</v>
      </c>
      <c r="AO16" s="838">
        <f ca="1">_xll.BDH(B16&amp;" EQUITY","BEST_EBIT",R16,R16,"BEST_FPERIOD_OVERRIDE="&amp;RIGHT(YEAR(CS16)+2,2)&amp;"Y", "days=a","fill=p")</f>
        <v>-41.2</v>
      </c>
      <c r="AP16" s="838">
        <f ca="1">_xll.BDH(B16&amp;" EQUITY","BEST_EBIT",R16,R16,"BEST_FPERIOD_OVERRIDE="&amp;RIGHT(YEAR(CS16)+3,2)&amp;"Y", "days=a","fill=p")</f>
        <v>-36.5</v>
      </c>
      <c r="AQ16" s="838">
        <f ca="1">_xll.BDH(B16&amp;" EQUITY","BEST_EBIT",R16,R16,"BEST_FPERIOD_OVERRIDE="&amp;RIGHT(YEAR(CS16)+4,2)&amp;"Y", "days=a","fill=p")</f>
        <v>-28</v>
      </c>
      <c r="AR16" s="838">
        <f ca="1">_xll.BDH(B16&amp;" EQUITY","TRAIL_12M_EST_COMP_NET_INC_ADJ",R16,R16,"days=a","fill=p")</f>
        <v>-73.292000000000002</v>
      </c>
      <c r="AS16" s="838">
        <f ca="1">_xll.BDH(B16&amp;" EQUITY","BEST_NET_INCOME",R16,R16,"BEST_FPERIOD_OVERRIDE="&amp;RIGHT(YEAR(CS16)+1,2)&amp;"Y", "days=a","fill=p")</f>
        <v>-45.14</v>
      </c>
      <c r="AT16" s="838">
        <f ca="1">_xll.BDH(B16&amp;" EQUITY","BEST_NET_INCOME",R16,R16,"BEST_FPERIOD_OVERRIDE="&amp;RIGHT(YEAR(CS16)+2,2)&amp;"Y", "days=a","fill=p")</f>
        <v>-41.411999999999999</v>
      </c>
      <c r="AU16" s="838">
        <f ca="1">_xll.BDH(B16&amp;" EQUITY","BEST_NET_INCOME",R16,R16,"BEST_FPERIOD_OVERRIDE="&amp;RIGHT(YEAR(CS16)+3,2)&amp;"Y", "days=a","fill=p")</f>
        <v>-39.375</v>
      </c>
      <c r="AV16" s="838">
        <f ca="1">_xll.BDH(B16&amp;" EQUITY","BEST_NET_INCOME",R16,R16,"BEST_FPERIOD_OVERRIDE="&amp;RIGHT(YEAR(CS16)+4,2)&amp;"Y", "days=a","fill=p")</f>
        <v>-31.667000000000002</v>
      </c>
      <c r="AW16" s="837">
        <f ca="1">_xll.BDH(B16&amp;" EQUITY","T12M_DIL_EPS_CONT_OPS", R16,R16,"days=a","fill=p")</f>
        <v>-0.78</v>
      </c>
      <c r="AX16" s="837">
        <f ca="1">_xll.BDH(B16&amp;" EQUITY","BEST_EPS",R16,R16,"BEST_FPERIOD_OVERRIDE="&amp;RIGHT(YEAR(CS16)+1,2)&amp;"Y", "days=a","fill=p")</f>
        <v>-0.49399999999999999</v>
      </c>
      <c r="AY16" s="837">
        <f ca="1">_xll.BDH(B16&amp;" EQUITY","BEST_EPS",R16,R16,"BEST_FPERIOD_OVERRIDE="&amp;RIGHT(YEAR(CS16)+2,2)&amp;"Y", "days=a","fill=p")</f>
        <v>-0.42</v>
      </c>
      <c r="AZ16" s="837">
        <f ca="1">_xll.BDH(B16&amp;" EQUITY","BEST_EPS",R16,R16,"BEST_FPERIOD_OVERRIDE="&amp;RIGHT(YEAR(CS16)+3,2)&amp;"Y", "days=a","fill=p")</f>
        <v>-0.38200000000000001</v>
      </c>
      <c r="BA16" s="837">
        <f ca="1">_xll.BDH(B16&amp;" EQUITY","BEST_EPS",R16,R16,"BEST_FPERIOD_OVERRIDE="&amp;RIGHT(YEAR(CS16)+4,2)&amp;"Y", "days=a","fill=p")</f>
        <v>-0.31900000000000001</v>
      </c>
      <c r="BB16" s="839">
        <f t="shared" ca="1" si="78"/>
        <v>93.964102564102561</v>
      </c>
      <c r="BC16" s="839">
        <f t="shared" ca="1" si="79"/>
        <v>91.376518218623488</v>
      </c>
      <c r="BD16" s="839">
        <f t="shared" ca="1" si="80"/>
        <v>98.6</v>
      </c>
      <c r="BE16" s="839">
        <f t="shared" ca="1" si="81"/>
        <v>103.07591623036649</v>
      </c>
      <c r="BF16" s="839">
        <f t="shared" ca="1" si="82"/>
        <v>99.269592476489038</v>
      </c>
      <c r="BG16" s="838">
        <f ca="1">_xll.BDH(B16&amp;" EQUITY","TRAIL_12M_CAP_EXPEND", R16,R16,"days=a","fill=p")</f>
        <v>-4.4909999999999997</v>
      </c>
      <c r="BH16" s="838">
        <f ca="1">_xll.BDH(B16&amp;" EQUITY","BEST_CAPEX",R16,R16,"BEST_FPERIOD_OVERRIDE="&amp;RIGHT(YEAR(CS16)+1,2)&amp;"Y", "days=a","fill=p")</f>
        <v>-3.6749999999999998</v>
      </c>
      <c r="BI16" s="838">
        <f ca="1">_xll.BDH(B16&amp;" EQUITY","BEST_CAPEX",R16,R16,"BEST_FPERIOD_OVERRIDE="&amp;RIGHT(YEAR(CS16)+2,2)&amp;"Y", "days=a","fill=p")</f>
        <v>-5.72</v>
      </c>
      <c r="BJ16" s="838">
        <f ca="1">_xll.BDH(B16&amp;" EQUITY","BEST_CAPEX",R16,R16,"BEST_FPERIOD_OVERRIDE="&amp;RIGHT(YEAR(CS16)+3,2)&amp;"Y", "days=a","fill=p")</f>
        <v>-6.6970000000000001</v>
      </c>
      <c r="BK16" s="838">
        <f ca="1">_xll.BDH(B16&amp;" EQUITY","BEST_CAPEX",R16,R16,"BEST_FPERIOD_OVERRIDE="&amp;RIGHT(YEAR(CS16)+4,2)&amp;"Y", "days=a","fill=p")</f>
        <v>-5.8</v>
      </c>
      <c r="BL16" s="838">
        <f t="shared" ca="1" si="83"/>
        <v>5.9350000000000023</v>
      </c>
      <c r="BM16" s="838">
        <f t="shared" ca="1" si="84"/>
        <v>171.90500000000003</v>
      </c>
      <c r="BN16" s="838">
        <f t="shared" ca="1" si="85"/>
        <v>213.30384249999997</v>
      </c>
      <c r="BO16" s="838">
        <f t="shared" ca="1" si="86"/>
        <v>263.93937499999998</v>
      </c>
      <c r="BP16" s="838">
        <f t="shared" ca="1" si="87"/>
        <v>320.56878025000003</v>
      </c>
      <c r="BQ16" s="837">
        <f t="shared" ca="1" si="88"/>
        <v>-0.76463242918736019</v>
      </c>
      <c r="BR16" s="837">
        <f t="shared" ca="1" si="89"/>
        <v>1.3470638015064247</v>
      </c>
      <c r="BS16" s="837">
        <f t="shared" ca="1" si="90"/>
        <v>1.6853128042596346</v>
      </c>
      <c r="BT16" s="837">
        <f t="shared" ca="1" si="91"/>
        <v>2.1136593587301586</v>
      </c>
      <c r="BU16" s="837">
        <f t="shared" ca="1" si="92"/>
        <v>2.8518479142245869</v>
      </c>
      <c r="BV16" s="838">
        <f t="shared" ca="1" si="102"/>
        <v>222.93749999999997</v>
      </c>
      <c r="BW16" s="838">
        <f t="shared" ca="1" si="103"/>
        <v>294.20833333333331</v>
      </c>
      <c r="BX16" s="838">
        <f t="shared" ca="1" si="93"/>
        <v>376.62758333333335</v>
      </c>
      <c r="BY16" s="838">
        <f t="shared" ca="1" si="104"/>
        <v>168.33727229166664</v>
      </c>
      <c r="BZ16" s="838">
        <f t="shared" ca="1" si="105"/>
        <v>222.82808062499998</v>
      </c>
      <c r="CA16" s="838">
        <f t="shared" ca="1" si="94"/>
        <v>287.14132981249998</v>
      </c>
      <c r="CB16" s="838">
        <f t="shared" ca="1" si="106"/>
        <v>-41.516666666666666</v>
      </c>
      <c r="CC16" s="838">
        <f t="shared" ca="1" si="107"/>
        <v>-36.891666666666666</v>
      </c>
      <c r="CD16" s="838">
        <f t="shared" ca="1" si="95"/>
        <v>-28.708333333333332</v>
      </c>
      <c r="CE16" s="837">
        <f t="shared" ca="1" si="108"/>
        <v>-0.42616666666666664</v>
      </c>
      <c r="CF16" s="837">
        <f t="shared" ca="1" si="109"/>
        <v>-0.38516666666666666</v>
      </c>
      <c r="CG16" s="837">
        <f t="shared" ca="1" si="96"/>
        <v>-0.32424999999999998</v>
      </c>
      <c r="CH16" s="837">
        <f t="shared" ca="1" si="110"/>
        <v>1.6571253873635337</v>
      </c>
      <c r="CI16" s="837">
        <f t="shared" ca="1" si="111"/>
        <v>2.0779638125242816</v>
      </c>
      <c r="CJ16" s="837">
        <f t="shared" ca="1" si="97"/>
        <v>2.7903322012667178</v>
      </c>
      <c r="CK16" s="840"/>
      <c r="CL16" s="841">
        <f>IF(CK16="",1,_xll.BDP(CK16&amp;" CURNCY","LAST PRICE"))</f>
        <v>1</v>
      </c>
      <c r="CM16" s="842">
        <v>1</v>
      </c>
      <c r="CN16" s="843">
        <f ca="1">_xll.BDH(B16&amp;" EQUITY","BS_SH_OUT",R16,R16,"EQY_FUND_PER="&amp;CT16,"days=a","fill=p")</f>
        <v>98.460899999999995</v>
      </c>
      <c r="CO16" s="844" t="str">
        <f>_xll.BDP(B16&amp;" EQUITY","EQY_FISCAL_YR_END")</f>
        <v>01/2018</v>
      </c>
      <c r="CP16" s="845">
        <f t="shared" si="112"/>
        <v>31</v>
      </c>
      <c r="CQ16" s="844">
        <f t="shared" si="113"/>
        <v>1</v>
      </c>
      <c r="CR16" s="844">
        <f t="shared" si="114"/>
        <v>2018</v>
      </c>
      <c r="CS16" s="836">
        <f t="shared" ref="CS16" ca="1" si="123">+DATE(CR16,CQ16,CP16)-((CR16-YEAR($R$7)+1)*365)</f>
        <v>42766</v>
      </c>
      <c r="CT16" s="830" t="s">
        <v>866</v>
      </c>
      <c r="CU16" s="846">
        <f t="shared" ca="1" si="115"/>
        <v>8.3333333333333329E-2</v>
      </c>
      <c r="CV16" s="846">
        <f t="shared" ca="1" si="116"/>
        <v>0.91666666666666663</v>
      </c>
      <c r="CW16" s="806"/>
    </row>
    <row r="17" spans="1:101" s="847" customFormat="1" ht="11.25" customHeight="1" x14ac:dyDescent="0.25">
      <c r="A17" s="806"/>
      <c r="B17" s="1093" t="s">
        <v>993</v>
      </c>
      <c r="C17" s="816" t="str">
        <f>_xll.BDP($B17&amp;" EQUITY","Name")</f>
        <v>HUBSPOT INC</v>
      </c>
      <c r="D17" s="816"/>
      <c r="E17" s="831">
        <f ca="1">+S17</f>
        <v>131.09970000000001</v>
      </c>
      <c r="F17" s="832">
        <f ca="1">S17*CN17</f>
        <v>5143.3427603100008</v>
      </c>
      <c r="G17" s="832">
        <f ca="1">AB17</f>
        <v>4895.6047603100005</v>
      </c>
      <c r="H17" s="833">
        <f ca="1">IF(ISERROR(AB17/BV17),"N/A",AB17/BV17)</f>
        <v>9.6740949274285519</v>
      </c>
      <c r="I17" s="833">
        <f ca="1">IF(ISERROR(AB17/BW17),"N/A",AB17/BW17)</f>
        <v>7.7051484498904577</v>
      </c>
      <c r="J17" s="833">
        <f t="shared" ca="1" si="99"/>
        <v>6.3132029070803597</v>
      </c>
      <c r="K17" s="833">
        <f ca="1">IF(ISERROR(AB17/BY17),"N/A",AB17/BY17)</f>
        <v>11.87413458295924</v>
      </c>
      <c r="L17" s="833">
        <f ca="1">IF(ISERROR(AB17/BZ17),"N/A",AB17/BZ17)</f>
        <v>9.4051247481116373</v>
      </c>
      <c r="M17" s="833">
        <f t="shared" ca="1" si="100"/>
        <v>7.6543155313235607</v>
      </c>
      <c r="N17" s="834">
        <f t="shared" ca="1" si="101"/>
        <v>0.25553647542846303</v>
      </c>
      <c r="O17" s="834">
        <f ca="1">IF(ISERROR(BY17/BV17),"N/A",BY17/BV17)</f>
        <v>0.81471999999999989</v>
      </c>
      <c r="P17" s="1094">
        <f t="shared" ca="1" si="77"/>
        <v>4.6004302848165819E-2</v>
      </c>
      <c r="Q17" s="835"/>
      <c r="R17" s="836">
        <f t="shared" ca="1" si="1"/>
        <v>43433</v>
      </c>
      <c r="S17" s="837">
        <f ca="1">_xll.BDH(B17&amp;" Equity","PX_LAST",R17,R17,"days=a","fill=p")*CL17*CM17</f>
        <v>131.09970000000001</v>
      </c>
      <c r="T17" s="838">
        <f ca="1">IF(ISERROR(_xll.BDP(B17&amp;" Equity","BS_ST_BORROW", "EQY_FUND_DT=" &amp;TEXT(R17,"YYYYMMDD"), "EQY_FUND_RELATIVE_PERIOD=-0F"&amp;CT17)+0),_xll.BDP(B17&amp;" Equity","BS_ST_BORROW", "EQY_FUND_DT=" &amp;TEXT(R17,"YYYYMMDD"), "EQY_FUND_RELATIVE_PERIOD=-1F"&amp;CT17),_xll.BDP(B17&amp;" Equity","BS_ST_BORROW", "EQY_FUND_DT=" &amp;TEXT(R17,"YYYYMMDD"), "EQY_FUND_RELATIVE_PERIOD=-0F"&amp;CT17))</f>
        <v>0</v>
      </c>
      <c r="U17" s="838">
        <f ca="1">IF(ISERROR(_xll.BDP(B17&amp;" Equity","BS_LT_BORROW", "EQY_FUND_DT=" &amp;TEXT(R17,"YYYYMMDD"), "EQY_FUND_RELATIVE_PERIOD=-0F"&amp;CT17)+0),_xll.BDP(B17&amp;" Equity","BS_LT_BORROW", "EQY_FUND_DT=" &amp;TEXT(R17,"YYYYMMDD"), "EQY_FUND_RELATIVE_PERIOD=-1F"&amp;CT17),_xll.BDP(B17&amp;" Equity","BS_LT_BORROW", "EQY_FUND_DT=" &amp;TEXT(R17,"YYYYMMDD"), "EQY_FUND_RELATIVE_PERIOD=-0F"&amp;CT17))</f>
        <v>313.55</v>
      </c>
      <c r="V17" s="838">
        <f ca="1">IF(ISERROR(_xll.BDP(B17&amp;" Equity","BS_PFD_EQY", "EQY_FUND_DT=" &amp;TEXT(R17,"YYYYMMDD"),"EQY_FUND_RELATIVE_PERIOD=-0F"&amp;CT17)+0),_xll.BDP(B17&amp;" Equity","BS_PFD_EQY", "EQY_FUND_DT=" &amp;TEXT(R17,"YYYYMMDD"),"EQY_FUND_RELATIVE_PERIOD=-1F"&amp;CT17),_xll.BDP(B17&amp;" Equity","BS_PFD_EQY", "EQY_FUND_DT=" &amp;TEXT(R17,"YYYYMMDD"), "EQY_FUND_RELATIVE_PERIOD=-0F"&amp;CT17))</f>
        <v>0</v>
      </c>
      <c r="W17" s="838">
        <f ca="1">IF(ISERROR(_xll.BDP(B17&amp;" Equity","BS_MINORITY_INT", "EQY_FUND_DT=" &amp;TEXT(R17,"YYYYMMDD"),"EQY_FUND_RELATIVE_PERIOD=-0F"&amp;CT17)+0),_xll.BDP(B17&amp;" Equity","BS_MINORITY_INT", "EQY_FUND_DT=" &amp;TEXT(R17,"YYYYMMDD"),"EQY_FUND_RELATIVE_PERIOD=-1F"&amp;CT17),_xll.BDP(B17&amp;" Equity","BS_MINORITY_INT", "EQY_FUND_DT=" &amp;TEXT(R17,"YYYYMMDD"),"EQY_FUND_RELATIVE_PERIOD=-0F"&amp;CT17))</f>
        <v>0</v>
      </c>
      <c r="X17" s="838">
        <f ca="1">IF(ISERROR(_xll.BDP(B17&amp;" Equity","BS_CASH_NEAR_CASH_ITEM", "EQY_FUND_DT=" &amp;TEXT(R17,"YYYYMMDD"),"EQY_FUND_RELATIVE_PERIOD=-0F"&amp;CT17)+0),_xll.BDP(B17&amp;" Equity","BS_CASH_NEAR_CASH_ITEM", "EQY_FUND_DT=" &amp;TEXT(R17,"YYYYMMDD"),"EQY_FUND_RELATIVE_PERIOD=-1F"&amp;CT17),_xll.BDP(B17&amp;" Equity","BS_CASH_NEAR_CASH_ITEM", "EQY_FUND_DT=" &amp;TEXT(R17,"YYYYMMDD"),"EQY_FUND_RELATIVE_PERIOD=-0F"&amp;CT17))</f>
        <v>96.122</v>
      </c>
      <c r="Y17" s="838">
        <f ca="1">IF(ISERROR(_xll.BDP(B17&amp;" Equity","BS_MKT_SEC_OTHER_ST_INVEST", "EQY_FUND_DT=" &amp;TEXT(R17,"YYYYMMDD"),"EQY_FUND_RELATIVE_PERIOD=-0F"&amp;CT17)+0),_xll.BDP(B17&amp;" Equity","BS_MKT_SEC_OTHER_ST_INVEST", "EQY_FUND_DT=" &amp;TEXT(R17,"YYYYMMDD"),"EQY_FUND_RELATIVE_PERIOD=-1F"&amp;CT17),_xll.BDP(B17&amp;" Equity","BS_MKT_SEC_OTHER_ST_INVEST", "EQY_FUND_DT=" &amp;TEXT(R17,"YYYYMMDD"),"EQY_FUND_RELATIVE_PERIOD=-0F"&amp;CT17))</f>
        <v>465.166</v>
      </c>
      <c r="Z17" s="838">
        <f ca="1">IF(ISERROR(_xll.BDP(B17&amp;" Equity","BS_SH_CAP_AND_APIC", "EQY_FUND_DT=" &amp;TEXT(R17,"YYYYMMDD"),"EQY_FUND_RELATIVE_PERIOD=-0F"&amp;CT17)+0),_xll.BDP(B17&amp;" Equity","BS_SH_CAP_AND_APIC", "EQY_FUND_DT=" &amp;TEXT(R17,"YYYYMMDD"),"EQY_FUND_RELATIVE_PERIOD=-1F"&amp;CT17),_xll.BDP(B17&amp;" Equity","BS_SH_CAP_AND_APIC", "EQY_FUND_DT=" &amp;TEXT(R17,"YYYYMMDD"),"EQY_FUND_RELATIVE_PERIOD=-0F"&amp;CT17))</f>
        <v>563.07399999999996</v>
      </c>
      <c r="AA17" s="838">
        <f ca="1">IF(ISERROR(_xll.BDP(B17&amp;" Equity","BS_RETAIN_EARN", "EQY_FUND_DT=" &amp;TEXT(R17,"YYYYMMDD"),"EQY_FUND_RELATIVE_PERIOD=-0F"&amp;CT17)+0),_xll.BDP(B17&amp;" Equity","BS_RETAIN_EARN", "EQY_FUND_DT=" &amp;TEXT(R17,"YYYYMMDD"),"EQY_FUND_RELATIVE_PERIOD=-1F"&amp;CT17),_xll.BDP(B17&amp;" Equity","BS_RETAIN_EARN", "EQY_FUND_DT=" &amp;TEXT(R17,"YYYYMMDD"),"EQY_FUND_RELATIVE_PERIOD=-0F"&amp;CT17))</f>
        <v>-333.661</v>
      </c>
      <c r="AB17" s="838">
        <f ca="1">F17+T17+U17+V17+W17-X17-Y17</f>
        <v>4895.6047603100005</v>
      </c>
      <c r="AC17" s="838">
        <f ca="1">_xll.BDH(B17&amp;" EQUITY","TRAIL_12M_NET_SALES", R17,R17,"days=a","fill=p")</f>
        <v>475.49900000000002</v>
      </c>
      <c r="AD17" s="838">
        <f ca="1">_xll.BDH(B17&amp;" EQUITY","BEST_Sales",R17,R17,"BEST_FPERIOD_OVERRIDE="&amp;RIGHT(YEAR(CS17)+1,2)&amp;"Y", "days=a","fill=p")</f>
        <v>506.053</v>
      </c>
      <c r="AE17" s="838">
        <f ca="1">_xll.BDH(B17&amp;" EQUITY","BEST_Sales",R17,R17,"BEST_FPERIOD_OVERRIDE="&amp;RIGHT(YEAR(CS17)+2,2)&amp;"Y","days=a","fill=p")</f>
        <v>635.36800000000005</v>
      </c>
      <c r="AF17" s="838">
        <f ca="1">_xll.BDH(B17&amp;" EQUITY","BEST_Sales",R17,R17,"BEST_FPERIOD_OVERRIDE="&amp;RIGHT(YEAR(CS17)+3,2)&amp;"Y","days=a","fill=p")</f>
        <v>775.45500000000004</v>
      </c>
      <c r="AG17" s="838">
        <f ca="1">_xll.BDH(B17&amp;" EQUITY","BEST_Sales",R17,R17,"BEST_FPERIOD_OVERRIDE="&amp;RIGHT(YEAR(CS17)+4,2)&amp;"Y","days=a","fill=p")</f>
        <v>947.5</v>
      </c>
      <c r="AH17" s="838">
        <f ca="1">_xll.BDH(B17&amp;" EQUITY","TRAIL_12M_EBITDA",R17,R17,"days=a","fill=p")</f>
        <v>-28.657</v>
      </c>
      <c r="AI17" s="838">
        <f ca="1">_xll.BDH(B17&amp;" EQUITY","BEST_GROSS_MARGIN",R17,R17,"BEST_FPERIOD_OVERRIDE="&amp;RIGHT(YEAR(CS17)+1,2)&amp;"Y", "days=a","fill=p")%*AD17</f>
        <v>412.29150015999994</v>
      </c>
      <c r="AJ17" s="838">
        <f ca="1">_xll.BDH(B17&amp;" EQUITY","BEST_GROSS_MARGIN",R17,R17,"BEST_FPERIOD_OVERRIDE="&amp;RIGHT(YEAR(CS17)+2,2)&amp;"Y", "days=a","fill=p")%*AE17</f>
        <v>520.52523399999995</v>
      </c>
      <c r="AK17" s="838">
        <f ca="1">_xll.BDH(B17&amp;" EQUITY","BEST_GROSS_MARGIN",R17,R17,"BEST_FPERIOD_OVERRIDE="&amp;RIGHT(YEAR(CS17)+3,2)&amp;"Y", "days=a","fill=p")%*AF17</f>
        <v>639.58752945000003</v>
      </c>
      <c r="AL17" s="838">
        <f ca="1">_xll.BDH(B17&amp;" EQUITY","BEST_GROSS_MARGIN",R17,R17,"BEST_FPERIOD_OVERRIDE="&amp;RIGHT(YEAR(CS17)+4,2)&amp;"Y", "days=a","fill=p")%*AG17</f>
        <v>780.74</v>
      </c>
      <c r="AM17" s="838">
        <f ca="1">_xll.BDH(B17&amp;" EQUITY","TRAIL_12M_OPER_INC",R17,R17,"days=a","fill=p")</f>
        <v>-49.859000000000002</v>
      </c>
      <c r="AN17" s="838">
        <f ca="1">_xll.BDH(B17&amp;" EQUITY","BEST_EBIT",R17,R17,"BEST_FPERIOD_OVERRIDE="&amp;RIGHT(YEAR(CS17)+1,2)&amp;"Y", "days=a","fill=p")</f>
        <v>30.475000000000001</v>
      </c>
      <c r="AO17" s="838">
        <f ca="1">_xll.BDH(B17&amp;" EQUITY","BEST_EBIT",R17,R17,"BEST_FPERIOD_OVERRIDE="&amp;RIGHT(YEAR(CS17)+2,2)&amp;"Y", "days=a","fill=p")</f>
        <v>50.424999999999997</v>
      </c>
      <c r="AP17" s="838">
        <f ca="1">_xll.BDH(B17&amp;" EQUITY","BEST_EBIT",R17,R17,"BEST_FPERIOD_OVERRIDE="&amp;RIGHT(YEAR(CS17)+3,2)&amp;"Y", "days=a","fill=p")</f>
        <v>77.033000000000001</v>
      </c>
      <c r="AQ17" s="838">
        <f ca="1">_xll.BDH(B17&amp;" EQUITY","BEST_EBIT",R17,R17,"BEST_FPERIOD_OVERRIDE="&amp;RIGHT(YEAR(CS17)+4,2)&amp;"Y", "days=a","fill=p")</f>
        <v>140</v>
      </c>
      <c r="AR17" s="838">
        <f ca="1">_xll.BDH(B17&amp;" EQUITY","TRAIL_12M_EST_COMP_NET_INC_ADJ",R17,R17,"days=a","fill=p")</f>
        <v>-60.537199999999999</v>
      </c>
      <c r="AS17" s="838">
        <f ca="1">_xll.BDH(B17&amp;" EQUITY","BEST_NET_INCOME",R17,R17,"BEST_FPERIOD_OVERRIDE="&amp;RIGHT(YEAR(CS17)+1,2)&amp;"Y", "days=a","fill=p")</f>
        <v>33.700000000000003</v>
      </c>
      <c r="AT17" s="838">
        <f ca="1">_xll.BDH(B17&amp;" EQUITY","BEST_NET_INCOME",R17,R17,"BEST_FPERIOD_OVERRIDE="&amp;RIGHT(YEAR(CS17)+2,2)&amp;"Y", "days=a","fill=p")</f>
        <v>50.189</v>
      </c>
      <c r="AU17" s="838">
        <f ca="1">_xll.BDH(B17&amp;" EQUITY","BEST_NET_INCOME",R17,R17,"BEST_FPERIOD_OVERRIDE="&amp;RIGHT(YEAR(CS17)+3,2)&amp;"Y", "days=a","fill=p")</f>
        <v>76.135999999999996</v>
      </c>
      <c r="AV17" s="838">
        <f ca="1">_xll.BDH(B17&amp;" EQUITY","BEST_NET_INCOME",R17,R17,"BEST_FPERIOD_OVERRIDE="&amp;RIGHT(YEAR(CS17)+4,2)&amp;"Y", "days=a","fill=p")</f>
        <v>63.2</v>
      </c>
      <c r="AW17" s="837">
        <f ca="1">_xll.BDH(B17&amp;" EQUITY","T12M_DIL_EPS_CONT_OPS", R17,R17,"days=a","fill=p")</f>
        <v>-1.6705000000000001</v>
      </c>
      <c r="AX17" s="837">
        <f ca="1">_xll.BDH(B17&amp;" EQUITY","BEST_EPS",R17,R17,"BEST_FPERIOD_OVERRIDE="&amp;RIGHT(YEAR(CS17)+1,2)&amp;"Y", "days=a","fill=p")</f>
        <v>0.80200000000000005</v>
      </c>
      <c r="AY17" s="837">
        <f ca="1">_xll.BDH(B17&amp;" EQUITY","BEST_EPS",R17,R17,"BEST_FPERIOD_OVERRIDE="&amp;RIGHT(YEAR(CS17)+2,2)&amp;"Y", "days=a","fill=p")</f>
        <v>1.1179999999999999</v>
      </c>
      <c r="AZ17" s="837">
        <f ca="1">_xll.BDH(B17&amp;" EQUITY","BEST_EPS",R17,R17,"BEST_FPERIOD_OVERRIDE="&amp;RIGHT(YEAR(CS17)+3,2)&amp;"Y", "days=a","fill=p")</f>
        <v>1.6240000000000001</v>
      </c>
      <c r="BA17" s="837">
        <f ca="1">_xll.BDH(B17&amp;" EQUITY","BEST_EPS",R17,R17,"BEST_FPERIOD_OVERRIDE="&amp;RIGHT(YEAR(CS17)+4,2)&amp;"Y", "days=a","fill=p")</f>
        <v>1.3</v>
      </c>
      <c r="BB17" s="839">
        <f ca="1">+AR17/AW17</f>
        <v>36.238970368153247</v>
      </c>
      <c r="BC17" s="839">
        <f ca="1">+AS17/AX17</f>
        <v>42.019950124688279</v>
      </c>
      <c r="BD17" s="839">
        <f ca="1">+AT17/AY17</f>
        <v>44.891771019678004</v>
      </c>
      <c r="BE17" s="839">
        <f ca="1">+AU17/AZ17</f>
        <v>46.881773399014776</v>
      </c>
      <c r="BF17" s="839">
        <f ca="1">+AV17/BA17</f>
        <v>48.615384615384613</v>
      </c>
      <c r="BG17" s="838">
        <f ca="1">_xll.BDH(B17&amp;" EQUITY","TRAIL_12M_CAP_EXPEND", R17,R17,"days=a","fill=p")</f>
        <v>-21.875</v>
      </c>
      <c r="BH17" s="838">
        <f ca="1">_xll.BDH(B17&amp;" EQUITY","BEST_CAPEX",R17,R17,"BEST_FPERIOD_OVERRIDE="&amp;RIGHT(YEAR(CS17)+1,2)&amp;"Y", "days=a","fill=p")</f>
        <v>-23.05</v>
      </c>
      <c r="BI17" s="838">
        <f ca="1">_xll.BDH(B17&amp;" EQUITY","BEST_CAPEX",R17,R17,"BEST_FPERIOD_OVERRIDE="&amp;RIGHT(YEAR(CS17)+2,2)&amp;"Y", "days=a","fill=p")</f>
        <v>-32.987000000000002</v>
      </c>
      <c r="BJ17" s="838">
        <f ca="1">_xll.BDH(B17&amp;" EQUITY","BEST_CAPEX",R17,R17,"BEST_FPERIOD_OVERRIDE="&amp;RIGHT(YEAR(CS17)+3,2)&amp;"Y", "days=a","fill=p")</f>
        <v>-39.875</v>
      </c>
      <c r="BK17" s="838" t="str">
        <f ca="1">_xll.BDH(B17&amp;" EQUITY","BEST_CAPEX",R17,R17,"BEST_FPERIOD_OVERRIDE="&amp;RIGHT(YEAR(CS17)+4,2)&amp;"Y", "days=a","fill=p")</f>
        <v>#N/A N/A</v>
      </c>
      <c r="BL17" s="838">
        <f ca="1">+AH17-AM17</f>
        <v>21.202000000000002</v>
      </c>
      <c r="BM17" s="838">
        <f ca="1">+AI17-AN17</f>
        <v>381.81650015999992</v>
      </c>
      <c r="BN17" s="838">
        <f ca="1">+AJ17-AO17</f>
        <v>470.10023399999994</v>
      </c>
      <c r="BO17" s="838">
        <f ca="1">+AK17-AP17</f>
        <v>562.55452945000002</v>
      </c>
      <c r="BP17" s="838">
        <f ca="1">+AL17-AQ17</f>
        <v>640.74</v>
      </c>
      <c r="BQ17" s="837">
        <f ca="1">(AR17+BL17+BG17)/BB17</f>
        <v>-1.6890711678108667</v>
      </c>
      <c r="BR17" s="837">
        <f ca="1">(AS17+BM17+BH17)/BC17</f>
        <v>9.3400039503952499</v>
      </c>
      <c r="BS17" s="837">
        <f ca="1">(AT17+BN17+BI17)/BD17</f>
        <v>10.855045878818064</v>
      </c>
      <c r="BT17" s="837">
        <f ca="1">(AU17+BO17+BJ17)/BE17</f>
        <v>12.772885623447515</v>
      </c>
      <c r="BU17" s="837" t="e">
        <f ca="1">(AV17+BP17+BK17)/BF17</f>
        <v>#VALUE!</v>
      </c>
      <c r="BV17" s="838">
        <f t="shared" ca="1" si="102"/>
        <v>506.053</v>
      </c>
      <c r="BW17" s="838">
        <f t="shared" ca="1" si="103"/>
        <v>635.36800000000005</v>
      </c>
      <c r="BX17" s="838">
        <f t="shared" ca="1" si="93"/>
        <v>775.45500000000004</v>
      </c>
      <c r="BY17" s="838">
        <f t="shared" ca="1" si="104"/>
        <v>412.29150015999994</v>
      </c>
      <c r="BZ17" s="838">
        <f t="shared" ca="1" si="105"/>
        <v>520.52523399999995</v>
      </c>
      <c r="CA17" s="838">
        <f t="shared" ca="1" si="94"/>
        <v>639.58752945000003</v>
      </c>
      <c r="CB17" s="838">
        <f t="shared" ca="1" si="106"/>
        <v>30.475000000000001</v>
      </c>
      <c r="CC17" s="838">
        <f t="shared" ca="1" si="107"/>
        <v>50.424999999999997</v>
      </c>
      <c r="CD17" s="838">
        <f t="shared" ca="1" si="95"/>
        <v>77.033000000000001</v>
      </c>
      <c r="CE17" s="837">
        <f t="shared" ca="1" si="108"/>
        <v>0.80200000000000005</v>
      </c>
      <c r="CF17" s="837">
        <f t="shared" ca="1" si="109"/>
        <v>1.1179999999999999</v>
      </c>
      <c r="CG17" s="837">
        <f t="shared" ca="1" si="96"/>
        <v>1.6240000000000001</v>
      </c>
      <c r="CH17" s="837">
        <f t="shared" ca="1" si="110"/>
        <v>9.3400039503952499</v>
      </c>
      <c r="CI17" s="837">
        <f t="shared" ca="1" si="111"/>
        <v>10.855045878818064</v>
      </c>
      <c r="CJ17" s="837">
        <f t="shared" ca="1" si="97"/>
        <v>12.772885623447515</v>
      </c>
      <c r="CK17" s="840"/>
      <c r="CL17" s="841">
        <f>IF(CK17="",1,_xll.BDP(CK17&amp;" CURNCY","LAST PRICE"))</f>
        <v>1</v>
      </c>
      <c r="CM17" s="842">
        <v>1</v>
      </c>
      <c r="CN17" s="843">
        <f ca="1">_xll.BDH(B17&amp;" EQUITY","BS_SH_OUT",R17,R17,"EQY_FUND_PER="&amp;CT17,"days=a","fill=p")</f>
        <v>39.232300000000002</v>
      </c>
      <c r="CO17" s="844" t="str">
        <f>_xll.BDP(B17&amp;" EQUITY","EQY_FISCAL_YR_END")</f>
        <v>12/2017</v>
      </c>
      <c r="CP17" s="845">
        <f t="shared" si="112"/>
        <v>31</v>
      </c>
      <c r="CQ17" s="844">
        <f t="shared" si="113"/>
        <v>12</v>
      </c>
      <c r="CR17" s="844">
        <f t="shared" si="114"/>
        <v>2017</v>
      </c>
      <c r="CS17" s="836">
        <f ca="1">+DATE(CR17,CQ17,CP17)-((CR17-YEAR($R$7)+1)*365)</f>
        <v>43100</v>
      </c>
      <c r="CT17" s="830" t="s">
        <v>866</v>
      </c>
      <c r="CU17" s="846">
        <f t="shared" ca="1" si="115"/>
        <v>1</v>
      </c>
      <c r="CV17" s="846">
        <f t="shared" ca="1" si="116"/>
        <v>0</v>
      </c>
      <c r="CW17" s="806"/>
    </row>
    <row r="18" spans="1:101" s="847" customFormat="1" ht="5.0999999999999996" customHeight="1" x14ac:dyDescent="0.25">
      <c r="A18" s="806"/>
      <c r="B18" s="1093"/>
      <c r="C18" s="816"/>
      <c r="D18" s="816"/>
      <c r="E18" s="831"/>
      <c r="F18" s="832"/>
      <c r="G18" s="832"/>
      <c r="H18" s="833"/>
      <c r="I18" s="833"/>
      <c r="J18" s="833"/>
      <c r="K18" s="833"/>
      <c r="L18" s="833"/>
      <c r="M18" s="833"/>
      <c r="N18" s="834"/>
      <c r="O18" s="834"/>
      <c r="P18" s="1094"/>
      <c r="Q18" s="835"/>
      <c r="R18" s="836"/>
      <c r="S18" s="837"/>
      <c r="T18" s="838"/>
      <c r="U18" s="838"/>
      <c r="V18" s="838"/>
      <c r="W18" s="838"/>
      <c r="X18" s="838"/>
      <c r="Y18" s="838"/>
      <c r="Z18" s="838"/>
      <c r="AA18" s="838"/>
      <c r="AB18" s="838"/>
      <c r="AC18" s="838"/>
      <c r="AD18" s="838"/>
      <c r="AE18" s="838"/>
      <c r="AF18" s="838"/>
      <c r="AG18" s="838"/>
      <c r="AH18" s="838"/>
      <c r="AI18" s="838"/>
      <c r="AJ18" s="838"/>
      <c r="AK18" s="838"/>
      <c r="AL18" s="838"/>
      <c r="AM18" s="838"/>
      <c r="AN18" s="838"/>
      <c r="AO18" s="838"/>
      <c r="AP18" s="838"/>
      <c r="AQ18" s="838"/>
      <c r="AR18" s="838"/>
      <c r="AS18" s="838"/>
      <c r="AT18" s="838"/>
      <c r="AU18" s="838"/>
      <c r="AV18" s="838"/>
      <c r="AW18" s="837"/>
      <c r="AX18" s="837"/>
      <c r="AY18" s="837"/>
      <c r="AZ18" s="837"/>
      <c r="BA18" s="837"/>
      <c r="BB18" s="839"/>
      <c r="BC18" s="839"/>
      <c r="BD18" s="839"/>
      <c r="BE18" s="839"/>
      <c r="BF18" s="839"/>
      <c r="BG18" s="838"/>
      <c r="BH18" s="838"/>
      <c r="BI18" s="838"/>
      <c r="BJ18" s="838"/>
      <c r="BK18" s="838"/>
      <c r="BL18" s="838"/>
      <c r="BM18" s="838"/>
      <c r="BN18" s="838"/>
      <c r="BO18" s="838"/>
      <c r="BP18" s="838"/>
      <c r="BQ18" s="837"/>
      <c r="BR18" s="837"/>
      <c r="BS18" s="837"/>
      <c r="BT18" s="837"/>
      <c r="BU18" s="837"/>
      <c r="BV18" s="838"/>
      <c r="BW18" s="838"/>
      <c r="BX18" s="838"/>
      <c r="BY18" s="838"/>
      <c r="BZ18" s="838"/>
      <c r="CA18" s="838"/>
      <c r="CB18" s="838"/>
      <c r="CC18" s="838"/>
      <c r="CD18" s="838"/>
      <c r="CE18" s="837"/>
      <c r="CF18" s="837"/>
      <c r="CG18" s="837"/>
      <c r="CH18" s="837"/>
      <c r="CI18" s="837"/>
      <c r="CJ18" s="837"/>
      <c r="CK18" s="840"/>
      <c r="CL18" s="841"/>
      <c r="CM18" s="842"/>
      <c r="CN18" s="843"/>
      <c r="CO18" s="844"/>
      <c r="CP18" s="845"/>
      <c r="CQ18" s="844"/>
      <c r="CR18" s="844"/>
      <c r="CS18" s="836"/>
      <c r="CT18" s="830"/>
      <c r="CU18" s="846"/>
      <c r="CV18" s="846"/>
      <c r="CW18" s="806"/>
    </row>
    <row r="19" spans="1:101" s="847" customFormat="1" ht="11.25" customHeight="1" x14ac:dyDescent="0.25">
      <c r="A19" s="806"/>
      <c r="B19" s="1093" t="s">
        <v>989</v>
      </c>
      <c r="C19" s="816" t="str">
        <f>_xll.BDP($B19&amp;" EQUITY","Name")</f>
        <v>TWILIO INC - A</v>
      </c>
      <c r="D19" s="816"/>
      <c r="E19" s="831">
        <f ca="1">+S19</f>
        <v>92.9</v>
      </c>
      <c r="F19" s="832">
        <f ca="1">S19*CN19</f>
        <v>8729.794420000002</v>
      </c>
      <c r="G19" s="832">
        <f ca="1">AB19</f>
        <v>8413.2194200000031</v>
      </c>
      <c r="H19" s="833">
        <f ca="1">IF(ISERROR(AB19/BV19),"N/A",AB19/BV19)</f>
        <v>13.361378982859199</v>
      </c>
      <c r="I19" s="833">
        <f ca="1">IF(ISERROR(AB19/BW19),"N/A",AB19/BW19)</f>
        <v>10.161580275960697</v>
      </c>
      <c r="J19" s="833">
        <f ca="1">IF(ISERROR(AB19/BX19),"N/A",AB19/BX19)</f>
        <v>7.9205605535680688</v>
      </c>
      <c r="K19" s="833">
        <f ca="1">IF(ISERROR(AB19/BY19),"N/A",AB19/BY19)</f>
        <v>24.394097425481892</v>
      </c>
      <c r="L19" s="833">
        <f ca="1">IF(ISERROR(AB19/BZ19),"N/A",AB19/BZ19)</f>
        <v>18.624597279986617</v>
      </c>
      <c r="M19" s="833">
        <f ca="1">IF(ISERROR(AB19/CA19),"N/A",AB19/CA19)</f>
        <v>14.401019188305579</v>
      </c>
      <c r="N19" s="834">
        <f t="shared" ref="N19" ca="1" si="124">IF(ISERROR(RATE(1,,-BV19,BW19)),"N/A",RATE(1,,-BV19,BW19))</f>
        <v>0.31489183965492845</v>
      </c>
      <c r="O19" s="834">
        <f ca="1">IF(ISERROR(BY19/BV19),"N/A",BY19/BV19)</f>
        <v>0.54773000000000005</v>
      </c>
      <c r="P19" s="1094">
        <f ca="1">IF(ISERROR(-BG19/AC19),"N/A",-BG19/AC19)</f>
        <v>6.5650506861841601E-3</v>
      </c>
      <c r="Q19" s="835"/>
      <c r="R19" s="836">
        <f t="shared" ca="1" si="1"/>
        <v>43433</v>
      </c>
      <c r="S19" s="837">
        <f ca="1">_xll.BDH(B19&amp;" Equity","PX_LAST",R19,R19,"days=a","fill=p")*CL19*CM19</f>
        <v>92.9</v>
      </c>
      <c r="T19" s="838">
        <f ca="1">IF(ISERROR(_xll.BDP(B19&amp;" Equity","BS_ST_BORROW", "EQY_FUND_DT=" &amp;TEXT(R19,"YYYYMMDD"), "EQY_FUND_RELATIVE_PERIOD=-0F"&amp;CT19)+0),_xll.BDP(B19&amp;" Equity","BS_ST_BORROW", "EQY_FUND_DT=" &amp;TEXT(R19,"YYYYMMDD"), "EQY_FUND_RELATIVE_PERIOD=-1F"&amp;CT19),_xll.BDP(B19&amp;" Equity","BS_ST_BORROW", "EQY_FUND_DT=" &amp;TEXT(R19,"YYYYMMDD"), "EQY_FUND_RELATIVE_PERIOD=-0F"&amp;CT19))</f>
        <v>0</v>
      </c>
      <c r="U19" s="838">
        <f ca="1">IF(ISERROR(_xll.BDP(B19&amp;" Equity","BS_LT_BORROW", "EQY_FUND_DT=" &amp;TEXT(R19,"YYYYMMDD"), "EQY_FUND_RELATIVE_PERIOD=-0F"&amp;CT19)+0),_xll.BDP(B19&amp;" Equity","BS_LT_BORROW", "EQY_FUND_DT=" &amp;TEXT(R19,"YYYYMMDD"), "EQY_FUND_RELATIVE_PERIOD=-1F"&amp;CT19),_xll.BDP(B19&amp;" Equity","BS_LT_BORROW", "EQY_FUND_DT=" &amp;TEXT(R19,"YYYYMMDD"), "EQY_FUND_RELATIVE_PERIOD=-0F"&amp;CT19))</f>
        <v>428.77799999999996</v>
      </c>
      <c r="V19" s="838">
        <f ca="1">IF(ISERROR(_xll.BDP(B19&amp;" Equity","BS_PFD_EQY", "EQY_FUND_DT=" &amp;TEXT(R19,"YYYYMMDD"),"EQY_FUND_RELATIVE_PERIOD=-0F"&amp;CT19)+0),_xll.BDP(B19&amp;" Equity","BS_PFD_EQY", "EQY_FUND_DT=" &amp;TEXT(R19,"YYYYMMDD"),"EQY_FUND_RELATIVE_PERIOD=-1F"&amp;CT19),_xll.BDP(B19&amp;" Equity","BS_PFD_EQY", "EQY_FUND_DT=" &amp;TEXT(R19,"YYYYMMDD"), "EQY_FUND_RELATIVE_PERIOD=-0F"&amp;CT19))</f>
        <v>0</v>
      </c>
      <c r="W19" s="838">
        <f ca="1">IF(ISERROR(_xll.BDP(B19&amp;" Equity","BS_MINORITY_INT", "EQY_FUND_DT=" &amp;TEXT(R19,"YYYYMMDD"),"EQY_FUND_RELATIVE_PERIOD=-0F"&amp;CT19)+0),_xll.BDP(B19&amp;" Equity","BS_MINORITY_INT", "EQY_FUND_DT=" &amp;TEXT(R19,"YYYYMMDD"),"EQY_FUND_RELATIVE_PERIOD=-1F"&amp;CT19),_xll.BDP(B19&amp;" Equity","BS_MINORITY_INT", "EQY_FUND_DT=" &amp;TEXT(R19,"YYYYMMDD"),"EQY_FUND_RELATIVE_PERIOD=-0F"&amp;CT19))</f>
        <v>0</v>
      </c>
      <c r="X19" s="838">
        <f ca="1">IF(ISERROR(_xll.BDP(B19&amp;" Equity","BS_CASH_NEAR_CASH_ITEM", "EQY_FUND_DT=" &amp;TEXT(R19,"YYYYMMDD"),"EQY_FUND_RELATIVE_PERIOD=-0F"&amp;CT19)+0),_xll.BDP(B19&amp;" Equity","BS_CASH_NEAR_CASH_ITEM", "EQY_FUND_DT=" &amp;TEXT(R19,"YYYYMMDD"),"EQY_FUND_RELATIVE_PERIOD=-1F"&amp;CT19),_xll.BDP(B19&amp;" Equity","BS_CASH_NEAR_CASH_ITEM", "EQY_FUND_DT=" &amp;TEXT(R19,"YYYYMMDD"),"EQY_FUND_RELATIVE_PERIOD=-0F"&amp;CT19))</f>
        <v>469.13200000000001</v>
      </c>
      <c r="Y19" s="838">
        <f ca="1">IF(ISERROR(_xll.BDP(B19&amp;" Equity","BS_MKT_SEC_OTHER_ST_INVEST", "EQY_FUND_DT=" &amp;TEXT(R19,"YYYYMMDD"),"EQY_FUND_RELATIVE_PERIOD=-0F"&amp;CT19)+0),_xll.BDP(B19&amp;" Equity","BS_MKT_SEC_OTHER_ST_INVEST", "EQY_FUND_DT=" &amp;TEXT(R19,"YYYYMMDD"),"EQY_FUND_RELATIVE_PERIOD=-1F"&amp;CT19),_xll.BDP(B19&amp;" Equity","BS_MKT_SEC_OTHER_ST_INVEST", "EQY_FUND_DT=" &amp;TEXT(R19,"YYYYMMDD"),"EQY_FUND_RELATIVE_PERIOD=-0F"&amp;CT19))</f>
        <v>276.221</v>
      </c>
      <c r="Z19" s="838">
        <f ca="1">IF(ISERROR(_xll.BDP(B19&amp;" Equity","BS_SH_CAP_AND_APIC", "EQY_FUND_DT=" &amp;TEXT(R19,"YYYYMMDD"),"EQY_FUND_RELATIVE_PERIOD=-0F"&amp;CT19)+0),_xll.BDP(B19&amp;" Equity","BS_SH_CAP_AND_APIC", "EQY_FUND_DT=" &amp;TEXT(R19,"YYYYMMDD"),"EQY_FUND_RELATIVE_PERIOD=-1F"&amp;CT19),_xll.BDP(B19&amp;" Equity","BS_SH_CAP_AND_APIC", "EQY_FUND_DT=" &amp;TEXT(R19,"YYYYMMDD"),"EQY_FUND_RELATIVE_PERIOD=-0F"&amp;CT19))</f>
        <v>757.48899999999992</v>
      </c>
      <c r="AA19" s="838">
        <f ca="1">IF(ISERROR(_xll.BDP(B19&amp;" Equity","BS_RETAIN_EARN", "EQY_FUND_DT=" &amp;TEXT(R19,"YYYYMMDD"),"EQY_FUND_RELATIVE_PERIOD=-0F"&amp;CT19)+0),_xll.BDP(B19&amp;" Equity","BS_RETAIN_EARN", "EQY_FUND_DT=" &amp;TEXT(R19,"YYYYMMDD"),"EQY_FUND_RELATIVE_PERIOD=-1F"&amp;CT19),_xll.BDP(B19&amp;" Equity","BS_RETAIN_EARN", "EQY_FUND_DT=" &amp;TEXT(R19,"YYYYMMDD"),"EQY_FUND_RELATIVE_PERIOD=-0F"&amp;CT19))</f>
        <v>-323.13599999999997</v>
      </c>
      <c r="AB19" s="838">
        <f ca="1">F19+T19+U19+V19+W19-X19-Y19</f>
        <v>8413.2194200000031</v>
      </c>
      <c r="AC19" s="838">
        <f ca="1">_xll.BDH(B19&amp;" EQUITY","TRAIL_12M_NET_SALES", R19,R19,"days=a","fill=p")</f>
        <v>561.00099999999998</v>
      </c>
      <c r="AD19" s="838">
        <f ca="1">_xll.BDH(B19&amp;" EQUITY","BEST_Sales",R19,R19,"BEST_FPERIOD_OVERRIDE="&amp;RIGHT(YEAR(CS19)+1,2)&amp;"Y", "days=a","fill=p")</f>
        <v>629.66700000000003</v>
      </c>
      <c r="AE19" s="838">
        <f ca="1">_xll.BDH(B19&amp;" EQUITY","BEST_Sales",R19,R19,"BEST_FPERIOD_OVERRIDE="&amp;RIGHT(YEAR(CS19)+2,2)&amp;"Y","days=a","fill=p")</f>
        <v>827.94399999999996</v>
      </c>
      <c r="AF19" s="838">
        <f ca="1">_xll.BDH(B19&amp;" EQUITY","BEST_Sales",R19,R19,"BEST_FPERIOD_OVERRIDE="&amp;RIGHT(YEAR(CS19)+3,2)&amp;"Y","days=a","fill=p")</f>
        <v>1062.2</v>
      </c>
      <c r="AG19" s="838">
        <f ca="1">_xll.BDH(B19&amp;" EQUITY","BEST_Sales",R19,R19,"BEST_FPERIOD_OVERRIDE="&amp;RIGHT(YEAR(CS19)+4,2)&amp;"Y","days=a","fill=p")</f>
        <v>1740</v>
      </c>
      <c r="AH19" s="838">
        <f ca="1">_xll.BDH(B19&amp;" EQUITY","TRAIL_12M_EBITDA",R19,R19,"days=a","fill=p")</f>
        <v>-67.861999999999995</v>
      </c>
      <c r="AI19" s="838">
        <f ca="1">_xll.BDH(B19&amp;" EQUITY","BEST_GROSS_MARGIN",R19,R19,"BEST_FPERIOD_OVERRIDE="&amp;RIGHT(YEAR(CS19)+1,2)&amp;"Y", "days=a","fill=p")%*AD19</f>
        <v>344.88750591000007</v>
      </c>
      <c r="AJ19" s="838">
        <f ca="1">_xll.BDH(B19&amp;" EQUITY","BEST_GROSS_MARGIN",R19,R19,"BEST_FPERIOD_OVERRIDE="&amp;RIGHT(YEAR(CS19)+2,2)&amp;"Y", "days=a","fill=p")%*AE19</f>
        <v>451.72624639999998</v>
      </c>
      <c r="AK19" s="838">
        <f ca="1">_xll.BDH(B19&amp;" EQUITY","BEST_GROSS_MARGIN",R19,R19,"BEST_FPERIOD_OVERRIDE="&amp;RIGHT(YEAR(CS19)+3,2)&amp;"Y", "days=a","fill=p")%*AF19</f>
        <v>584.21</v>
      </c>
      <c r="AL19" s="838" t="e">
        <f ca="1">_xll.BDH(B19&amp;" EQUITY","BEST_GROSS_MARGIN",R19,R19,"BEST_FPERIOD_OVERRIDE="&amp;RIGHT(YEAR(CS19)+4,2)&amp;"Y", "days=a","fill=p")%*AG19</f>
        <v>#VALUE!</v>
      </c>
      <c r="AM19" s="838">
        <f ca="1">_xll.BDH(B19&amp;" EQUITY","TRAIL_12M_OPER_INC",R19,R19,"days=a","fill=p")</f>
        <v>-91.465999999999994</v>
      </c>
      <c r="AN19" s="838">
        <f ca="1">_xll.BDH(B19&amp;" EQUITY","BEST_EBIT",R19,R19,"BEST_FPERIOD_OVERRIDE="&amp;RIGHT(YEAR(CS19)+1,2)&amp;"Y", "days=a","fill=p")</f>
        <v>3.49</v>
      </c>
      <c r="AO19" s="838">
        <f ca="1">_xll.BDH(B19&amp;" EQUITY","BEST_EBIT",R19,R19,"BEST_FPERIOD_OVERRIDE="&amp;RIGHT(YEAR(CS19)+2,2)&amp;"Y", "days=a","fill=p")</f>
        <v>8.2100000000000009</v>
      </c>
      <c r="AP19" s="838">
        <f ca="1">_xll.BDH(B19&amp;" EQUITY","BEST_EBIT",R19,R19,"BEST_FPERIOD_OVERRIDE="&amp;RIGHT(YEAR(CS19)+3,2)&amp;"Y", "days=a","fill=p")</f>
        <v>17</v>
      </c>
      <c r="AQ19" s="838" t="str">
        <f ca="1">_xll.BDH(B19&amp;" EQUITY","BEST_EBIT",R19,R19,"BEST_FPERIOD_OVERRIDE="&amp;RIGHT(YEAR(CS19)+4,2)&amp;"Y", "days=a","fill=p")</f>
        <v>#N/A N/A</v>
      </c>
      <c r="AR19" s="838">
        <f ca="1">_xll.BDH(B19&amp;" EQUITY","TRAIL_12M_EST_COMP_NET_INC_ADJ",R19,R19,"days=a","fill=p")</f>
        <v>-89.456999999999994</v>
      </c>
      <c r="AS19" s="838">
        <f ca="1">_xll.BDH(B19&amp;" EQUITY","BEST_NET_INCOME",R19,R19,"BEST_FPERIOD_OVERRIDE="&amp;RIGHT(YEAR(CS19)+1,2)&amp;"Y", "days=a","fill=p")</f>
        <v>9.1609999999999996</v>
      </c>
      <c r="AT19" s="838">
        <f ca="1">_xll.BDH(B19&amp;" EQUITY","BEST_NET_INCOME",R19,R19,"BEST_FPERIOD_OVERRIDE="&amp;RIGHT(YEAR(CS19)+2,2)&amp;"Y", "days=a","fill=p")</f>
        <v>16.545000000000002</v>
      </c>
      <c r="AU19" s="838">
        <f ca="1">_xll.BDH(B19&amp;" EQUITY","BEST_NET_INCOME",R19,R19,"BEST_FPERIOD_OVERRIDE="&amp;RIGHT(YEAR(CS19)+3,2)&amp;"Y", "days=a","fill=p")</f>
        <v>36.189</v>
      </c>
      <c r="AV19" s="838" t="str">
        <f ca="1">_xll.BDH(B19&amp;" EQUITY","BEST_NET_INCOME",R19,R19,"BEST_FPERIOD_OVERRIDE="&amp;RIGHT(YEAR(CS19)+4,2)&amp;"Y", "days=a","fill=p")</f>
        <v>#N/A N/A</v>
      </c>
      <c r="AW19" s="837">
        <f ca="1">_xll.BDH(B19&amp;" EQUITY","T12M_DIL_EPS_CONT_OPS", R19,R19,"days=a","fill=p")</f>
        <v>-0.9425</v>
      </c>
      <c r="AX19" s="837">
        <f ca="1">_xll.BDH(B19&amp;" EQUITY","BEST_EPS",R19,R19,"BEST_FPERIOD_OVERRIDE="&amp;RIGHT(YEAR(CS19)+1,2)&amp;"Y", "days=a","fill=p")</f>
        <v>9.8000000000000004E-2</v>
      </c>
      <c r="AY19" s="837">
        <f ca="1">_xll.BDH(B19&amp;" EQUITY","BEST_EPS",R19,R19,"BEST_FPERIOD_OVERRIDE="&amp;RIGHT(YEAR(CS19)+2,2)&amp;"Y", "days=a","fill=p")</f>
        <v>0.16300000000000001</v>
      </c>
      <c r="AZ19" s="837">
        <f ca="1">_xll.BDH(B19&amp;" EQUITY","BEST_EPS",R19,R19,"BEST_FPERIOD_OVERRIDE="&amp;RIGHT(YEAR(CS19)+3,2)&amp;"Y", "days=a","fill=p")</f>
        <v>0.35299999999999998</v>
      </c>
      <c r="BA19" s="837" t="str">
        <f ca="1">_xll.BDH(B19&amp;" EQUITY","BEST_EPS",R19,R19,"BEST_FPERIOD_OVERRIDE="&amp;RIGHT(YEAR(CS19)+4,2)&amp;"Y", "days=a","fill=p")</f>
        <v>#N/A N/A</v>
      </c>
      <c r="BB19" s="839">
        <f t="shared" ref="BB19:BF20" ca="1" si="125">+AR19/AW19</f>
        <v>94.91458885941644</v>
      </c>
      <c r="BC19" s="839">
        <f t="shared" ca="1" si="125"/>
        <v>93.479591836734684</v>
      </c>
      <c r="BD19" s="839">
        <f t="shared" ca="1" si="125"/>
        <v>101.50306748466258</v>
      </c>
      <c r="BE19" s="839">
        <f t="shared" ca="1" si="125"/>
        <v>102.51841359773371</v>
      </c>
      <c r="BF19" s="839" t="e">
        <f t="shared" ca="1" si="125"/>
        <v>#VALUE!</v>
      </c>
      <c r="BG19" s="838">
        <f ca="1">_xll.BDH(B19&amp;" EQUITY","TRAIL_12M_CAP_EXPEND", R19,R19,"days=a","fill=p")</f>
        <v>-3.6829999999999998</v>
      </c>
      <c r="BH19" s="838">
        <f ca="1">_xll.BDH(B19&amp;" EQUITY","BEST_CAPEX",R19,R19,"BEST_FPERIOD_OVERRIDE="&amp;RIGHT(YEAR(CS19)+1,2)&amp;"Y", "days=a","fill=p")</f>
        <v>-19.143000000000001</v>
      </c>
      <c r="BI19" s="838">
        <f ca="1">_xll.BDH(B19&amp;" EQUITY","BEST_CAPEX",R19,R19,"BEST_FPERIOD_OVERRIDE="&amp;RIGHT(YEAR(CS19)+2,2)&amp;"Y", "days=a","fill=p")</f>
        <v>-43.143000000000001</v>
      </c>
      <c r="BJ19" s="838">
        <f ca="1">_xll.BDH(B19&amp;" EQUITY","BEST_CAPEX",R19,R19,"BEST_FPERIOD_OVERRIDE="&amp;RIGHT(YEAR(CS19)+3,2)&amp;"Y", "days=a","fill=p")</f>
        <v>-7.9850000000000003</v>
      </c>
      <c r="BK19" s="838" t="str">
        <f ca="1">_xll.BDH(B19&amp;" EQUITY","BEST_CAPEX",R19,R19,"BEST_FPERIOD_OVERRIDE="&amp;RIGHT(YEAR(CS19)+4,2)&amp;"Y", "days=a","fill=p")</f>
        <v>#N/A N/A</v>
      </c>
      <c r="BL19" s="838">
        <f t="shared" ref="BL19:BP20" ca="1" si="126">+AH19-AM19</f>
        <v>23.603999999999999</v>
      </c>
      <c r="BM19" s="838">
        <f t="shared" ca="1" si="126"/>
        <v>341.39750591000006</v>
      </c>
      <c r="BN19" s="838">
        <f t="shared" ca="1" si="126"/>
        <v>443.5162464</v>
      </c>
      <c r="BO19" s="838">
        <f t="shared" ca="1" si="126"/>
        <v>567.21</v>
      </c>
      <c r="BP19" s="838" t="e">
        <f t="shared" ca="1" si="126"/>
        <v>#VALUE!</v>
      </c>
      <c r="BQ19" s="837">
        <f t="shared" ref="BQ19:BU20" ca="1" si="127">(AR19+BL19+BG19)/BB19</f>
        <v>-0.73261656438288791</v>
      </c>
      <c r="BR19" s="837">
        <f t="shared" ca="1" si="127"/>
        <v>3.5453247002707142</v>
      </c>
      <c r="BS19" s="837">
        <f t="shared" ca="1" si="127"/>
        <v>4.1074447968087036</v>
      </c>
      <c r="BT19" s="837">
        <f t="shared" ca="1" si="127"/>
        <v>5.8078737185332558</v>
      </c>
      <c r="BU19" s="837" t="e">
        <f t="shared" ca="1" si="127"/>
        <v>#VALUE!</v>
      </c>
      <c r="BV19" s="838">
        <f t="shared" ref="BV19" ca="1" si="128">IF(CQ19=12,AD19,IF(ISERROR(AD19*CU19+AE19*CV19),"N/A",AD19*CU19+AE19*CV19))</f>
        <v>629.66700000000003</v>
      </c>
      <c r="BW19" s="838">
        <f ca="1">IF($CQ19=12,AE19,IF(ISERROR(AE19*$CU19+AF19*$CV19),"N/A",AE19*$CU19+AF19*$CV19))</f>
        <v>827.94399999999996</v>
      </c>
      <c r="BX19" s="838">
        <f ca="1">IF($CQ19=12,AF19,IF(ISERROR(AF19*$CU19+AG19*$CV19),"N/A",AF19*$CU19+AG19*$CV19))</f>
        <v>1062.2</v>
      </c>
      <c r="BY19" s="838">
        <f t="shared" ref="BY19" ca="1" si="129">IF(CQ19=12,AI19,IF(ISERROR(AI19*CU19+AJ19*CV19),"N/A",AI19*CU19+AJ19*CV19))</f>
        <v>344.88750591000007</v>
      </c>
      <c r="BZ19" s="838">
        <f ca="1">IF($CQ19=12,AJ19,IF(ISERROR(AJ19*$CU19+AK19*$CV19),"N/A",AJ19*$CU19+AK19*$CV19))</f>
        <v>451.72624639999998</v>
      </c>
      <c r="CA19" s="838">
        <f ca="1">IF($CQ19=12,AK19,IF(ISERROR(AK19*$CU19+AL19*$CV19),"N/A",AK19*$CU19+AL19*$CV19))</f>
        <v>584.21</v>
      </c>
      <c r="CB19" s="838">
        <f t="shared" ref="CB19" ca="1" si="130">IF(CQ19=12,AN19,IF(ISERROR(AN19*CU19+AO19*CV19),"N/A",AN19*CU19+AO19*CV19))</f>
        <v>3.49</v>
      </c>
      <c r="CC19" s="838">
        <f ca="1">IF($CQ19=12,AO19,IF(ISERROR(AO19*$CU19+AP19*$CV19),"N/A",AO19*$CU19+AP19*$CV19))</f>
        <v>8.2100000000000009</v>
      </c>
      <c r="CD19" s="838">
        <f ca="1">IF($CQ19=12,AP19,IF(ISERROR(AP19*$CU19+AQ19*$CV19),"N/A",AP19*$CU19+AQ19*$CV19))</f>
        <v>17</v>
      </c>
      <c r="CE19" s="837">
        <f t="shared" ref="CE19" ca="1" si="131">IF(CQ19=12,AX19,IF(ISERROR(AX19*CU19+AY19*CV19),"N/A",AX19*CU19+AY19*CV19))</f>
        <v>9.8000000000000004E-2</v>
      </c>
      <c r="CF19" s="837">
        <f ca="1">IF($CQ19=12,AY19,IF(ISERROR(AY19*$CU19+AZ19*$CV19),"N/A",AY19*$CU19+AZ19*$CV19))</f>
        <v>0.16300000000000001</v>
      </c>
      <c r="CG19" s="837">
        <f ca="1">IF($CQ19=12,AZ19,IF(ISERROR(AZ19*$CU19+BA19*$CV19),"N/A",AZ19*$CU19+BA19*$CV19))</f>
        <v>0.35299999999999998</v>
      </c>
      <c r="CH19" s="837">
        <f t="shared" ref="CH19" ca="1" si="132">IF(CQ19=12,BR19,IF(ISERROR(BR19*CU19+BS19*CV19),"N/A",BR19*CU19+BS19*CV19))</f>
        <v>3.5453247002707142</v>
      </c>
      <c r="CI19" s="837">
        <f ca="1">IF($CQ19=12,BS19,IF(ISERROR(BS19*$CU19+BT19*$CV19),"N/A",BS19*$CU19+BT19*$CV19))</f>
        <v>4.1074447968087036</v>
      </c>
      <c r="CJ19" s="837">
        <f ca="1">IF($CQ19=12,BT19,IF(ISERROR(BT19*$CU19+BU19*$CV19),"N/A",BT19*$CU19+BU19*$CV19))</f>
        <v>5.8078737185332558</v>
      </c>
      <c r="CK19" s="840"/>
      <c r="CL19" s="841">
        <f>IF(CK19="",1,_xll.BDP(CK19&amp;" CURNCY","LAST PRICE"))</f>
        <v>1</v>
      </c>
      <c r="CM19" s="842">
        <v>1</v>
      </c>
      <c r="CN19" s="843">
        <f ca="1">_xll.BDH(B19&amp;" EQUITY","BS_SH_OUT",R19,R19,"EQY_FUND_PER="&amp;CT19,"days=a","fill=p")</f>
        <v>93.969800000000006</v>
      </c>
      <c r="CO19" s="844" t="str">
        <f>_xll.BDP(B19&amp;" EQUITY","EQY_FISCAL_YR_END")</f>
        <v>12/2017</v>
      </c>
      <c r="CP19" s="845">
        <f t="shared" ref="CP19" si="133">DAY(DATE(YEAR(CO19),1+MONTH(CO19),0))</f>
        <v>31</v>
      </c>
      <c r="CQ19" s="844">
        <f>+MONTH(CO19)</f>
        <v>12</v>
      </c>
      <c r="CR19" s="844">
        <f>YEAR(CO19)</f>
        <v>2017</v>
      </c>
      <c r="CS19" s="836">
        <f ca="1">+DATE(CR19,CQ19,CP19)-((CR19-YEAR($R$7)+1)*365)</f>
        <v>43100</v>
      </c>
      <c r="CT19" s="830" t="s">
        <v>866</v>
      </c>
      <c r="CU19" s="846">
        <f ca="1">+MONTH(CS19)/12</f>
        <v>1</v>
      </c>
      <c r="CV19" s="846">
        <f t="shared" ref="CV19" ca="1" si="134">1-CU19</f>
        <v>0</v>
      </c>
      <c r="CW19" s="806"/>
    </row>
    <row r="20" spans="1:101" s="847" customFormat="1" ht="11.25" customHeight="1" x14ac:dyDescent="0.25">
      <c r="A20" s="806"/>
      <c r="B20" s="1093" t="s">
        <v>994</v>
      </c>
      <c r="C20" s="816" t="str">
        <f>_xll.BDP($B20&amp;" EQUITY","Name")</f>
        <v>SENDGRID INC</v>
      </c>
      <c r="D20" s="816"/>
      <c r="E20" s="831">
        <f ca="1">+S20</f>
        <v>44.81</v>
      </c>
      <c r="F20" s="832">
        <f ca="1">S20*CN20</f>
        <v>2108.2701710000001</v>
      </c>
      <c r="G20" s="832">
        <f ca="1">AB20</f>
        <v>1938.409171</v>
      </c>
      <c r="H20" s="833">
        <f ca="1">IF(ISERROR(AB20/BV20),"N/A",AB20/BV20)</f>
        <v>13.461174798611111</v>
      </c>
      <c r="I20" s="833">
        <f ca="1">IF(ISERROR(AB20/BW20),"N/A",AB20/BW20)</f>
        <v>10.754003722607489</v>
      </c>
      <c r="J20" s="833">
        <f t="shared" ca="1" si="99"/>
        <v>8.7710822217194568</v>
      </c>
      <c r="K20" s="833">
        <f ca="1">IF(ISERROR(AB20/BY20),"N/A",AB20/BY20)</f>
        <v>17.805786770649618</v>
      </c>
      <c r="L20" s="833">
        <f ca="1">IF(ISERROR(AB20/BZ20),"N/A",AB20/BZ20)</f>
        <v>14.168647855872845</v>
      </c>
      <c r="M20" s="833" t="str">
        <f t="shared" ca="1" si="100"/>
        <v>N/A</v>
      </c>
      <c r="N20" s="834">
        <f t="shared" ca="1" si="101"/>
        <v>0.25173611111111122</v>
      </c>
      <c r="O20" s="834">
        <f ca="1">IF(ISERROR(BY20/BV20),"N/A",BY20/BV20)</f>
        <v>0.75599999999999989</v>
      </c>
      <c r="P20" s="1094">
        <f t="shared" ca="1" si="77"/>
        <v>8.9726766395474292E-2</v>
      </c>
      <c r="Q20" s="835"/>
      <c r="R20" s="836">
        <f t="shared" ca="1" si="1"/>
        <v>43433</v>
      </c>
      <c r="S20" s="837">
        <f ca="1">_xll.BDH(B20&amp;" Equity","PX_LAST",R20,R20,"days=a","fill=p")*CL20*CM20</f>
        <v>44.81</v>
      </c>
      <c r="T20" s="838">
        <f ca="1">IF(ISERROR(_xll.BDP(B20&amp;" Equity","BS_ST_BORROW", "EQY_FUND_DT=" &amp;TEXT(R20,"YYYYMMDD"), "EQY_FUND_RELATIVE_PERIOD=-0F"&amp;CT20)+0),_xll.BDP(B20&amp;" Equity","BS_ST_BORROW", "EQY_FUND_DT=" &amp;TEXT(R20,"YYYYMMDD"), "EQY_FUND_RELATIVE_PERIOD=-1F"&amp;CT20),_xll.BDP(B20&amp;" Equity","BS_ST_BORROW", "EQY_FUND_DT=" &amp;TEXT(R20,"YYYYMMDD"), "EQY_FUND_RELATIVE_PERIOD=-0F"&amp;CT20))</f>
        <v>6.3969999999999994</v>
      </c>
      <c r="U20" s="838">
        <f ca="1">IF(ISERROR(_xll.BDP(B20&amp;" Equity","BS_LT_BORROW", "EQY_FUND_DT=" &amp;TEXT(R20,"YYYYMMDD"), "EQY_FUND_RELATIVE_PERIOD=-0F"&amp;CT20)+0),_xll.BDP(B20&amp;" Equity","BS_LT_BORROW", "EQY_FUND_DT=" &amp;TEXT(R20,"YYYYMMDD"), "EQY_FUND_RELATIVE_PERIOD=-1F"&amp;CT20),_xll.BDP(B20&amp;" Equity","BS_LT_BORROW", "EQY_FUND_DT=" &amp;TEXT(R20,"YYYYMMDD"), "EQY_FUND_RELATIVE_PERIOD=-0F"&amp;CT20))</f>
        <v>10.164999999999999</v>
      </c>
      <c r="V20" s="838">
        <f ca="1">IF(ISERROR(_xll.BDP(B20&amp;" Equity","BS_PFD_EQY", "EQY_FUND_DT=" &amp;TEXT(R20,"YYYYMMDD"),"EQY_FUND_RELATIVE_PERIOD=-0F"&amp;CT20)+0),_xll.BDP(B20&amp;" Equity","BS_PFD_EQY", "EQY_FUND_DT=" &amp;TEXT(R20,"YYYYMMDD"),"EQY_FUND_RELATIVE_PERIOD=-1F"&amp;CT20),_xll.BDP(B20&amp;" Equity","BS_PFD_EQY", "EQY_FUND_DT=" &amp;TEXT(R20,"YYYYMMDD"), "EQY_FUND_RELATIVE_PERIOD=-0F"&amp;CT20))</f>
        <v>0</v>
      </c>
      <c r="W20" s="838">
        <f ca="1">IF(ISERROR(_xll.BDP(B20&amp;" Equity","BS_MINORITY_INT", "EQY_FUND_DT=" &amp;TEXT(R20,"YYYYMMDD"),"EQY_FUND_RELATIVE_PERIOD=-0F"&amp;CT20)+0),_xll.BDP(B20&amp;" Equity","BS_MINORITY_INT", "EQY_FUND_DT=" &amp;TEXT(R20,"YYYYMMDD"),"EQY_FUND_RELATIVE_PERIOD=-1F"&amp;CT20),_xll.BDP(B20&amp;" Equity","BS_MINORITY_INT", "EQY_FUND_DT=" &amp;TEXT(R20,"YYYYMMDD"),"EQY_FUND_RELATIVE_PERIOD=-0F"&amp;CT20))</f>
        <v>0</v>
      </c>
      <c r="X20" s="838">
        <f ca="1">IF(ISERROR(_xll.BDP(B20&amp;" Equity","BS_CASH_NEAR_CASH_ITEM", "EQY_FUND_DT=" &amp;TEXT(R20,"YYYYMMDD"),"EQY_FUND_RELATIVE_PERIOD=-0F"&amp;CT20)+0),_xll.BDP(B20&amp;" Equity","BS_CASH_NEAR_CASH_ITEM", "EQY_FUND_DT=" &amp;TEXT(R20,"YYYYMMDD"),"EQY_FUND_RELATIVE_PERIOD=-1F"&amp;CT20),_xll.BDP(B20&amp;" Equity","BS_CASH_NEAR_CASH_ITEM", "EQY_FUND_DT=" &amp;TEXT(R20,"YYYYMMDD"),"EQY_FUND_RELATIVE_PERIOD=-0F"&amp;CT20))</f>
        <v>186.423</v>
      </c>
      <c r="Y20" s="838">
        <f ca="1">IF(ISERROR(_xll.BDP(B20&amp;" Equity","BS_MKT_SEC_OTHER_ST_INVEST", "EQY_FUND_DT=" &amp;TEXT(R20,"YYYYMMDD"),"EQY_FUND_RELATIVE_PERIOD=-0F"&amp;CT20)+0),_xll.BDP(B20&amp;" Equity","BS_MKT_SEC_OTHER_ST_INVEST", "EQY_FUND_DT=" &amp;TEXT(R20,"YYYYMMDD"),"EQY_FUND_RELATIVE_PERIOD=-1F"&amp;CT20),_xll.BDP(B20&amp;" Equity","BS_MKT_SEC_OTHER_ST_INVEST", "EQY_FUND_DT=" &amp;TEXT(R20,"YYYYMMDD"),"EQY_FUND_RELATIVE_PERIOD=-0F"&amp;CT20))</f>
        <v>0</v>
      </c>
      <c r="Z20" s="838">
        <f ca="1">IF(ISERROR(_xll.BDP(B20&amp;" Equity","BS_SH_CAP_AND_APIC", "EQY_FUND_DT=" &amp;TEXT(R20,"YYYYMMDD"),"EQY_FUND_RELATIVE_PERIOD=-0F"&amp;CT20)+0),_xll.BDP(B20&amp;" Equity","BS_SH_CAP_AND_APIC", "EQY_FUND_DT=" &amp;TEXT(R20,"YYYYMMDD"),"EQY_FUND_RELATIVE_PERIOD=-1F"&amp;CT20),_xll.BDP(B20&amp;" Equity","BS_SH_CAP_AND_APIC", "EQY_FUND_DT=" &amp;TEXT(R20,"YYYYMMDD"),"EQY_FUND_RELATIVE_PERIOD=-0F"&amp;CT20))</f>
        <v>251.345</v>
      </c>
      <c r="AA20" s="838">
        <f ca="1">IF(ISERROR(_xll.BDP(B20&amp;" Equity","BS_RETAIN_EARN", "EQY_FUND_DT=" &amp;TEXT(R20,"YYYYMMDD"),"EQY_FUND_RELATIVE_PERIOD=-0F"&amp;CT20)+0),_xll.BDP(B20&amp;" Equity","BS_RETAIN_EARN", "EQY_FUND_DT=" &amp;TEXT(R20,"YYYYMMDD"),"EQY_FUND_RELATIVE_PERIOD=-1F"&amp;CT20),_xll.BDP(B20&amp;" Equity","BS_RETAIN_EARN", "EQY_FUND_DT=" &amp;TEXT(R20,"YYYYMMDD"),"EQY_FUND_RELATIVE_PERIOD=-0F"&amp;CT20))</f>
        <v>-54.494999999999997</v>
      </c>
      <c r="AB20" s="838">
        <f ca="1">F20+T20+U20+V20+W20-X20-Y20</f>
        <v>1938.409171</v>
      </c>
      <c r="AC20" s="838">
        <f ca="1">_xll.BDH(B20&amp;" EQUITY","TRAIL_12M_NET_SALES", R20,R20,"days=a","fill=p")</f>
        <v>137.172</v>
      </c>
      <c r="AD20" s="838">
        <f ca="1">_xll.BDH(B20&amp;" EQUITY","BEST_Sales",R20,R20,"BEST_FPERIOD_OVERRIDE="&amp;RIGHT(YEAR(CS20)+1,2)&amp;"Y", "days=a","fill=p")</f>
        <v>144</v>
      </c>
      <c r="AE20" s="838">
        <f ca="1">_xll.BDH(B20&amp;" EQUITY","BEST_Sales",R20,R20,"BEST_FPERIOD_OVERRIDE="&amp;RIGHT(YEAR(CS20)+2,2)&amp;"Y","days=a","fill=p")</f>
        <v>180.25</v>
      </c>
      <c r="AF20" s="838">
        <f ca="1">_xll.BDH(B20&amp;" EQUITY","BEST_Sales",R20,R20,"BEST_FPERIOD_OVERRIDE="&amp;RIGHT(YEAR(CS20)+3,2)&amp;"Y","days=a","fill=p")</f>
        <v>221</v>
      </c>
      <c r="AG20" s="838" t="str">
        <f ca="1">_xll.BDH(B20&amp;" EQUITY","BEST_Sales",R20,R20,"BEST_FPERIOD_OVERRIDE="&amp;RIGHT(YEAR(CS20)+4,2)&amp;"Y","days=a","fill=p")</f>
        <v>#N/A N/A</v>
      </c>
      <c r="AH20" s="838">
        <f ca="1">_xll.BDH(B20&amp;" EQUITY","TRAIL_12M_EBITDA",R20,R20,"days=a","fill=p")</f>
        <v>3.7389999999999999</v>
      </c>
      <c r="AI20" s="838">
        <f ca="1">_xll.BDH(B20&amp;" EQUITY","BEST_GROSS_MARGIN",R20,R20,"BEST_FPERIOD_OVERRIDE="&amp;RIGHT(YEAR(CS20)+1,2)&amp;"Y", "days=a","fill=p")%*AD20</f>
        <v>108.86399999999999</v>
      </c>
      <c r="AJ20" s="838">
        <f ca="1">_xll.BDH(B20&amp;" EQUITY","BEST_GROSS_MARGIN",R20,R20,"BEST_FPERIOD_OVERRIDE="&amp;RIGHT(YEAR(CS20)+2,2)&amp;"Y", "days=a","fill=p")%*AE20</f>
        <v>136.80975000000001</v>
      </c>
      <c r="AK20" s="838" t="e">
        <f ca="1">_xll.BDH(B20&amp;" EQUITY","BEST_GROSS_MARGIN",R20,R20,"BEST_FPERIOD_OVERRIDE="&amp;RIGHT(YEAR(CS20)+3,2)&amp;"Y", "days=a","fill=p")%*AF20</f>
        <v>#VALUE!</v>
      </c>
      <c r="AL20" s="838" t="e">
        <f ca="1">_xll.BDH(B20&amp;" EQUITY","BEST_GROSS_MARGIN",R20,R20,"BEST_FPERIOD_OVERRIDE="&amp;RIGHT(YEAR(CS20)+4,2)&amp;"Y", "days=a","fill=p")%*AG20</f>
        <v>#VALUE!</v>
      </c>
      <c r="AM20" s="838">
        <f ca="1">_xll.BDH(B20&amp;" EQUITY","TRAIL_12M_OPER_INC",R20,R20,"days=a","fill=p")</f>
        <v>-7.016</v>
      </c>
      <c r="AN20" s="838">
        <f ca="1">_xll.BDH(B20&amp;" EQUITY","BEST_EBIT",R20,R20,"BEST_FPERIOD_OVERRIDE="&amp;RIGHT(YEAR(CS20)+1,2)&amp;"Y", "days=a","fill=p")</f>
        <v>6</v>
      </c>
      <c r="AO20" s="838">
        <f ca="1">_xll.BDH(B20&amp;" EQUITY","BEST_EBIT",R20,R20,"BEST_FPERIOD_OVERRIDE="&amp;RIGHT(YEAR(CS20)+2,2)&amp;"Y", "days=a","fill=p")</f>
        <v>7</v>
      </c>
      <c r="AP20" s="838" t="str">
        <f ca="1">_xll.BDH(B20&amp;" EQUITY","BEST_EBIT",R20,R20,"BEST_FPERIOD_OVERRIDE="&amp;RIGHT(YEAR(CS20)+3,2)&amp;"Y", "days=a","fill=p")</f>
        <v>#N/A N/A</v>
      </c>
      <c r="AQ20" s="838" t="str">
        <f ca="1">_xll.BDH(B20&amp;" EQUITY","BEST_EBIT",R20,R20,"BEST_FPERIOD_OVERRIDE="&amp;RIGHT(YEAR(CS20)+4,2)&amp;"Y", "days=a","fill=p")</f>
        <v>#N/A N/A</v>
      </c>
      <c r="AR20" s="838">
        <f ca="1">_xll.BDH(B20&amp;" EQUITY","TRAIL_12M_EST_COMP_NET_INC_ADJ",R20,R20,"days=a","fill=p")</f>
        <v>-1.5516000000000001</v>
      </c>
      <c r="AS20" s="838">
        <f ca="1">_xll.BDH(B20&amp;" EQUITY","BEST_NET_INCOME",R20,R20,"BEST_FPERIOD_OVERRIDE="&amp;RIGHT(YEAR(CS20)+1,2)&amp;"Y", "days=a","fill=p")</f>
        <v>8.8030000000000008</v>
      </c>
      <c r="AT20" s="838">
        <f ca="1">_xll.BDH(B20&amp;" EQUITY","BEST_NET_INCOME",R20,R20,"BEST_FPERIOD_OVERRIDE="&amp;RIGHT(YEAR(CS20)+2,2)&amp;"Y", "days=a","fill=p")</f>
        <v>11.6</v>
      </c>
      <c r="AU20" s="838">
        <f ca="1">_xll.BDH(B20&amp;" EQUITY","BEST_NET_INCOME",R20,R20,"BEST_FPERIOD_OVERRIDE="&amp;RIGHT(YEAR(CS20)+3,2)&amp;"Y", "days=a","fill=p")</f>
        <v>20.8</v>
      </c>
      <c r="AV20" s="838" t="str">
        <f ca="1">_xll.BDH(B20&amp;" EQUITY","BEST_NET_INCOME",R20,R20,"BEST_FPERIOD_OVERRIDE="&amp;RIGHT(YEAR(CS20)+4,2)&amp;"Y", "days=a","fill=p")</f>
        <v>#N/A N/A</v>
      </c>
      <c r="AW20" s="837">
        <f ca="1">_xll.BDH(B20&amp;" EQUITY","T12M_DIL_EPS_CONT_OPS", R20,R20,"days=a","fill=p")</f>
        <v>-6.0900000000000003E-2</v>
      </c>
      <c r="AX20" s="837">
        <f ca="1">_xll.BDH(B20&amp;" EQUITY","BEST_EPS",R20,R20,"BEST_FPERIOD_OVERRIDE="&amp;RIGHT(YEAR(CS20)+1,2)&amp;"Y", "days=a","fill=p")</f>
        <v>0.16200000000000001</v>
      </c>
      <c r="AY20" s="837">
        <f ca="1">_xll.BDH(B20&amp;" EQUITY","BEST_EPS",R20,R20,"BEST_FPERIOD_OVERRIDE="&amp;RIGHT(YEAR(CS20)+2,2)&amp;"Y", "days=a","fill=p")</f>
        <v>0.21</v>
      </c>
      <c r="AZ20" s="837">
        <f ca="1">_xll.BDH(B20&amp;" EQUITY","BEST_EPS",R20,R20,"BEST_FPERIOD_OVERRIDE="&amp;RIGHT(YEAR(CS20)+3,2)&amp;"Y", "days=a","fill=p")</f>
        <v>0.34</v>
      </c>
      <c r="BA20" s="837" t="str">
        <f ca="1">_xll.BDH(B20&amp;" EQUITY","BEST_EPS",R20,R20,"BEST_FPERIOD_OVERRIDE="&amp;RIGHT(YEAR(CS20)+4,2)&amp;"Y", "days=a","fill=p")</f>
        <v>#N/A N/A</v>
      </c>
      <c r="BB20" s="839">
        <f t="shared" ca="1" si="125"/>
        <v>25.47783251231527</v>
      </c>
      <c r="BC20" s="839">
        <f t="shared" ca="1" si="125"/>
        <v>54.339506172839506</v>
      </c>
      <c r="BD20" s="839">
        <f t="shared" ca="1" si="125"/>
        <v>55.238095238095241</v>
      </c>
      <c r="BE20" s="839">
        <f t="shared" ca="1" si="125"/>
        <v>61.17647058823529</v>
      </c>
      <c r="BF20" s="839" t="e">
        <f t="shared" ca="1" si="125"/>
        <v>#VALUE!</v>
      </c>
      <c r="BG20" s="838">
        <f ca="1">_xll.BDH(B20&amp;" EQUITY","TRAIL_12M_CAP_EXPEND", R20,R20,"days=a","fill=p")</f>
        <v>-12.308</v>
      </c>
      <c r="BH20" s="838">
        <f ca="1">_xll.BDH(B20&amp;" EQUITY","BEST_CAPEX",R20,R20,"BEST_FPERIOD_OVERRIDE="&amp;RIGHT(YEAR(CS20)+1,2)&amp;"Y", "days=a","fill=p")</f>
        <v>-12.85</v>
      </c>
      <c r="BI20" s="838">
        <f ca="1">_xll.BDH(B20&amp;" EQUITY","BEST_CAPEX",R20,R20,"BEST_FPERIOD_OVERRIDE="&amp;RIGHT(YEAR(CS20)+2,2)&amp;"Y", "days=a","fill=p")</f>
        <v>-8.5150000000000006</v>
      </c>
      <c r="BJ20" s="838" t="str">
        <f ca="1">_xll.BDH(B20&amp;" EQUITY","BEST_CAPEX",R20,R20,"BEST_FPERIOD_OVERRIDE="&amp;RIGHT(YEAR(CS20)+3,2)&amp;"Y", "days=a","fill=p")</f>
        <v>#N/A N/A</v>
      </c>
      <c r="BK20" s="838" t="str">
        <f ca="1">_xll.BDH(B20&amp;" EQUITY","BEST_CAPEX",R20,R20,"BEST_FPERIOD_OVERRIDE="&amp;RIGHT(YEAR(CS20)+4,2)&amp;"Y", "days=a","fill=p")</f>
        <v>#N/A N/A</v>
      </c>
      <c r="BL20" s="838">
        <f t="shared" ca="1" si="126"/>
        <v>10.754999999999999</v>
      </c>
      <c r="BM20" s="838">
        <f t="shared" ca="1" si="126"/>
        <v>102.86399999999999</v>
      </c>
      <c r="BN20" s="838">
        <f t="shared" ca="1" si="126"/>
        <v>129.80975000000001</v>
      </c>
      <c r="BO20" s="838" t="e">
        <f t="shared" ca="1" si="126"/>
        <v>#VALUE!</v>
      </c>
      <c r="BP20" s="838" t="e">
        <f t="shared" ca="1" si="126"/>
        <v>#VALUE!</v>
      </c>
      <c r="BQ20" s="837">
        <f t="shared" ca="1" si="127"/>
        <v>-0.12185494972931174</v>
      </c>
      <c r="BR20" s="837">
        <f t="shared" ca="1" si="127"/>
        <v>1.818511189367261</v>
      </c>
      <c r="BS20" s="837">
        <f t="shared" ca="1" si="127"/>
        <v>2.4058532327586204</v>
      </c>
      <c r="BT20" s="837" t="e">
        <f t="shared" ca="1" si="127"/>
        <v>#VALUE!</v>
      </c>
      <c r="BU20" s="837" t="e">
        <f t="shared" ca="1" si="127"/>
        <v>#VALUE!</v>
      </c>
      <c r="BV20" s="838">
        <f t="shared" ca="1" si="102"/>
        <v>144</v>
      </c>
      <c r="BW20" s="838">
        <f t="shared" ca="1" si="103"/>
        <v>180.25</v>
      </c>
      <c r="BX20" s="838">
        <f t="shared" ca="1" si="93"/>
        <v>221</v>
      </c>
      <c r="BY20" s="838">
        <f t="shared" ca="1" si="104"/>
        <v>108.86399999999999</v>
      </c>
      <c r="BZ20" s="838">
        <f t="shared" ca="1" si="105"/>
        <v>136.80975000000001</v>
      </c>
      <c r="CA20" s="838" t="e">
        <f t="shared" ca="1" si="94"/>
        <v>#VALUE!</v>
      </c>
      <c r="CB20" s="838">
        <f t="shared" ca="1" si="106"/>
        <v>6</v>
      </c>
      <c r="CC20" s="838">
        <f t="shared" ca="1" si="107"/>
        <v>7</v>
      </c>
      <c r="CD20" s="838" t="str">
        <f t="shared" ca="1" si="95"/>
        <v>#N/A N/A</v>
      </c>
      <c r="CE20" s="837">
        <f t="shared" ca="1" si="108"/>
        <v>0.16200000000000001</v>
      </c>
      <c r="CF20" s="837">
        <f t="shared" ca="1" si="109"/>
        <v>0.21</v>
      </c>
      <c r="CG20" s="837">
        <f t="shared" ca="1" si="96"/>
        <v>0.34</v>
      </c>
      <c r="CH20" s="837">
        <f t="shared" ca="1" si="110"/>
        <v>1.818511189367261</v>
      </c>
      <c r="CI20" s="837">
        <f t="shared" ca="1" si="111"/>
        <v>2.4058532327586204</v>
      </c>
      <c r="CJ20" s="837" t="e">
        <f t="shared" ca="1" si="97"/>
        <v>#VALUE!</v>
      </c>
      <c r="CK20" s="840"/>
      <c r="CL20" s="841">
        <f>IF(CK20="",1,_xll.BDP(CK20&amp;" CURNCY","LAST PRICE"))</f>
        <v>1</v>
      </c>
      <c r="CM20" s="842">
        <v>1</v>
      </c>
      <c r="CN20" s="843">
        <f ca="1">_xll.BDH(B20&amp;" EQUITY","BS_SH_OUT",R20,R20,"EQY_FUND_PER="&amp;CT20,"days=a","fill=p")</f>
        <v>47.049100000000003</v>
      </c>
      <c r="CO20" s="844" t="str">
        <f>_xll.BDP(B20&amp;" EQUITY","EQY_FISCAL_YR_END")</f>
        <v>12/2017</v>
      </c>
      <c r="CP20" s="845">
        <f t="shared" si="112"/>
        <v>31</v>
      </c>
      <c r="CQ20" s="844">
        <f t="shared" si="113"/>
        <v>12</v>
      </c>
      <c r="CR20" s="844">
        <f t="shared" si="114"/>
        <v>2017</v>
      </c>
      <c r="CS20" s="836">
        <f ca="1">+DATE(CR20,CQ20,CP20)-((CR20-YEAR($R$7)+1)*365)</f>
        <v>43100</v>
      </c>
      <c r="CT20" s="830" t="s">
        <v>866</v>
      </c>
      <c r="CU20" s="846">
        <f t="shared" ca="1" si="115"/>
        <v>1</v>
      </c>
      <c r="CV20" s="846">
        <f t="shared" ca="1" si="116"/>
        <v>0</v>
      </c>
      <c r="CW20" s="806"/>
    </row>
    <row r="21" spans="1:101" ht="5.0999999999999996" customHeight="1" x14ac:dyDescent="0.2">
      <c r="B21" s="1095"/>
      <c r="E21" s="848"/>
      <c r="F21" s="849"/>
      <c r="G21" s="849"/>
      <c r="H21" s="850"/>
      <c r="I21" s="850"/>
      <c r="J21" s="850"/>
      <c r="K21" s="850"/>
      <c r="L21" s="850"/>
      <c r="M21" s="850"/>
      <c r="N21" s="851"/>
      <c r="O21" s="851"/>
      <c r="P21" s="1096"/>
      <c r="T21" s="852"/>
      <c r="U21" s="852"/>
      <c r="V21" s="852"/>
      <c r="W21" s="852"/>
      <c r="X21" s="852"/>
      <c r="Y21" s="852"/>
      <c r="Z21" s="852"/>
      <c r="AA21" s="852"/>
      <c r="AB21" s="852"/>
      <c r="AC21" s="852"/>
      <c r="AD21" s="852"/>
      <c r="AE21" s="852"/>
      <c r="AF21" s="852"/>
      <c r="AG21" s="852"/>
      <c r="AH21" s="852"/>
      <c r="AI21" s="852"/>
      <c r="AJ21" s="852"/>
      <c r="AK21" s="852"/>
      <c r="AL21" s="852"/>
      <c r="AM21" s="852"/>
      <c r="AN21" s="852"/>
      <c r="AO21" s="852"/>
      <c r="AP21" s="852"/>
      <c r="AQ21" s="852"/>
      <c r="AR21" s="853"/>
      <c r="AS21" s="852"/>
      <c r="AT21" s="852"/>
      <c r="AW21" s="852"/>
      <c r="AX21" s="852"/>
      <c r="AY21" s="852"/>
      <c r="AZ21" s="852"/>
      <c r="BA21" s="852"/>
      <c r="BB21" s="852"/>
      <c r="BC21" s="852"/>
      <c r="BD21" s="852"/>
      <c r="BE21" s="852"/>
      <c r="BF21" s="852"/>
      <c r="BG21" s="852"/>
      <c r="BI21" s="854"/>
      <c r="BJ21" s="854"/>
      <c r="BK21" s="854"/>
      <c r="BL21" s="854"/>
      <c r="BM21" s="854"/>
      <c r="BN21" s="854"/>
      <c r="BO21" s="836"/>
      <c r="BP21" s="836"/>
      <c r="BR21" s="855"/>
      <c r="BS21" s="855"/>
    </row>
    <row r="22" spans="1:101" x14ac:dyDescent="0.2">
      <c r="B22" s="887" t="s">
        <v>995</v>
      </c>
      <c r="C22" s="888"/>
      <c r="D22" s="888"/>
      <c r="E22" s="888"/>
      <c r="F22" s="888"/>
      <c r="G22" s="888"/>
      <c r="H22" s="888"/>
      <c r="I22" s="888"/>
      <c r="J22" s="888"/>
      <c r="K22" s="888"/>
      <c r="L22" s="888"/>
      <c r="M22" s="888"/>
      <c r="N22" s="888"/>
      <c r="O22" s="888"/>
      <c r="P22" s="889"/>
      <c r="T22" s="852"/>
      <c r="U22" s="852"/>
      <c r="V22" s="852"/>
      <c r="W22" s="852"/>
      <c r="X22" s="852"/>
      <c r="Y22" s="852"/>
      <c r="Z22" s="852"/>
      <c r="AA22" s="852"/>
      <c r="AB22" s="852"/>
      <c r="AC22" s="852"/>
      <c r="AD22" s="852"/>
      <c r="AE22" s="852"/>
      <c r="AF22" s="852"/>
      <c r="AG22" s="852"/>
      <c r="AH22" s="852"/>
      <c r="AI22" s="852"/>
      <c r="AJ22" s="852"/>
      <c r="AK22" s="852"/>
      <c r="AL22" s="852"/>
      <c r="AM22" s="852"/>
      <c r="AN22" s="852"/>
      <c r="AO22" s="852"/>
      <c r="AP22" s="852"/>
      <c r="AQ22" s="852"/>
      <c r="AR22" s="852"/>
      <c r="AS22" s="852"/>
      <c r="AT22" s="852"/>
      <c r="AW22" s="852"/>
      <c r="AX22" s="852"/>
      <c r="AY22" s="852"/>
      <c r="AZ22" s="852"/>
      <c r="BA22" s="852"/>
      <c r="BB22" s="852"/>
      <c r="BC22" s="852"/>
      <c r="BD22" s="852"/>
      <c r="BE22" s="852"/>
      <c r="BF22" s="852"/>
      <c r="BG22" s="852"/>
      <c r="BI22" s="854"/>
      <c r="BJ22" s="854"/>
      <c r="BK22" s="854"/>
      <c r="BL22" s="854"/>
      <c r="BM22" s="854"/>
      <c r="BN22" s="854"/>
      <c r="BO22" s="836"/>
      <c r="BP22" s="836"/>
      <c r="BR22" s="855"/>
      <c r="BS22" s="855"/>
    </row>
    <row r="23" spans="1:101" x14ac:dyDescent="0.2">
      <c r="B23" s="856" t="s">
        <v>118</v>
      </c>
      <c r="C23" s="810"/>
      <c r="D23" s="810"/>
      <c r="E23" s="857"/>
      <c r="F23" s="858"/>
      <c r="G23" s="858"/>
      <c r="H23" s="859">
        <f t="shared" ref="H23:P23" ca="1" si="135">MAX(H6:H21)</f>
        <v>16.778998667393388</v>
      </c>
      <c r="I23" s="859">
        <f t="shared" ca="1" si="135"/>
        <v>12.552934960343171</v>
      </c>
      <c r="J23" s="859">
        <f t="shared" ca="1" si="135"/>
        <v>10.012975390670418</v>
      </c>
      <c r="K23" s="859">
        <f t="shared" ca="1" si="135"/>
        <v>24.394097425481892</v>
      </c>
      <c r="L23" s="859">
        <f t="shared" ca="1" si="135"/>
        <v>18.624597279986617</v>
      </c>
      <c r="M23" s="859">
        <f t="shared" ca="1" si="135"/>
        <v>14.401019188305579</v>
      </c>
      <c r="N23" s="860">
        <f t="shared" ca="1" si="135"/>
        <v>0.33665941235265401</v>
      </c>
      <c r="O23" s="860">
        <f t="shared" ca="1" si="135"/>
        <v>0.87419999999999998</v>
      </c>
      <c r="P23" s="861">
        <f t="shared" ca="1" si="135"/>
        <v>8.9726766395474292E-2</v>
      </c>
      <c r="T23" s="852"/>
      <c r="U23" s="852"/>
      <c r="V23" s="852"/>
      <c r="W23" s="852"/>
      <c r="X23" s="852"/>
      <c r="Y23" s="852"/>
      <c r="Z23" s="852"/>
      <c r="AA23" s="852"/>
      <c r="AB23" s="852"/>
      <c r="AC23" s="852"/>
      <c r="AD23" s="852"/>
      <c r="AE23" s="852"/>
      <c r="AF23" s="852"/>
      <c r="AG23" s="852"/>
      <c r="AH23" s="852"/>
      <c r="AI23" s="852"/>
      <c r="AJ23" s="852"/>
      <c r="AK23" s="852"/>
      <c r="AL23" s="852"/>
      <c r="AM23" s="852"/>
      <c r="AN23" s="852"/>
      <c r="AO23" s="852"/>
      <c r="AP23" s="852"/>
      <c r="AQ23" s="852"/>
      <c r="AR23" s="852"/>
      <c r="AS23" s="852"/>
      <c r="AT23" s="852"/>
      <c r="AW23" s="852"/>
      <c r="AX23" s="852"/>
      <c r="AY23" s="852"/>
      <c r="AZ23" s="852"/>
      <c r="BA23" s="852"/>
      <c r="BB23" s="852"/>
      <c r="BC23" s="852"/>
      <c r="BD23" s="852"/>
      <c r="BE23" s="852"/>
      <c r="BF23" s="852"/>
      <c r="BG23" s="852"/>
      <c r="BI23" s="854"/>
      <c r="BJ23" s="854"/>
      <c r="BK23" s="854"/>
      <c r="BL23" s="854"/>
      <c r="BM23" s="854"/>
      <c r="BN23" s="854"/>
      <c r="BO23" s="836"/>
      <c r="BP23" s="836"/>
      <c r="BR23" s="855"/>
      <c r="BS23" s="855"/>
    </row>
    <row r="24" spans="1:101" x14ac:dyDescent="0.2">
      <c r="B24" s="856" t="s">
        <v>871</v>
      </c>
      <c r="C24" s="810"/>
      <c r="D24" s="810"/>
      <c r="E24" s="857"/>
      <c r="F24" s="858"/>
      <c r="G24" s="858"/>
      <c r="H24" s="859">
        <f t="shared" ref="H24:P24" ca="1" si="136">AVERAGE(H6:H21)</f>
        <v>11.042278694066177</v>
      </c>
      <c r="I24" s="859">
        <f t="shared" ca="1" si="136"/>
        <v>8.5710483615596491</v>
      </c>
      <c r="J24" s="859">
        <f t="shared" ca="1" si="136"/>
        <v>6.8806220681732944</v>
      </c>
      <c r="K24" s="859">
        <f t="shared" ca="1" si="136"/>
        <v>14.877959311405078</v>
      </c>
      <c r="L24" s="859">
        <f t="shared" ca="1" si="136"/>
        <v>11.465302415616064</v>
      </c>
      <c r="M24" s="859">
        <f t="shared" ca="1" si="136"/>
        <v>8.8732640511290004</v>
      </c>
      <c r="N24" s="860">
        <f t="shared" ca="1" si="136"/>
        <v>0.28544742097720466</v>
      </c>
      <c r="O24" s="860">
        <f t="shared" ca="1" si="136"/>
        <v>0.76013996237570802</v>
      </c>
      <c r="P24" s="861">
        <f t="shared" ca="1" si="136"/>
        <v>4.7644380528885699E-2</v>
      </c>
      <c r="T24" s="852"/>
      <c r="U24" s="852"/>
      <c r="V24" s="852"/>
      <c r="W24" s="852"/>
      <c r="X24" s="852"/>
      <c r="Y24" s="852"/>
      <c r="Z24" s="852"/>
      <c r="AA24" s="852"/>
      <c r="AB24" s="852"/>
      <c r="AC24" s="852"/>
      <c r="AD24" s="852"/>
      <c r="AE24" s="852"/>
      <c r="AF24" s="852"/>
      <c r="AG24" s="852"/>
      <c r="AH24" s="852"/>
      <c r="AI24" s="852"/>
      <c r="AJ24" s="852"/>
      <c r="AK24" s="852"/>
      <c r="AL24" s="852"/>
      <c r="AM24" s="852"/>
      <c r="AN24" s="852"/>
      <c r="AO24" s="852"/>
      <c r="AP24" s="852"/>
      <c r="AQ24" s="852"/>
      <c r="AR24" s="852"/>
      <c r="AS24" s="852"/>
      <c r="AT24" s="852"/>
      <c r="AW24" s="852"/>
      <c r="AX24" s="852"/>
      <c r="AY24" s="852"/>
      <c r="AZ24" s="852"/>
      <c r="BA24" s="852"/>
      <c r="BB24" s="852"/>
      <c r="BC24" s="852"/>
      <c r="BD24" s="852"/>
      <c r="BE24" s="852"/>
      <c r="BF24" s="852"/>
      <c r="BG24" s="852"/>
      <c r="BI24" s="854"/>
      <c r="BJ24" s="854"/>
      <c r="BK24" s="854"/>
      <c r="BL24" s="854"/>
      <c r="BM24" s="854"/>
      <c r="BN24" s="854"/>
      <c r="BO24" s="836"/>
      <c r="BP24" s="836"/>
      <c r="BR24" s="855"/>
      <c r="BS24" s="855"/>
    </row>
    <row r="25" spans="1:101" x14ac:dyDescent="0.2">
      <c r="B25" s="856" t="s">
        <v>872</v>
      </c>
      <c r="C25" s="810"/>
      <c r="D25" s="810"/>
      <c r="E25" s="857"/>
      <c r="F25" s="858"/>
      <c r="G25" s="858"/>
      <c r="H25" s="859">
        <f t="shared" ref="H25:P25" ca="1" si="137">MEDIAN(H6:H21)</f>
        <v>10.600254128093045</v>
      </c>
      <c r="I25" s="859">
        <f t="shared" ca="1" si="137"/>
        <v>8.266195044239053</v>
      </c>
      <c r="J25" s="859">
        <f t="shared" ca="1" si="137"/>
        <v>6.7065909447401282</v>
      </c>
      <c r="K25" s="859">
        <f t="shared" ca="1" si="137"/>
        <v>14.384897475776903</v>
      </c>
      <c r="L25" s="859">
        <f t="shared" ca="1" si="137"/>
        <v>11.057674379938865</v>
      </c>
      <c r="M25" s="859">
        <f t="shared" ca="1" si="137"/>
        <v>7.932395444420564</v>
      </c>
      <c r="N25" s="860">
        <f t="shared" ca="1" si="137"/>
        <v>0.29445951001278825</v>
      </c>
      <c r="O25" s="860">
        <f t="shared" ca="1" si="137"/>
        <v>0.76012499999999994</v>
      </c>
      <c r="P25" s="861">
        <f t="shared" ca="1" si="137"/>
        <v>4.5108170957495669E-2</v>
      </c>
      <c r="T25" s="852"/>
      <c r="U25" s="852"/>
      <c r="V25" s="852"/>
      <c r="W25" s="852"/>
      <c r="X25" s="852"/>
      <c r="Y25" s="852"/>
      <c r="Z25" s="852"/>
      <c r="AA25" s="852"/>
      <c r="AB25" s="852"/>
      <c r="AC25" s="852"/>
      <c r="AD25" s="852"/>
      <c r="AE25" s="852"/>
      <c r="AF25" s="852"/>
      <c r="AG25" s="852"/>
      <c r="AH25" s="852"/>
      <c r="AI25" s="852"/>
      <c r="AJ25" s="852"/>
      <c r="AK25" s="852"/>
      <c r="AL25" s="852"/>
      <c r="AM25" s="852"/>
      <c r="AN25" s="852"/>
      <c r="AO25" s="852"/>
      <c r="AP25" s="852"/>
      <c r="AQ25" s="852"/>
      <c r="AR25" s="852"/>
      <c r="AS25" s="852"/>
      <c r="AT25" s="852"/>
      <c r="AW25" s="852"/>
      <c r="AX25" s="852"/>
      <c r="AY25" s="852"/>
      <c r="AZ25" s="852"/>
      <c r="BA25" s="852"/>
      <c r="BB25" s="852"/>
      <c r="BC25" s="852"/>
      <c r="BD25" s="852"/>
      <c r="BE25" s="852"/>
      <c r="BF25" s="852"/>
      <c r="BG25" s="852"/>
      <c r="BI25" s="854"/>
      <c r="BJ25" s="854"/>
      <c r="BK25" s="854"/>
      <c r="BL25" s="854"/>
      <c r="BM25" s="854"/>
      <c r="BN25" s="854"/>
      <c r="BO25" s="836"/>
      <c r="BP25" s="836"/>
      <c r="BR25" s="855"/>
      <c r="BS25" s="855"/>
    </row>
    <row r="26" spans="1:101" x14ac:dyDescent="0.2">
      <c r="B26" s="862" t="s">
        <v>116</v>
      </c>
      <c r="C26" s="818"/>
      <c r="D26" s="818"/>
      <c r="E26" s="863"/>
      <c r="F26" s="864"/>
      <c r="G26" s="864"/>
      <c r="H26" s="865">
        <f t="shared" ref="H26:P26" ca="1" si="138">MIN(H6:H21)</f>
        <v>7.376611709559854</v>
      </c>
      <c r="I26" s="865">
        <f t="shared" ca="1" si="138"/>
        <v>5.5896559909361274</v>
      </c>
      <c r="J26" s="865">
        <f t="shared" ca="1" si="138"/>
        <v>4.3664443226520619</v>
      </c>
      <c r="K26" s="865">
        <f t="shared" ca="1" si="138"/>
        <v>9.7692171829340619</v>
      </c>
      <c r="L26" s="865">
        <f t="shared" ca="1" si="138"/>
        <v>7.3802339830211423</v>
      </c>
      <c r="M26" s="865">
        <f t="shared" ca="1" si="138"/>
        <v>5.7272262898338422</v>
      </c>
      <c r="N26" s="866">
        <f t="shared" ca="1" si="138"/>
        <v>0.2114482465641698</v>
      </c>
      <c r="O26" s="866">
        <f t="shared" ca="1" si="138"/>
        <v>0.54773000000000005</v>
      </c>
      <c r="P26" s="867">
        <f t="shared" ca="1" si="138"/>
        <v>6.5650506861841601E-3</v>
      </c>
      <c r="T26" s="852"/>
      <c r="U26" s="852"/>
      <c r="V26" s="852"/>
      <c r="W26" s="852"/>
      <c r="X26" s="852"/>
      <c r="Y26" s="852"/>
      <c r="Z26" s="852"/>
      <c r="AA26" s="852"/>
      <c r="AB26" s="852"/>
      <c r="AC26" s="852"/>
      <c r="AD26" s="852"/>
      <c r="AE26" s="852"/>
      <c r="AF26" s="852"/>
      <c r="AG26" s="852"/>
      <c r="AH26" s="852"/>
      <c r="AI26" s="852"/>
      <c r="AJ26" s="852"/>
      <c r="AK26" s="852"/>
      <c r="AL26" s="852"/>
      <c r="AM26" s="852"/>
      <c r="AN26" s="852"/>
      <c r="AO26" s="852"/>
      <c r="AP26" s="852"/>
      <c r="AQ26" s="852"/>
      <c r="AR26" s="809"/>
      <c r="AS26" s="852"/>
      <c r="AT26" s="852"/>
      <c r="AW26" s="852"/>
      <c r="AX26" s="852"/>
      <c r="AY26" s="852"/>
      <c r="AZ26" s="852"/>
      <c r="BA26" s="852"/>
      <c r="BB26" s="852"/>
      <c r="BC26" s="852"/>
      <c r="BD26" s="852"/>
      <c r="BE26" s="852"/>
      <c r="BF26" s="852"/>
      <c r="BG26" s="852"/>
      <c r="BI26" s="854"/>
      <c r="BJ26" s="854"/>
      <c r="BK26" s="854"/>
      <c r="BL26" s="854"/>
      <c r="BM26" s="854"/>
      <c r="BN26" s="854"/>
      <c r="BO26" s="836"/>
      <c r="BP26" s="836"/>
      <c r="BR26" s="855"/>
      <c r="BS26" s="855"/>
    </row>
    <row r="27" spans="1:101" ht="5.0999999999999996" customHeight="1" x14ac:dyDescent="0.2">
      <c r="B27" s="1095"/>
      <c r="E27" s="848"/>
      <c r="F27" s="849"/>
      <c r="G27" s="849"/>
      <c r="H27" s="850"/>
      <c r="I27" s="850"/>
      <c r="J27" s="850"/>
      <c r="K27" s="850"/>
      <c r="L27" s="850"/>
      <c r="M27" s="850"/>
      <c r="N27" s="851"/>
      <c r="O27" s="851"/>
      <c r="P27" s="1096"/>
      <c r="T27" s="852"/>
      <c r="U27" s="852"/>
      <c r="V27" s="852"/>
      <c r="W27" s="852"/>
      <c r="X27" s="852"/>
      <c r="Y27" s="852"/>
      <c r="Z27" s="852"/>
      <c r="AA27" s="852"/>
      <c r="AB27" s="852"/>
      <c r="AC27" s="852"/>
      <c r="AD27" s="852"/>
      <c r="AE27" s="852"/>
      <c r="AF27" s="852"/>
      <c r="AG27" s="852"/>
      <c r="AH27" s="852"/>
      <c r="AI27" s="852"/>
      <c r="AJ27" s="852"/>
      <c r="AK27" s="852"/>
      <c r="AL27" s="852"/>
      <c r="AM27" s="852"/>
      <c r="AN27" s="852"/>
      <c r="AO27" s="852"/>
      <c r="AP27" s="852"/>
      <c r="AQ27" s="852"/>
      <c r="AR27" s="853"/>
      <c r="AS27" s="852"/>
      <c r="AT27" s="852"/>
      <c r="AW27" s="852"/>
      <c r="AX27" s="852"/>
      <c r="AY27" s="852"/>
      <c r="AZ27" s="852"/>
      <c r="BA27" s="852"/>
      <c r="BB27" s="852"/>
      <c r="BC27" s="852"/>
      <c r="BD27" s="852"/>
      <c r="BE27" s="852"/>
      <c r="BF27" s="852"/>
      <c r="BG27" s="852"/>
      <c r="BI27" s="854"/>
      <c r="BJ27" s="854"/>
      <c r="BK27" s="854"/>
      <c r="BL27" s="854"/>
      <c r="BM27" s="854"/>
      <c r="BN27" s="854"/>
      <c r="BO27" s="836"/>
      <c r="BP27" s="836"/>
      <c r="BR27" s="855"/>
      <c r="BS27" s="855"/>
    </row>
    <row r="28" spans="1:101" x14ac:dyDescent="0.2">
      <c r="B28" s="887" t="s">
        <v>996</v>
      </c>
      <c r="C28" s="888"/>
      <c r="D28" s="888"/>
      <c r="E28" s="888"/>
      <c r="F28" s="888"/>
      <c r="G28" s="888"/>
      <c r="H28" s="888"/>
      <c r="I28" s="888"/>
      <c r="J28" s="888"/>
      <c r="K28" s="888"/>
      <c r="L28" s="888"/>
      <c r="M28" s="888"/>
      <c r="N28" s="888"/>
      <c r="O28" s="888"/>
      <c r="P28" s="889"/>
      <c r="T28" s="852"/>
      <c r="U28" s="852"/>
      <c r="V28" s="852"/>
      <c r="W28" s="852"/>
      <c r="X28" s="852"/>
      <c r="Y28" s="852"/>
      <c r="Z28" s="852"/>
      <c r="AA28" s="852"/>
      <c r="AB28" s="852"/>
      <c r="AC28" s="852"/>
      <c r="AD28" s="852"/>
      <c r="AE28" s="852"/>
      <c r="AF28" s="852"/>
      <c r="AG28" s="852"/>
      <c r="AH28" s="852"/>
      <c r="AI28" s="852"/>
      <c r="AJ28" s="852"/>
      <c r="AK28" s="852"/>
      <c r="AL28" s="852"/>
      <c r="AM28" s="852"/>
      <c r="AN28" s="852"/>
      <c r="AO28" s="852"/>
      <c r="AP28" s="852"/>
      <c r="AQ28" s="852"/>
      <c r="AR28" s="852"/>
      <c r="AS28" s="852"/>
      <c r="AT28" s="852"/>
      <c r="AW28" s="852"/>
      <c r="AX28" s="852"/>
      <c r="AY28" s="852"/>
      <c r="AZ28" s="852"/>
      <c r="BA28" s="852"/>
      <c r="BB28" s="852"/>
      <c r="BC28" s="852"/>
      <c r="BD28" s="852"/>
      <c r="BE28" s="852"/>
      <c r="BF28" s="852"/>
      <c r="BG28" s="852"/>
      <c r="BI28" s="854"/>
      <c r="BJ28" s="854"/>
      <c r="BK28" s="854"/>
      <c r="BL28" s="854"/>
      <c r="BM28" s="854"/>
      <c r="BN28" s="854"/>
      <c r="BO28" s="836"/>
      <c r="BP28" s="836"/>
      <c r="BR28" s="855"/>
      <c r="BS28" s="855"/>
    </row>
    <row r="29" spans="1:101" x14ac:dyDescent="0.2">
      <c r="B29" s="856" t="s">
        <v>118</v>
      </c>
      <c r="C29" s="810"/>
      <c r="D29" s="810"/>
      <c r="E29" s="857"/>
      <c r="F29" s="858"/>
      <c r="G29" s="858"/>
      <c r="H29" s="859">
        <f t="shared" ref="H29:P29" ca="1" si="139">MAX(H6:H12)</f>
        <v>11.989461762228053</v>
      </c>
      <c r="I29" s="859">
        <f t="shared" ca="1" si="139"/>
        <v>9.2880879458960681</v>
      </c>
      <c r="J29" s="859">
        <f t="shared" ca="1" si="139"/>
        <v>7.3159274410014845</v>
      </c>
      <c r="K29" s="859">
        <f t="shared" ca="1" si="139"/>
        <v>15.032676867230117</v>
      </c>
      <c r="L29" s="859">
        <f t="shared" ca="1" si="139"/>
        <v>11.542585805408445</v>
      </c>
      <c r="M29" s="859">
        <f t="shared" ca="1" si="139"/>
        <v>9.2611958455290093</v>
      </c>
      <c r="N29" s="860">
        <f t="shared" ca="1" si="139"/>
        <v>0.29807618648785311</v>
      </c>
      <c r="O29" s="860">
        <f t="shared" ca="1" si="139"/>
        <v>0.87419999999999998</v>
      </c>
      <c r="P29" s="861">
        <f t="shared" ca="1" si="139"/>
        <v>7.1913639223929182E-2</v>
      </c>
      <c r="T29" s="852"/>
      <c r="U29" s="852"/>
      <c r="V29" s="852"/>
      <c r="W29" s="852"/>
      <c r="X29" s="852"/>
      <c r="Y29" s="852"/>
      <c r="Z29" s="852"/>
      <c r="AA29" s="852"/>
      <c r="AB29" s="852"/>
      <c r="AC29" s="852"/>
      <c r="AD29" s="852"/>
      <c r="AE29" s="852"/>
      <c r="AF29" s="852"/>
      <c r="AG29" s="852"/>
      <c r="AH29" s="852"/>
      <c r="AI29" s="852"/>
      <c r="AJ29" s="852"/>
      <c r="AK29" s="852"/>
      <c r="AL29" s="852"/>
      <c r="AM29" s="852"/>
      <c r="AN29" s="852"/>
      <c r="AO29" s="852"/>
      <c r="AP29" s="852"/>
      <c r="AQ29" s="852"/>
      <c r="AR29" s="852"/>
      <c r="AS29" s="852"/>
      <c r="AT29" s="852"/>
      <c r="AW29" s="852"/>
      <c r="AX29" s="852"/>
      <c r="AY29" s="852"/>
      <c r="AZ29" s="852"/>
      <c r="BA29" s="852"/>
      <c r="BB29" s="852"/>
      <c r="BC29" s="852"/>
      <c r="BD29" s="852"/>
      <c r="BE29" s="852"/>
      <c r="BF29" s="852"/>
      <c r="BG29" s="852"/>
      <c r="BI29" s="854"/>
      <c r="BJ29" s="854"/>
      <c r="BK29" s="854"/>
      <c r="BL29" s="854"/>
      <c r="BM29" s="854"/>
      <c r="BN29" s="854"/>
      <c r="BO29" s="836"/>
      <c r="BP29" s="836"/>
      <c r="BR29" s="855"/>
      <c r="BS29" s="855"/>
    </row>
    <row r="30" spans="1:101" x14ac:dyDescent="0.2">
      <c r="B30" s="856" t="s">
        <v>871</v>
      </c>
      <c r="C30" s="810"/>
      <c r="D30" s="810"/>
      <c r="E30" s="857"/>
      <c r="F30" s="858"/>
      <c r="G30" s="858"/>
      <c r="H30" s="859">
        <f t="shared" ref="H30:P30" ca="1" si="140">AVERAGE(H6:H12)</f>
        <v>9.7657209743849496</v>
      </c>
      <c r="I30" s="859">
        <f t="shared" ca="1" si="140"/>
        <v>7.7369678567419085</v>
      </c>
      <c r="J30" s="859">
        <f t="shared" ca="1" si="140"/>
        <v>6.3263563658883779</v>
      </c>
      <c r="K30" s="859">
        <f t="shared" ca="1" si="140"/>
        <v>12.225008006232176</v>
      </c>
      <c r="L30" s="859">
        <f t="shared" ca="1" si="140"/>
        <v>9.6125897793015724</v>
      </c>
      <c r="M30" s="859">
        <f t="shared" ca="1" si="140"/>
        <v>7.7821054734058324</v>
      </c>
      <c r="N30" s="860">
        <f t="shared" ca="1" si="140"/>
        <v>0.26044180153622154</v>
      </c>
      <c r="O30" s="860">
        <f t="shared" ca="1" si="140"/>
        <v>0.80369300091041951</v>
      </c>
      <c r="P30" s="861">
        <f t="shared" ca="1" si="140"/>
        <v>5.2551555241387084E-2</v>
      </c>
      <c r="T30" s="852"/>
      <c r="U30" s="852"/>
      <c r="V30" s="852"/>
      <c r="W30" s="852"/>
      <c r="X30" s="852"/>
      <c r="Y30" s="852"/>
      <c r="Z30" s="852"/>
      <c r="AA30" s="852"/>
      <c r="AB30" s="852"/>
      <c r="AC30" s="852"/>
      <c r="AD30" s="852"/>
      <c r="AE30" s="852"/>
      <c r="AF30" s="852"/>
      <c r="AG30" s="852"/>
      <c r="AH30" s="852"/>
      <c r="AI30" s="852"/>
      <c r="AJ30" s="852"/>
      <c r="AK30" s="852"/>
      <c r="AL30" s="852"/>
      <c r="AM30" s="852"/>
      <c r="AN30" s="852"/>
      <c r="AO30" s="852"/>
      <c r="AP30" s="852"/>
      <c r="AQ30" s="852"/>
      <c r="AR30" s="852"/>
      <c r="AS30" s="852"/>
      <c r="AT30" s="852"/>
      <c r="AW30" s="852"/>
      <c r="AX30" s="852"/>
      <c r="AY30" s="852"/>
      <c r="AZ30" s="852"/>
      <c r="BA30" s="852"/>
      <c r="BB30" s="852"/>
      <c r="BC30" s="852"/>
      <c r="BD30" s="852"/>
      <c r="BE30" s="852"/>
      <c r="BF30" s="852"/>
      <c r="BG30" s="852"/>
      <c r="BI30" s="854"/>
      <c r="BJ30" s="854"/>
      <c r="BK30" s="854"/>
      <c r="BL30" s="854"/>
      <c r="BM30" s="854"/>
      <c r="BN30" s="854"/>
      <c r="BO30" s="836"/>
      <c r="BP30" s="836"/>
      <c r="BR30" s="855"/>
      <c r="BS30" s="855"/>
    </row>
    <row r="31" spans="1:101" x14ac:dyDescent="0.2">
      <c r="B31" s="856" t="s">
        <v>872</v>
      </c>
      <c r="C31" s="810"/>
      <c r="D31" s="810"/>
      <c r="E31" s="857"/>
      <c r="F31" s="858"/>
      <c r="G31" s="858"/>
      <c r="H31" s="859">
        <f t="shared" ref="H31:P31" ca="1" si="141">MEDIAN(H6:H12)</f>
        <v>9.2472121163991456</v>
      </c>
      <c r="I31" s="859">
        <f t="shared" ca="1" si="141"/>
        <v>7.1237822653683489</v>
      </c>
      <c r="J31" s="859">
        <f t="shared" ca="1" si="141"/>
        <v>5.949284540886298</v>
      </c>
      <c r="K31" s="859">
        <f t="shared" ca="1" si="141"/>
        <v>10.914096728998944</v>
      </c>
      <c r="L31" s="859">
        <f t="shared" ca="1" si="141"/>
        <v>8.9786049442463547</v>
      </c>
      <c r="M31" s="859">
        <f t="shared" ca="1" si="141"/>
        <v>7.5573852219544957</v>
      </c>
      <c r="N31" s="860">
        <f t="shared" ca="1" si="141"/>
        <v>0.25270769825453238</v>
      </c>
      <c r="O31" s="860">
        <f t="shared" ca="1" si="141"/>
        <v>0.79756000000000005</v>
      </c>
      <c r="P31" s="861">
        <f t="shared" ca="1" si="141"/>
        <v>4.5152343538944081E-2</v>
      </c>
      <c r="T31" s="852"/>
      <c r="U31" s="852"/>
      <c r="V31" s="852"/>
      <c r="W31" s="852"/>
      <c r="X31" s="852"/>
      <c r="Y31" s="852"/>
      <c r="Z31" s="852"/>
      <c r="AA31" s="852"/>
      <c r="AB31" s="852"/>
      <c r="AC31" s="852"/>
      <c r="AD31" s="852"/>
      <c r="AE31" s="852"/>
      <c r="AF31" s="852"/>
      <c r="AG31" s="852"/>
      <c r="AH31" s="852"/>
      <c r="AI31" s="852"/>
      <c r="AJ31" s="852"/>
      <c r="AK31" s="852"/>
      <c r="AL31" s="852"/>
      <c r="AM31" s="852"/>
      <c r="AN31" s="852"/>
      <c r="AO31" s="852"/>
      <c r="AP31" s="852"/>
      <c r="AQ31" s="852"/>
      <c r="AR31" s="852"/>
      <c r="AS31" s="852"/>
      <c r="AT31" s="852"/>
      <c r="AW31" s="852"/>
      <c r="AX31" s="852"/>
      <c r="AY31" s="852"/>
      <c r="AZ31" s="852"/>
      <c r="BA31" s="852"/>
      <c r="BB31" s="852"/>
      <c r="BC31" s="852"/>
      <c r="BD31" s="852"/>
      <c r="BE31" s="852"/>
      <c r="BF31" s="852"/>
      <c r="BG31" s="852"/>
      <c r="BI31" s="854"/>
      <c r="BJ31" s="854"/>
      <c r="BK31" s="854"/>
      <c r="BL31" s="854"/>
      <c r="BM31" s="854"/>
      <c r="BN31" s="854"/>
      <c r="BO31" s="836"/>
      <c r="BP31" s="836"/>
      <c r="BR31" s="855"/>
      <c r="BS31" s="855"/>
    </row>
    <row r="32" spans="1:101" x14ac:dyDescent="0.2">
      <c r="B32" s="862" t="s">
        <v>116</v>
      </c>
      <c r="C32" s="818"/>
      <c r="D32" s="818"/>
      <c r="E32" s="863"/>
      <c r="F32" s="864"/>
      <c r="G32" s="864"/>
      <c r="H32" s="865">
        <f t="shared" ref="H32:P32" ca="1" si="142">MIN(H6:H12)</f>
        <v>8.3081640469068141</v>
      </c>
      <c r="I32" s="865">
        <f t="shared" ca="1" si="142"/>
        <v>6.6511389186373222</v>
      </c>
      <c r="J32" s="865">
        <f t="shared" ca="1" si="142"/>
        <v>5.40683982611319</v>
      </c>
      <c r="K32" s="865">
        <f t="shared" ca="1" si="142"/>
        <v>9.9697775020544501</v>
      </c>
      <c r="L32" s="865">
        <f t="shared" ca="1" si="142"/>
        <v>7.971491811519539</v>
      </c>
      <c r="M32" s="865">
        <f t="shared" ca="1" si="142"/>
        <v>6.4400063169667492</v>
      </c>
      <c r="N32" s="866">
        <f t="shared" ca="1" si="142"/>
        <v>0.2114482465641698</v>
      </c>
      <c r="O32" s="866">
        <f t="shared" ca="1" si="142"/>
        <v>0.7444412119982412</v>
      </c>
      <c r="P32" s="867">
        <f t="shared" ca="1" si="142"/>
        <v>3.0537273312667538E-2</v>
      </c>
      <c r="T32" s="852"/>
      <c r="U32" s="852"/>
      <c r="V32" s="852"/>
      <c r="W32" s="852"/>
      <c r="X32" s="852"/>
      <c r="Y32" s="852"/>
      <c r="Z32" s="852"/>
      <c r="AA32" s="852"/>
      <c r="AB32" s="852"/>
      <c r="AC32" s="852"/>
      <c r="AD32" s="852"/>
      <c r="AE32" s="852"/>
      <c r="AF32" s="852"/>
      <c r="AG32" s="852"/>
      <c r="AH32" s="852"/>
      <c r="AI32" s="852"/>
      <c r="AJ32" s="852"/>
      <c r="AK32" s="852"/>
      <c r="AL32" s="852"/>
      <c r="AM32" s="852"/>
      <c r="AN32" s="852"/>
      <c r="AO32" s="852"/>
      <c r="AP32" s="852"/>
      <c r="AQ32" s="852"/>
      <c r="AR32" s="809"/>
      <c r="AS32" s="852"/>
      <c r="AT32" s="852"/>
      <c r="AW32" s="852"/>
      <c r="AX32" s="852"/>
      <c r="AY32" s="852"/>
      <c r="AZ32" s="852"/>
      <c r="BA32" s="852"/>
      <c r="BB32" s="852"/>
      <c r="BC32" s="852"/>
      <c r="BD32" s="852"/>
      <c r="BE32" s="852"/>
      <c r="BF32" s="852"/>
      <c r="BG32" s="852"/>
      <c r="BI32" s="854"/>
      <c r="BJ32" s="854"/>
      <c r="BK32" s="854"/>
      <c r="BL32" s="854"/>
      <c r="BM32" s="854"/>
      <c r="BN32" s="854"/>
      <c r="BO32" s="836"/>
      <c r="BP32" s="836"/>
      <c r="BR32" s="855"/>
      <c r="BS32" s="855"/>
    </row>
    <row r="33" spans="1:101" ht="5.0999999999999996" customHeight="1" x14ac:dyDescent="0.2">
      <c r="B33" s="1095"/>
      <c r="E33" s="848"/>
      <c r="F33" s="849"/>
      <c r="G33" s="849"/>
      <c r="H33" s="850"/>
      <c r="I33" s="850"/>
      <c r="J33" s="850"/>
      <c r="K33" s="850"/>
      <c r="L33" s="850"/>
      <c r="M33" s="850"/>
      <c r="N33" s="851"/>
      <c r="O33" s="851"/>
      <c r="P33" s="1096"/>
      <c r="T33" s="852"/>
      <c r="U33" s="852"/>
      <c r="V33" s="852"/>
      <c r="W33" s="852"/>
      <c r="X33" s="852"/>
      <c r="Y33" s="852"/>
      <c r="Z33" s="852"/>
      <c r="AA33" s="852"/>
      <c r="AB33" s="852"/>
      <c r="AC33" s="852"/>
      <c r="AD33" s="852"/>
      <c r="AE33" s="852"/>
      <c r="AF33" s="852"/>
      <c r="AG33" s="852"/>
      <c r="AH33" s="852"/>
      <c r="AI33" s="852"/>
      <c r="AJ33" s="852"/>
      <c r="AK33" s="852"/>
      <c r="AL33" s="852"/>
      <c r="AM33" s="852"/>
      <c r="AN33" s="852"/>
      <c r="AO33" s="852"/>
      <c r="AP33" s="852"/>
      <c r="AQ33" s="852"/>
      <c r="AR33" s="853"/>
      <c r="AS33" s="852"/>
      <c r="AT33" s="852"/>
      <c r="AW33" s="852"/>
      <c r="AX33" s="852"/>
      <c r="AY33" s="852"/>
      <c r="AZ33" s="852"/>
      <c r="BA33" s="852"/>
      <c r="BB33" s="852"/>
      <c r="BC33" s="852"/>
      <c r="BD33" s="852"/>
      <c r="BE33" s="852"/>
      <c r="BF33" s="852"/>
      <c r="BG33" s="852"/>
      <c r="BI33" s="854"/>
      <c r="BJ33" s="854"/>
      <c r="BK33" s="854"/>
      <c r="BL33" s="854"/>
      <c r="BM33" s="854"/>
      <c r="BN33" s="854"/>
      <c r="BO33" s="836"/>
      <c r="BP33" s="836"/>
      <c r="BR33" s="855"/>
      <c r="BS33" s="855"/>
    </row>
    <row r="34" spans="1:101" x14ac:dyDescent="0.2">
      <c r="B34" s="887" t="s">
        <v>1011</v>
      </c>
      <c r="C34" s="888"/>
      <c r="D34" s="888"/>
      <c r="E34" s="888"/>
      <c r="F34" s="888"/>
      <c r="G34" s="888"/>
      <c r="H34" s="888"/>
      <c r="I34" s="888"/>
      <c r="J34" s="888"/>
      <c r="K34" s="888"/>
      <c r="L34" s="888"/>
      <c r="M34" s="888"/>
      <c r="N34" s="888"/>
      <c r="O34" s="888"/>
      <c r="P34" s="889"/>
      <c r="T34" s="852"/>
      <c r="U34" s="852"/>
      <c r="V34" s="852"/>
      <c r="W34" s="852"/>
      <c r="X34" s="852"/>
      <c r="Y34" s="852"/>
      <c r="Z34" s="852"/>
      <c r="AA34" s="852"/>
      <c r="AB34" s="852"/>
      <c r="AC34" s="852"/>
      <c r="AD34" s="852"/>
      <c r="AE34" s="852"/>
      <c r="AF34" s="852"/>
      <c r="AG34" s="852"/>
      <c r="AH34" s="852"/>
      <c r="AI34" s="852"/>
      <c r="AJ34" s="852"/>
      <c r="AK34" s="852"/>
      <c r="AL34" s="852"/>
      <c r="AM34" s="852"/>
      <c r="AN34" s="852"/>
      <c r="AO34" s="852"/>
      <c r="AP34" s="852"/>
      <c r="AQ34" s="852"/>
      <c r="AR34" s="852"/>
      <c r="AS34" s="852"/>
      <c r="AT34" s="852"/>
      <c r="AW34" s="852"/>
      <c r="AX34" s="852"/>
      <c r="AY34" s="852"/>
      <c r="AZ34" s="852"/>
      <c r="BA34" s="852"/>
      <c r="BB34" s="852"/>
      <c r="BC34" s="852"/>
      <c r="BD34" s="852"/>
      <c r="BE34" s="852"/>
      <c r="BF34" s="852"/>
      <c r="BG34" s="852"/>
      <c r="BI34" s="854"/>
      <c r="BJ34" s="854"/>
      <c r="BK34" s="854"/>
      <c r="BL34" s="854"/>
      <c r="BM34" s="854"/>
      <c r="BN34" s="854"/>
      <c r="BO34" s="836"/>
      <c r="BP34" s="836"/>
      <c r="BR34" s="855"/>
      <c r="BS34" s="855"/>
    </row>
    <row r="35" spans="1:101" x14ac:dyDescent="0.2">
      <c r="B35" s="856" t="s">
        <v>118</v>
      </c>
      <c r="C35" s="810"/>
      <c r="D35" s="810"/>
      <c r="E35" s="857"/>
      <c r="F35" s="858"/>
      <c r="G35" s="858"/>
      <c r="H35" s="859">
        <f ca="1">MAX(H12:H18)</f>
        <v>16.778998667393388</v>
      </c>
      <c r="I35" s="859">
        <f t="shared" ref="I35:P35" ca="1" si="143">MAX(I12:I18)</f>
        <v>12.552934960343171</v>
      </c>
      <c r="J35" s="859">
        <f t="shared" ca="1" si="143"/>
        <v>10.012975390670418</v>
      </c>
      <c r="K35" s="859">
        <f t="shared" ca="1" si="143"/>
        <v>22.787420313495637</v>
      </c>
      <c r="L35" s="859">
        <f t="shared" ca="1" si="143"/>
        <v>16.820114104395376</v>
      </c>
      <c r="M35" s="859">
        <f t="shared" ca="1" si="143"/>
        <v>13.093930204711553</v>
      </c>
      <c r="N35" s="860">
        <f t="shared" ca="1" si="143"/>
        <v>0.33665941235265401</v>
      </c>
      <c r="O35" s="860">
        <f t="shared" ca="1" si="143"/>
        <v>0.81471999999999989</v>
      </c>
      <c r="P35" s="861">
        <f t="shared" ca="1" si="143"/>
        <v>6.9150996404977377E-2</v>
      </c>
      <c r="T35" s="852"/>
      <c r="U35" s="852"/>
      <c r="V35" s="852"/>
      <c r="W35" s="852"/>
      <c r="X35" s="852"/>
      <c r="Y35" s="852"/>
      <c r="Z35" s="852"/>
      <c r="AA35" s="852"/>
      <c r="AB35" s="852"/>
      <c r="AC35" s="852"/>
      <c r="AD35" s="852"/>
      <c r="AE35" s="852"/>
      <c r="AF35" s="852"/>
      <c r="AG35" s="852"/>
      <c r="AH35" s="852"/>
      <c r="AI35" s="852"/>
      <c r="AJ35" s="852"/>
      <c r="AK35" s="852"/>
      <c r="AL35" s="852"/>
      <c r="AM35" s="852"/>
      <c r="AN35" s="852"/>
      <c r="AO35" s="852"/>
      <c r="AP35" s="852"/>
      <c r="AQ35" s="852"/>
      <c r="AR35" s="852"/>
      <c r="AS35" s="852"/>
      <c r="AT35" s="852"/>
      <c r="AW35" s="852"/>
      <c r="AX35" s="852"/>
      <c r="AY35" s="852"/>
      <c r="AZ35" s="852"/>
      <c r="BA35" s="852"/>
      <c r="BB35" s="852"/>
      <c r="BC35" s="852"/>
      <c r="BD35" s="852"/>
      <c r="BE35" s="852"/>
      <c r="BF35" s="852"/>
      <c r="BG35" s="852"/>
      <c r="BI35" s="854"/>
      <c r="BJ35" s="854"/>
      <c r="BK35" s="854"/>
      <c r="BL35" s="854"/>
      <c r="BM35" s="854"/>
      <c r="BN35" s="854"/>
      <c r="BO35" s="836"/>
      <c r="BP35" s="836"/>
      <c r="BR35" s="855"/>
      <c r="BS35" s="855"/>
    </row>
    <row r="36" spans="1:101" x14ac:dyDescent="0.2">
      <c r="B36" s="856" t="s">
        <v>871</v>
      </c>
      <c r="C36" s="810"/>
      <c r="D36" s="810"/>
      <c r="E36" s="857"/>
      <c r="F36" s="858"/>
      <c r="G36" s="858"/>
      <c r="H36" s="859">
        <f ca="1">AVERAGE(H12:H18)</f>
        <v>11.371237135079813</v>
      </c>
      <c r="I36" s="859">
        <f t="shared" ref="I36:P36" ca="1" si="144">AVERAGE(I12:I18)</f>
        <v>8.6504314112876131</v>
      </c>
      <c r="J36" s="859">
        <f t="shared" ca="1" si="144"/>
        <v>6.8488080426700204</v>
      </c>
      <c r="K36" s="859">
        <f t="shared" ca="1" si="144"/>
        <v>15.042117501913708</v>
      </c>
      <c r="L36" s="859">
        <f t="shared" ca="1" si="144"/>
        <v>11.345486991005091</v>
      </c>
      <c r="M36" s="859">
        <f t="shared" ca="1" si="144"/>
        <v>8.8588716014168547</v>
      </c>
      <c r="N36" s="860">
        <f t="shared" ca="1" si="144"/>
        <v>0.31130641865586173</v>
      </c>
      <c r="O36" s="860">
        <f t="shared" ca="1" si="144"/>
        <v>0.7598969087912798</v>
      </c>
      <c r="P36" s="861">
        <f t="shared" ca="1" si="144"/>
        <v>4.2536594611606908E-2</v>
      </c>
      <c r="T36" s="852"/>
      <c r="U36" s="852"/>
      <c r="V36" s="852"/>
      <c r="W36" s="852"/>
      <c r="X36" s="852"/>
      <c r="Y36" s="852"/>
      <c r="Z36" s="852"/>
      <c r="AA36" s="852"/>
      <c r="AB36" s="852"/>
      <c r="AC36" s="852"/>
      <c r="AD36" s="852"/>
      <c r="AE36" s="852"/>
      <c r="AF36" s="852"/>
      <c r="AG36" s="852"/>
      <c r="AH36" s="852"/>
      <c r="AI36" s="852"/>
      <c r="AJ36" s="852"/>
      <c r="AK36" s="852"/>
      <c r="AL36" s="852"/>
      <c r="AM36" s="852"/>
      <c r="AN36" s="852"/>
      <c r="AO36" s="852"/>
      <c r="AP36" s="852"/>
      <c r="AQ36" s="852"/>
      <c r="AR36" s="852"/>
      <c r="AS36" s="852"/>
      <c r="AT36" s="852"/>
      <c r="AW36" s="852"/>
      <c r="AX36" s="852"/>
      <c r="AY36" s="852"/>
      <c r="AZ36" s="852"/>
      <c r="BA36" s="852"/>
      <c r="BB36" s="852"/>
      <c r="BC36" s="852"/>
      <c r="BD36" s="852"/>
      <c r="BE36" s="852"/>
      <c r="BF36" s="852"/>
      <c r="BG36" s="852"/>
      <c r="BI36" s="854"/>
      <c r="BJ36" s="854"/>
      <c r="BK36" s="854"/>
      <c r="BL36" s="854"/>
      <c r="BM36" s="854"/>
      <c r="BN36" s="854"/>
      <c r="BO36" s="836"/>
      <c r="BP36" s="836"/>
      <c r="BR36" s="855"/>
      <c r="BS36" s="855"/>
    </row>
    <row r="37" spans="1:101" x14ac:dyDescent="0.2">
      <c r="B37" s="856" t="s">
        <v>872</v>
      </c>
      <c r="C37" s="810"/>
      <c r="D37" s="810"/>
      <c r="E37" s="857"/>
      <c r="F37" s="858"/>
      <c r="G37" s="858"/>
      <c r="H37" s="859">
        <f ca="1">MEDIAN(H12:H18)</f>
        <v>10.308905063408719</v>
      </c>
      <c r="I37" s="859">
        <f t="shared" ref="I37:P37" ca="1" si="145">MEDIAN(I12:I18)</f>
        <v>7.8379410897585702</v>
      </c>
      <c r="J37" s="859">
        <f t="shared" ca="1" si="145"/>
        <v>6.3132029070803597</v>
      </c>
      <c r="K37" s="859">
        <f t="shared" ca="1" si="145"/>
        <v>14.139219672759182</v>
      </c>
      <c r="L37" s="859">
        <f t="shared" ca="1" si="145"/>
        <v>10.608585316999269</v>
      </c>
      <c r="M37" s="859">
        <f t="shared" ca="1" si="145"/>
        <v>7.932395444420564</v>
      </c>
      <c r="N37" s="860">
        <f t="shared" ca="1" si="145"/>
        <v>0.31968974862162436</v>
      </c>
      <c r="O37" s="860">
        <f t="shared" ca="1" si="145"/>
        <v>0.75508728810391545</v>
      </c>
      <c r="P37" s="861">
        <f t="shared" ca="1" si="145"/>
        <v>4.0410132689987936E-2</v>
      </c>
      <c r="T37" s="852"/>
      <c r="U37" s="852"/>
      <c r="V37" s="852"/>
      <c r="W37" s="852"/>
      <c r="X37" s="852"/>
      <c r="Y37" s="852"/>
      <c r="Z37" s="852"/>
      <c r="AA37" s="852"/>
      <c r="AB37" s="852"/>
      <c r="AC37" s="852"/>
      <c r="AD37" s="852"/>
      <c r="AE37" s="852"/>
      <c r="AF37" s="852"/>
      <c r="AG37" s="852"/>
      <c r="AH37" s="852"/>
      <c r="AI37" s="852"/>
      <c r="AJ37" s="852"/>
      <c r="AK37" s="852"/>
      <c r="AL37" s="852"/>
      <c r="AM37" s="852"/>
      <c r="AN37" s="852"/>
      <c r="AO37" s="852"/>
      <c r="AP37" s="852"/>
      <c r="AQ37" s="852"/>
      <c r="AR37" s="852"/>
      <c r="AS37" s="852"/>
      <c r="AT37" s="852"/>
      <c r="AW37" s="852"/>
      <c r="AX37" s="852"/>
      <c r="AY37" s="852"/>
      <c r="AZ37" s="852"/>
      <c r="BA37" s="852"/>
      <c r="BB37" s="852"/>
      <c r="BC37" s="852"/>
      <c r="BD37" s="852"/>
      <c r="BE37" s="852"/>
      <c r="BF37" s="852"/>
      <c r="BG37" s="852"/>
      <c r="BI37" s="854"/>
      <c r="BJ37" s="854"/>
      <c r="BK37" s="854"/>
      <c r="BL37" s="854"/>
      <c r="BM37" s="854"/>
      <c r="BN37" s="854"/>
      <c r="BO37" s="836"/>
      <c r="BP37" s="836"/>
      <c r="BR37" s="855"/>
      <c r="BS37" s="855"/>
    </row>
    <row r="38" spans="1:101" x14ac:dyDescent="0.2">
      <c r="B38" s="862" t="s">
        <v>116</v>
      </c>
      <c r="C38" s="818"/>
      <c r="D38" s="818"/>
      <c r="E38" s="863"/>
      <c r="F38" s="864"/>
      <c r="G38" s="864"/>
      <c r="H38" s="865">
        <f ca="1">MIN(H12:H18)</f>
        <v>7.376611709559854</v>
      </c>
      <c r="I38" s="865">
        <f t="shared" ref="I38:P38" ca="1" si="146">MIN(I12:I18)</f>
        <v>5.5896559909361274</v>
      </c>
      <c r="J38" s="865">
        <f t="shared" ca="1" si="146"/>
        <v>4.3664443226520619</v>
      </c>
      <c r="K38" s="865">
        <f t="shared" ca="1" si="146"/>
        <v>9.7692171829340619</v>
      </c>
      <c r="L38" s="865">
        <f t="shared" ca="1" si="146"/>
        <v>7.3802339830211423</v>
      </c>
      <c r="M38" s="865">
        <f t="shared" ca="1" si="146"/>
        <v>5.7272262898338422</v>
      </c>
      <c r="N38" s="866">
        <f t="shared" ca="1" si="146"/>
        <v>0.25553647542846303</v>
      </c>
      <c r="O38" s="866">
        <f t="shared" ca="1" si="146"/>
        <v>0.72909999999999997</v>
      </c>
      <c r="P38" s="867">
        <f t="shared" ca="1" si="146"/>
        <v>2.2619785134706333E-2</v>
      </c>
      <c r="T38" s="852"/>
      <c r="U38" s="852"/>
      <c r="V38" s="852"/>
      <c r="W38" s="852"/>
      <c r="X38" s="852"/>
      <c r="Y38" s="852"/>
      <c r="Z38" s="852"/>
      <c r="AA38" s="852"/>
      <c r="AB38" s="852"/>
      <c r="AC38" s="852"/>
      <c r="AD38" s="852"/>
      <c r="AE38" s="852"/>
      <c r="AF38" s="852"/>
      <c r="AG38" s="852"/>
      <c r="AH38" s="852"/>
      <c r="AI38" s="852"/>
      <c r="AJ38" s="852"/>
      <c r="AK38" s="852"/>
      <c r="AL38" s="852"/>
      <c r="AM38" s="852"/>
      <c r="AN38" s="852"/>
      <c r="AO38" s="852"/>
      <c r="AP38" s="852"/>
      <c r="AQ38" s="852"/>
      <c r="AR38" s="809"/>
      <c r="AS38" s="852"/>
      <c r="AT38" s="852"/>
      <c r="AW38" s="852"/>
      <c r="AX38" s="852"/>
      <c r="AY38" s="852"/>
      <c r="AZ38" s="852"/>
      <c r="BA38" s="852"/>
      <c r="BB38" s="852"/>
      <c r="BC38" s="852"/>
      <c r="BD38" s="852"/>
      <c r="BE38" s="852"/>
      <c r="BF38" s="852"/>
      <c r="BG38" s="852"/>
      <c r="BI38" s="854"/>
      <c r="BJ38" s="854"/>
      <c r="BK38" s="854"/>
      <c r="BL38" s="854"/>
      <c r="BM38" s="854"/>
      <c r="BN38" s="854"/>
      <c r="BO38" s="836"/>
      <c r="BP38" s="836"/>
      <c r="BR38" s="855"/>
      <c r="BS38" s="855"/>
    </row>
    <row r="39" spans="1:101" x14ac:dyDescent="0.2">
      <c r="B39" s="1097"/>
      <c r="P39" s="1098"/>
      <c r="AR39" s="809"/>
    </row>
    <row r="40" spans="1:101" x14ac:dyDescent="0.2">
      <c r="B40" s="1099" t="s">
        <v>873</v>
      </c>
      <c r="P40" s="1098"/>
      <c r="AR40" s="809"/>
    </row>
    <row r="41" spans="1:101" s="847" customFormat="1" ht="11.25" customHeight="1" x14ac:dyDescent="0.25">
      <c r="A41" s="806"/>
      <c r="B41" s="1100" t="s">
        <v>805</v>
      </c>
      <c r="C41" s="1101" t="str">
        <f>_xll.BDP($B41&amp;" EQUITY","Name")</f>
        <v>LIVERAMP HOLDINGS INC</v>
      </c>
      <c r="D41" s="1101"/>
      <c r="E41" s="1102">
        <f ca="1">+S41</f>
        <v>46.924999999999997</v>
      </c>
      <c r="F41" s="1103">
        <f ca="1">S41*CN41</f>
        <v>3167.70028</v>
      </c>
      <c r="G41" s="1103">
        <f ca="1">AB41</f>
        <v>2166.03217314625</v>
      </c>
      <c r="H41" s="1104">
        <f ca="1">IF(ISERROR(AB41/BV41),"N/A",AB41/BV41)</f>
        <v>7.8401238371741577</v>
      </c>
      <c r="I41" s="1104">
        <f ca="1">IF(ISERROR(AB41/BW41),"N/A",AB41/BW41)</f>
        <v>5.9404419835632387</v>
      </c>
      <c r="J41" s="1104">
        <f ca="1">IF(ISERROR(AB41/BX41),"N/A",AB41/BX41)</f>
        <v>4.7226692346898451</v>
      </c>
      <c r="K41" s="1104">
        <f ca="1">IF(ISERROR(AB41/BY41),"N/A",AB41/BY41)</f>
        <v>13.638151240020438</v>
      </c>
      <c r="L41" s="1104">
        <f ca="1">IF(ISERROR(AB41/BZ41),"N/A",AB41/BZ41)</f>
        <v>9.0395339617557582</v>
      </c>
      <c r="M41" s="1104">
        <f ca="1">IF(ISERROR(AB41/CA41),"N/A",AB41/CA41)</f>
        <v>6.507470404474156</v>
      </c>
      <c r="N41" s="1105">
        <f ca="1">IF(ISERROR(RATE(1,,-BV41,BW41)),"N/A",RATE(1,,-BV41,BW41))</f>
        <v>0.31978796508192447</v>
      </c>
      <c r="O41" s="1105">
        <f ca="1">IF(ISERROR(BY41/BV41),"N/A",BY41/BV41)</f>
        <v>0.57486705486647827</v>
      </c>
      <c r="P41" s="1106">
        <f ca="1">IF(ISERROR(-BG41/AC41),"N/A",-BG41/AC41)</f>
        <v>5.9662390591944246E-2</v>
      </c>
      <c r="Q41" s="835"/>
      <c r="R41" s="836">
        <f t="shared" ca="1" si="1"/>
        <v>43433</v>
      </c>
      <c r="S41" s="837">
        <f ca="1">_xll.BDH(B41&amp;" Equity","PX_LAST",R41,R41,"days=a","fill=p")*CL41*CM41</f>
        <v>46.924999999999997</v>
      </c>
      <c r="T41" s="838">
        <f ca="1">IF(ISERROR(_xll.BDP(B41&amp;" Equity","BS_ST_BORROW", "EQY_FUND_DT=" &amp;TEXT(R41,"YYYYMMDD"), "EQY_FUND_RELATIVE_PERIOD=-0F"&amp;CT41)+0),_xll.BDP(B41&amp;" Equity","BS_ST_BORROW", "EQY_FUND_DT=" &amp;TEXT(R41,"YYYYMMDD"), "EQY_FUND_RELATIVE_PERIOD=-1F"&amp;CT41),_xll.BDP(B41&amp;" Equity","BS_ST_BORROW", "EQY_FUND_DT=" &amp;TEXT(R41,"YYYYMMDD"), "EQY_FUND_RELATIVE_PERIOD=-0F"&amp;CT41))</f>
        <v>0</v>
      </c>
      <c r="U41" s="838">
        <v>0</v>
      </c>
      <c r="V41" s="838">
        <v>0</v>
      </c>
      <c r="W41" s="838">
        <v>0</v>
      </c>
      <c r="X41" s="838">
        <f>+Balance!$CL$61</f>
        <v>1001.6681068537501</v>
      </c>
      <c r="Y41" s="838">
        <v>0</v>
      </c>
      <c r="Z41" s="838">
        <f ca="1">IF(ISERROR(_xll.BDP(B41&amp;" Equity","BS_SH_CAP_AND_APIC", "EQY_FUND_DT=" &amp;TEXT(R41,"YYYYMMDD"),"EQY_FUND_RELATIVE_PERIOD=-0F"&amp;CT41)+0),_xll.BDP(B41&amp;" Equity","BS_SH_CAP_AND_APIC", "EQY_FUND_DT=" &amp;TEXT(R41,"YYYYMMDD"),"EQY_FUND_RELATIVE_PERIOD=-1F"&amp;CT41),_xll.BDP(B41&amp;" Equity","BS_SH_CAP_AND_APIC", "EQY_FUND_DT=" &amp;TEXT(R41,"YYYYMMDD"),"EQY_FUND_RELATIVE_PERIOD=-0F"&amp;CT41))</f>
        <v>1291.45</v>
      </c>
      <c r="AA41" s="838">
        <f ca="1">IF(ISERROR(_xll.BDP(B41&amp;" Equity","BS_RETAIN_EARN", "EQY_FUND_DT=" &amp;TEXT(R41,"YYYYMMDD"),"EQY_FUND_RELATIVE_PERIOD=-0F"&amp;CT41)+0),_xll.BDP(B41&amp;" Equity","BS_RETAIN_EARN", "EQY_FUND_DT=" &amp;TEXT(R41,"YYYYMMDD"),"EQY_FUND_RELATIVE_PERIOD=-1F"&amp;CT41),_xll.BDP(B41&amp;" Equity","BS_RETAIN_EARN", "EQY_FUND_DT=" &amp;TEXT(R41,"YYYYMMDD"),"EQY_FUND_RELATIVE_PERIOD=-0F"&amp;CT41))</f>
        <v>-530.77200000000005</v>
      </c>
      <c r="AB41" s="838">
        <f ca="1">F41+T41+U41+V41+W41-X41-Y41</f>
        <v>2166.03217314625</v>
      </c>
      <c r="AC41" s="838">
        <f ca="1">_xll.BDH(B41&amp;" EQUITY","TRAIL_12M_NET_SALES", R41,R41,"days=a","fill=p")</f>
        <v>771.42399999999998</v>
      </c>
      <c r="AD41" s="838">
        <v>220.101</v>
      </c>
      <c r="AE41" s="838">
        <f ca="1">_xll.BDH(B41&amp;" EQUITY","BEST_Sales",R41,R41,"BEST_FPERIOD_OVERRIDE="&amp;RIGHT(YEAR(CS41)+2,2)&amp;"Y","days=a","fill=p")</f>
        <v>295</v>
      </c>
      <c r="AF41" s="838">
        <f ca="1">_xll.BDH(B41&amp;" EQUITY","BEST_Sales",R41,R41,"BEST_FPERIOD_OVERRIDE="&amp;RIGHT(YEAR(CS41)+3,2)&amp;"Y","days=a","fill=p")</f>
        <v>387.83300000000003</v>
      </c>
      <c r="AG41" s="838">
        <f ca="1">_xll.BDH(B41&amp;" EQUITY","BEST_Sales",R41,R41,"BEST_FPERIOD_OVERRIDE="&amp;RIGHT(YEAR(CS41)+4,2)&amp;"Y","days=a","fill=p")</f>
        <v>482.25</v>
      </c>
      <c r="AH41" s="838">
        <f ca="1">_xll.BDH(B41&amp;" EQUITY","TRAIL_12M_EBITDA",R41,R41,"days=a","fill=p")</f>
        <v>44.344000000000001</v>
      </c>
      <c r="AI41" s="838">
        <f ca="1">_xll.BDH(B41&amp;" EQUITY","BEST_GROSS_MARGIN",R41,R41,"BEST_FPERIOD_OVERRIDE="&amp;RIGHT(YEAR(CS41)+1,2)&amp;"Y", "days=a","fill=p")%*AD41</f>
        <v>107.2332072</v>
      </c>
      <c r="AJ41" s="838">
        <f ca="1">_xll.BDH(B41&amp;" EQUITY","BEST_GROSS_MARGIN",R41,R41,"BEST_FPERIOD_OVERRIDE="&amp;RIGHT(YEAR(CS41)+2,2)&amp;"Y", "days=a","fill=p")%*AE41</f>
        <v>176.01765</v>
      </c>
      <c r="AK41" s="838">
        <f ca="1">_xll.BDH(B41&amp;" EQUITY","BEST_GROSS_MARGIN",R41,R41,"BEST_FPERIOD_OVERRIDE="&amp;RIGHT(YEAR(CS41)+3,2)&amp;"Y", "days=a","fill=p")%*AF41</f>
        <v>260.81769250000002</v>
      </c>
      <c r="AL41" s="838">
        <f ca="1">_xll.BDH(B41&amp;" EQUITY","BEST_GROSS_MARGIN",R41,R41,"BEST_FPERIOD_OVERRIDE="&amp;RIGHT(YEAR(CS41)+4,2)&amp;"Y", "days=a","fill=p")%*AG41</f>
        <v>356.86500000000001</v>
      </c>
      <c r="AM41" s="838">
        <f ca="1">_xll.BDH(B41&amp;" EQUITY","TRAIL_12M_OPER_INC",R41,R41,"days=a","fill=p")</f>
        <v>-28.047000000000001</v>
      </c>
      <c r="AN41" s="838">
        <f ca="1">_xll.BDH(B41&amp;" EQUITY","BEST_EBIT",R41,R41,"BEST_FPERIOD_OVERRIDE="&amp;RIGHT(YEAR(CS41)+1,2)&amp;"Y", "days=a","fill=p")</f>
        <v>12.8</v>
      </c>
      <c r="AO41" s="838">
        <f ca="1">_xll.BDH(B41&amp;" EQUITY","BEST_EBIT",R41,R41,"BEST_FPERIOD_OVERRIDE="&amp;RIGHT(YEAR(CS41)+2,2)&amp;"Y", "days=a","fill=p")</f>
        <v>54.332999999999998</v>
      </c>
      <c r="AP41" s="838">
        <f ca="1">_xll.BDH(B41&amp;" EQUITY","BEST_EBIT",R41,R41,"BEST_FPERIOD_OVERRIDE="&amp;RIGHT(YEAR(CS41)+3,2)&amp;"Y", "days=a","fill=p")</f>
        <v>-56.433</v>
      </c>
      <c r="AQ41" s="838">
        <f ca="1">_xll.BDH(B41&amp;" EQUITY","BEST_EBIT",R41,R41,"BEST_FPERIOD_OVERRIDE="&amp;RIGHT(YEAR(CS41)+4,2)&amp;"Y", "days=a","fill=p")</f>
        <v>-17.13</v>
      </c>
      <c r="AR41" s="838">
        <f ca="1">_xll.BDH(B41&amp;" EQUITY","TRAIL_12M_EST_COMP_NET_INC_ADJ",R41,R41,"days=a","fill=p")</f>
        <v>0.46779999999999999</v>
      </c>
      <c r="AS41" s="838">
        <f ca="1">_xll.BDH(B41&amp;" EQUITY","BEST_NET_INCOME",R41,R41,"BEST_FPERIOD_OVERRIDE="&amp;RIGHT(YEAR(CS41)+1,2)&amp;"Y", "days=a","fill=p")</f>
        <v>71.739999999999995</v>
      </c>
      <c r="AT41" s="838">
        <f ca="1">_xll.BDH(B41&amp;" EQUITY","BEST_NET_INCOME",R41,R41,"BEST_FPERIOD_OVERRIDE="&amp;RIGHT(YEAR(CS41)+2,2)&amp;"Y", "days=a","fill=p")</f>
        <v>-38.78</v>
      </c>
      <c r="AU41" s="838">
        <f ca="1">_xll.BDH(B41&amp;" EQUITY","BEST_NET_INCOME",R41,R41,"BEST_FPERIOD_OVERRIDE="&amp;RIGHT(YEAR(CS41)+3,2)&amp;"Y", "days=a","fill=p")</f>
        <v>-20.318000000000001</v>
      </c>
      <c r="AV41" s="838">
        <f ca="1">_xll.BDH(B41&amp;" EQUITY","BEST_NET_INCOME",R41,R41,"BEST_FPERIOD_OVERRIDE="&amp;RIGHT(YEAR(CS41)+4,2)&amp;"Y", "days=a","fill=p")</f>
        <v>16.167000000000002</v>
      </c>
      <c r="AW41" s="837">
        <f ca="1">_xll.BDH(B41&amp;" EQUITY","T12M_DIL_EPS_CONT_OPS", R41,R41,"days=a","fill=p")</f>
        <v>1.9400000000000001E-2</v>
      </c>
      <c r="AX41" s="837">
        <f ca="1">_xll.BDH(B41&amp;" EQUITY","BEST_EPS",R41,R41,"BEST_FPERIOD_OVERRIDE="&amp;RIGHT(YEAR(CS41)+1,2)&amp;"Y", "days=a","fill=p")</f>
        <v>0.876</v>
      </c>
      <c r="AY41" s="837">
        <f ca="1">_xll.BDH(B41&amp;" EQUITY","BEST_EPS",R41,R41,"BEST_FPERIOD_OVERRIDE="&amp;RIGHT(YEAR(CS41)+2,2)&amp;"Y", "days=a","fill=p")</f>
        <v>-0.17</v>
      </c>
      <c r="AZ41" s="837">
        <f ca="1">_xll.BDH(B41&amp;" EQUITY","BEST_EPS",R41,R41,"BEST_FPERIOD_OVERRIDE="&amp;RIGHT(YEAR(CS41)+3,2)&amp;"Y", "days=a","fill=p")</f>
        <v>-0.127</v>
      </c>
      <c r="BA41" s="837">
        <f ca="1">_xll.BDH(B41&amp;" EQUITY","BEST_EPS",R41,R41,"BEST_FPERIOD_OVERRIDE="&amp;RIGHT(YEAR(CS41)+4,2)&amp;"Y", "days=a","fill=p")</f>
        <v>0.47299999999999998</v>
      </c>
      <c r="BB41" s="839">
        <f ca="1">+AR41/AW41</f>
        <v>24.11340206185567</v>
      </c>
      <c r="BC41" s="839">
        <f ca="1">+AS41/AX41</f>
        <v>81.894977168949765</v>
      </c>
      <c r="BD41" s="839">
        <f ca="1">+AT41/AY41</f>
        <v>228.11764705882351</v>
      </c>
      <c r="BE41" s="839">
        <f ca="1">+AU41/AZ41</f>
        <v>159.98425196850394</v>
      </c>
      <c r="BF41" s="839">
        <f ca="1">+AV41/BA41</f>
        <v>34.179704016913327</v>
      </c>
      <c r="BG41" s="838">
        <f ca="1">_xll.BDH(B41&amp;" EQUITY","TRAIL_12M_CAP_EXPEND", R41,R41,"days=a","fill=p")</f>
        <v>-46.024999999999999</v>
      </c>
      <c r="BH41" s="838">
        <f ca="1">_xll.BDH(B41&amp;" EQUITY","BEST_CAPEX",R41,R41,"BEST_FPERIOD_OVERRIDE="&amp;RIGHT(YEAR(CS41)+1,2)&amp;"Y", "days=a","fill=p")</f>
        <v>-41.85</v>
      </c>
      <c r="BI41" s="838">
        <f ca="1">_xll.BDH(B41&amp;" EQUITY","BEST_CAPEX",R41,R41,"BEST_FPERIOD_OVERRIDE="&amp;RIGHT(YEAR(CS41)+2,2)&amp;"Y", "days=a","fill=p")</f>
        <v>-12.05</v>
      </c>
      <c r="BJ41" s="838">
        <f ca="1">_xll.BDH(B41&amp;" EQUITY","BEST_CAPEX",R41,R41,"BEST_FPERIOD_OVERRIDE="&amp;RIGHT(YEAR(CS41)+3,2)&amp;"Y", "days=a","fill=p")</f>
        <v>-15.55</v>
      </c>
      <c r="BK41" s="838">
        <f ca="1">_xll.BDH(B41&amp;" EQUITY","BEST_CAPEX",R41,R41,"BEST_FPERIOD_OVERRIDE="&amp;RIGHT(YEAR(CS41)+4,2)&amp;"Y", "days=a","fill=p")</f>
        <v>-18.75</v>
      </c>
      <c r="BL41" s="838">
        <f ca="1">+AH41-AM41</f>
        <v>72.391000000000005</v>
      </c>
      <c r="BM41" s="838">
        <f ca="1">+AI41-AN41</f>
        <v>94.433207199999998</v>
      </c>
      <c r="BN41" s="838">
        <f ca="1">+AJ41-AO41</f>
        <v>121.68465</v>
      </c>
      <c r="BO41" s="838">
        <f ca="1">+AK41-AP41</f>
        <v>317.25069250000001</v>
      </c>
      <c r="BP41" s="838">
        <f ca="1">+AL41-AQ41</f>
        <v>373.995</v>
      </c>
      <c r="BQ41" s="837">
        <f ca="1">(AR41+BL41+BG41)/BB41</f>
        <v>1.1128168448054725</v>
      </c>
      <c r="BR41" s="837">
        <f ca="1">(AS41+BM41+BH41)/BC41</f>
        <v>1.5180809800278783</v>
      </c>
      <c r="BS41" s="837">
        <f ca="1">(AT41+BN41+BI41)/BD41</f>
        <v>0.31060573749355341</v>
      </c>
      <c r="BT41" s="837">
        <f ca="1">(AU41+BO41+BJ41)/BE41</f>
        <v>1.7588149398316764</v>
      </c>
      <c r="BU41" s="837">
        <f ca="1">(AV41+BP41+BK41)/BF41</f>
        <v>10.866448691779549</v>
      </c>
      <c r="BV41" s="838">
        <f ca="1">IF(CQ41=12,AD41,IF(ISERROR(AD41*CU41+AE41*CV41),"N/A",AD41*CU41+AE41*CV41))</f>
        <v>276.27525000000003</v>
      </c>
      <c r="BW41" s="838">
        <f ca="1">IF(CQ41=12,AE41,IF(ISERROR(AE41*CU41+AF41*CV41),"N/A",AE41*CU41+AF41*CV41))</f>
        <v>364.62475000000001</v>
      </c>
      <c r="BX41" s="838">
        <f ca="1">IF($CQ41=12,AF41,IF(ISERROR(AF41*$CU41+AG41*$CV41),"N/A",AF41*$CU41+AG41*$CV41))</f>
        <v>458.64575000000002</v>
      </c>
      <c r="BY41" s="838">
        <f ca="1">IF(CQ41=12,AI41,IF(ISERROR(AI41*CU41+AJ41*CV41),"N/A",AI41*CU41+AJ41*CV41))</f>
        <v>158.82153930000001</v>
      </c>
      <c r="BZ41" s="838">
        <f ca="1">IF(CQ41=12,AJ41,IF(ISERROR(AJ41*CU41+AK41*CV41),"N/A",AJ41*CU41+AK41*CV41))</f>
        <v>239.61768187500002</v>
      </c>
      <c r="CA41" s="838">
        <f ca="1">IF($CQ41=12,AK41,IF(ISERROR(AK41*$CU41+AL41*$CV41),"N/A",AK41*$CU41+AL41*$CV41))</f>
        <v>332.85317312500001</v>
      </c>
      <c r="CB41" s="838">
        <f ca="1">IF(CQ41=12,AN41,IF(ISERROR(AN41*CU41+AO41*CV41),"N/A",AN41*CU41+AO41*CV41))</f>
        <v>43.949750000000002</v>
      </c>
      <c r="CC41" s="838">
        <f ca="1">IF(CQ41=12,AO41,IF(ISERROR(AO41*CU41+AP41*CV41),"N/A",AO41*CU41+AP41*CV41))</f>
        <v>-28.741500000000002</v>
      </c>
      <c r="CD41" s="838">
        <f ca="1">IF($CQ41=12,AP41,IF(ISERROR(AP41*$CU41+AQ41*$CV41),"N/A",AP41*$CU41+AQ41*$CV41))</f>
        <v>-26.955750000000002</v>
      </c>
      <c r="CE41" s="837">
        <f ca="1">IF(CQ41=12,AX41,IF(ISERROR(AX41*CU41+AY41*CV41),"N/A",AX41*CU41+AY41*CV41))</f>
        <v>9.1499999999999998E-2</v>
      </c>
      <c r="CF41" s="837">
        <f ca="1">IF(CQ41=12,AY41,IF(ISERROR(AY41*CU41+AZ41*CV41),"N/A",AY41*CU41+AZ41*CV41))</f>
        <v>-0.13775000000000001</v>
      </c>
      <c r="CG41" s="837">
        <f ca="1">IF($CQ41=12,AZ41,IF(ISERROR(AZ41*$CU41+BA41*$CV41),"N/A",AZ41*$CU41+BA41*$CV41))</f>
        <v>0.32300000000000001</v>
      </c>
      <c r="CH41" s="837">
        <f ca="1">IF(CQ41=12,BR41,IF(ISERROR(BR41*CU41+BS41*CV41),"N/A",BR41*CU41+BS41*CV41))</f>
        <v>0.61247454812713464</v>
      </c>
      <c r="CI41" s="837">
        <f ca="1">IF(CQ41=12,BS41,IF(ISERROR(BS41*CU41+BT41*CV41),"N/A",BS41*CU41+BT41*CV41))</f>
        <v>1.3967626392471455</v>
      </c>
      <c r="CJ41" s="837">
        <f ca="1">IF($CQ41=12,BT41,IF(ISERROR(BT41*$CU41+BU41*$CV41),"N/A",BT41*$CU41+BU41*$CV41))</f>
        <v>8.5895402537925793</v>
      </c>
      <c r="CK41" s="840"/>
      <c r="CL41" s="841">
        <f>IF(CK41="",1,_xll.BDP(CK41&amp;" CURNCY","LAST PRICE"))</f>
        <v>1</v>
      </c>
      <c r="CM41" s="842">
        <v>1</v>
      </c>
      <c r="CN41" s="843">
        <f ca="1">_xll.BDH(B41&amp;" EQUITY","BS_SH_OUT",R41,R41,"EQY_FUND_PER="&amp;CT41,"days=a","fill=p")-10.2</f>
        <v>67.505600000000001</v>
      </c>
      <c r="CO41" s="844" t="str">
        <f>_xll.BDP(B41&amp;" EQUITY","EQY_FISCAL_YR_END")</f>
        <v>03/2018</v>
      </c>
      <c r="CP41" s="845">
        <f>DAY(DATE(YEAR(CO41),1+MONTH(CO41),0))</f>
        <v>31</v>
      </c>
      <c r="CQ41" s="844">
        <f>+MONTH(CO41)</f>
        <v>3</v>
      </c>
      <c r="CR41" s="844">
        <f>YEAR(CO41)</f>
        <v>2018</v>
      </c>
      <c r="CS41" s="836">
        <f ca="1">+DATE(CR41,CQ41,CP41)-((CR41-YEAR($R$7)+1)*365)</f>
        <v>42825</v>
      </c>
      <c r="CT41" s="830" t="s">
        <v>866</v>
      </c>
      <c r="CU41" s="846">
        <f ca="1">+MONTH(CS41)/12</f>
        <v>0.25</v>
      </c>
      <c r="CV41" s="846">
        <f ca="1">1-CU41</f>
        <v>0.75</v>
      </c>
      <c r="CW41" s="806"/>
    </row>
    <row r="42" spans="1:101" x14ac:dyDescent="0.2">
      <c r="AR42" s="809"/>
    </row>
    <row r="43" spans="1:101" x14ac:dyDescent="0.2">
      <c r="B43" s="868" t="s">
        <v>997</v>
      </c>
      <c r="AR43" s="809"/>
    </row>
    <row r="44" spans="1:101" s="847" customFormat="1" ht="11.25" customHeight="1" x14ac:dyDescent="0.25">
      <c r="A44" s="806"/>
      <c r="B44" s="830" t="s">
        <v>805</v>
      </c>
      <c r="C44" s="816" t="str">
        <f>_xll.BDP($B44&amp;" EQUITY","Name")</f>
        <v>LIVERAMP HOLDINGS INC</v>
      </c>
      <c r="D44" s="816"/>
      <c r="E44" s="831">
        <f ca="1">+S44</f>
        <v>46.924999999999997</v>
      </c>
      <c r="F44" s="832">
        <f ca="1">S44*CN44</f>
        <v>3167.70028</v>
      </c>
      <c r="G44" s="832">
        <f ca="1">AB44</f>
        <v>2166.03217314625</v>
      </c>
      <c r="H44" s="833">
        <f ca="1">IF(ISERROR(AB44/BV44),"N/A",AB44/BV44)</f>
        <v>8.2872276508320706</v>
      </c>
      <c r="I44" s="833">
        <f ca="1">IF(ISERROR(AB44/BW44),"N/A",AB44/BW44)</f>
        <v>6.8459706680786665</v>
      </c>
      <c r="J44" s="833">
        <f ca="1">IF(ISERROR(AB44/BX44),"N/A",AB44/BX44)</f>
        <v>5.8972781035883646</v>
      </c>
      <c r="K44" s="833"/>
      <c r="L44" s="833"/>
      <c r="M44" s="833"/>
      <c r="N44" s="834"/>
      <c r="O44" s="834"/>
      <c r="P44" s="834"/>
      <c r="Q44" s="835"/>
      <c r="R44" s="836">
        <f t="shared" ref="R44" ca="1" si="147">+$C$1</f>
        <v>43433</v>
      </c>
      <c r="S44" s="837">
        <f ca="1">_xll.BDH(B44&amp;" Equity","PX_LAST",R44,R44,"days=a","fill=p")*CL44*CM44</f>
        <v>46.924999999999997</v>
      </c>
      <c r="T44" s="838">
        <f ca="1">IF(ISERROR(_xll.BDP(B44&amp;" Equity","BS_ST_BORROW", "EQY_FUND_DT=" &amp;TEXT(R44,"YYYYMMDD"), "EQY_FUND_RELATIVE_PERIOD=-0F"&amp;CT44)+0),_xll.BDP(B44&amp;" Equity","BS_ST_BORROW", "EQY_FUND_DT=" &amp;TEXT(R44,"YYYYMMDD"), "EQY_FUND_RELATIVE_PERIOD=-1F"&amp;CT44),_xll.BDP(B44&amp;" Equity","BS_ST_BORROW", "EQY_FUND_DT=" &amp;TEXT(R44,"YYYYMMDD"), "EQY_FUND_RELATIVE_PERIOD=-0F"&amp;CT44))</f>
        <v>0</v>
      </c>
      <c r="U44" s="838">
        <v>0</v>
      </c>
      <c r="V44" s="838">
        <v>0</v>
      </c>
      <c r="W44" s="838">
        <v>0</v>
      </c>
      <c r="X44" s="838">
        <f>+Balance!$CL$61</f>
        <v>1001.6681068537501</v>
      </c>
      <c r="Y44" s="838">
        <v>0</v>
      </c>
      <c r="Z44" s="838">
        <f ca="1">IF(ISERROR(_xll.BDP(B44&amp;" Equity","BS_SH_CAP_AND_APIC", "EQY_FUND_DT=" &amp;TEXT(R44,"YYYYMMDD"),"EQY_FUND_RELATIVE_PERIOD=-0F"&amp;CT44)+0),_xll.BDP(B44&amp;" Equity","BS_SH_CAP_AND_APIC", "EQY_FUND_DT=" &amp;TEXT(R44,"YYYYMMDD"),"EQY_FUND_RELATIVE_PERIOD=-1F"&amp;CT44),_xll.BDP(B44&amp;" Equity","BS_SH_CAP_AND_APIC", "EQY_FUND_DT=" &amp;TEXT(R44,"YYYYMMDD"),"EQY_FUND_RELATIVE_PERIOD=-0F"&amp;CT44))</f>
        <v>1291.45</v>
      </c>
      <c r="AA44" s="838">
        <f ca="1">IF(ISERROR(_xll.BDP(B44&amp;" Equity","BS_RETAIN_EARN", "EQY_FUND_DT=" &amp;TEXT(R44,"YYYYMMDD"),"EQY_FUND_RELATIVE_PERIOD=-0F"&amp;CT44)+0),_xll.BDP(B44&amp;" Equity","BS_RETAIN_EARN", "EQY_FUND_DT=" &amp;TEXT(R44,"YYYYMMDD"),"EQY_FUND_RELATIVE_PERIOD=-1F"&amp;CT44),_xll.BDP(B44&amp;" Equity","BS_RETAIN_EARN", "EQY_FUND_DT=" &amp;TEXT(R44,"YYYYMMDD"),"EQY_FUND_RELATIVE_PERIOD=-0F"&amp;CT44))</f>
        <v>-530.77200000000005</v>
      </c>
      <c r="AB44" s="838">
        <f ca="1">F44+T44+U44+V44+W44-X44-Y44</f>
        <v>2166.03217314625</v>
      </c>
      <c r="AC44" s="838">
        <f ca="1">_xll.BDH(B44&amp;" EQUITY","TRAIL_12M_NET_SALES", R44,R44,"days=a","fill=p")</f>
        <v>771.42399999999998</v>
      </c>
      <c r="AD44" s="838">
        <v>220.101</v>
      </c>
      <c r="AE44" s="838">
        <f>+AD44*1.25</f>
        <v>275.12625000000003</v>
      </c>
      <c r="AF44" s="838">
        <f>+AE44*1.2</f>
        <v>330.1515</v>
      </c>
      <c r="AG44" s="838">
        <f>+AF44*1.15</f>
        <v>379.67422499999998</v>
      </c>
      <c r="AH44" s="838">
        <f ca="1">_xll.BDH(B44&amp;" EQUITY","TRAIL_12M_EBITDA",R44,R44,"days=a","fill=p")</f>
        <v>44.344000000000001</v>
      </c>
      <c r="AI44" s="838">
        <f ca="1">_xll.BDH(B44&amp;" EQUITY","BEST_GROSS_MARGIN",R44,R44,"BEST_FPERIOD_OVERRIDE="&amp;RIGHT(YEAR(CS44)+1,2)&amp;"Y", "days=a","fill=p")%*AD44</f>
        <v>107.2332072</v>
      </c>
      <c r="AJ44" s="838">
        <f ca="1">_xll.BDH(B44&amp;" EQUITY","BEST_GROSS_MARGIN",R44,R44,"BEST_FPERIOD_OVERRIDE="&amp;RIGHT(YEAR(CS44)+2,2)&amp;"Y", "days=a","fill=p")%*AE44</f>
        <v>164.15957958750002</v>
      </c>
      <c r="AK44" s="838">
        <f ca="1">_xll.BDH(B44&amp;" EQUITY","BEST_GROSS_MARGIN",R44,R44,"BEST_FPERIOD_OVERRIDE="&amp;RIGHT(YEAR(CS44)+3,2)&amp;"Y", "days=a","fill=p")%*AF44</f>
        <v>222.02688375</v>
      </c>
      <c r="AL44" s="838">
        <f ca="1">_xll.BDH(B44&amp;" EQUITY","BEST_GROSS_MARGIN",R44,R44,"BEST_FPERIOD_OVERRIDE="&amp;RIGHT(YEAR(CS44)+4,2)&amp;"Y", "days=a","fill=p")%*AG44</f>
        <v>280.95892649999996</v>
      </c>
      <c r="AM44" s="838">
        <f ca="1">_xll.BDH(B44&amp;" EQUITY","TRAIL_12M_OPER_INC",R44,R44,"days=a","fill=p")</f>
        <v>-28.047000000000001</v>
      </c>
      <c r="AN44" s="838">
        <f ca="1">_xll.BDH(B44&amp;" EQUITY","BEST_EBIT",R44,R44,"BEST_FPERIOD_OVERRIDE="&amp;RIGHT(YEAR(CS44)+1,2)&amp;"Y", "days=a","fill=p")</f>
        <v>12.8</v>
      </c>
      <c r="AO44" s="838">
        <f ca="1">_xll.BDH(B44&amp;" EQUITY","BEST_EBIT",R44,R44,"BEST_FPERIOD_OVERRIDE="&amp;RIGHT(YEAR(CS44)+2,2)&amp;"Y", "days=a","fill=p")</f>
        <v>54.332999999999998</v>
      </c>
      <c r="AP44" s="838">
        <f ca="1">_xll.BDH(B44&amp;" EQUITY","BEST_EBIT",R44,R44,"BEST_FPERIOD_OVERRIDE="&amp;RIGHT(YEAR(CS44)+3,2)&amp;"Y", "days=a","fill=p")</f>
        <v>-56.433</v>
      </c>
      <c r="AQ44" s="838">
        <f ca="1">_xll.BDH(B44&amp;" EQUITY","BEST_EBIT",R44,R44,"BEST_FPERIOD_OVERRIDE="&amp;RIGHT(YEAR(CS44)+4,2)&amp;"Y", "days=a","fill=p")</f>
        <v>-17.13</v>
      </c>
      <c r="AR44" s="838">
        <f ca="1">_xll.BDH(B44&amp;" EQUITY","TRAIL_12M_EST_COMP_NET_INC_ADJ",R44,R44,"days=a","fill=p")</f>
        <v>0.46779999999999999</v>
      </c>
      <c r="AS44" s="838">
        <f ca="1">_xll.BDH(B44&amp;" EQUITY","BEST_NET_INCOME",R44,R44,"BEST_FPERIOD_OVERRIDE="&amp;RIGHT(YEAR(CS44)+1,2)&amp;"Y", "days=a","fill=p")</f>
        <v>71.739999999999995</v>
      </c>
      <c r="AT44" s="838">
        <f ca="1">_xll.BDH(B44&amp;" EQUITY","BEST_NET_INCOME",R44,R44,"BEST_FPERIOD_OVERRIDE="&amp;RIGHT(YEAR(CS44)+2,2)&amp;"Y", "days=a","fill=p")</f>
        <v>-38.78</v>
      </c>
      <c r="AU44" s="838">
        <f ca="1">_xll.BDH(B44&amp;" EQUITY","BEST_NET_INCOME",R44,R44,"BEST_FPERIOD_OVERRIDE="&amp;RIGHT(YEAR(CS44)+3,2)&amp;"Y", "days=a","fill=p")</f>
        <v>-20.318000000000001</v>
      </c>
      <c r="AV44" s="838">
        <f ca="1">_xll.BDH(B44&amp;" EQUITY","BEST_NET_INCOME",R44,R44,"BEST_FPERIOD_OVERRIDE="&amp;RIGHT(YEAR(CS44)+4,2)&amp;"Y", "days=a","fill=p")</f>
        <v>16.167000000000002</v>
      </c>
      <c r="AW44" s="837">
        <f ca="1">_xll.BDH(B44&amp;" EQUITY","T12M_DIL_EPS_CONT_OPS", R44,R44,"days=a","fill=p")</f>
        <v>1.9400000000000001E-2</v>
      </c>
      <c r="AX44" s="837">
        <f ca="1">_xll.BDH(B44&amp;" EQUITY","BEST_EPS",R44,R44,"BEST_FPERIOD_OVERRIDE="&amp;RIGHT(YEAR(CS44)+1,2)&amp;"Y", "days=a","fill=p")</f>
        <v>0.876</v>
      </c>
      <c r="AY44" s="837">
        <f ca="1">_xll.BDH(B44&amp;" EQUITY","BEST_EPS",R44,R44,"BEST_FPERIOD_OVERRIDE="&amp;RIGHT(YEAR(CS44)+2,2)&amp;"Y", "days=a","fill=p")</f>
        <v>-0.17</v>
      </c>
      <c r="AZ44" s="837">
        <f ca="1">_xll.BDH(B44&amp;" EQUITY","BEST_EPS",R44,R44,"BEST_FPERIOD_OVERRIDE="&amp;RIGHT(YEAR(CS44)+3,2)&amp;"Y", "days=a","fill=p")</f>
        <v>-0.127</v>
      </c>
      <c r="BA44" s="837">
        <f ca="1">_xll.BDH(B44&amp;" EQUITY","BEST_EPS",R44,R44,"BEST_FPERIOD_OVERRIDE="&amp;RIGHT(YEAR(CS44)+4,2)&amp;"Y", "days=a","fill=p")</f>
        <v>0.47299999999999998</v>
      </c>
      <c r="BB44" s="839">
        <f ca="1">+AR44/AW44</f>
        <v>24.11340206185567</v>
      </c>
      <c r="BC44" s="839">
        <f ca="1">+AS44/AX44</f>
        <v>81.894977168949765</v>
      </c>
      <c r="BD44" s="839">
        <f ca="1">+AT44/AY44</f>
        <v>228.11764705882351</v>
      </c>
      <c r="BE44" s="839">
        <f ca="1">+AU44/AZ44</f>
        <v>159.98425196850394</v>
      </c>
      <c r="BF44" s="839">
        <f ca="1">+AV44/BA44</f>
        <v>34.179704016913327</v>
      </c>
      <c r="BG44" s="838">
        <f ca="1">_xll.BDH(B44&amp;" EQUITY","TRAIL_12M_CAP_EXPEND", R44,R44,"days=a","fill=p")</f>
        <v>-46.024999999999999</v>
      </c>
      <c r="BH44" s="838">
        <f ca="1">_xll.BDH(B44&amp;" EQUITY","BEST_CAPEX",R44,R44,"BEST_FPERIOD_OVERRIDE="&amp;RIGHT(YEAR(CS44)+1,2)&amp;"Y", "days=a","fill=p")</f>
        <v>-41.85</v>
      </c>
      <c r="BI44" s="838">
        <f ca="1">_xll.BDH(B44&amp;" EQUITY","BEST_CAPEX",R44,R44,"BEST_FPERIOD_OVERRIDE="&amp;RIGHT(YEAR(CS44)+2,2)&amp;"Y", "days=a","fill=p")</f>
        <v>-12.05</v>
      </c>
      <c r="BJ44" s="838">
        <f ca="1">_xll.BDH(B44&amp;" EQUITY","BEST_CAPEX",R44,R44,"BEST_FPERIOD_OVERRIDE="&amp;RIGHT(YEAR(CS44)+3,2)&amp;"Y", "days=a","fill=p")</f>
        <v>-15.55</v>
      </c>
      <c r="BK44" s="838">
        <f ca="1">_xll.BDH(B44&amp;" EQUITY","BEST_CAPEX",R44,R44,"BEST_FPERIOD_OVERRIDE="&amp;RIGHT(YEAR(CS44)+4,2)&amp;"Y", "days=a","fill=p")</f>
        <v>-18.75</v>
      </c>
      <c r="BL44" s="838">
        <f ca="1">+AH44-AM44</f>
        <v>72.391000000000005</v>
      </c>
      <c r="BM44" s="838">
        <f ca="1">+AI44-AN44</f>
        <v>94.433207199999998</v>
      </c>
      <c r="BN44" s="838">
        <f ca="1">+AJ44-AO44</f>
        <v>109.82657958750002</v>
      </c>
      <c r="BO44" s="838">
        <f ca="1">+AK44-AP44</f>
        <v>278.45988375000002</v>
      </c>
      <c r="BP44" s="838">
        <f ca="1">+AL44-AQ44</f>
        <v>298.08892649999996</v>
      </c>
      <c r="BQ44" s="837">
        <f ca="1">(AR44+BL44+BG44)/BB44</f>
        <v>1.1128168448054725</v>
      </c>
      <c r="BR44" s="837">
        <f ca="1">(AS44+BM44+BH44)/BC44</f>
        <v>1.5180809800278783</v>
      </c>
      <c r="BS44" s="837">
        <f ca="1">(AT44+BN44+BI44)/BD44</f>
        <v>0.25862347936758651</v>
      </c>
      <c r="BT44" s="837">
        <f ca="1">(AU44+BO44+BJ44)/BE44</f>
        <v>1.5163485203391083</v>
      </c>
      <c r="BU44" s="837">
        <f ca="1">(AV44+BP44+BK44)/BF44</f>
        <v>8.6456549288365157</v>
      </c>
      <c r="BV44" s="838">
        <f ca="1">IF(CQ44=12,AD44,IF(ISERROR(AD44*CU44+AE44*CV44),"N/A",AD44*CU44+AE44*CV44))</f>
        <v>261.36993749999999</v>
      </c>
      <c r="BW44" s="838">
        <f ca="1">IF(CQ44=12,AE44,IF(ISERROR(AE44*CU44+AF44*CV44),"N/A",AE44*CU44+AF44*CV44))</f>
        <v>316.39518750000002</v>
      </c>
      <c r="BX44" s="838">
        <f ca="1">IF($CQ44=12,AF44,IF(ISERROR(AF44*$CU44+AG44*$CV44),"N/A",AF44*$CU44+AG44*$CV44))</f>
        <v>367.29354374999997</v>
      </c>
      <c r="BY44" s="838">
        <f ca="1">IF(CQ44=12,AI44,IF(ISERROR(AI44*CU44+AJ44*CV44),"N/A",AI44*CU44+AJ44*CV44))</f>
        <v>149.92798649062502</v>
      </c>
      <c r="BZ44" s="838">
        <f ca="1">IF(CQ44=12,AJ44,IF(ISERROR(AJ44*CU44+AK44*CV44),"N/A",AJ44*CU44+AK44*CV44))</f>
        <v>207.560057709375</v>
      </c>
      <c r="CA44" s="838">
        <f ca="1">IF($CQ44=12,AK44,IF(ISERROR(AK44*$CU44+AL44*$CV44),"N/A",AK44*$CU44+AL44*$CV44))</f>
        <v>266.22591581249998</v>
      </c>
      <c r="CB44" s="838">
        <f ca="1">IF(CQ44=12,AN44,IF(ISERROR(AN44*CU44+AO44*CV44),"N/A",AN44*CU44+AO44*CV44))</f>
        <v>43.949750000000002</v>
      </c>
      <c r="CC44" s="838">
        <f ca="1">IF(CQ44=12,AO44,IF(ISERROR(AO44*CU44+AP44*CV44),"N/A",AO44*CU44+AP44*CV44))</f>
        <v>-28.741500000000002</v>
      </c>
      <c r="CD44" s="838">
        <f ca="1">IF($CQ44=12,AP44,IF(ISERROR(AP44*$CU44+AQ44*$CV44),"N/A",AP44*$CU44+AQ44*$CV44))</f>
        <v>-26.955750000000002</v>
      </c>
      <c r="CE44" s="837">
        <f ca="1">IF(CQ44=12,AX44,IF(ISERROR(AX44*CU44+AY44*CV44),"N/A",AX44*CU44+AY44*CV44))</f>
        <v>9.1499999999999998E-2</v>
      </c>
      <c r="CF44" s="837">
        <f ca="1">IF(CQ44=12,AY44,IF(ISERROR(AY44*CU44+AZ44*CV44),"N/A",AY44*CU44+AZ44*CV44))</f>
        <v>-0.13775000000000001</v>
      </c>
      <c r="CG44" s="837">
        <f ca="1">IF($CQ44=12,AZ44,IF(ISERROR(AZ44*$CU44+BA44*$CV44),"N/A",AZ44*$CU44+BA44*$CV44))</f>
        <v>0.32300000000000001</v>
      </c>
      <c r="CH44" s="837">
        <f ca="1">IF(CQ44=12,BR44,IF(ISERROR(BR44*CU44+BS44*CV44),"N/A",BR44*CU44+BS44*CV44))</f>
        <v>0.57348785453265938</v>
      </c>
      <c r="CI44" s="837">
        <f ca="1">IF(CQ44=12,BS44,IF(ISERROR(BS44*CU44+BT44*CV44),"N/A",BS44*CU44+BT44*CV44))</f>
        <v>1.2019172600962278</v>
      </c>
      <c r="CJ44" s="837">
        <f ca="1">IF($CQ44=12,BT44,IF(ISERROR(BT44*$CU44+BU44*$CV44),"N/A",BT44*$CU44+BU44*$CV44))</f>
        <v>6.8633283267121641</v>
      </c>
      <c r="CK44" s="840"/>
      <c r="CL44" s="841">
        <f>IF(CK44="",1,_xll.BDP(CK44&amp;" CURNCY","LAST PRICE"))</f>
        <v>1</v>
      </c>
      <c r="CM44" s="842">
        <v>1</v>
      </c>
      <c r="CN44" s="843">
        <f ca="1">_xll.BDH(B44&amp;" EQUITY","BS_SH_OUT",R44,R44,"EQY_FUND_PER="&amp;CT44,"days=a","fill=p")-10.2</f>
        <v>67.505600000000001</v>
      </c>
      <c r="CO44" s="844" t="str">
        <f>_xll.BDP(B44&amp;" EQUITY","EQY_FISCAL_YR_END")</f>
        <v>03/2018</v>
      </c>
      <c r="CP44" s="845">
        <f>DAY(DATE(YEAR(CO44),1+MONTH(CO44),0))</f>
        <v>31</v>
      </c>
      <c r="CQ44" s="844">
        <f>+MONTH(CO44)</f>
        <v>3</v>
      </c>
      <c r="CR44" s="844">
        <f>YEAR(CO44)</f>
        <v>2018</v>
      </c>
      <c r="CS44" s="836">
        <f ca="1">+DATE(CR44,CQ44,CP44)-((CR44-YEAR($R$7)+1)*365)</f>
        <v>42825</v>
      </c>
      <c r="CT44" s="830" t="s">
        <v>866</v>
      </c>
      <c r="CU44" s="846">
        <f ca="1">+MONTH(CS44)/12</f>
        <v>0.25</v>
      </c>
      <c r="CV44" s="846">
        <f ca="1">1-CU44</f>
        <v>0.75</v>
      </c>
      <c r="CW44" s="806"/>
    </row>
    <row r="45" spans="1:101" s="847" customFormat="1" ht="11.25" customHeight="1" x14ac:dyDescent="0.25">
      <c r="A45" s="806"/>
      <c r="B45" s="830"/>
      <c r="C45" s="816"/>
      <c r="D45" s="816"/>
      <c r="E45" s="831"/>
      <c r="F45" s="832"/>
      <c r="G45" s="832"/>
      <c r="H45" s="833"/>
      <c r="I45" s="833"/>
      <c r="J45" s="833"/>
      <c r="K45" s="833"/>
      <c r="L45" s="833"/>
      <c r="M45" s="833"/>
      <c r="N45" s="834"/>
      <c r="O45" s="834"/>
      <c r="P45" s="834"/>
      <c r="Q45" s="835"/>
      <c r="R45" s="836"/>
      <c r="S45" s="837"/>
      <c r="T45" s="838"/>
      <c r="U45" s="838"/>
      <c r="V45" s="838"/>
      <c r="W45" s="838"/>
      <c r="X45" s="838"/>
      <c r="Y45" s="838"/>
      <c r="Z45" s="838"/>
      <c r="AA45" s="838"/>
      <c r="AB45" s="838"/>
      <c r="AC45" s="838"/>
      <c r="AD45" s="838"/>
      <c r="AE45" s="838"/>
      <c r="AF45" s="838"/>
      <c r="AG45" s="838"/>
      <c r="AH45" s="838"/>
      <c r="AI45" s="838"/>
      <c r="AJ45" s="838"/>
      <c r="AK45" s="838"/>
      <c r="AL45" s="838"/>
      <c r="AM45" s="838"/>
      <c r="AN45" s="838"/>
      <c r="AO45" s="838"/>
      <c r="AP45" s="838"/>
      <c r="AQ45" s="838"/>
      <c r="AR45" s="838"/>
      <c r="AS45" s="838"/>
      <c r="AT45" s="838"/>
      <c r="AU45" s="838"/>
      <c r="AV45" s="838"/>
      <c r="AW45" s="837"/>
      <c r="AX45" s="837"/>
      <c r="AY45" s="837"/>
      <c r="AZ45" s="837"/>
      <c r="BA45" s="837"/>
      <c r="BB45" s="839"/>
      <c r="BC45" s="839"/>
      <c r="BD45" s="839"/>
      <c r="BE45" s="839"/>
      <c r="BF45" s="839"/>
      <c r="BG45" s="838"/>
      <c r="BH45" s="838"/>
      <c r="BI45" s="838"/>
      <c r="BJ45" s="838"/>
      <c r="BK45" s="838"/>
      <c r="BL45" s="838"/>
      <c r="BM45" s="838"/>
      <c r="BN45" s="838"/>
      <c r="BO45" s="838"/>
      <c r="BP45" s="838"/>
      <c r="BQ45" s="837"/>
      <c r="BR45" s="837"/>
      <c r="BS45" s="837"/>
      <c r="BT45" s="837"/>
      <c r="BU45" s="837"/>
      <c r="BV45" s="838"/>
      <c r="BW45" s="838"/>
      <c r="BX45" s="838"/>
      <c r="BY45" s="838"/>
      <c r="BZ45" s="838"/>
      <c r="CA45" s="838"/>
      <c r="CB45" s="838"/>
      <c r="CC45" s="838"/>
      <c r="CD45" s="838"/>
      <c r="CE45" s="837"/>
      <c r="CF45" s="837"/>
      <c r="CG45" s="837"/>
      <c r="CH45" s="837"/>
      <c r="CI45" s="837"/>
      <c r="CJ45" s="837"/>
      <c r="CK45" s="840"/>
      <c r="CL45" s="841"/>
      <c r="CM45" s="842"/>
      <c r="CN45" s="843"/>
      <c r="CO45" s="844"/>
      <c r="CP45" s="845"/>
      <c r="CQ45" s="844"/>
      <c r="CR45" s="844"/>
      <c r="CS45" s="836"/>
      <c r="CT45" s="830"/>
      <c r="CU45" s="846"/>
      <c r="CV45" s="846"/>
      <c r="CW45" s="806"/>
    </row>
    <row r="46" spans="1:101" s="847" customFormat="1" ht="11.25" customHeight="1" x14ac:dyDescent="0.25">
      <c r="A46" s="806"/>
      <c r="B46" s="868" t="s">
        <v>1001</v>
      </c>
      <c r="C46" s="816"/>
      <c r="D46" s="816"/>
      <c r="E46" s="831"/>
      <c r="F46" s="832"/>
      <c r="G46" s="832"/>
      <c r="H46" s="833"/>
      <c r="I46" s="833"/>
      <c r="J46" s="833"/>
      <c r="K46" s="833"/>
      <c r="L46" s="833"/>
      <c r="M46" s="833"/>
      <c r="N46" s="834"/>
      <c r="O46" s="834"/>
      <c r="P46" s="834"/>
      <c r="Q46" s="835"/>
      <c r="R46" s="836"/>
      <c r="S46" s="837"/>
      <c r="T46" s="838"/>
      <c r="U46" s="838"/>
      <c r="V46" s="838"/>
      <c r="W46" s="838"/>
      <c r="X46" s="838"/>
      <c r="Y46" s="838"/>
      <c r="Z46" s="838"/>
      <c r="AA46" s="838"/>
      <c r="AB46" s="838"/>
      <c r="AC46" s="838"/>
      <c r="AD46" s="838"/>
      <c r="AE46" s="838"/>
      <c r="AF46" s="838"/>
      <c r="AG46" s="838"/>
      <c r="AH46" s="838"/>
      <c r="AI46" s="838"/>
      <c r="AJ46" s="838"/>
      <c r="AK46" s="838"/>
      <c r="AL46" s="838"/>
      <c r="AM46" s="838"/>
      <c r="AN46" s="838"/>
      <c r="AO46" s="838"/>
      <c r="AP46" s="838"/>
      <c r="AQ46" s="838"/>
      <c r="AR46" s="838"/>
      <c r="AS46" s="838"/>
      <c r="AT46" s="838"/>
      <c r="AU46" s="838"/>
      <c r="AV46" s="838"/>
      <c r="AW46" s="837"/>
      <c r="AX46" s="837"/>
      <c r="AY46" s="837"/>
      <c r="AZ46" s="837"/>
      <c r="BA46" s="837"/>
      <c r="BB46" s="839"/>
      <c r="BC46" s="839"/>
      <c r="BD46" s="839"/>
      <c r="BE46" s="839"/>
      <c r="BF46" s="839"/>
      <c r="BG46" s="838"/>
      <c r="BH46" s="838"/>
      <c r="BI46" s="838"/>
      <c r="BJ46" s="838"/>
      <c r="BK46" s="838"/>
      <c r="BL46" s="838"/>
      <c r="BM46" s="838"/>
      <c r="BN46" s="838"/>
      <c r="BO46" s="838"/>
      <c r="BP46" s="838"/>
      <c r="BQ46" s="837"/>
      <c r="BR46" s="837"/>
      <c r="BS46" s="837"/>
      <c r="BT46" s="837"/>
      <c r="BU46" s="837"/>
      <c r="BV46" s="838"/>
      <c r="BW46" s="838"/>
      <c r="BX46" s="838"/>
      <c r="BY46" s="838"/>
      <c r="BZ46" s="838"/>
      <c r="CA46" s="838"/>
      <c r="CB46" s="838"/>
      <c r="CC46" s="838"/>
      <c r="CD46" s="838"/>
      <c r="CE46" s="837"/>
      <c r="CF46" s="837"/>
      <c r="CG46" s="837"/>
      <c r="CH46" s="837"/>
      <c r="CI46" s="837"/>
      <c r="CJ46" s="837"/>
      <c r="CK46" s="840"/>
      <c r="CL46" s="841"/>
      <c r="CM46" s="842"/>
      <c r="CN46" s="843"/>
      <c r="CO46" s="844"/>
      <c r="CP46" s="845"/>
      <c r="CQ46" s="844"/>
      <c r="CR46" s="844"/>
      <c r="CS46" s="836"/>
      <c r="CT46" s="830"/>
      <c r="CU46" s="846"/>
      <c r="CV46" s="846"/>
      <c r="CW46" s="806"/>
    </row>
    <row r="47" spans="1:101" s="847" customFormat="1" ht="11.25" customHeight="1" x14ac:dyDescent="0.25">
      <c r="A47" s="806"/>
      <c r="B47" s="830" t="s">
        <v>805</v>
      </c>
      <c r="C47" s="816" t="str">
        <f>_xll.BDP($B47&amp;" EQUITY","Name")</f>
        <v>LIVERAMP HOLDINGS INC</v>
      </c>
      <c r="D47" s="816"/>
      <c r="E47" s="831">
        <f t="shared" ref="E47:E59" ca="1" si="148">+F47/CN47</f>
        <v>44.545996655888551</v>
      </c>
      <c r="F47" s="832">
        <f t="shared" ref="F47:F59" ca="1" si="149">+G47-T47-U47-V47-W47+X47+Y47</f>
        <v>3007.1042318537502</v>
      </c>
      <c r="G47" s="832">
        <f t="shared" ref="G47:G59" ca="1" si="150">AB47</f>
        <v>2005.4361249999999</v>
      </c>
      <c r="H47" s="833">
        <f t="shared" ref="H47:H59" ca="1" si="151">IF(ISERROR(AB47/BV47),"N/A",AB47/BV47)</f>
        <v>7.2588338079505847</v>
      </c>
      <c r="I47" s="896">
        <v>5.5</v>
      </c>
      <c r="J47" s="833">
        <f t="shared" ref="J47:J59" ca="1" si="152">IF(ISERROR(AB47/BX47),"N/A",AB47/BX47)</f>
        <v>4.3725165337300078</v>
      </c>
      <c r="K47" s="833">
        <f t="shared" ref="K47:K59" ca="1" si="153">IF(ISERROR(AB47/BY47),"N/A",AB47/BY47)</f>
        <v>12.626978266542968</v>
      </c>
      <c r="L47" s="833">
        <f t="shared" ref="L47:L59" ca="1" si="154">IF(ISERROR(AB47/BZ47),"N/A",AB47/BZ47)</f>
        <v>8.3693161093435684</v>
      </c>
      <c r="M47" s="833">
        <f t="shared" ref="M47:M59" ca="1" si="155">IF(ISERROR(AB47/CA47),"N/A",AB47/CA47)</f>
        <v>6.0249872524029584</v>
      </c>
      <c r="N47" s="834">
        <f t="shared" ref="N47:N59" ca="1" si="156">IF(ISERROR(RATE(1,,-BV47,BW47)),"N/A",RATE(1,,-BV47,BW47))</f>
        <v>0.31978796508192447</v>
      </c>
      <c r="O47" s="834">
        <f t="shared" ref="O47:O59" ca="1" si="157">IF(ISERROR(BY47/BV47),"N/A",BY47/BV47)</f>
        <v>0.57486705486647827</v>
      </c>
      <c r="P47" s="834">
        <f t="shared" ref="P47:P59" ca="1" si="158">IF(ISERROR(-BG47/AC47),"N/A",-BG47/AC47)</f>
        <v>5.9662390591944246E-2</v>
      </c>
      <c r="Q47" s="835"/>
      <c r="R47" s="836">
        <f t="shared" ca="1" si="1"/>
        <v>43433</v>
      </c>
      <c r="S47" s="837">
        <f ca="1">_xll.BDH(B47&amp;" Equity","PX_LAST",R47,R47,"days=a","fill=p")*CL47*CM47</f>
        <v>46.924999999999997</v>
      </c>
      <c r="T47" s="838">
        <f ca="1">IF(ISERROR(_xll.BDP(B47&amp;" Equity","BS_ST_BORROW", "EQY_FUND_DT=" &amp;TEXT(R47,"YYYYMMDD"), "EQY_FUND_RELATIVE_PERIOD=-0F"&amp;CT47)+0),_xll.BDP(B47&amp;" Equity","BS_ST_BORROW", "EQY_FUND_DT=" &amp;TEXT(R47,"YYYYMMDD"), "EQY_FUND_RELATIVE_PERIOD=-1F"&amp;CT47),_xll.BDP(B47&amp;" Equity","BS_ST_BORROW", "EQY_FUND_DT=" &amp;TEXT(R47,"YYYYMMDD"), "EQY_FUND_RELATIVE_PERIOD=-0F"&amp;CT47))</f>
        <v>0</v>
      </c>
      <c r="U47" s="838">
        <v>0</v>
      </c>
      <c r="V47" s="838">
        <v>0</v>
      </c>
      <c r="W47" s="838">
        <v>0</v>
      </c>
      <c r="X47" s="838">
        <f>+Balance!$CL$61</f>
        <v>1001.6681068537501</v>
      </c>
      <c r="Y47" s="838">
        <v>0</v>
      </c>
      <c r="Z47" s="838">
        <f ca="1">IF(ISERROR(_xll.BDP(B47&amp;" Equity","BS_SH_CAP_AND_APIC", "EQY_FUND_DT=" &amp;TEXT(R47,"YYYYMMDD"),"EQY_FUND_RELATIVE_PERIOD=-0F"&amp;CT47)+0),_xll.BDP(B47&amp;" Equity","BS_SH_CAP_AND_APIC", "EQY_FUND_DT=" &amp;TEXT(R47,"YYYYMMDD"),"EQY_FUND_RELATIVE_PERIOD=-1F"&amp;CT47),_xll.BDP(B47&amp;" Equity","BS_SH_CAP_AND_APIC", "EQY_FUND_DT=" &amp;TEXT(R47,"YYYYMMDD"),"EQY_FUND_RELATIVE_PERIOD=-0F"&amp;CT47))</f>
        <v>1291.45</v>
      </c>
      <c r="AA47" s="838">
        <f ca="1">IF(ISERROR(_xll.BDP(B47&amp;" Equity","BS_RETAIN_EARN", "EQY_FUND_DT=" &amp;TEXT(R47,"YYYYMMDD"),"EQY_FUND_RELATIVE_PERIOD=-0F"&amp;CT47)+0),_xll.BDP(B47&amp;" Equity","BS_RETAIN_EARN", "EQY_FUND_DT=" &amp;TEXT(R47,"YYYYMMDD"),"EQY_FUND_RELATIVE_PERIOD=-1F"&amp;CT47),_xll.BDP(B47&amp;" Equity","BS_RETAIN_EARN", "EQY_FUND_DT=" &amp;TEXT(R47,"YYYYMMDD"),"EQY_FUND_RELATIVE_PERIOD=-0F"&amp;CT47))</f>
        <v>-530.77200000000005</v>
      </c>
      <c r="AB47" s="838">
        <f t="shared" ref="AB47:AB59" ca="1" si="159">+BW47*I47</f>
        <v>2005.4361249999999</v>
      </c>
      <c r="AC47" s="838">
        <f ca="1">_xll.BDH(B47&amp;" EQUITY","TRAIL_12M_NET_SALES", R47,R47,"days=a","fill=p")</f>
        <v>771.42399999999998</v>
      </c>
      <c r="AD47" s="838">
        <v>220.101</v>
      </c>
      <c r="AE47" s="838">
        <f ca="1">_xll.BDH(B47&amp;" EQUITY","BEST_Sales",R47,R47,"BEST_FPERIOD_OVERRIDE="&amp;RIGHT(YEAR(CS47)+2,2)&amp;"Y","days=a","fill=p")</f>
        <v>295</v>
      </c>
      <c r="AF47" s="838">
        <f ca="1">_xll.BDH(B47&amp;" EQUITY","BEST_Sales",R47,R47,"BEST_FPERIOD_OVERRIDE="&amp;RIGHT(YEAR(CS47)+3,2)&amp;"Y","days=a","fill=p")</f>
        <v>387.83300000000003</v>
      </c>
      <c r="AG47" s="838">
        <f ca="1">_xll.BDH(B47&amp;" EQUITY","BEST_Sales",R47,R47,"BEST_FPERIOD_OVERRIDE="&amp;RIGHT(YEAR(CS47)+4,2)&amp;"Y","days=a","fill=p")</f>
        <v>482.25</v>
      </c>
      <c r="AH47" s="838">
        <f ca="1">_xll.BDH(B47&amp;" EQUITY","TRAIL_12M_EBITDA",R47,R47,"days=a","fill=p")</f>
        <v>44.344000000000001</v>
      </c>
      <c r="AI47" s="838">
        <f ca="1">_xll.BDH(B47&amp;" EQUITY","BEST_GROSS_MARGIN",R47,R47,"BEST_FPERIOD_OVERRIDE="&amp;RIGHT(YEAR(CS47)+1,2)&amp;"Y", "days=a","fill=p")%*AD47</f>
        <v>107.2332072</v>
      </c>
      <c r="AJ47" s="838">
        <f ca="1">_xll.BDH(B47&amp;" EQUITY","BEST_GROSS_MARGIN",R47,R47,"BEST_FPERIOD_OVERRIDE="&amp;RIGHT(YEAR(CS47)+2,2)&amp;"Y", "days=a","fill=p")%*AE47</f>
        <v>176.01765</v>
      </c>
      <c r="AK47" s="838">
        <f ca="1">_xll.BDH(B47&amp;" EQUITY","BEST_GROSS_MARGIN",R47,R47,"BEST_FPERIOD_OVERRIDE="&amp;RIGHT(YEAR(CS47)+3,2)&amp;"Y", "days=a","fill=p")%*AF47</f>
        <v>260.81769250000002</v>
      </c>
      <c r="AL47" s="838">
        <f ca="1">_xll.BDH(B47&amp;" EQUITY","BEST_GROSS_MARGIN",R47,R47,"BEST_FPERIOD_OVERRIDE="&amp;RIGHT(YEAR(CS47)+4,2)&amp;"Y", "days=a","fill=p")%*AG47</f>
        <v>356.86500000000001</v>
      </c>
      <c r="AM47" s="838">
        <f ca="1">_xll.BDH(B47&amp;" EQUITY","TRAIL_12M_OPER_INC",R47,R47,"days=a","fill=p")</f>
        <v>-28.047000000000001</v>
      </c>
      <c r="AN47" s="838">
        <f ca="1">_xll.BDH(B47&amp;" EQUITY","BEST_EBIT",R47,R47,"BEST_FPERIOD_OVERRIDE="&amp;RIGHT(YEAR(CS47)+1,2)&amp;"Y", "days=a","fill=p")</f>
        <v>12.8</v>
      </c>
      <c r="AO47" s="838">
        <f ca="1">_xll.BDH(B47&amp;" EQUITY","BEST_EBIT",R47,R47,"BEST_FPERIOD_OVERRIDE="&amp;RIGHT(YEAR(CS47)+2,2)&amp;"Y", "days=a","fill=p")</f>
        <v>54.332999999999998</v>
      </c>
      <c r="AP47" s="838">
        <f ca="1">_xll.BDH(B47&amp;" EQUITY","BEST_EBIT",R47,R47,"BEST_FPERIOD_OVERRIDE="&amp;RIGHT(YEAR(CS47)+3,2)&amp;"Y", "days=a","fill=p")</f>
        <v>-56.433</v>
      </c>
      <c r="AQ47" s="838">
        <f ca="1">_xll.BDH(B47&amp;" EQUITY","BEST_EBIT",R47,R47,"BEST_FPERIOD_OVERRIDE="&amp;RIGHT(YEAR(CS47)+4,2)&amp;"Y", "days=a","fill=p")</f>
        <v>-17.13</v>
      </c>
      <c r="AR47" s="838">
        <f ca="1">_xll.BDH(B47&amp;" EQUITY","TRAIL_12M_EST_COMP_NET_INC_ADJ",R47,R47,"days=a","fill=p")</f>
        <v>0.46779999999999999</v>
      </c>
      <c r="AS47" s="838">
        <f ca="1">_xll.BDH(B47&amp;" EQUITY","BEST_NET_INCOME",R47,R47,"BEST_FPERIOD_OVERRIDE="&amp;RIGHT(YEAR(CS47)+1,2)&amp;"Y", "days=a","fill=p")</f>
        <v>71.739999999999995</v>
      </c>
      <c r="AT47" s="838">
        <f ca="1">_xll.BDH(B47&amp;" EQUITY","BEST_NET_INCOME",R47,R47,"BEST_FPERIOD_OVERRIDE="&amp;RIGHT(YEAR(CS47)+2,2)&amp;"Y", "days=a","fill=p")</f>
        <v>-38.78</v>
      </c>
      <c r="AU47" s="838">
        <f ca="1">_xll.BDH(B47&amp;" EQUITY","BEST_NET_INCOME",R47,R47,"BEST_FPERIOD_OVERRIDE="&amp;RIGHT(YEAR(CS47)+3,2)&amp;"Y", "days=a","fill=p")</f>
        <v>-20.318000000000001</v>
      </c>
      <c r="AV47" s="838">
        <f ca="1">_xll.BDH(B47&amp;" EQUITY","BEST_NET_INCOME",R47,R47,"BEST_FPERIOD_OVERRIDE="&amp;RIGHT(YEAR(CS47)+4,2)&amp;"Y", "days=a","fill=p")</f>
        <v>16.167000000000002</v>
      </c>
      <c r="AW47" s="837">
        <f ca="1">_xll.BDH(B47&amp;" EQUITY","T12M_DIL_EPS_CONT_OPS", R47,R47,"days=a","fill=p")</f>
        <v>1.9400000000000001E-2</v>
      </c>
      <c r="AX47" s="837">
        <f ca="1">_xll.BDH(B47&amp;" EQUITY","BEST_EPS",R47,R47,"BEST_FPERIOD_OVERRIDE="&amp;RIGHT(YEAR(CS47)+1,2)&amp;"Y", "days=a","fill=p")</f>
        <v>0.876</v>
      </c>
      <c r="AY47" s="837">
        <f ca="1">_xll.BDH(B47&amp;" EQUITY","BEST_EPS",R47,R47,"BEST_FPERIOD_OVERRIDE="&amp;RIGHT(YEAR(CS47)+2,2)&amp;"Y", "days=a","fill=p")</f>
        <v>-0.17</v>
      </c>
      <c r="AZ47" s="837">
        <f ca="1">_xll.BDH(B47&amp;" EQUITY","BEST_EPS",R47,R47,"BEST_FPERIOD_OVERRIDE="&amp;RIGHT(YEAR(CS47)+3,2)&amp;"Y", "days=a","fill=p")</f>
        <v>-0.127</v>
      </c>
      <c r="BA47" s="837">
        <f ca="1">_xll.BDH(B47&amp;" EQUITY","BEST_EPS",R47,R47,"BEST_FPERIOD_OVERRIDE="&amp;RIGHT(YEAR(CS47)+4,2)&amp;"Y", "days=a","fill=p")</f>
        <v>0.47299999999999998</v>
      </c>
      <c r="BB47" s="839">
        <f t="shared" ref="BB47:BB59" ca="1" si="160">+AR47/AW47</f>
        <v>24.11340206185567</v>
      </c>
      <c r="BC47" s="839">
        <f t="shared" ref="BC47:BC59" ca="1" si="161">+AS47/AX47</f>
        <v>81.894977168949765</v>
      </c>
      <c r="BD47" s="839">
        <f t="shared" ref="BD47:BD59" ca="1" si="162">+AT47/AY47</f>
        <v>228.11764705882351</v>
      </c>
      <c r="BE47" s="839">
        <f t="shared" ref="BE47:BE59" ca="1" si="163">+AU47/AZ47</f>
        <v>159.98425196850394</v>
      </c>
      <c r="BF47" s="839">
        <f t="shared" ref="BF47:BF59" ca="1" si="164">+AV47/BA47</f>
        <v>34.179704016913327</v>
      </c>
      <c r="BG47" s="838">
        <f ca="1">_xll.BDH(B47&amp;" EQUITY","TRAIL_12M_CAP_EXPEND", R47,R47,"days=a","fill=p")</f>
        <v>-46.024999999999999</v>
      </c>
      <c r="BH47" s="838">
        <f ca="1">_xll.BDH(B47&amp;" EQUITY","BEST_CAPEX",R47,R47,"BEST_FPERIOD_OVERRIDE="&amp;RIGHT(YEAR(CS47)+1,2)&amp;"Y", "days=a","fill=p")</f>
        <v>-41.85</v>
      </c>
      <c r="BI47" s="838">
        <f ca="1">_xll.BDH(B47&amp;" EQUITY","BEST_CAPEX",R47,R47,"BEST_FPERIOD_OVERRIDE="&amp;RIGHT(YEAR(CS47)+2,2)&amp;"Y", "days=a","fill=p")</f>
        <v>-12.05</v>
      </c>
      <c r="BJ47" s="838">
        <f ca="1">_xll.BDH(B47&amp;" EQUITY","BEST_CAPEX",R47,R47,"BEST_FPERIOD_OVERRIDE="&amp;RIGHT(YEAR(CS47)+3,2)&amp;"Y", "days=a","fill=p")</f>
        <v>-15.55</v>
      </c>
      <c r="BK47" s="838">
        <f ca="1">_xll.BDH(B47&amp;" EQUITY","BEST_CAPEX",R47,R47,"BEST_FPERIOD_OVERRIDE="&amp;RIGHT(YEAR(CS47)+4,2)&amp;"Y", "days=a","fill=p")</f>
        <v>-18.75</v>
      </c>
      <c r="BL47" s="838">
        <f t="shared" ref="BL47:BL59" ca="1" si="165">+AH47-AM47</f>
        <v>72.391000000000005</v>
      </c>
      <c r="BM47" s="838">
        <f t="shared" ref="BM47:BM59" ca="1" si="166">+AI47-AN47</f>
        <v>94.433207199999998</v>
      </c>
      <c r="BN47" s="838">
        <f t="shared" ref="BN47:BN59" ca="1" si="167">+AJ47-AO47</f>
        <v>121.68465</v>
      </c>
      <c r="BO47" s="838">
        <f t="shared" ref="BO47:BO59" ca="1" si="168">+AK47-AP47</f>
        <v>317.25069250000001</v>
      </c>
      <c r="BP47" s="838">
        <f t="shared" ref="BP47:BP59" ca="1" si="169">+AL47-AQ47</f>
        <v>373.995</v>
      </c>
      <c r="BQ47" s="837">
        <f t="shared" ref="BQ47:BQ59" ca="1" si="170">(AR47+BL47+BG47)/BB47</f>
        <v>1.1128168448054725</v>
      </c>
      <c r="BR47" s="837">
        <f t="shared" ref="BR47:BR59" ca="1" si="171">(AS47+BM47+BH47)/BC47</f>
        <v>1.5180809800278783</v>
      </c>
      <c r="BS47" s="837">
        <f t="shared" ref="BS47:BS59" ca="1" si="172">(AT47+BN47+BI47)/BD47</f>
        <v>0.31060573749355341</v>
      </c>
      <c r="BT47" s="837">
        <f t="shared" ref="BT47:BT59" ca="1" si="173">(AU47+BO47+BJ47)/BE47</f>
        <v>1.7588149398316764</v>
      </c>
      <c r="BU47" s="837">
        <f t="shared" ref="BU47:BU59" ca="1" si="174">(AV47+BP47+BK47)/BF47</f>
        <v>10.866448691779549</v>
      </c>
      <c r="BV47" s="838">
        <f t="shared" ref="BV47:BV59" ca="1" si="175">IF(CQ47=12,AD47,IF(ISERROR(AD47*CU47+AE47*CV47),"N/A",AD47*CU47+AE47*CV47))</f>
        <v>276.27525000000003</v>
      </c>
      <c r="BW47" s="838">
        <f t="shared" ref="BW47:BW59" ca="1" si="176">IF(CQ47=12,AE47,IF(ISERROR(AE47*CU47+AF47*CV47),"N/A",AE47*CU47+AF47*CV47))</f>
        <v>364.62475000000001</v>
      </c>
      <c r="BX47" s="838">
        <f t="shared" ref="BX47:BX59" ca="1" si="177">IF($CQ47=12,AF47,IF(ISERROR(AF47*$CU47+AG47*$CV47),"N/A",AF47*$CU47+AG47*$CV47))</f>
        <v>458.64575000000002</v>
      </c>
      <c r="BY47" s="838">
        <f t="shared" ref="BY47:BY59" ca="1" si="178">IF(CQ47=12,AI47,IF(ISERROR(AI47*CU47+AJ47*CV47),"N/A",AI47*CU47+AJ47*CV47))</f>
        <v>158.82153930000001</v>
      </c>
      <c r="BZ47" s="838">
        <f t="shared" ref="BZ47:BZ59" ca="1" si="179">IF(CQ47=12,AJ47,IF(ISERROR(AJ47*CU47+AK47*CV47),"N/A",AJ47*CU47+AK47*CV47))</f>
        <v>239.61768187500002</v>
      </c>
      <c r="CA47" s="838">
        <f t="shared" ref="CA47:CA59" ca="1" si="180">IF($CQ47=12,AK47,IF(ISERROR(AK47*$CU47+AL47*$CV47),"N/A",AK47*$CU47+AL47*$CV47))</f>
        <v>332.85317312500001</v>
      </c>
      <c r="CB47" s="838">
        <f t="shared" ref="CB47:CB59" ca="1" si="181">IF(CQ47=12,AN47,IF(ISERROR(AN47*CU47+AO47*CV47),"N/A",AN47*CU47+AO47*CV47))</f>
        <v>43.949750000000002</v>
      </c>
      <c r="CC47" s="838">
        <f t="shared" ref="CC47:CC59" ca="1" si="182">IF(CQ47=12,AO47,IF(ISERROR(AO47*CU47+AP47*CV47),"N/A",AO47*CU47+AP47*CV47))</f>
        <v>-28.741500000000002</v>
      </c>
      <c r="CD47" s="838">
        <f t="shared" ref="CD47:CD59" ca="1" si="183">IF($CQ47=12,AP47,IF(ISERROR(AP47*$CU47+AQ47*$CV47),"N/A",AP47*$CU47+AQ47*$CV47))</f>
        <v>-26.955750000000002</v>
      </c>
      <c r="CE47" s="837">
        <f t="shared" ref="CE47:CE59" ca="1" si="184">IF(CQ47=12,AX47,IF(ISERROR(AX47*CU47+AY47*CV47),"N/A",AX47*CU47+AY47*CV47))</f>
        <v>9.1499999999999998E-2</v>
      </c>
      <c r="CF47" s="837">
        <f t="shared" ref="CF47:CF59" ca="1" si="185">IF(CQ47=12,AY47,IF(ISERROR(AY47*CU47+AZ47*CV47),"N/A",AY47*CU47+AZ47*CV47))</f>
        <v>-0.13775000000000001</v>
      </c>
      <c r="CG47" s="837">
        <f t="shared" ref="CG47:CG59" ca="1" si="186">IF($CQ47=12,AZ47,IF(ISERROR(AZ47*$CU47+BA47*$CV47),"N/A",AZ47*$CU47+BA47*$CV47))</f>
        <v>0.32300000000000001</v>
      </c>
      <c r="CH47" s="837">
        <f t="shared" ref="CH47:CH59" ca="1" si="187">IF(CQ47=12,BR47,IF(ISERROR(BR47*CU47+BS47*CV47),"N/A",BR47*CU47+BS47*CV47))</f>
        <v>0.61247454812713464</v>
      </c>
      <c r="CI47" s="837">
        <f t="shared" ref="CI47:CI59" ca="1" si="188">IF(CQ47=12,BS47,IF(ISERROR(BS47*CU47+BT47*CV47),"N/A",BS47*CU47+BT47*CV47))</f>
        <v>1.3967626392471455</v>
      </c>
      <c r="CJ47" s="837">
        <f t="shared" ref="CJ47:CJ59" ca="1" si="189">IF($CQ47=12,BT47,IF(ISERROR(BT47*$CU47+BU47*$CV47),"N/A",BT47*$CU47+BU47*$CV47))</f>
        <v>8.5895402537925793</v>
      </c>
      <c r="CK47" s="840"/>
      <c r="CL47" s="841">
        <f>IF(CK47="",1,_xll.BDP(CK47&amp;" CURNCY","LAST PRICE"))</f>
        <v>1</v>
      </c>
      <c r="CM47" s="842">
        <v>1</v>
      </c>
      <c r="CN47" s="843">
        <f ca="1">_xll.BDH(B47&amp;" EQUITY","BS_SH_OUT",R47,R47,"EQY_FUND_PER="&amp;CT47,"days=a","fill=p")-10.2</f>
        <v>67.505600000000001</v>
      </c>
      <c r="CO47" s="844" t="str">
        <f>_xll.BDP(B47&amp;" EQUITY","EQY_FISCAL_YR_END")</f>
        <v>03/2018</v>
      </c>
      <c r="CP47" s="845">
        <f t="shared" ref="CP47:CP59" si="190">DAY(DATE(YEAR(CO47),1+MONTH(CO47),0))</f>
        <v>31</v>
      </c>
      <c r="CQ47" s="844">
        <f t="shared" ref="CQ47:CQ59" si="191">+MONTH(CO47)</f>
        <v>3</v>
      </c>
      <c r="CR47" s="844">
        <f t="shared" ref="CR47:CR59" si="192">YEAR(CO47)</f>
        <v>2018</v>
      </c>
      <c r="CS47" s="836">
        <f t="shared" ref="CS47:CS59" ca="1" si="193">+DATE(CR47,CQ47,CP47)-((CR47-YEAR($R$7)+1)*365)</f>
        <v>42825</v>
      </c>
      <c r="CT47" s="830" t="s">
        <v>866</v>
      </c>
      <c r="CU47" s="846">
        <f t="shared" ref="CU47:CU59" ca="1" si="194">+MONTH(CS47)/12</f>
        <v>0.25</v>
      </c>
      <c r="CV47" s="846">
        <f t="shared" ref="CV47:CV59" ca="1" si="195">1-CU47</f>
        <v>0.75</v>
      </c>
      <c r="CW47" s="806"/>
    </row>
    <row r="48" spans="1:101" s="847" customFormat="1" ht="11.25" customHeight="1" x14ac:dyDescent="0.25">
      <c r="A48" s="806"/>
      <c r="B48" s="830" t="s">
        <v>805</v>
      </c>
      <c r="C48" s="816" t="str">
        <f>_xll.BDP($B48&amp;" EQUITY","Name")</f>
        <v>LIVERAMP HOLDINGS INC</v>
      </c>
      <c r="D48" s="816"/>
      <c r="E48" s="831">
        <f t="shared" ca="1" si="148"/>
        <v>44.545996655888551</v>
      </c>
      <c r="F48" s="832">
        <f t="shared" ca="1" si="149"/>
        <v>3007.1042318537502</v>
      </c>
      <c r="G48" s="832">
        <f t="shared" ca="1" si="150"/>
        <v>2005.4361249999999</v>
      </c>
      <c r="H48" s="833">
        <f t="shared" ca="1" si="151"/>
        <v>7.2588338079505847</v>
      </c>
      <c r="I48" s="896">
        <f>+I47+0.2</f>
        <v>5.7</v>
      </c>
      <c r="J48" s="833">
        <f t="shared" ca="1" si="152"/>
        <v>4.3725165337300078</v>
      </c>
      <c r="K48" s="833">
        <f t="shared" ca="1" si="153"/>
        <v>12.626978266542968</v>
      </c>
      <c r="L48" s="833">
        <f t="shared" ca="1" si="154"/>
        <v>8.3693161093435684</v>
      </c>
      <c r="M48" s="833">
        <f t="shared" ca="1" si="155"/>
        <v>6.0249872524029584</v>
      </c>
      <c r="N48" s="834">
        <f t="shared" ca="1" si="156"/>
        <v>0.31978796508192447</v>
      </c>
      <c r="O48" s="834">
        <f t="shared" ca="1" si="157"/>
        <v>0.57486705486647827</v>
      </c>
      <c r="P48" s="834">
        <f t="shared" ca="1" si="158"/>
        <v>5.9662390591944246E-2</v>
      </c>
      <c r="Q48" s="835"/>
      <c r="R48" s="836">
        <f t="shared" ca="1" si="1"/>
        <v>43433</v>
      </c>
      <c r="S48" s="837">
        <f ca="1">S47</f>
        <v>46.924999999999997</v>
      </c>
      <c r="T48" s="838">
        <f t="shared" ref="T48:T59" ca="1" si="196">T47</f>
        <v>0</v>
      </c>
      <c r="U48" s="838">
        <f t="shared" ref="U48:U59" si="197">U47</f>
        <v>0</v>
      </c>
      <c r="V48" s="838">
        <f t="shared" ref="V48:V59" si="198">V47</f>
        <v>0</v>
      </c>
      <c r="W48" s="838">
        <f t="shared" ref="W48:W59" si="199">W47</f>
        <v>0</v>
      </c>
      <c r="X48" s="838">
        <f t="shared" ref="X48:X59" si="200">X47</f>
        <v>1001.6681068537501</v>
      </c>
      <c r="Y48" s="838">
        <f t="shared" ref="Y48:Y59" si="201">Y47</f>
        <v>0</v>
      </c>
      <c r="Z48" s="838">
        <f t="shared" ref="Z48:Z59" ca="1" si="202">Z47</f>
        <v>1291.45</v>
      </c>
      <c r="AA48" s="838">
        <f t="shared" ref="AA48:AA59" ca="1" si="203">AA47</f>
        <v>-530.77200000000005</v>
      </c>
      <c r="AB48" s="838">
        <f t="shared" ref="AB48:AB59" ca="1" si="204">AB47</f>
        <v>2005.4361249999999</v>
      </c>
      <c r="AC48" s="838">
        <f t="shared" ref="AC48:AC59" ca="1" si="205">AC47</f>
        <v>771.42399999999998</v>
      </c>
      <c r="AD48" s="838">
        <f t="shared" ref="AD48:AD59" si="206">AD47</f>
        <v>220.101</v>
      </c>
      <c r="AE48" s="838">
        <f t="shared" ref="AE48:AE59" ca="1" si="207">AE47</f>
        <v>295</v>
      </c>
      <c r="AF48" s="838">
        <f t="shared" ref="AF48:AF59" ca="1" si="208">AF47</f>
        <v>387.83300000000003</v>
      </c>
      <c r="AG48" s="838">
        <f t="shared" ref="AG48:AG59" ca="1" si="209">AG47</f>
        <v>482.25</v>
      </c>
      <c r="AH48" s="838">
        <f t="shared" ref="AH48:AH59" ca="1" si="210">AH47</f>
        <v>44.344000000000001</v>
      </c>
      <c r="AI48" s="838">
        <f t="shared" ref="AI48:AI59" ca="1" si="211">AI47</f>
        <v>107.2332072</v>
      </c>
      <c r="AJ48" s="838">
        <f t="shared" ref="AJ48:AJ59" ca="1" si="212">AJ47</f>
        <v>176.01765</v>
      </c>
      <c r="AK48" s="838">
        <f t="shared" ref="AK48:AK59" ca="1" si="213">AK47</f>
        <v>260.81769250000002</v>
      </c>
      <c r="AL48" s="838">
        <f t="shared" ref="AL48:AL59" ca="1" si="214">AL47</f>
        <v>356.86500000000001</v>
      </c>
      <c r="AM48" s="838">
        <f t="shared" ref="AM48:AM59" ca="1" si="215">AM47</f>
        <v>-28.047000000000001</v>
      </c>
      <c r="AN48" s="838">
        <f t="shared" ref="AN48:AN59" ca="1" si="216">AN47</f>
        <v>12.8</v>
      </c>
      <c r="AO48" s="838">
        <f t="shared" ref="AO48:AO59" ca="1" si="217">AO47</f>
        <v>54.332999999999998</v>
      </c>
      <c r="AP48" s="838">
        <f t="shared" ref="AP48:AP59" ca="1" si="218">AP47</f>
        <v>-56.433</v>
      </c>
      <c r="AQ48" s="838">
        <f t="shared" ref="AQ48:AQ59" ca="1" si="219">AQ47</f>
        <v>-17.13</v>
      </c>
      <c r="AR48" s="838">
        <f t="shared" ref="AR48:AR59" ca="1" si="220">AR47</f>
        <v>0.46779999999999999</v>
      </c>
      <c r="AS48" s="838">
        <f t="shared" ref="AS48:AS59" ca="1" si="221">AS47</f>
        <v>71.739999999999995</v>
      </c>
      <c r="AT48" s="838">
        <f t="shared" ref="AT48:AT59" ca="1" si="222">AT47</f>
        <v>-38.78</v>
      </c>
      <c r="AU48" s="838">
        <f t="shared" ref="AU48:AU59" ca="1" si="223">AU47</f>
        <v>-20.318000000000001</v>
      </c>
      <c r="AV48" s="838">
        <f t="shared" ref="AV48:AV59" ca="1" si="224">AV47</f>
        <v>16.167000000000002</v>
      </c>
      <c r="AW48" s="837">
        <f t="shared" ref="AW48:AW59" ca="1" si="225">AW47</f>
        <v>1.9400000000000001E-2</v>
      </c>
      <c r="AX48" s="837">
        <f t="shared" ref="AX48:AX59" ca="1" si="226">AX47</f>
        <v>0.876</v>
      </c>
      <c r="AY48" s="837">
        <f t="shared" ref="AY48:AY59" ca="1" si="227">AY47</f>
        <v>-0.17</v>
      </c>
      <c r="AZ48" s="837">
        <f t="shared" ref="AZ48:AZ59" ca="1" si="228">AZ47</f>
        <v>-0.127</v>
      </c>
      <c r="BA48" s="837">
        <f t="shared" ref="BA48:BA59" ca="1" si="229">BA47</f>
        <v>0.47299999999999998</v>
      </c>
      <c r="BB48" s="839">
        <f t="shared" ref="BB48:BB59" ca="1" si="230">BB47</f>
        <v>24.11340206185567</v>
      </c>
      <c r="BC48" s="839">
        <f t="shared" ref="BC48:BC59" ca="1" si="231">BC47</f>
        <v>81.894977168949765</v>
      </c>
      <c r="BD48" s="839">
        <f t="shared" ref="BD48:BD59" ca="1" si="232">BD47</f>
        <v>228.11764705882351</v>
      </c>
      <c r="BE48" s="839">
        <f t="shared" ref="BE48:BE59" ca="1" si="233">BE47</f>
        <v>159.98425196850394</v>
      </c>
      <c r="BF48" s="839">
        <f t="shared" ref="BF48:BF59" ca="1" si="234">BF47</f>
        <v>34.179704016913327</v>
      </c>
      <c r="BG48" s="838">
        <f t="shared" ref="BG48:BG59" ca="1" si="235">BG47</f>
        <v>-46.024999999999999</v>
      </c>
      <c r="BH48" s="838">
        <f t="shared" ref="BH48:BH59" ca="1" si="236">BH47</f>
        <v>-41.85</v>
      </c>
      <c r="BI48" s="838">
        <f t="shared" ref="BI48:BI59" ca="1" si="237">BI47</f>
        <v>-12.05</v>
      </c>
      <c r="BJ48" s="838">
        <f t="shared" ref="BJ48:BJ59" ca="1" si="238">BJ47</f>
        <v>-15.55</v>
      </c>
      <c r="BK48" s="838">
        <f t="shared" ref="BK48:BK59" ca="1" si="239">BK47</f>
        <v>-18.75</v>
      </c>
      <c r="BL48" s="838">
        <f t="shared" ref="BL48:BL59" ca="1" si="240">BL47</f>
        <v>72.391000000000005</v>
      </c>
      <c r="BM48" s="838">
        <f t="shared" ref="BM48:BM59" ca="1" si="241">BM47</f>
        <v>94.433207199999998</v>
      </c>
      <c r="BN48" s="838">
        <f t="shared" ref="BN48:BN59" ca="1" si="242">BN47</f>
        <v>121.68465</v>
      </c>
      <c r="BO48" s="838">
        <f t="shared" ref="BO48:BO59" ca="1" si="243">BO47</f>
        <v>317.25069250000001</v>
      </c>
      <c r="BP48" s="838">
        <f t="shared" ref="BP48:BP59" ca="1" si="244">BP47</f>
        <v>373.995</v>
      </c>
      <c r="BQ48" s="837">
        <f t="shared" ref="BQ48:BQ59" ca="1" si="245">BQ47</f>
        <v>1.1128168448054725</v>
      </c>
      <c r="BR48" s="837">
        <f t="shared" ref="BR48:BR59" ca="1" si="246">BR47</f>
        <v>1.5180809800278783</v>
      </c>
      <c r="BS48" s="837">
        <f t="shared" ref="BS48:BS59" ca="1" si="247">BS47</f>
        <v>0.31060573749355341</v>
      </c>
      <c r="BT48" s="837">
        <f t="shared" ref="BT48:BT59" ca="1" si="248">BT47</f>
        <v>1.7588149398316764</v>
      </c>
      <c r="BU48" s="837">
        <f t="shared" ref="BU48:BU59" ca="1" si="249">BU47</f>
        <v>10.866448691779549</v>
      </c>
      <c r="BV48" s="838">
        <f t="shared" ref="BV48:BV59" ca="1" si="250">BV47</f>
        <v>276.27525000000003</v>
      </c>
      <c r="BW48" s="838">
        <f t="shared" ref="BW48:BW59" ca="1" si="251">BW47</f>
        <v>364.62475000000001</v>
      </c>
      <c r="BX48" s="838">
        <f t="shared" ref="BX48:BX59" ca="1" si="252">BX47</f>
        <v>458.64575000000002</v>
      </c>
      <c r="BY48" s="838">
        <f t="shared" ref="BY48:BY59" ca="1" si="253">BY47</f>
        <v>158.82153930000001</v>
      </c>
      <c r="BZ48" s="838">
        <f t="shared" ref="BZ48:BZ59" ca="1" si="254">BZ47</f>
        <v>239.61768187500002</v>
      </c>
      <c r="CA48" s="838">
        <f t="shared" ref="CA48:CA59" ca="1" si="255">CA47</f>
        <v>332.85317312500001</v>
      </c>
      <c r="CB48" s="838">
        <f t="shared" ref="CB48:CB59" ca="1" si="256">CB47</f>
        <v>43.949750000000002</v>
      </c>
      <c r="CC48" s="838">
        <f t="shared" ref="CC48:CC59" ca="1" si="257">CC47</f>
        <v>-28.741500000000002</v>
      </c>
      <c r="CD48" s="838">
        <f t="shared" ref="CD48:CD59" ca="1" si="258">CD47</f>
        <v>-26.955750000000002</v>
      </c>
      <c r="CE48" s="837">
        <f t="shared" ref="CE48:CE59" ca="1" si="259">CE47</f>
        <v>9.1499999999999998E-2</v>
      </c>
      <c r="CF48" s="837">
        <f t="shared" ref="CF48:CF59" ca="1" si="260">CF47</f>
        <v>-0.13775000000000001</v>
      </c>
      <c r="CG48" s="837">
        <f t="shared" ref="CG48:CG59" ca="1" si="261">CG47</f>
        <v>0.32300000000000001</v>
      </c>
      <c r="CH48" s="837">
        <f t="shared" ref="CH48:CH59" ca="1" si="262">CH47</f>
        <v>0.61247454812713464</v>
      </c>
      <c r="CI48" s="837">
        <f t="shared" ref="CI48:CI59" ca="1" si="263">CI47</f>
        <v>1.3967626392471455</v>
      </c>
      <c r="CJ48" s="837">
        <f t="shared" ref="CJ48:CJ59" ca="1" si="264">CJ47</f>
        <v>8.5895402537925793</v>
      </c>
      <c r="CK48" s="840"/>
      <c r="CL48" s="841">
        <f>IF(CK48="",1,_xll.BDP(CK48&amp;" CURNCY","LAST PRICE"))</f>
        <v>1</v>
      </c>
      <c r="CM48" s="842">
        <v>1</v>
      </c>
      <c r="CN48" s="843">
        <f ca="1">_xll.BDH(B48&amp;" EQUITY","BS_SH_OUT",R48,R48,"EQY_FUND_PER="&amp;CT48,"days=a","fill=p")-10.2</f>
        <v>67.505600000000001</v>
      </c>
      <c r="CO48" s="844" t="str">
        <f>_xll.BDP(B48&amp;" EQUITY","EQY_FISCAL_YR_END")</f>
        <v>03/2018</v>
      </c>
      <c r="CP48" s="845">
        <f t="shared" si="190"/>
        <v>31</v>
      </c>
      <c r="CQ48" s="844">
        <f t="shared" si="191"/>
        <v>3</v>
      </c>
      <c r="CR48" s="844">
        <f t="shared" si="192"/>
        <v>2018</v>
      </c>
      <c r="CS48" s="836">
        <f t="shared" ca="1" si="193"/>
        <v>42825</v>
      </c>
      <c r="CT48" s="830" t="s">
        <v>866</v>
      </c>
      <c r="CU48" s="846">
        <f t="shared" ca="1" si="194"/>
        <v>0.25</v>
      </c>
      <c r="CV48" s="846">
        <f t="shared" ca="1" si="195"/>
        <v>0.75</v>
      </c>
      <c r="CW48" s="806"/>
    </row>
    <row r="49" spans="1:101" s="847" customFormat="1" ht="11.25" customHeight="1" x14ac:dyDescent="0.25">
      <c r="A49" s="806"/>
      <c r="B49" s="830" t="s">
        <v>805</v>
      </c>
      <c r="C49" s="816" t="str">
        <f>_xll.BDP($B49&amp;" EQUITY","Name")</f>
        <v>LIVERAMP HOLDINGS INC</v>
      </c>
      <c r="D49" s="816"/>
      <c r="E49" s="831">
        <f t="shared" ca="1" si="148"/>
        <v>44.545996655888551</v>
      </c>
      <c r="F49" s="832">
        <f t="shared" ca="1" si="149"/>
        <v>3007.1042318537502</v>
      </c>
      <c r="G49" s="832">
        <f t="shared" ca="1" si="150"/>
        <v>2005.4361249999999</v>
      </c>
      <c r="H49" s="833">
        <f t="shared" ca="1" si="151"/>
        <v>7.2588338079505847</v>
      </c>
      <c r="I49" s="896">
        <f t="shared" ref="I49:I59" si="265">+I48+0.2</f>
        <v>5.9</v>
      </c>
      <c r="J49" s="833">
        <f t="shared" ca="1" si="152"/>
        <v>4.3725165337300078</v>
      </c>
      <c r="K49" s="833">
        <f t="shared" ca="1" si="153"/>
        <v>12.626978266542968</v>
      </c>
      <c r="L49" s="869">
        <f t="shared" ca="1" si="154"/>
        <v>8.3693161093435684</v>
      </c>
      <c r="M49" s="833">
        <f t="shared" ca="1" si="155"/>
        <v>6.0249872524029584</v>
      </c>
      <c r="N49" s="834">
        <f t="shared" ca="1" si="156"/>
        <v>0.31978796508192447</v>
      </c>
      <c r="O49" s="834">
        <f t="shared" ca="1" si="157"/>
        <v>0.57486705486647827</v>
      </c>
      <c r="P49" s="834">
        <f t="shared" ca="1" si="158"/>
        <v>5.9662390591944246E-2</v>
      </c>
      <c r="Q49" s="835"/>
      <c r="R49" s="836">
        <f t="shared" ca="1" si="1"/>
        <v>43433</v>
      </c>
      <c r="S49" s="837">
        <f t="shared" ref="S49:S59" ca="1" si="266">S48</f>
        <v>46.924999999999997</v>
      </c>
      <c r="T49" s="838">
        <f t="shared" ca="1" si="196"/>
        <v>0</v>
      </c>
      <c r="U49" s="838">
        <f t="shared" si="197"/>
        <v>0</v>
      </c>
      <c r="V49" s="838">
        <f t="shared" si="198"/>
        <v>0</v>
      </c>
      <c r="W49" s="838">
        <f t="shared" si="199"/>
        <v>0</v>
      </c>
      <c r="X49" s="838">
        <f t="shared" si="200"/>
        <v>1001.6681068537501</v>
      </c>
      <c r="Y49" s="838">
        <f t="shared" si="201"/>
        <v>0</v>
      </c>
      <c r="Z49" s="838">
        <f t="shared" ca="1" si="202"/>
        <v>1291.45</v>
      </c>
      <c r="AA49" s="838">
        <f t="shared" ca="1" si="203"/>
        <v>-530.77200000000005</v>
      </c>
      <c r="AB49" s="838">
        <f t="shared" ca="1" si="204"/>
        <v>2005.4361249999999</v>
      </c>
      <c r="AC49" s="838">
        <f t="shared" ca="1" si="205"/>
        <v>771.42399999999998</v>
      </c>
      <c r="AD49" s="838">
        <f t="shared" si="206"/>
        <v>220.101</v>
      </c>
      <c r="AE49" s="838">
        <f t="shared" ca="1" si="207"/>
        <v>295</v>
      </c>
      <c r="AF49" s="838">
        <f t="shared" ca="1" si="208"/>
        <v>387.83300000000003</v>
      </c>
      <c r="AG49" s="838">
        <f t="shared" ca="1" si="209"/>
        <v>482.25</v>
      </c>
      <c r="AH49" s="838">
        <f t="shared" ca="1" si="210"/>
        <v>44.344000000000001</v>
      </c>
      <c r="AI49" s="838">
        <f t="shared" ca="1" si="211"/>
        <v>107.2332072</v>
      </c>
      <c r="AJ49" s="838">
        <f t="shared" ca="1" si="212"/>
        <v>176.01765</v>
      </c>
      <c r="AK49" s="838">
        <f t="shared" ca="1" si="213"/>
        <v>260.81769250000002</v>
      </c>
      <c r="AL49" s="838">
        <f t="shared" ca="1" si="214"/>
        <v>356.86500000000001</v>
      </c>
      <c r="AM49" s="838">
        <f t="shared" ca="1" si="215"/>
        <v>-28.047000000000001</v>
      </c>
      <c r="AN49" s="838">
        <f t="shared" ca="1" si="216"/>
        <v>12.8</v>
      </c>
      <c r="AO49" s="838">
        <f t="shared" ca="1" si="217"/>
        <v>54.332999999999998</v>
      </c>
      <c r="AP49" s="838">
        <f t="shared" ca="1" si="218"/>
        <v>-56.433</v>
      </c>
      <c r="AQ49" s="838">
        <f t="shared" ca="1" si="219"/>
        <v>-17.13</v>
      </c>
      <c r="AR49" s="838">
        <f t="shared" ca="1" si="220"/>
        <v>0.46779999999999999</v>
      </c>
      <c r="AS49" s="838">
        <f t="shared" ca="1" si="221"/>
        <v>71.739999999999995</v>
      </c>
      <c r="AT49" s="838">
        <f t="shared" ca="1" si="222"/>
        <v>-38.78</v>
      </c>
      <c r="AU49" s="838">
        <f t="shared" ca="1" si="223"/>
        <v>-20.318000000000001</v>
      </c>
      <c r="AV49" s="838">
        <f t="shared" ca="1" si="224"/>
        <v>16.167000000000002</v>
      </c>
      <c r="AW49" s="837">
        <f t="shared" ca="1" si="225"/>
        <v>1.9400000000000001E-2</v>
      </c>
      <c r="AX49" s="837">
        <f t="shared" ca="1" si="226"/>
        <v>0.876</v>
      </c>
      <c r="AY49" s="837">
        <f t="shared" ca="1" si="227"/>
        <v>-0.17</v>
      </c>
      <c r="AZ49" s="837">
        <f t="shared" ca="1" si="228"/>
        <v>-0.127</v>
      </c>
      <c r="BA49" s="837">
        <f t="shared" ca="1" si="229"/>
        <v>0.47299999999999998</v>
      </c>
      <c r="BB49" s="839">
        <f t="shared" ca="1" si="230"/>
        <v>24.11340206185567</v>
      </c>
      <c r="BC49" s="839">
        <f t="shared" ca="1" si="231"/>
        <v>81.894977168949765</v>
      </c>
      <c r="BD49" s="839">
        <f t="shared" ca="1" si="232"/>
        <v>228.11764705882351</v>
      </c>
      <c r="BE49" s="839">
        <f t="shared" ca="1" si="233"/>
        <v>159.98425196850394</v>
      </c>
      <c r="BF49" s="839">
        <f t="shared" ca="1" si="234"/>
        <v>34.179704016913327</v>
      </c>
      <c r="BG49" s="838">
        <f t="shared" ca="1" si="235"/>
        <v>-46.024999999999999</v>
      </c>
      <c r="BH49" s="838">
        <f t="shared" ca="1" si="236"/>
        <v>-41.85</v>
      </c>
      <c r="BI49" s="838">
        <f t="shared" ca="1" si="237"/>
        <v>-12.05</v>
      </c>
      <c r="BJ49" s="838">
        <f t="shared" ca="1" si="238"/>
        <v>-15.55</v>
      </c>
      <c r="BK49" s="838">
        <f t="shared" ca="1" si="239"/>
        <v>-18.75</v>
      </c>
      <c r="BL49" s="838">
        <f t="shared" ca="1" si="240"/>
        <v>72.391000000000005</v>
      </c>
      <c r="BM49" s="838">
        <f t="shared" ca="1" si="241"/>
        <v>94.433207199999998</v>
      </c>
      <c r="BN49" s="838">
        <f t="shared" ca="1" si="242"/>
        <v>121.68465</v>
      </c>
      <c r="BO49" s="838">
        <f t="shared" ca="1" si="243"/>
        <v>317.25069250000001</v>
      </c>
      <c r="BP49" s="838">
        <f t="shared" ca="1" si="244"/>
        <v>373.995</v>
      </c>
      <c r="BQ49" s="837">
        <f t="shared" ca="1" si="245"/>
        <v>1.1128168448054725</v>
      </c>
      <c r="BR49" s="837">
        <f t="shared" ca="1" si="246"/>
        <v>1.5180809800278783</v>
      </c>
      <c r="BS49" s="837">
        <f t="shared" ca="1" si="247"/>
        <v>0.31060573749355341</v>
      </c>
      <c r="BT49" s="837">
        <f t="shared" ca="1" si="248"/>
        <v>1.7588149398316764</v>
      </c>
      <c r="BU49" s="837">
        <f t="shared" ca="1" si="249"/>
        <v>10.866448691779549</v>
      </c>
      <c r="BV49" s="838">
        <f t="shared" ca="1" si="250"/>
        <v>276.27525000000003</v>
      </c>
      <c r="BW49" s="838">
        <f t="shared" ca="1" si="251"/>
        <v>364.62475000000001</v>
      </c>
      <c r="BX49" s="838">
        <f t="shared" ca="1" si="252"/>
        <v>458.64575000000002</v>
      </c>
      <c r="BY49" s="838">
        <f t="shared" ca="1" si="253"/>
        <v>158.82153930000001</v>
      </c>
      <c r="BZ49" s="838">
        <f t="shared" ca="1" si="254"/>
        <v>239.61768187500002</v>
      </c>
      <c r="CA49" s="838">
        <f t="shared" ca="1" si="255"/>
        <v>332.85317312500001</v>
      </c>
      <c r="CB49" s="838">
        <f t="shared" ca="1" si="256"/>
        <v>43.949750000000002</v>
      </c>
      <c r="CC49" s="838">
        <f t="shared" ca="1" si="257"/>
        <v>-28.741500000000002</v>
      </c>
      <c r="CD49" s="838">
        <f t="shared" ca="1" si="258"/>
        <v>-26.955750000000002</v>
      </c>
      <c r="CE49" s="837">
        <f t="shared" ca="1" si="259"/>
        <v>9.1499999999999998E-2</v>
      </c>
      <c r="CF49" s="837">
        <f t="shared" ca="1" si="260"/>
        <v>-0.13775000000000001</v>
      </c>
      <c r="CG49" s="837">
        <f t="shared" ca="1" si="261"/>
        <v>0.32300000000000001</v>
      </c>
      <c r="CH49" s="837">
        <f t="shared" ca="1" si="262"/>
        <v>0.61247454812713464</v>
      </c>
      <c r="CI49" s="837">
        <f t="shared" ca="1" si="263"/>
        <v>1.3967626392471455</v>
      </c>
      <c r="CJ49" s="837">
        <f t="shared" ca="1" si="264"/>
        <v>8.5895402537925793</v>
      </c>
      <c r="CK49" s="840"/>
      <c r="CL49" s="841">
        <f>IF(CK49="",1,_xll.BDP(CK49&amp;" CURNCY","LAST PRICE"))</f>
        <v>1</v>
      </c>
      <c r="CM49" s="842">
        <v>1</v>
      </c>
      <c r="CN49" s="843">
        <f ca="1">_xll.BDH(B49&amp;" EQUITY","BS_SH_OUT",R49,R49,"EQY_FUND_PER="&amp;CT49,"days=a","fill=p")-10.2</f>
        <v>67.505600000000001</v>
      </c>
      <c r="CO49" s="844" t="str">
        <f>_xll.BDP(B49&amp;" EQUITY","EQY_FISCAL_YR_END")</f>
        <v>03/2018</v>
      </c>
      <c r="CP49" s="845">
        <f t="shared" si="190"/>
        <v>31</v>
      </c>
      <c r="CQ49" s="844">
        <f t="shared" si="191"/>
        <v>3</v>
      </c>
      <c r="CR49" s="844">
        <f t="shared" si="192"/>
        <v>2018</v>
      </c>
      <c r="CS49" s="836">
        <f t="shared" ca="1" si="193"/>
        <v>42825</v>
      </c>
      <c r="CT49" s="830" t="s">
        <v>866</v>
      </c>
      <c r="CU49" s="846">
        <f t="shared" ca="1" si="194"/>
        <v>0.25</v>
      </c>
      <c r="CV49" s="846">
        <f t="shared" ca="1" si="195"/>
        <v>0.75</v>
      </c>
      <c r="CW49" s="806"/>
    </row>
    <row r="50" spans="1:101" s="847" customFormat="1" ht="11.25" customHeight="1" x14ac:dyDescent="0.25">
      <c r="A50" s="806"/>
      <c r="B50" s="830" t="s">
        <v>805</v>
      </c>
      <c r="C50" s="816" t="str">
        <f>_xll.BDP($B50&amp;" EQUITY","Name")</f>
        <v>LIVERAMP HOLDINGS INC</v>
      </c>
      <c r="D50" s="816"/>
      <c r="E50" s="831">
        <f t="shared" ca="1" si="148"/>
        <v>44.545996655888551</v>
      </c>
      <c r="F50" s="832">
        <f t="shared" ca="1" si="149"/>
        <v>3007.1042318537502</v>
      </c>
      <c r="G50" s="832">
        <f t="shared" ca="1" si="150"/>
        <v>2005.4361249999999</v>
      </c>
      <c r="H50" s="833">
        <f t="shared" ca="1" si="151"/>
        <v>7.2588338079505847</v>
      </c>
      <c r="I50" s="896">
        <f t="shared" si="265"/>
        <v>6.1000000000000005</v>
      </c>
      <c r="J50" s="833">
        <f t="shared" ca="1" si="152"/>
        <v>4.3725165337300078</v>
      </c>
      <c r="K50" s="833">
        <f t="shared" ca="1" si="153"/>
        <v>12.626978266542968</v>
      </c>
      <c r="L50" s="869">
        <f t="shared" ca="1" si="154"/>
        <v>8.3693161093435684</v>
      </c>
      <c r="M50" s="833">
        <f t="shared" ca="1" si="155"/>
        <v>6.0249872524029584</v>
      </c>
      <c r="N50" s="834">
        <f t="shared" ca="1" si="156"/>
        <v>0.31978796508192447</v>
      </c>
      <c r="O50" s="834">
        <f t="shared" ca="1" si="157"/>
        <v>0.57486705486647827</v>
      </c>
      <c r="P50" s="834">
        <f t="shared" ca="1" si="158"/>
        <v>5.9662390591944246E-2</v>
      </c>
      <c r="Q50" s="835"/>
      <c r="R50" s="836">
        <f t="shared" ca="1" si="1"/>
        <v>43433</v>
      </c>
      <c r="S50" s="837">
        <f t="shared" ca="1" si="266"/>
        <v>46.924999999999997</v>
      </c>
      <c r="T50" s="838">
        <f t="shared" ca="1" si="196"/>
        <v>0</v>
      </c>
      <c r="U50" s="838">
        <f t="shared" si="197"/>
        <v>0</v>
      </c>
      <c r="V50" s="838">
        <f t="shared" si="198"/>
        <v>0</v>
      </c>
      <c r="W50" s="838">
        <f t="shared" si="199"/>
        <v>0</v>
      </c>
      <c r="X50" s="838">
        <f t="shared" si="200"/>
        <v>1001.6681068537501</v>
      </c>
      <c r="Y50" s="838">
        <f t="shared" si="201"/>
        <v>0</v>
      </c>
      <c r="Z50" s="838">
        <f t="shared" ca="1" si="202"/>
        <v>1291.45</v>
      </c>
      <c r="AA50" s="838">
        <f t="shared" ca="1" si="203"/>
        <v>-530.77200000000005</v>
      </c>
      <c r="AB50" s="838">
        <f t="shared" ca="1" si="204"/>
        <v>2005.4361249999999</v>
      </c>
      <c r="AC50" s="838">
        <f t="shared" ca="1" si="205"/>
        <v>771.42399999999998</v>
      </c>
      <c r="AD50" s="838">
        <f t="shared" si="206"/>
        <v>220.101</v>
      </c>
      <c r="AE50" s="838">
        <f t="shared" ca="1" si="207"/>
        <v>295</v>
      </c>
      <c r="AF50" s="838">
        <f t="shared" ca="1" si="208"/>
        <v>387.83300000000003</v>
      </c>
      <c r="AG50" s="838">
        <f t="shared" ca="1" si="209"/>
        <v>482.25</v>
      </c>
      <c r="AH50" s="838">
        <f t="shared" ca="1" si="210"/>
        <v>44.344000000000001</v>
      </c>
      <c r="AI50" s="838">
        <f t="shared" ca="1" si="211"/>
        <v>107.2332072</v>
      </c>
      <c r="AJ50" s="838">
        <f t="shared" ca="1" si="212"/>
        <v>176.01765</v>
      </c>
      <c r="AK50" s="838">
        <f t="shared" ca="1" si="213"/>
        <v>260.81769250000002</v>
      </c>
      <c r="AL50" s="838">
        <f t="shared" ca="1" si="214"/>
        <v>356.86500000000001</v>
      </c>
      <c r="AM50" s="838">
        <f t="shared" ca="1" si="215"/>
        <v>-28.047000000000001</v>
      </c>
      <c r="AN50" s="838">
        <f t="shared" ca="1" si="216"/>
        <v>12.8</v>
      </c>
      <c r="AO50" s="838">
        <f t="shared" ca="1" si="217"/>
        <v>54.332999999999998</v>
      </c>
      <c r="AP50" s="838">
        <f t="shared" ca="1" si="218"/>
        <v>-56.433</v>
      </c>
      <c r="AQ50" s="838">
        <f t="shared" ca="1" si="219"/>
        <v>-17.13</v>
      </c>
      <c r="AR50" s="838">
        <f t="shared" ca="1" si="220"/>
        <v>0.46779999999999999</v>
      </c>
      <c r="AS50" s="838">
        <f t="shared" ca="1" si="221"/>
        <v>71.739999999999995</v>
      </c>
      <c r="AT50" s="838">
        <f t="shared" ca="1" si="222"/>
        <v>-38.78</v>
      </c>
      <c r="AU50" s="838">
        <f t="shared" ca="1" si="223"/>
        <v>-20.318000000000001</v>
      </c>
      <c r="AV50" s="838">
        <f t="shared" ca="1" si="224"/>
        <v>16.167000000000002</v>
      </c>
      <c r="AW50" s="837">
        <f t="shared" ca="1" si="225"/>
        <v>1.9400000000000001E-2</v>
      </c>
      <c r="AX50" s="837">
        <f t="shared" ca="1" si="226"/>
        <v>0.876</v>
      </c>
      <c r="AY50" s="837">
        <f t="shared" ca="1" si="227"/>
        <v>-0.17</v>
      </c>
      <c r="AZ50" s="837">
        <f t="shared" ca="1" si="228"/>
        <v>-0.127</v>
      </c>
      <c r="BA50" s="837">
        <f t="shared" ca="1" si="229"/>
        <v>0.47299999999999998</v>
      </c>
      <c r="BB50" s="839">
        <f t="shared" ca="1" si="230"/>
        <v>24.11340206185567</v>
      </c>
      <c r="BC50" s="839">
        <f t="shared" ca="1" si="231"/>
        <v>81.894977168949765</v>
      </c>
      <c r="BD50" s="839">
        <f t="shared" ca="1" si="232"/>
        <v>228.11764705882351</v>
      </c>
      <c r="BE50" s="839">
        <f t="shared" ca="1" si="233"/>
        <v>159.98425196850394</v>
      </c>
      <c r="BF50" s="839">
        <f t="shared" ca="1" si="234"/>
        <v>34.179704016913327</v>
      </c>
      <c r="BG50" s="838">
        <f t="shared" ca="1" si="235"/>
        <v>-46.024999999999999</v>
      </c>
      <c r="BH50" s="838">
        <f t="shared" ca="1" si="236"/>
        <v>-41.85</v>
      </c>
      <c r="BI50" s="838">
        <f t="shared" ca="1" si="237"/>
        <v>-12.05</v>
      </c>
      <c r="BJ50" s="838">
        <f t="shared" ca="1" si="238"/>
        <v>-15.55</v>
      </c>
      <c r="BK50" s="838">
        <f t="shared" ca="1" si="239"/>
        <v>-18.75</v>
      </c>
      <c r="BL50" s="838">
        <f t="shared" ca="1" si="240"/>
        <v>72.391000000000005</v>
      </c>
      <c r="BM50" s="838">
        <f t="shared" ca="1" si="241"/>
        <v>94.433207199999998</v>
      </c>
      <c r="BN50" s="838">
        <f t="shared" ca="1" si="242"/>
        <v>121.68465</v>
      </c>
      <c r="BO50" s="838">
        <f t="shared" ca="1" si="243"/>
        <v>317.25069250000001</v>
      </c>
      <c r="BP50" s="838">
        <f t="shared" ca="1" si="244"/>
        <v>373.995</v>
      </c>
      <c r="BQ50" s="837">
        <f t="shared" ca="1" si="245"/>
        <v>1.1128168448054725</v>
      </c>
      <c r="BR50" s="837">
        <f t="shared" ca="1" si="246"/>
        <v>1.5180809800278783</v>
      </c>
      <c r="BS50" s="837">
        <f t="shared" ca="1" si="247"/>
        <v>0.31060573749355341</v>
      </c>
      <c r="BT50" s="837">
        <f t="shared" ca="1" si="248"/>
        <v>1.7588149398316764</v>
      </c>
      <c r="BU50" s="837">
        <f t="shared" ca="1" si="249"/>
        <v>10.866448691779549</v>
      </c>
      <c r="BV50" s="838">
        <f t="shared" ca="1" si="250"/>
        <v>276.27525000000003</v>
      </c>
      <c r="BW50" s="838">
        <f t="shared" ca="1" si="251"/>
        <v>364.62475000000001</v>
      </c>
      <c r="BX50" s="838">
        <f t="shared" ca="1" si="252"/>
        <v>458.64575000000002</v>
      </c>
      <c r="BY50" s="838">
        <f t="shared" ca="1" si="253"/>
        <v>158.82153930000001</v>
      </c>
      <c r="BZ50" s="838">
        <f t="shared" ca="1" si="254"/>
        <v>239.61768187500002</v>
      </c>
      <c r="CA50" s="838">
        <f t="shared" ca="1" si="255"/>
        <v>332.85317312500001</v>
      </c>
      <c r="CB50" s="838">
        <f t="shared" ca="1" si="256"/>
        <v>43.949750000000002</v>
      </c>
      <c r="CC50" s="838">
        <f t="shared" ca="1" si="257"/>
        <v>-28.741500000000002</v>
      </c>
      <c r="CD50" s="838">
        <f t="shared" ca="1" si="258"/>
        <v>-26.955750000000002</v>
      </c>
      <c r="CE50" s="837">
        <f t="shared" ca="1" si="259"/>
        <v>9.1499999999999998E-2</v>
      </c>
      <c r="CF50" s="837">
        <f t="shared" ca="1" si="260"/>
        <v>-0.13775000000000001</v>
      </c>
      <c r="CG50" s="837">
        <f t="shared" ca="1" si="261"/>
        <v>0.32300000000000001</v>
      </c>
      <c r="CH50" s="837">
        <f t="shared" ca="1" si="262"/>
        <v>0.61247454812713464</v>
      </c>
      <c r="CI50" s="837">
        <f t="shared" ca="1" si="263"/>
        <v>1.3967626392471455</v>
      </c>
      <c r="CJ50" s="837">
        <f t="shared" ca="1" si="264"/>
        <v>8.5895402537925793</v>
      </c>
      <c r="CK50" s="840"/>
      <c r="CL50" s="841">
        <f>IF(CK50="",1,_xll.BDP(CK50&amp;" CURNCY","LAST PRICE"))</f>
        <v>1</v>
      </c>
      <c r="CM50" s="842">
        <v>1</v>
      </c>
      <c r="CN50" s="843">
        <f ca="1">_xll.BDH(B50&amp;" EQUITY","BS_SH_OUT",R50,R50,"EQY_FUND_PER="&amp;CT50,"days=a","fill=p")-10.2</f>
        <v>67.505600000000001</v>
      </c>
      <c r="CO50" s="844" t="str">
        <f>_xll.BDP(B50&amp;" EQUITY","EQY_FISCAL_YR_END")</f>
        <v>03/2018</v>
      </c>
      <c r="CP50" s="845">
        <f t="shared" si="190"/>
        <v>31</v>
      </c>
      <c r="CQ50" s="844">
        <f t="shared" si="191"/>
        <v>3</v>
      </c>
      <c r="CR50" s="844">
        <f t="shared" si="192"/>
        <v>2018</v>
      </c>
      <c r="CS50" s="836">
        <f t="shared" ca="1" si="193"/>
        <v>42825</v>
      </c>
      <c r="CT50" s="830" t="s">
        <v>866</v>
      </c>
      <c r="CU50" s="846">
        <f t="shared" ca="1" si="194"/>
        <v>0.25</v>
      </c>
      <c r="CV50" s="846">
        <f t="shared" ca="1" si="195"/>
        <v>0.75</v>
      </c>
      <c r="CW50" s="806"/>
    </row>
    <row r="51" spans="1:101" s="847" customFormat="1" ht="11.25" customHeight="1" x14ac:dyDescent="0.25">
      <c r="A51" s="806"/>
      <c r="B51" s="830" t="s">
        <v>805</v>
      </c>
      <c r="C51" s="816" t="str">
        <f>_xll.BDP($B51&amp;" EQUITY","Name")</f>
        <v>LIVERAMP HOLDINGS INC</v>
      </c>
      <c r="D51" s="816"/>
      <c r="E51" s="831">
        <f t="shared" ca="1" si="148"/>
        <v>44.545996655888551</v>
      </c>
      <c r="F51" s="832">
        <f t="shared" ca="1" si="149"/>
        <v>3007.1042318537502</v>
      </c>
      <c r="G51" s="832">
        <f t="shared" ca="1" si="150"/>
        <v>2005.4361249999999</v>
      </c>
      <c r="H51" s="833">
        <f t="shared" ca="1" si="151"/>
        <v>7.2588338079505847</v>
      </c>
      <c r="I51" s="896">
        <f t="shared" si="265"/>
        <v>6.3000000000000007</v>
      </c>
      <c r="J51" s="833">
        <f t="shared" ca="1" si="152"/>
        <v>4.3725165337300078</v>
      </c>
      <c r="K51" s="833">
        <f t="shared" ca="1" si="153"/>
        <v>12.626978266542968</v>
      </c>
      <c r="L51" s="869">
        <f t="shared" ca="1" si="154"/>
        <v>8.3693161093435684</v>
      </c>
      <c r="M51" s="833">
        <f t="shared" ca="1" si="155"/>
        <v>6.0249872524029584</v>
      </c>
      <c r="N51" s="834">
        <f t="shared" ca="1" si="156"/>
        <v>0.31978796508192447</v>
      </c>
      <c r="O51" s="834">
        <f t="shared" ca="1" si="157"/>
        <v>0.57486705486647827</v>
      </c>
      <c r="P51" s="834">
        <f t="shared" ca="1" si="158"/>
        <v>5.9662390591944246E-2</v>
      </c>
      <c r="Q51" s="835"/>
      <c r="R51" s="836">
        <f t="shared" ca="1" si="1"/>
        <v>43433</v>
      </c>
      <c r="S51" s="837">
        <f t="shared" ca="1" si="266"/>
        <v>46.924999999999997</v>
      </c>
      <c r="T51" s="838">
        <f t="shared" ca="1" si="196"/>
        <v>0</v>
      </c>
      <c r="U51" s="838">
        <f t="shared" si="197"/>
        <v>0</v>
      </c>
      <c r="V51" s="838">
        <f t="shared" si="198"/>
        <v>0</v>
      </c>
      <c r="W51" s="838">
        <f t="shared" si="199"/>
        <v>0</v>
      </c>
      <c r="X51" s="838">
        <f t="shared" si="200"/>
        <v>1001.6681068537501</v>
      </c>
      <c r="Y51" s="838">
        <f t="shared" si="201"/>
        <v>0</v>
      </c>
      <c r="Z51" s="838">
        <f t="shared" ca="1" si="202"/>
        <v>1291.45</v>
      </c>
      <c r="AA51" s="838">
        <f t="shared" ca="1" si="203"/>
        <v>-530.77200000000005</v>
      </c>
      <c r="AB51" s="838">
        <f t="shared" ca="1" si="204"/>
        <v>2005.4361249999999</v>
      </c>
      <c r="AC51" s="838">
        <f t="shared" ca="1" si="205"/>
        <v>771.42399999999998</v>
      </c>
      <c r="AD51" s="838">
        <f t="shared" si="206"/>
        <v>220.101</v>
      </c>
      <c r="AE51" s="838">
        <f t="shared" ca="1" si="207"/>
        <v>295</v>
      </c>
      <c r="AF51" s="838">
        <f t="shared" ca="1" si="208"/>
        <v>387.83300000000003</v>
      </c>
      <c r="AG51" s="838">
        <f t="shared" ca="1" si="209"/>
        <v>482.25</v>
      </c>
      <c r="AH51" s="838">
        <f t="shared" ca="1" si="210"/>
        <v>44.344000000000001</v>
      </c>
      <c r="AI51" s="838">
        <f t="shared" ca="1" si="211"/>
        <v>107.2332072</v>
      </c>
      <c r="AJ51" s="838">
        <f t="shared" ca="1" si="212"/>
        <v>176.01765</v>
      </c>
      <c r="AK51" s="838">
        <f t="shared" ca="1" si="213"/>
        <v>260.81769250000002</v>
      </c>
      <c r="AL51" s="838">
        <f t="shared" ca="1" si="214"/>
        <v>356.86500000000001</v>
      </c>
      <c r="AM51" s="838">
        <f t="shared" ca="1" si="215"/>
        <v>-28.047000000000001</v>
      </c>
      <c r="AN51" s="838">
        <f t="shared" ca="1" si="216"/>
        <v>12.8</v>
      </c>
      <c r="AO51" s="838">
        <f t="shared" ca="1" si="217"/>
        <v>54.332999999999998</v>
      </c>
      <c r="AP51" s="838">
        <f t="shared" ca="1" si="218"/>
        <v>-56.433</v>
      </c>
      <c r="AQ51" s="838">
        <f t="shared" ca="1" si="219"/>
        <v>-17.13</v>
      </c>
      <c r="AR51" s="838">
        <f t="shared" ca="1" si="220"/>
        <v>0.46779999999999999</v>
      </c>
      <c r="AS51" s="838">
        <f t="shared" ca="1" si="221"/>
        <v>71.739999999999995</v>
      </c>
      <c r="AT51" s="838">
        <f t="shared" ca="1" si="222"/>
        <v>-38.78</v>
      </c>
      <c r="AU51" s="838">
        <f t="shared" ca="1" si="223"/>
        <v>-20.318000000000001</v>
      </c>
      <c r="AV51" s="838">
        <f t="shared" ca="1" si="224"/>
        <v>16.167000000000002</v>
      </c>
      <c r="AW51" s="837">
        <f t="shared" ca="1" si="225"/>
        <v>1.9400000000000001E-2</v>
      </c>
      <c r="AX51" s="837">
        <f t="shared" ca="1" si="226"/>
        <v>0.876</v>
      </c>
      <c r="AY51" s="837">
        <f t="shared" ca="1" si="227"/>
        <v>-0.17</v>
      </c>
      <c r="AZ51" s="837">
        <f t="shared" ca="1" si="228"/>
        <v>-0.127</v>
      </c>
      <c r="BA51" s="837">
        <f t="shared" ca="1" si="229"/>
        <v>0.47299999999999998</v>
      </c>
      <c r="BB51" s="839">
        <f t="shared" ca="1" si="230"/>
        <v>24.11340206185567</v>
      </c>
      <c r="BC51" s="839">
        <f t="shared" ca="1" si="231"/>
        <v>81.894977168949765</v>
      </c>
      <c r="BD51" s="839">
        <f t="shared" ca="1" si="232"/>
        <v>228.11764705882351</v>
      </c>
      <c r="BE51" s="839">
        <f t="shared" ca="1" si="233"/>
        <v>159.98425196850394</v>
      </c>
      <c r="BF51" s="839">
        <f t="shared" ca="1" si="234"/>
        <v>34.179704016913327</v>
      </c>
      <c r="BG51" s="838">
        <f t="shared" ca="1" si="235"/>
        <v>-46.024999999999999</v>
      </c>
      <c r="BH51" s="838">
        <f t="shared" ca="1" si="236"/>
        <v>-41.85</v>
      </c>
      <c r="BI51" s="838">
        <f t="shared" ca="1" si="237"/>
        <v>-12.05</v>
      </c>
      <c r="BJ51" s="838">
        <f t="shared" ca="1" si="238"/>
        <v>-15.55</v>
      </c>
      <c r="BK51" s="838">
        <f t="shared" ca="1" si="239"/>
        <v>-18.75</v>
      </c>
      <c r="BL51" s="838">
        <f t="shared" ca="1" si="240"/>
        <v>72.391000000000005</v>
      </c>
      <c r="BM51" s="838">
        <f t="shared" ca="1" si="241"/>
        <v>94.433207199999998</v>
      </c>
      <c r="BN51" s="838">
        <f t="shared" ca="1" si="242"/>
        <v>121.68465</v>
      </c>
      <c r="BO51" s="838">
        <f t="shared" ca="1" si="243"/>
        <v>317.25069250000001</v>
      </c>
      <c r="BP51" s="838">
        <f t="shared" ca="1" si="244"/>
        <v>373.995</v>
      </c>
      <c r="BQ51" s="837">
        <f t="shared" ca="1" si="245"/>
        <v>1.1128168448054725</v>
      </c>
      <c r="BR51" s="837">
        <f t="shared" ca="1" si="246"/>
        <v>1.5180809800278783</v>
      </c>
      <c r="BS51" s="837">
        <f t="shared" ca="1" si="247"/>
        <v>0.31060573749355341</v>
      </c>
      <c r="BT51" s="837">
        <f t="shared" ca="1" si="248"/>
        <v>1.7588149398316764</v>
      </c>
      <c r="BU51" s="837">
        <f t="shared" ca="1" si="249"/>
        <v>10.866448691779549</v>
      </c>
      <c r="BV51" s="838">
        <f t="shared" ca="1" si="250"/>
        <v>276.27525000000003</v>
      </c>
      <c r="BW51" s="838">
        <f t="shared" ca="1" si="251"/>
        <v>364.62475000000001</v>
      </c>
      <c r="BX51" s="838">
        <f t="shared" ca="1" si="252"/>
        <v>458.64575000000002</v>
      </c>
      <c r="BY51" s="838">
        <f t="shared" ca="1" si="253"/>
        <v>158.82153930000001</v>
      </c>
      <c r="BZ51" s="838">
        <f t="shared" ca="1" si="254"/>
        <v>239.61768187500002</v>
      </c>
      <c r="CA51" s="838">
        <f t="shared" ca="1" si="255"/>
        <v>332.85317312500001</v>
      </c>
      <c r="CB51" s="838">
        <f t="shared" ca="1" si="256"/>
        <v>43.949750000000002</v>
      </c>
      <c r="CC51" s="838">
        <f t="shared" ca="1" si="257"/>
        <v>-28.741500000000002</v>
      </c>
      <c r="CD51" s="838">
        <f t="shared" ca="1" si="258"/>
        <v>-26.955750000000002</v>
      </c>
      <c r="CE51" s="837">
        <f t="shared" ca="1" si="259"/>
        <v>9.1499999999999998E-2</v>
      </c>
      <c r="CF51" s="837">
        <f t="shared" ca="1" si="260"/>
        <v>-0.13775000000000001</v>
      </c>
      <c r="CG51" s="837">
        <f t="shared" ca="1" si="261"/>
        <v>0.32300000000000001</v>
      </c>
      <c r="CH51" s="837">
        <f t="shared" ca="1" si="262"/>
        <v>0.61247454812713464</v>
      </c>
      <c r="CI51" s="837">
        <f t="shared" ca="1" si="263"/>
        <v>1.3967626392471455</v>
      </c>
      <c r="CJ51" s="837">
        <f t="shared" ca="1" si="264"/>
        <v>8.5895402537925793</v>
      </c>
      <c r="CK51" s="840"/>
      <c r="CL51" s="841">
        <f>IF(CK51="",1,_xll.BDP(CK51&amp;" CURNCY","LAST PRICE"))</f>
        <v>1</v>
      </c>
      <c r="CM51" s="842">
        <v>1</v>
      </c>
      <c r="CN51" s="843">
        <f ca="1">_xll.BDH(B51&amp;" EQUITY","BS_SH_OUT",R51,R51,"EQY_FUND_PER="&amp;CT51,"days=a","fill=p")-10.2</f>
        <v>67.505600000000001</v>
      </c>
      <c r="CO51" s="844" t="str">
        <f>_xll.BDP(B51&amp;" EQUITY","EQY_FISCAL_YR_END")</f>
        <v>03/2018</v>
      </c>
      <c r="CP51" s="845">
        <f t="shared" si="190"/>
        <v>31</v>
      </c>
      <c r="CQ51" s="844">
        <f t="shared" si="191"/>
        <v>3</v>
      </c>
      <c r="CR51" s="844">
        <f t="shared" si="192"/>
        <v>2018</v>
      </c>
      <c r="CS51" s="836">
        <f t="shared" ca="1" si="193"/>
        <v>42825</v>
      </c>
      <c r="CT51" s="830" t="s">
        <v>866</v>
      </c>
      <c r="CU51" s="846">
        <f t="shared" ca="1" si="194"/>
        <v>0.25</v>
      </c>
      <c r="CV51" s="846">
        <f t="shared" ca="1" si="195"/>
        <v>0.75</v>
      </c>
      <c r="CW51" s="806"/>
    </row>
    <row r="52" spans="1:101" s="847" customFormat="1" ht="11.25" customHeight="1" x14ac:dyDescent="0.25">
      <c r="A52" s="806"/>
      <c r="B52" s="830" t="s">
        <v>805</v>
      </c>
      <c r="C52" s="816" t="str">
        <f>_xll.BDP($B52&amp;" EQUITY","Name")</f>
        <v>LIVERAMP HOLDINGS INC</v>
      </c>
      <c r="D52" s="816"/>
      <c r="E52" s="831">
        <f t="shared" ca="1" si="148"/>
        <v>44.545996655888551</v>
      </c>
      <c r="F52" s="832">
        <f t="shared" ca="1" si="149"/>
        <v>3007.1042318537502</v>
      </c>
      <c r="G52" s="832">
        <f t="shared" ca="1" si="150"/>
        <v>2005.4361249999999</v>
      </c>
      <c r="H52" s="833">
        <f t="shared" ca="1" si="151"/>
        <v>7.2588338079505847</v>
      </c>
      <c r="I52" s="896">
        <f t="shared" si="265"/>
        <v>6.5000000000000009</v>
      </c>
      <c r="J52" s="833">
        <f t="shared" ca="1" si="152"/>
        <v>4.3725165337300078</v>
      </c>
      <c r="K52" s="833">
        <f t="shared" ca="1" si="153"/>
        <v>12.626978266542968</v>
      </c>
      <c r="L52" s="833">
        <f t="shared" ca="1" si="154"/>
        <v>8.3693161093435684</v>
      </c>
      <c r="M52" s="869">
        <f t="shared" ca="1" si="155"/>
        <v>6.0249872524029584</v>
      </c>
      <c r="N52" s="834">
        <f t="shared" ca="1" si="156"/>
        <v>0.31978796508192447</v>
      </c>
      <c r="O52" s="834">
        <f t="shared" ca="1" si="157"/>
        <v>0.57486705486647827</v>
      </c>
      <c r="P52" s="834">
        <f t="shared" ca="1" si="158"/>
        <v>5.9662390591944246E-2</v>
      </c>
      <c r="Q52" s="835"/>
      <c r="R52" s="836">
        <f t="shared" ca="1" si="1"/>
        <v>43433</v>
      </c>
      <c r="S52" s="837">
        <f t="shared" ca="1" si="266"/>
        <v>46.924999999999997</v>
      </c>
      <c r="T52" s="838">
        <f t="shared" ca="1" si="196"/>
        <v>0</v>
      </c>
      <c r="U52" s="838">
        <f t="shared" si="197"/>
        <v>0</v>
      </c>
      <c r="V52" s="838">
        <f t="shared" si="198"/>
        <v>0</v>
      </c>
      <c r="W52" s="838">
        <f t="shared" si="199"/>
        <v>0</v>
      </c>
      <c r="X52" s="838">
        <f t="shared" si="200"/>
        <v>1001.6681068537501</v>
      </c>
      <c r="Y52" s="838">
        <f t="shared" si="201"/>
        <v>0</v>
      </c>
      <c r="Z52" s="838">
        <f t="shared" ca="1" si="202"/>
        <v>1291.45</v>
      </c>
      <c r="AA52" s="838">
        <f t="shared" ca="1" si="203"/>
        <v>-530.77200000000005</v>
      </c>
      <c r="AB52" s="838">
        <f t="shared" ca="1" si="204"/>
        <v>2005.4361249999999</v>
      </c>
      <c r="AC52" s="838">
        <f t="shared" ca="1" si="205"/>
        <v>771.42399999999998</v>
      </c>
      <c r="AD52" s="838">
        <f t="shared" si="206"/>
        <v>220.101</v>
      </c>
      <c r="AE52" s="838">
        <f t="shared" ca="1" si="207"/>
        <v>295</v>
      </c>
      <c r="AF52" s="838">
        <f t="shared" ca="1" si="208"/>
        <v>387.83300000000003</v>
      </c>
      <c r="AG52" s="838">
        <f t="shared" ca="1" si="209"/>
        <v>482.25</v>
      </c>
      <c r="AH52" s="838">
        <f t="shared" ca="1" si="210"/>
        <v>44.344000000000001</v>
      </c>
      <c r="AI52" s="838">
        <f t="shared" ca="1" si="211"/>
        <v>107.2332072</v>
      </c>
      <c r="AJ52" s="838">
        <f t="shared" ca="1" si="212"/>
        <v>176.01765</v>
      </c>
      <c r="AK52" s="838">
        <f t="shared" ca="1" si="213"/>
        <v>260.81769250000002</v>
      </c>
      <c r="AL52" s="838">
        <f t="shared" ca="1" si="214"/>
        <v>356.86500000000001</v>
      </c>
      <c r="AM52" s="838">
        <f t="shared" ca="1" si="215"/>
        <v>-28.047000000000001</v>
      </c>
      <c r="AN52" s="838">
        <f t="shared" ca="1" si="216"/>
        <v>12.8</v>
      </c>
      <c r="AO52" s="838">
        <f t="shared" ca="1" si="217"/>
        <v>54.332999999999998</v>
      </c>
      <c r="AP52" s="838">
        <f t="shared" ca="1" si="218"/>
        <v>-56.433</v>
      </c>
      <c r="AQ52" s="838">
        <f t="shared" ca="1" si="219"/>
        <v>-17.13</v>
      </c>
      <c r="AR52" s="838">
        <f t="shared" ca="1" si="220"/>
        <v>0.46779999999999999</v>
      </c>
      <c r="AS52" s="838">
        <f t="shared" ca="1" si="221"/>
        <v>71.739999999999995</v>
      </c>
      <c r="AT52" s="838">
        <f t="shared" ca="1" si="222"/>
        <v>-38.78</v>
      </c>
      <c r="AU52" s="838">
        <f t="shared" ca="1" si="223"/>
        <v>-20.318000000000001</v>
      </c>
      <c r="AV52" s="838">
        <f t="shared" ca="1" si="224"/>
        <v>16.167000000000002</v>
      </c>
      <c r="AW52" s="837">
        <f t="shared" ca="1" si="225"/>
        <v>1.9400000000000001E-2</v>
      </c>
      <c r="AX52" s="837">
        <f t="shared" ca="1" si="226"/>
        <v>0.876</v>
      </c>
      <c r="AY52" s="837">
        <f t="shared" ca="1" si="227"/>
        <v>-0.17</v>
      </c>
      <c r="AZ52" s="837">
        <f t="shared" ca="1" si="228"/>
        <v>-0.127</v>
      </c>
      <c r="BA52" s="837">
        <f t="shared" ca="1" si="229"/>
        <v>0.47299999999999998</v>
      </c>
      <c r="BB52" s="839">
        <f t="shared" ca="1" si="230"/>
        <v>24.11340206185567</v>
      </c>
      <c r="BC52" s="839">
        <f t="shared" ca="1" si="231"/>
        <v>81.894977168949765</v>
      </c>
      <c r="BD52" s="839">
        <f t="shared" ca="1" si="232"/>
        <v>228.11764705882351</v>
      </c>
      <c r="BE52" s="839">
        <f t="shared" ca="1" si="233"/>
        <v>159.98425196850394</v>
      </c>
      <c r="BF52" s="839">
        <f t="shared" ca="1" si="234"/>
        <v>34.179704016913327</v>
      </c>
      <c r="BG52" s="838">
        <f t="shared" ca="1" si="235"/>
        <v>-46.024999999999999</v>
      </c>
      <c r="BH52" s="838">
        <f t="shared" ca="1" si="236"/>
        <v>-41.85</v>
      </c>
      <c r="BI52" s="838">
        <f t="shared" ca="1" si="237"/>
        <v>-12.05</v>
      </c>
      <c r="BJ52" s="838">
        <f t="shared" ca="1" si="238"/>
        <v>-15.55</v>
      </c>
      <c r="BK52" s="838">
        <f t="shared" ca="1" si="239"/>
        <v>-18.75</v>
      </c>
      <c r="BL52" s="838">
        <f t="shared" ca="1" si="240"/>
        <v>72.391000000000005</v>
      </c>
      <c r="BM52" s="838">
        <f t="shared" ca="1" si="241"/>
        <v>94.433207199999998</v>
      </c>
      <c r="BN52" s="838">
        <f t="shared" ca="1" si="242"/>
        <v>121.68465</v>
      </c>
      <c r="BO52" s="838">
        <f t="shared" ca="1" si="243"/>
        <v>317.25069250000001</v>
      </c>
      <c r="BP52" s="838">
        <f t="shared" ca="1" si="244"/>
        <v>373.995</v>
      </c>
      <c r="BQ52" s="837">
        <f t="shared" ca="1" si="245"/>
        <v>1.1128168448054725</v>
      </c>
      <c r="BR52" s="837">
        <f t="shared" ca="1" si="246"/>
        <v>1.5180809800278783</v>
      </c>
      <c r="BS52" s="837">
        <f t="shared" ca="1" si="247"/>
        <v>0.31060573749355341</v>
      </c>
      <c r="BT52" s="837">
        <f t="shared" ca="1" si="248"/>
        <v>1.7588149398316764</v>
      </c>
      <c r="BU52" s="837">
        <f t="shared" ca="1" si="249"/>
        <v>10.866448691779549</v>
      </c>
      <c r="BV52" s="838">
        <f t="shared" ca="1" si="250"/>
        <v>276.27525000000003</v>
      </c>
      <c r="BW52" s="838">
        <f t="shared" ca="1" si="251"/>
        <v>364.62475000000001</v>
      </c>
      <c r="BX52" s="838">
        <f t="shared" ca="1" si="252"/>
        <v>458.64575000000002</v>
      </c>
      <c r="BY52" s="838">
        <f t="shared" ca="1" si="253"/>
        <v>158.82153930000001</v>
      </c>
      <c r="BZ52" s="838">
        <f t="shared" ca="1" si="254"/>
        <v>239.61768187500002</v>
      </c>
      <c r="CA52" s="838">
        <f t="shared" ca="1" si="255"/>
        <v>332.85317312500001</v>
      </c>
      <c r="CB52" s="838">
        <f t="shared" ca="1" si="256"/>
        <v>43.949750000000002</v>
      </c>
      <c r="CC52" s="838">
        <f t="shared" ca="1" si="257"/>
        <v>-28.741500000000002</v>
      </c>
      <c r="CD52" s="838">
        <f t="shared" ca="1" si="258"/>
        <v>-26.955750000000002</v>
      </c>
      <c r="CE52" s="837">
        <f t="shared" ca="1" si="259"/>
        <v>9.1499999999999998E-2</v>
      </c>
      <c r="CF52" s="837">
        <f t="shared" ca="1" si="260"/>
        <v>-0.13775000000000001</v>
      </c>
      <c r="CG52" s="837">
        <f t="shared" ca="1" si="261"/>
        <v>0.32300000000000001</v>
      </c>
      <c r="CH52" s="837">
        <f t="shared" ca="1" si="262"/>
        <v>0.61247454812713464</v>
      </c>
      <c r="CI52" s="837">
        <f t="shared" ca="1" si="263"/>
        <v>1.3967626392471455</v>
      </c>
      <c r="CJ52" s="837">
        <f t="shared" ca="1" si="264"/>
        <v>8.5895402537925793</v>
      </c>
      <c r="CK52" s="840"/>
      <c r="CL52" s="841">
        <f>IF(CK52="",1,_xll.BDP(CK52&amp;" CURNCY","LAST PRICE"))</f>
        <v>1</v>
      </c>
      <c r="CM52" s="842">
        <v>1</v>
      </c>
      <c r="CN52" s="843">
        <f ca="1">_xll.BDH(B52&amp;" EQUITY","BS_SH_OUT",R52,R52,"EQY_FUND_PER="&amp;CT52,"days=a","fill=p")-10.2</f>
        <v>67.505600000000001</v>
      </c>
      <c r="CO52" s="844" t="str">
        <f>_xll.BDP(B52&amp;" EQUITY","EQY_FISCAL_YR_END")</f>
        <v>03/2018</v>
      </c>
      <c r="CP52" s="845">
        <f t="shared" si="190"/>
        <v>31</v>
      </c>
      <c r="CQ52" s="844">
        <f t="shared" si="191"/>
        <v>3</v>
      </c>
      <c r="CR52" s="844">
        <f t="shared" si="192"/>
        <v>2018</v>
      </c>
      <c r="CS52" s="836">
        <f t="shared" ca="1" si="193"/>
        <v>42825</v>
      </c>
      <c r="CT52" s="830" t="s">
        <v>866</v>
      </c>
      <c r="CU52" s="846">
        <f t="shared" ca="1" si="194"/>
        <v>0.25</v>
      </c>
      <c r="CV52" s="846">
        <f t="shared" ca="1" si="195"/>
        <v>0.75</v>
      </c>
      <c r="CW52" s="806"/>
    </row>
    <row r="53" spans="1:101" s="847" customFormat="1" ht="11.25" customHeight="1" x14ac:dyDescent="0.25">
      <c r="A53" s="806"/>
      <c r="B53" s="830" t="s">
        <v>805</v>
      </c>
      <c r="C53" s="816" t="str">
        <f>_xll.BDP($B53&amp;" EQUITY","Name")</f>
        <v>LIVERAMP HOLDINGS INC</v>
      </c>
      <c r="D53" s="816"/>
      <c r="E53" s="831">
        <f t="shared" ca="1" si="148"/>
        <v>44.545996655888551</v>
      </c>
      <c r="F53" s="832">
        <f t="shared" ca="1" si="149"/>
        <v>3007.1042318537502</v>
      </c>
      <c r="G53" s="832">
        <f t="shared" ca="1" si="150"/>
        <v>2005.4361249999999</v>
      </c>
      <c r="H53" s="869">
        <f t="shared" ca="1" si="151"/>
        <v>7.2588338079505847</v>
      </c>
      <c r="I53" s="869">
        <f t="shared" si="265"/>
        <v>6.7000000000000011</v>
      </c>
      <c r="J53" s="833">
        <f t="shared" ca="1" si="152"/>
        <v>4.3725165337300078</v>
      </c>
      <c r="K53" s="833">
        <f t="shared" ca="1" si="153"/>
        <v>12.626978266542968</v>
      </c>
      <c r="L53" s="833">
        <f t="shared" ca="1" si="154"/>
        <v>8.3693161093435684</v>
      </c>
      <c r="M53" s="869">
        <f t="shared" ca="1" si="155"/>
        <v>6.0249872524029584</v>
      </c>
      <c r="N53" s="834">
        <f t="shared" ca="1" si="156"/>
        <v>0.31978796508192447</v>
      </c>
      <c r="O53" s="834">
        <f t="shared" ca="1" si="157"/>
        <v>0.57486705486647827</v>
      </c>
      <c r="P53" s="834">
        <f t="shared" ca="1" si="158"/>
        <v>5.9662390591944246E-2</v>
      </c>
      <c r="Q53" s="835"/>
      <c r="R53" s="836">
        <f t="shared" ca="1" si="1"/>
        <v>43433</v>
      </c>
      <c r="S53" s="837">
        <f t="shared" ca="1" si="266"/>
        <v>46.924999999999997</v>
      </c>
      <c r="T53" s="838">
        <f t="shared" ca="1" si="196"/>
        <v>0</v>
      </c>
      <c r="U53" s="838">
        <f t="shared" si="197"/>
        <v>0</v>
      </c>
      <c r="V53" s="838">
        <f t="shared" si="198"/>
        <v>0</v>
      </c>
      <c r="W53" s="838">
        <f t="shared" si="199"/>
        <v>0</v>
      </c>
      <c r="X53" s="838">
        <f t="shared" si="200"/>
        <v>1001.6681068537501</v>
      </c>
      <c r="Y53" s="838">
        <f t="shared" si="201"/>
        <v>0</v>
      </c>
      <c r="Z53" s="838">
        <f t="shared" ca="1" si="202"/>
        <v>1291.45</v>
      </c>
      <c r="AA53" s="838">
        <f t="shared" ca="1" si="203"/>
        <v>-530.77200000000005</v>
      </c>
      <c r="AB53" s="838">
        <f t="shared" ca="1" si="204"/>
        <v>2005.4361249999999</v>
      </c>
      <c r="AC53" s="838">
        <f t="shared" ca="1" si="205"/>
        <v>771.42399999999998</v>
      </c>
      <c r="AD53" s="838">
        <f t="shared" si="206"/>
        <v>220.101</v>
      </c>
      <c r="AE53" s="838">
        <f t="shared" ca="1" si="207"/>
        <v>295</v>
      </c>
      <c r="AF53" s="838">
        <f t="shared" ca="1" si="208"/>
        <v>387.83300000000003</v>
      </c>
      <c r="AG53" s="838">
        <f t="shared" ca="1" si="209"/>
        <v>482.25</v>
      </c>
      <c r="AH53" s="838">
        <f t="shared" ca="1" si="210"/>
        <v>44.344000000000001</v>
      </c>
      <c r="AI53" s="838">
        <f t="shared" ca="1" si="211"/>
        <v>107.2332072</v>
      </c>
      <c r="AJ53" s="838">
        <f t="shared" ca="1" si="212"/>
        <v>176.01765</v>
      </c>
      <c r="AK53" s="838">
        <f t="shared" ca="1" si="213"/>
        <v>260.81769250000002</v>
      </c>
      <c r="AL53" s="838">
        <f t="shared" ca="1" si="214"/>
        <v>356.86500000000001</v>
      </c>
      <c r="AM53" s="838">
        <f t="shared" ca="1" si="215"/>
        <v>-28.047000000000001</v>
      </c>
      <c r="AN53" s="838">
        <f t="shared" ca="1" si="216"/>
        <v>12.8</v>
      </c>
      <c r="AO53" s="838">
        <f t="shared" ca="1" si="217"/>
        <v>54.332999999999998</v>
      </c>
      <c r="AP53" s="838">
        <f t="shared" ca="1" si="218"/>
        <v>-56.433</v>
      </c>
      <c r="AQ53" s="838">
        <f t="shared" ca="1" si="219"/>
        <v>-17.13</v>
      </c>
      <c r="AR53" s="838">
        <f t="shared" ca="1" si="220"/>
        <v>0.46779999999999999</v>
      </c>
      <c r="AS53" s="838">
        <f t="shared" ca="1" si="221"/>
        <v>71.739999999999995</v>
      </c>
      <c r="AT53" s="838">
        <f t="shared" ca="1" si="222"/>
        <v>-38.78</v>
      </c>
      <c r="AU53" s="838">
        <f t="shared" ca="1" si="223"/>
        <v>-20.318000000000001</v>
      </c>
      <c r="AV53" s="838">
        <f t="shared" ca="1" si="224"/>
        <v>16.167000000000002</v>
      </c>
      <c r="AW53" s="837">
        <f t="shared" ca="1" si="225"/>
        <v>1.9400000000000001E-2</v>
      </c>
      <c r="AX53" s="837">
        <f t="shared" ca="1" si="226"/>
        <v>0.876</v>
      </c>
      <c r="AY53" s="837">
        <f t="shared" ca="1" si="227"/>
        <v>-0.17</v>
      </c>
      <c r="AZ53" s="837">
        <f t="shared" ca="1" si="228"/>
        <v>-0.127</v>
      </c>
      <c r="BA53" s="837">
        <f t="shared" ca="1" si="229"/>
        <v>0.47299999999999998</v>
      </c>
      <c r="BB53" s="839">
        <f t="shared" ca="1" si="230"/>
        <v>24.11340206185567</v>
      </c>
      <c r="BC53" s="839">
        <f t="shared" ca="1" si="231"/>
        <v>81.894977168949765</v>
      </c>
      <c r="BD53" s="839">
        <f t="shared" ca="1" si="232"/>
        <v>228.11764705882351</v>
      </c>
      <c r="BE53" s="839">
        <f t="shared" ca="1" si="233"/>
        <v>159.98425196850394</v>
      </c>
      <c r="BF53" s="839">
        <f t="shared" ca="1" si="234"/>
        <v>34.179704016913327</v>
      </c>
      <c r="BG53" s="838">
        <f t="shared" ca="1" si="235"/>
        <v>-46.024999999999999</v>
      </c>
      <c r="BH53" s="838">
        <f t="shared" ca="1" si="236"/>
        <v>-41.85</v>
      </c>
      <c r="BI53" s="838">
        <f t="shared" ca="1" si="237"/>
        <v>-12.05</v>
      </c>
      <c r="BJ53" s="838">
        <f t="shared" ca="1" si="238"/>
        <v>-15.55</v>
      </c>
      <c r="BK53" s="838">
        <f t="shared" ca="1" si="239"/>
        <v>-18.75</v>
      </c>
      <c r="BL53" s="838">
        <f t="shared" ca="1" si="240"/>
        <v>72.391000000000005</v>
      </c>
      <c r="BM53" s="838">
        <f t="shared" ca="1" si="241"/>
        <v>94.433207199999998</v>
      </c>
      <c r="BN53" s="838">
        <f t="shared" ca="1" si="242"/>
        <v>121.68465</v>
      </c>
      <c r="BO53" s="838">
        <f t="shared" ca="1" si="243"/>
        <v>317.25069250000001</v>
      </c>
      <c r="BP53" s="838">
        <f t="shared" ca="1" si="244"/>
        <v>373.995</v>
      </c>
      <c r="BQ53" s="837">
        <f t="shared" ca="1" si="245"/>
        <v>1.1128168448054725</v>
      </c>
      <c r="BR53" s="837">
        <f t="shared" ca="1" si="246"/>
        <v>1.5180809800278783</v>
      </c>
      <c r="BS53" s="837">
        <f t="shared" ca="1" si="247"/>
        <v>0.31060573749355341</v>
      </c>
      <c r="BT53" s="837">
        <f t="shared" ca="1" si="248"/>
        <v>1.7588149398316764</v>
      </c>
      <c r="BU53" s="837">
        <f t="shared" ca="1" si="249"/>
        <v>10.866448691779549</v>
      </c>
      <c r="BV53" s="838">
        <f t="shared" ca="1" si="250"/>
        <v>276.27525000000003</v>
      </c>
      <c r="BW53" s="838">
        <f t="shared" ca="1" si="251"/>
        <v>364.62475000000001</v>
      </c>
      <c r="BX53" s="838">
        <f t="shared" ca="1" si="252"/>
        <v>458.64575000000002</v>
      </c>
      <c r="BY53" s="838">
        <f t="shared" ca="1" si="253"/>
        <v>158.82153930000001</v>
      </c>
      <c r="BZ53" s="838">
        <f t="shared" ca="1" si="254"/>
        <v>239.61768187500002</v>
      </c>
      <c r="CA53" s="838">
        <f t="shared" ca="1" si="255"/>
        <v>332.85317312500001</v>
      </c>
      <c r="CB53" s="838">
        <f t="shared" ca="1" si="256"/>
        <v>43.949750000000002</v>
      </c>
      <c r="CC53" s="838">
        <f t="shared" ca="1" si="257"/>
        <v>-28.741500000000002</v>
      </c>
      <c r="CD53" s="838">
        <f t="shared" ca="1" si="258"/>
        <v>-26.955750000000002</v>
      </c>
      <c r="CE53" s="837">
        <f t="shared" ca="1" si="259"/>
        <v>9.1499999999999998E-2</v>
      </c>
      <c r="CF53" s="837">
        <f t="shared" ca="1" si="260"/>
        <v>-0.13775000000000001</v>
      </c>
      <c r="CG53" s="837">
        <f t="shared" ca="1" si="261"/>
        <v>0.32300000000000001</v>
      </c>
      <c r="CH53" s="837">
        <f t="shared" ca="1" si="262"/>
        <v>0.61247454812713464</v>
      </c>
      <c r="CI53" s="837">
        <f t="shared" ca="1" si="263"/>
        <v>1.3967626392471455</v>
      </c>
      <c r="CJ53" s="837">
        <f t="shared" ca="1" si="264"/>
        <v>8.5895402537925793</v>
      </c>
      <c r="CK53" s="840"/>
      <c r="CL53" s="841">
        <f>IF(CK53="",1,_xll.BDP(CK53&amp;" CURNCY","LAST PRICE"))</f>
        <v>1</v>
      </c>
      <c r="CM53" s="842">
        <v>1</v>
      </c>
      <c r="CN53" s="843">
        <f ca="1">_xll.BDH(B53&amp;" EQUITY","BS_SH_OUT",R53,R53,"EQY_FUND_PER="&amp;CT53,"days=a","fill=p")-10.2</f>
        <v>67.505600000000001</v>
      </c>
      <c r="CO53" s="844" t="str">
        <f>_xll.BDP(B53&amp;" EQUITY","EQY_FISCAL_YR_END")</f>
        <v>03/2018</v>
      </c>
      <c r="CP53" s="845">
        <f t="shared" si="190"/>
        <v>31</v>
      </c>
      <c r="CQ53" s="844">
        <f t="shared" si="191"/>
        <v>3</v>
      </c>
      <c r="CR53" s="844">
        <f t="shared" si="192"/>
        <v>2018</v>
      </c>
      <c r="CS53" s="836">
        <f t="shared" ca="1" si="193"/>
        <v>42825</v>
      </c>
      <c r="CT53" s="830" t="s">
        <v>866</v>
      </c>
      <c r="CU53" s="846">
        <f t="shared" ca="1" si="194"/>
        <v>0.25</v>
      </c>
      <c r="CV53" s="846">
        <f t="shared" ca="1" si="195"/>
        <v>0.75</v>
      </c>
      <c r="CW53" s="806"/>
    </row>
    <row r="54" spans="1:101" s="847" customFormat="1" ht="11.25" customHeight="1" x14ac:dyDescent="0.25">
      <c r="A54" s="806"/>
      <c r="B54" s="830" t="s">
        <v>805</v>
      </c>
      <c r="C54" s="816" t="str">
        <f>_xll.BDP($B54&amp;" EQUITY","Name")</f>
        <v>LIVERAMP HOLDINGS INC</v>
      </c>
      <c r="D54" s="816"/>
      <c r="E54" s="831">
        <f t="shared" ca="1" si="148"/>
        <v>44.545996655888551</v>
      </c>
      <c r="F54" s="832">
        <f t="shared" ca="1" si="149"/>
        <v>3007.1042318537502</v>
      </c>
      <c r="G54" s="832">
        <f t="shared" ca="1" si="150"/>
        <v>2005.4361249999999</v>
      </c>
      <c r="H54" s="869">
        <f t="shared" ca="1" si="151"/>
        <v>7.2588338079505847</v>
      </c>
      <c r="I54" s="869">
        <f t="shared" si="265"/>
        <v>6.9000000000000012</v>
      </c>
      <c r="J54" s="833">
        <f t="shared" ca="1" si="152"/>
        <v>4.3725165337300078</v>
      </c>
      <c r="K54" s="833">
        <f t="shared" ca="1" si="153"/>
        <v>12.626978266542968</v>
      </c>
      <c r="L54" s="833">
        <f t="shared" ca="1" si="154"/>
        <v>8.3693161093435684</v>
      </c>
      <c r="M54" s="869">
        <f t="shared" ca="1" si="155"/>
        <v>6.0249872524029584</v>
      </c>
      <c r="N54" s="834">
        <f t="shared" ca="1" si="156"/>
        <v>0.31978796508192447</v>
      </c>
      <c r="O54" s="834">
        <f t="shared" ca="1" si="157"/>
        <v>0.57486705486647827</v>
      </c>
      <c r="P54" s="834">
        <f t="shared" ca="1" si="158"/>
        <v>5.9662390591944246E-2</v>
      </c>
      <c r="Q54" s="835"/>
      <c r="R54" s="836">
        <f t="shared" ca="1" si="1"/>
        <v>43433</v>
      </c>
      <c r="S54" s="837">
        <f t="shared" ca="1" si="266"/>
        <v>46.924999999999997</v>
      </c>
      <c r="T54" s="838">
        <f t="shared" ca="1" si="196"/>
        <v>0</v>
      </c>
      <c r="U54" s="838">
        <f t="shared" si="197"/>
        <v>0</v>
      </c>
      <c r="V54" s="838">
        <f t="shared" si="198"/>
        <v>0</v>
      </c>
      <c r="W54" s="838">
        <f t="shared" si="199"/>
        <v>0</v>
      </c>
      <c r="X54" s="838">
        <f t="shared" si="200"/>
        <v>1001.6681068537501</v>
      </c>
      <c r="Y54" s="838">
        <f t="shared" si="201"/>
        <v>0</v>
      </c>
      <c r="Z54" s="838">
        <f t="shared" ca="1" si="202"/>
        <v>1291.45</v>
      </c>
      <c r="AA54" s="838">
        <f t="shared" ca="1" si="203"/>
        <v>-530.77200000000005</v>
      </c>
      <c r="AB54" s="838">
        <f t="shared" ca="1" si="204"/>
        <v>2005.4361249999999</v>
      </c>
      <c r="AC54" s="838">
        <f t="shared" ca="1" si="205"/>
        <v>771.42399999999998</v>
      </c>
      <c r="AD54" s="838">
        <f t="shared" si="206"/>
        <v>220.101</v>
      </c>
      <c r="AE54" s="838">
        <f t="shared" ca="1" si="207"/>
        <v>295</v>
      </c>
      <c r="AF54" s="838">
        <f t="shared" ca="1" si="208"/>
        <v>387.83300000000003</v>
      </c>
      <c r="AG54" s="838">
        <f t="shared" ca="1" si="209"/>
        <v>482.25</v>
      </c>
      <c r="AH54" s="838">
        <f t="shared" ca="1" si="210"/>
        <v>44.344000000000001</v>
      </c>
      <c r="AI54" s="838">
        <f t="shared" ca="1" si="211"/>
        <v>107.2332072</v>
      </c>
      <c r="AJ54" s="838">
        <f t="shared" ca="1" si="212"/>
        <v>176.01765</v>
      </c>
      <c r="AK54" s="838">
        <f t="shared" ca="1" si="213"/>
        <v>260.81769250000002</v>
      </c>
      <c r="AL54" s="838">
        <f t="shared" ca="1" si="214"/>
        <v>356.86500000000001</v>
      </c>
      <c r="AM54" s="838">
        <f t="shared" ca="1" si="215"/>
        <v>-28.047000000000001</v>
      </c>
      <c r="AN54" s="838">
        <f t="shared" ca="1" si="216"/>
        <v>12.8</v>
      </c>
      <c r="AO54" s="838">
        <f t="shared" ca="1" si="217"/>
        <v>54.332999999999998</v>
      </c>
      <c r="AP54" s="838">
        <f t="shared" ca="1" si="218"/>
        <v>-56.433</v>
      </c>
      <c r="AQ54" s="838">
        <f t="shared" ca="1" si="219"/>
        <v>-17.13</v>
      </c>
      <c r="AR54" s="838">
        <f t="shared" ca="1" si="220"/>
        <v>0.46779999999999999</v>
      </c>
      <c r="AS54" s="838">
        <f t="shared" ca="1" si="221"/>
        <v>71.739999999999995</v>
      </c>
      <c r="AT54" s="838">
        <f t="shared" ca="1" si="222"/>
        <v>-38.78</v>
      </c>
      <c r="AU54" s="838">
        <f t="shared" ca="1" si="223"/>
        <v>-20.318000000000001</v>
      </c>
      <c r="AV54" s="838">
        <f t="shared" ca="1" si="224"/>
        <v>16.167000000000002</v>
      </c>
      <c r="AW54" s="837">
        <f t="shared" ca="1" si="225"/>
        <v>1.9400000000000001E-2</v>
      </c>
      <c r="AX54" s="837">
        <f t="shared" ca="1" si="226"/>
        <v>0.876</v>
      </c>
      <c r="AY54" s="837">
        <f t="shared" ca="1" si="227"/>
        <v>-0.17</v>
      </c>
      <c r="AZ54" s="837">
        <f t="shared" ca="1" si="228"/>
        <v>-0.127</v>
      </c>
      <c r="BA54" s="837">
        <f t="shared" ca="1" si="229"/>
        <v>0.47299999999999998</v>
      </c>
      <c r="BB54" s="839">
        <f t="shared" ca="1" si="230"/>
        <v>24.11340206185567</v>
      </c>
      <c r="BC54" s="839">
        <f t="shared" ca="1" si="231"/>
        <v>81.894977168949765</v>
      </c>
      <c r="BD54" s="839">
        <f t="shared" ca="1" si="232"/>
        <v>228.11764705882351</v>
      </c>
      <c r="BE54" s="839">
        <f t="shared" ca="1" si="233"/>
        <v>159.98425196850394</v>
      </c>
      <c r="BF54" s="839">
        <f t="shared" ca="1" si="234"/>
        <v>34.179704016913327</v>
      </c>
      <c r="BG54" s="838">
        <f t="shared" ca="1" si="235"/>
        <v>-46.024999999999999</v>
      </c>
      <c r="BH54" s="838">
        <f t="shared" ca="1" si="236"/>
        <v>-41.85</v>
      </c>
      <c r="BI54" s="838">
        <f t="shared" ca="1" si="237"/>
        <v>-12.05</v>
      </c>
      <c r="BJ54" s="838">
        <f t="shared" ca="1" si="238"/>
        <v>-15.55</v>
      </c>
      <c r="BK54" s="838">
        <f t="shared" ca="1" si="239"/>
        <v>-18.75</v>
      </c>
      <c r="BL54" s="838">
        <f t="shared" ca="1" si="240"/>
        <v>72.391000000000005</v>
      </c>
      <c r="BM54" s="838">
        <f t="shared" ca="1" si="241"/>
        <v>94.433207199999998</v>
      </c>
      <c r="BN54" s="838">
        <f t="shared" ca="1" si="242"/>
        <v>121.68465</v>
      </c>
      <c r="BO54" s="838">
        <f t="shared" ca="1" si="243"/>
        <v>317.25069250000001</v>
      </c>
      <c r="BP54" s="838">
        <f t="shared" ca="1" si="244"/>
        <v>373.995</v>
      </c>
      <c r="BQ54" s="837">
        <f t="shared" ca="1" si="245"/>
        <v>1.1128168448054725</v>
      </c>
      <c r="BR54" s="837">
        <f t="shared" ca="1" si="246"/>
        <v>1.5180809800278783</v>
      </c>
      <c r="BS54" s="837">
        <f t="shared" ca="1" si="247"/>
        <v>0.31060573749355341</v>
      </c>
      <c r="BT54" s="837">
        <f t="shared" ca="1" si="248"/>
        <v>1.7588149398316764</v>
      </c>
      <c r="BU54" s="837">
        <f t="shared" ca="1" si="249"/>
        <v>10.866448691779549</v>
      </c>
      <c r="BV54" s="838">
        <f t="shared" ca="1" si="250"/>
        <v>276.27525000000003</v>
      </c>
      <c r="BW54" s="838">
        <f t="shared" ca="1" si="251"/>
        <v>364.62475000000001</v>
      </c>
      <c r="BX54" s="838">
        <f t="shared" ca="1" si="252"/>
        <v>458.64575000000002</v>
      </c>
      <c r="BY54" s="838">
        <f t="shared" ca="1" si="253"/>
        <v>158.82153930000001</v>
      </c>
      <c r="BZ54" s="838">
        <f t="shared" ca="1" si="254"/>
        <v>239.61768187500002</v>
      </c>
      <c r="CA54" s="838">
        <f t="shared" ca="1" si="255"/>
        <v>332.85317312500001</v>
      </c>
      <c r="CB54" s="838">
        <f t="shared" ca="1" si="256"/>
        <v>43.949750000000002</v>
      </c>
      <c r="CC54" s="838">
        <f t="shared" ca="1" si="257"/>
        <v>-28.741500000000002</v>
      </c>
      <c r="CD54" s="838">
        <f t="shared" ca="1" si="258"/>
        <v>-26.955750000000002</v>
      </c>
      <c r="CE54" s="837">
        <f t="shared" ca="1" si="259"/>
        <v>9.1499999999999998E-2</v>
      </c>
      <c r="CF54" s="837">
        <f t="shared" ca="1" si="260"/>
        <v>-0.13775000000000001</v>
      </c>
      <c r="CG54" s="837">
        <f t="shared" ca="1" si="261"/>
        <v>0.32300000000000001</v>
      </c>
      <c r="CH54" s="837">
        <f t="shared" ca="1" si="262"/>
        <v>0.61247454812713464</v>
      </c>
      <c r="CI54" s="837">
        <f t="shared" ca="1" si="263"/>
        <v>1.3967626392471455</v>
      </c>
      <c r="CJ54" s="837">
        <f t="shared" ca="1" si="264"/>
        <v>8.5895402537925793</v>
      </c>
      <c r="CK54" s="840"/>
      <c r="CL54" s="841">
        <f>IF(CK54="",1,_xll.BDP(CK54&amp;" CURNCY","LAST PRICE"))</f>
        <v>1</v>
      </c>
      <c r="CM54" s="842">
        <v>1</v>
      </c>
      <c r="CN54" s="843">
        <f ca="1">_xll.BDH(B54&amp;" EQUITY","BS_SH_OUT",R54,R54,"EQY_FUND_PER="&amp;CT54,"days=a","fill=p")-10.2</f>
        <v>67.505600000000001</v>
      </c>
      <c r="CO54" s="844" t="str">
        <f>_xll.BDP(B54&amp;" EQUITY","EQY_FISCAL_YR_END")</f>
        <v>03/2018</v>
      </c>
      <c r="CP54" s="845">
        <f t="shared" si="190"/>
        <v>31</v>
      </c>
      <c r="CQ54" s="844">
        <f t="shared" si="191"/>
        <v>3</v>
      </c>
      <c r="CR54" s="844">
        <f t="shared" si="192"/>
        <v>2018</v>
      </c>
      <c r="CS54" s="836">
        <f t="shared" ca="1" si="193"/>
        <v>42825</v>
      </c>
      <c r="CT54" s="830" t="s">
        <v>866</v>
      </c>
      <c r="CU54" s="846">
        <f t="shared" ca="1" si="194"/>
        <v>0.25</v>
      </c>
      <c r="CV54" s="846">
        <f t="shared" ca="1" si="195"/>
        <v>0.75</v>
      </c>
      <c r="CW54" s="806"/>
    </row>
    <row r="55" spans="1:101" s="847" customFormat="1" ht="11.25" customHeight="1" x14ac:dyDescent="0.25">
      <c r="A55" s="806"/>
      <c r="B55" s="830" t="s">
        <v>805</v>
      </c>
      <c r="C55" s="816" t="str">
        <f>_xll.BDP($B55&amp;" EQUITY","Name")</f>
        <v>LIVERAMP HOLDINGS INC</v>
      </c>
      <c r="D55" s="816"/>
      <c r="E55" s="831">
        <f t="shared" ca="1" si="148"/>
        <v>44.545996655888551</v>
      </c>
      <c r="F55" s="832">
        <f t="shared" ca="1" si="149"/>
        <v>3007.1042318537502</v>
      </c>
      <c r="G55" s="832">
        <f t="shared" ca="1" si="150"/>
        <v>2005.4361249999999</v>
      </c>
      <c r="H55" s="869">
        <f t="shared" ca="1" si="151"/>
        <v>7.2588338079505847</v>
      </c>
      <c r="I55" s="869">
        <f t="shared" si="265"/>
        <v>7.1000000000000014</v>
      </c>
      <c r="J55" s="869">
        <f t="shared" ca="1" si="152"/>
        <v>4.3725165337300078</v>
      </c>
      <c r="K55" s="833">
        <f t="shared" ca="1" si="153"/>
        <v>12.626978266542968</v>
      </c>
      <c r="L55" s="833">
        <f t="shared" ca="1" si="154"/>
        <v>8.3693161093435684</v>
      </c>
      <c r="M55" s="869">
        <f t="shared" ca="1" si="155"/>
        <v>6.0249872524029584</v>
      </c>
      <c r="N55" s="834">
        <f t="shared" ca="1" si="156"/>
        <v>0.31978796508192447</v>
      </c>
      <c r="O55" s="834">
        <f t="shared" ca="1" si="157"/>
        <v>0.57486705486647827</v>
      </c>
      <c r="P55" s="834">
        <f t="shared" ca="1" si="158"/>
        <v>5.9662390591944246E-2</v>
      </c>
      <c r="Q55" s="835"/>
      <c r="R55" s="836">
        <f t="shared" ca="1" si="1"/>
        <v>43433</v>
      </c>
      <c r="S55" s="837">
        <f t="shared" ca="1" si="266"/>
        <v>46.924999999999997</v>
      </c>
      <c r="T55" s="838">
        <f t="shared" ca="1" si="196"/>
        <v>0</v>
      </c>
      <c r="U55" s="838">
        <f t="shared" si="197"/>
        <v>0</v>
      </c>
      <c r="V55" s="838">
        <f t="shared" si="198"/>
        <v>0</v>
      </c>
      <c r="W55" s="838">
        <f t="shared" si="199"/>
        <v>0</v>
      </c>
      <c r="X55" s="838">
        <f t="shared" si="200"/>
        <v>1001.6681068537501</v>
      </c>
      <c r="Y55" s="838">
        <f t="shared" si="201"/>
        <v>0</v>
      </c>
      <c r="Z55" s="838">
        <f t="shared" ca="1" si="202"/>
        <v>1291.45</v>
      </c>
      <c r="AA55" s="838">
        <f t="shared" ca="1" si="203"/>
        <v>-530.77200000000005</v>
      </c>
      <c r="AB55" s="838">
        <f t="shared" ca="1" si="204"/>
        <v>2005.4361249999999</v>
      </c>
      <c r="AC55" s="838">
        <f t="shared" ca="1" si="205"/>
        <v>771.42399999999998</v>
      </c>
      <c r="AD55" s="838">
        <f t="shared" si="206"/>
        <v>220.101</v>
      </c>
      <c r="AE55" s="838">
        <f t="shared" ca="1" si="207"/>
        <v>295</v>
      </c>
      <c r="AF55" s="838">
        <f t="shared" ca="1" si="208"/>
        <v>387.83300000000003</v>
      </c>
      <c r="AG55" s="838">
        <f t="shared" ca="1" si="209"/>
        <v>482.25</v>
      </c>
      <c r="AH55" s="838">
        <f t="shared" ca="1" si="210"/>
        <v>44.344000000000001</v>
      </c>
      <c r="AI55" s="838">
        <f t="shared" ca="1" si="211"/>
        <v>107.2332072</v>
      </c>
      <c r="AJ55" s="838">
        <f t="shared" ca="1" si="212"/>
        <v>176.01765</v>
      </c>
      <c r="AK55" s="838">
        <f t="shared" ca="1" si="213"/>
        <v>260.81769250000002</v>
      </c>
      <c r="AL55" s="838">
        <f t="shared" ca="1" si="214"/>
        <v>356.86500000000001</v>
      </c>
      <c r="AM55" s="838">
        <f t="shared" ca="1" si="215"/>
        <v>-28.047000000000001</v>
      </c>
      <c r="AN55" s="838">
        <f t="shared" ca="1" si="216"/>
        <v>12.8</v>
      </c>
      <c r="AO55" s="838">
        <f t="shared" ca="1" si="217"/>
        <v>54.332999999999998</v>
      </c>
      <c r="AP55" s="838">
        <f t="shared" ca="1" si="218"/>
        <v>-56.433</v>
      </c>
      <c r="AQ55" s="838">
        <f t="shared" ca="1" si="219"/>
        <v>-17.13</v>
      </c>
      <c r="AR55" s="838">
        <f t="shared" ca="1" si="220"/>
        <v>0.46779999999999999</v>
      </c>
      <c r="AS55" s="838">
        <f t="shared" ca="1" si="221"/>
        <v>71.739999999999995</v>
      </c>
      <c r="AT55" s="838">
        <f t="shared" ca="1" si="222"/>
        <v>-38.78</v>
      </c>
      <c r="AU55" s="838">
        <f t="shared" ca="1" si="223"/>
        <v>-20.318000000000001</v>
      </c>
      <c r="AV55" s="838">
        <f t="shared" ca="1" si="224"/>
        <v>16.167000000000002</v>
      </c>
      <c r="AW55" s="837">
        <f t="shared" ca="1" si="225"/>
        <v>1.9400000000000001E-2</v>
      </c>
      <c r="AX55" s="837">
        <f t="shared" ca="1" si="226"/>
        <v>0.876</v>
      </c>
      <c r="AY55" s="837">
        <f t="shared" ca="1" si="227"/>
        <v>-0.17</v>
      </c>
      <c r="AZ55" s="837">
        <f t="shared" ca="1" si="228"/>
        <v>-0.127</v>
      </c>
      <c r="BA55" s="837">
        <f t="shared" ca="1" si="229"/>
        <v>0.47299999999999998</v>
      </c>
      <c r="BB55" s="839">
        <f t="shared" ca="1" si="230"/>
        <v>24.11340206185567</v>
      </c>
      <c r="BC55" s="839">
        <f t="shared" ca="1" si="231"/>
        <v>81.894977168949765</v>
      </c>
      <c r="BD55" s="839">
        <f t="shared" ca="1" si="232"/>
        <v>228.11764705882351</v>
      </c>
      <c r="BE55" s="839">
        <f t="shared" ca="1" si="233"/>
        <v>159.98425196850394</v>
      </c>
      <c r="BF55" s="839">
        <f t="shared" ca="1" si="234"/>
        <v>34.179704016913327</v>
      </c>
      <c r="BG55" s="838">
        <f t="shared" ca="1" si="235"/>
        <v>-46.024999999999999</v>
      </c>
      <c r="BH55" s="838">
        <f t="shared" ca="1" si="236"/>
        <v>-41.85</v>
      </c>
      <c r="BI55" s="838">
        <f t="shared" ca="1" si="237"/>
        <v>-12.05</v>
      </c>
      <c r="BJ55" s="838">
        <f t="shared" ca="1" si="238"/>
        <v>-15.55</v>
      </c>
      <c r="BK55" s="838">
        <f t="shared" ca="1" si="239"/>
        <v>-18.75</v>
      </c>
      <c r="BL55" s="838">
        <f t="shared" ca="1" si="240"/>
        <v>72.391000000000005</v>
      </c>
      <c r="BM55" s="838">
        <f t="shared" ca="1" si="241"/>
        <v>94.433207199999998</v>
      </c>
      <c r="BN55" s="838">
        <f t="shared" ca="1" si="242"/>
        <v>121.68465</v>
      </c>
      <c r="BO55" s="838">
        <f t="shared" ca="1" si="243"/>
        <v>317.25069250000001</v>
      </c>
      <c r="BP55" s="838">
        <f t="shared" ca="1" si="244"/>
        <v>373.995</v>
      </c>
      <c r="BQ55" s="837">
        <f t="shared" ca="1" si="245"/>
        <v>1.1128168448054725</v>
      </c>
      <c r="BR55" s="837">
        <f t="shared" ca="1" si="246"/>
        <v>1.5180809800278783</v>
      </c>
      <c r="BS55" s="837">
        <f t="shared" ca="1" si="247"/>
        <v>0.31060573749355341</v>
      </c>
      <c r="BT55" s="837">
        <f t="shared" ca="1" si="248"/>
        <v>1.7588149398316764</v>
      </c>
      <c r="BU55" s="837">
        <f t="shared" ca="1" si="249"/>
        <v>10.866448691779549</v>
      </c>
      <c r="BV55" s="838">
        <f t="shared" ca="1" si="250"/>
        <v>276.27525000000003</v>
      </c>
      <c r="BW55" s="838">
        <f t="shared" ca="1" si="251"/>
        <v>364.62475000000001</v>
      </c>
      <c r="BX55" s="838">
        <f t="shared" ca="1" si="252"/>
        <v>458.64575000000002</v>
      </c>
      <c r="BY55" s="838">
        <f t="shared" ca="1" si="253"/>
        <v>158.82153930000001</v>
      </c>
      <c r="BZ55" s="838">
        <f t="shared" ca="1" si="254"/>
        <v>239.61768187500002</v>
      </c>
      <c r="CA55" s="838">
        <f t="shared" ca="1" si="255"/>
        <v>332.85317312500001</v>
      </c>
      <c r="CB55" s="838">
        <f t="shared" ca="1" si="256"/>
        <v>43.949750000000002</v>
      </c>
      <c r="CC55" s="838">
        <f t="shared" ca="1" si="257"/>
        <v>-28.741500000000002</v>
      </c>
      <c r="CD55" s="838">
        <f t="shared" ca="1" si="258"/>
        <v>-26.955750000000002</v>
      </c>
      <c r="CE55" s="837">
        <f t="shared" ca="1" si="259"/>
        <v>9.1499999999999998E-2</v>
      </c>
      <c r="CF55" s="837">
        <f t="shared" ca="1" si="260"/>
        <v>-0.13775000000000001</v>
      </c>
      <c r="CG55" s="837">
        <f t="shared" ca="1" si="261"/>
        <v>0.32300000000000001</v>
      </c>
      <c r="CH55" s="837">
        <f t="shared" ca="1" si="262"/>
        <v>0.61247454812713464</v>
      </c>
      <c r="CI55" s="837">
        <f t="shared" ca="1" si="263"/>
        <v>1.3967626392471455</v>
      </c>
      <c r="CJ55" s="837">
        <f t="shared" ca="1" si="264"/>
        <v>8.5895402537925793</v>
      </c>
      <c r="CK55" s="840"/>
      <c r="CL55" s="841">
        <f>IF(CK55="",1,_xll.BDP(CK55&amp;" CURNCY","LAST PRICE"))</f>
        <v>1</v>
      </c>
      <c r="CM55" s="842">
        <v>1</v>
      </c>
      <c r="CN55" s="843">
        <f ca="1">_xll.BDH(B55&amp;" EQUITY","BS_SH_OUT",R55,R55,"EQY_FUND_PER="&amp;CT55,"days=a","fill=p")-10.2</f>
        <v>67.505600000000001</v>
      </c>
      <c r="CO55" s="844" t="str">
        <f>_xll.BDP(B55&amp;" EQUITY","EQY_FISCAL_YR_END")</f>
        <v>03/2018</v>
      </c>
      <c r="CP55" s="845">
        <f t="shared" si="190"/>
        <v>31</v>
      </c>
      <c r="CQ55" s="844">
        <f t="shared" si="191"/>
        <v>3</v>
      </c>
      <c r="CR55" s="844">
        <f t="shared" si="192"/>
        <v>2018</v>
      </c>
      <c r="CS55" s="836">
        <f t="shared" ca="1" si="193"/>
        <v>42825</v>
      </c>
      <c r="CT55" s="830" t="s">
        <v>866</v>
      </c>
      <c r="CU55" s="846">
        <f t="shared" ca="1" si="194"/>
        <v>0.25</v>
      </c>
      <c r="CV55" s="846">
        <f t="shared" ca="1" si="195"/>
        <v>0.75</v>
      </c>
      <c r="CW55" s="806"/>
    </row>
    <row r="56" spans="1:101" s="847" customFormat="1" ht="11.25" customHeight="1" x14ac:dyDescent="0.25">
      <c r="A56" s="806"/>
      <c r="B56" s="830" t="s">
        <v>805</v>
      </c>
      <c r="C56" s="816" t="str">
        <f>_xll.BDP($B56&amp;" EQUITY","Name")</f>
        <v>LIVERAMP HOLDINGS INC</v>
      </c>
      <c r="D56" s="816"/>
      <c r="E56" s="831">
        <f t="shared" ca="1" si="148"/>
        <v>44.545996655888551</v>
      </c>
      <c r="F56" s="832">
        <f t="shared" ca="1" si="149"/>
        <v>3007.1042318537502</v>
      </c>
      <c r="G56" s="832">
        <f t="shared" ca="1" si="150"/>
        <v>2005.4361249999999</v>
      </c>
      <c r="H56" s="869">
        <f t="shared" ca="1" si="151"/>
        <v>7.2588338079505847</v>
      </c>
      <c r="I56" s="869">
        <f t="shared" si="265"/>
        <v>7.3000000000000016</v>
      </c>
      <c r="J56" s="869">
        <f t="shared" ca="1" si="152"/>
        <v>4.3725165337300078</v>
      </c>
      <c r="K56" s="833">
        <f t="shared" ca="1" si="153"/>
        <v>12.626978266542968</v>
      </c>
      <c r="L56" s="833">
        <f t="shared" ca="1" si="154"/>
        <v>8.3693161093435684</v>
      </c>
      <c r="M56" s="833">
        <f t="shared" ca="1" si="155"/>
        <v>6.0249872524029584</v>
      </c>
      <c r="N56" s="834">
        <f t="shared" ca="1" si="156"/>
        <v>0.31978796508192447</v>
      </c>
      <c r="O56" s="834">
        <f t="shared" ca="1" si="157"/>
        <v>0.57486705486647827</v>
      </c>
      <c r="P56" s="834">
        <f t="shared" ca="1" si="158"/>
        <v>5.9662390591944246E-2</v>
      </c>
      <c r="Q56" s="835"/>
      <c r="R56" s="836">
        <f t="shared" ca="1" si="1"/>
        <v>43433</v>
      </c>
      <c r="S56" s="837">
        <f t="shared" ca="1" si="266"/>
        <v>46.924999999999997</v>
      </c>
      <c r="T56" s="838">
        <f t="shared" ca="1" si="196"/>
        <v>0</v>
      </c>
      <c r="U56" s="838">
        <f t="shared" si="197"/>
        <v>0</v>
      </c>
      <c r="V56" s="838">
        <f t="shared" si="198"/>
        <v>0</v>
      </c>
      <c r="W56" s="838">
        <f t="shared" si="199"/>
        <v>0</v>
      </c>
      <c r="X56" s="838">
        <f t="shared" si="200"/>
        <v>1001.6681068537501</v>
      </c>
      <c r="Y56" s="838">
        <f t="shared" si="201"/>
        <v>0</v>
      </c>
      <c r="Z56" s="838">
        <f t="shared" ca="1" si="202"/>
        <v>1291.45</v>
      </c>
      <c r="AA56" s="838">
        <f t="shared" ca="1" si="203"/>
        <v>-530.77200000000005</v>
      </c>
      <c r="AB56" s="838">
        <f t="shared" ca="1" si="204"/>
        <v>2005.4361249999999</v>
      </c>
      <c r="AC56" s="838">
        <f t="shared" ca="1" si="205"/>
        <v>771.42399999999998</v>
      </c>
      <c r="AD56" s="838">
        <f t="shared" si="206"/>
        <v>220.101</v>
      </c>
      <c r="AE56" s="838">
        <f t="shared" ca="1" si="207"/>
        <v>295</v>
      </c>
      <c r="AF56" s="838">
        <f t="shared" ca="1" si="208"/>
        <v>387.83300000000003</v>
      </c>
      <c r="AG56" s="838">
        <f t="shared" ca="1" si="209"/>
        <v>482.25</v>
      </c>
      <c r="AH56" s="838">
        <f t="shared" ca="1" si="210"/>
        <v>44.344000000000001</v>
      </c>
      <c r="AI56" s="838">
        <f t="shared" ca="1" si="211"/>
        <v>107.2332072</v>
      </c>
      <c r="AJ56" s="838">
        <f t="shared" ca="1" si="212"/>
        <v>176.01765</v>
      </c>
      <c r="AK56" s="838">
        <f t="shared" ca="1" si="213"/>
        <v>260.81769250000002</v>
      </c>
      <c r="AL56" s="838">
        <f t="shared" ca="1" si="214"/>
        <v>356.86500000000001</v>
      </c>
      <c r="AM56" s="838">
        <f t="shared" ca="1" si="215"/>
        <v>-28.047000000000001</v>
      </c>
      <c r="AN56" s="838">
        <f t="shared" ca="1" si="216"/>
        <v>12.8</v>
      </c>
      <c r="AO56" s="838">
        <f t="shared" ca="1" si="217"/>
        <v>54.332999999999998</v>
      </c>
      <c r="AP56" s="838">
        <f t="shared" ca="1" si="218"/>
        <v>-56.433</v>
      </c>
      <c r="AQ56" s="838">
        <f t="shared" ca="1" si="219"/>
        <v>-17.13</v>
      </c>
      <c r="AR56" s="838">
        <f t="shared" ca="1" si="220"/>
        <v>0.46779999999999999</v>
      </c>
      <c r="AS56" s="838">
        <f t="shared" ca="1" si="221"/>
        <v>71.739999999999995</v>
      </c>
      <c r="AT56" s="838">
        <f t="shared" ca="1" si="222"/>
        <v>-38.78</v>
      </c>
      <c r="AU56" s="838">
        <f t="shared" ca="1" si="223"/>
        <v>-20.318000000000001</v>
      </c>
      <c r="AV56" s="838">
        <f t="shared" ca="1" si="224"/>
        <v>16.167000000000002</v>
      </c>
      <c r="AW56" s="837">
        <f t="shared" ca="1" si="225"/>
        <v>1.9400000000000001E-2</v>
      </c>
      <c r="AX56" s="837">
        <f t="shared" ca="1" si="226"/>
        <v>0.876</v>
      </c>
      <c r="AY56" s="837">
        <f t="shared" ca="1" si="227"/>
        <v>-0.17</v>
      </c>
      <c r="AZ56" s="837">
        <f t="shared" ca="1" si="228"/>
        <v>-0.127</v>
      </c>
      <c r="BA56" s="837">
        <f t="shared" ca="1" si="229"/>
        <v>0.47299999999999998</v>
      </c>
      <c r="BB56" s="839">
        <f t="shared" ca="1" si="230"/>
        <v>24.11340206185567</v>
      </c>
      <c r="BC56" s="839">
        <f t="shared" ca="1" si="231"/>
        <v>81.894977168949765</v>
      </c>
      <c r="BD56" s="839">
        <f t="shared" ca="1" si="232"/>
        <v>228.11764705882351</v>
      </c>
      <c r="BE56" s="839">
        <f t="shared" ca="1" si="233"/>
        <v>159.98425196850394</v>
      </c>
      <c r="BF56" s="839">
        <f t="shared" ca="1" si="234"/>
        <v>34.179704016913327</v>
      </c>
      <c r="BG56" s="838">
        <f t="shared" ca="1" si="235"/>
        <v>-46.024999999999999</v>
      </c>
      <c r="BH56" s="838">
        <f t="shared" ca="1" si="236"/>
        <v>-41.85</v>
      </c>
      <c r="BI56" s="838">
        <f t="shared" ca="1" si="237"/>
        <v>-12.05</v>
      </c>
      <c r="BJ56" s="838">
        <f t="shared" ca="1" si="238"/>
        <v>-15.55</v>
      </c>
      <c r="BK56" s="838">
        <f t="shared" ca="1" si="239"/>
        <v>-18.75</v>
      </c>
      <c r="BL56" s="838">
        <f t="shared" ca="1" si="240"/>
        <v>72.391000000000005</v>
      </c>
      <c r="BM56" s="838">
        <f t="shared" ca="1" si="241"/>
        <v>94.433207199999998</v>
      </c>
      <c r="BN56" s="838">
        <f t="shared" ca="1" si="242"/>
        <v>121.68465</v>
      </c>
      <c r="BO56" s="838">
        <f t="shared" ca="1" si="243"/>
        <v>317.25069250000001</v>
      </c>
      <c r="BP56" s="838">
        <f t="shared" ca="1" si="244"/>
        <v>373.995</v>
      </c>
      <c r="BQ56" s="837">
        <f t="shared" ca="1" si="245"/>
        <v>1.1128168448054725</v>
      </c>
      <c r="BR56" s="837">
        <f t="shared" ca="1" si="246"/>
        <v>1.5180809800278783</v>
      </c>
      <c r="BS56" s="837">
        <f t="shared" ca="1" si="247"/>
        <v>0.31060573749355341</v>
      </c>
      <c r="BT56" s="837">
        <f t="shared" ca="1" si="248"/>
        <v>1.7588149398316764</v>
      </c>
      <c r="BU56" s="837">
        <f t="shared" ca="1" si="249"/>
        <v>10.866448691779549</v>
      </c>
      <c r="BV56" s="838">
        <f t="shared" ca="1" si="250"/>
        <v>276.27525000000003</v>
      </c>
      <c r="BW56" s="838">
        <f t="shared" ca="1" si="251"/>
        <v>364.62475000000001</v>
      </c>
      <c r="BX56" s="838">
        <f t="shared" ca="1" si="252"/>
        <v>458.64575000000002</v>
      </c>
      <c r="BY56" s="838">
        <f t="shared" ca="1" si="253"/>
        <v>158.82153930000001</v>
      </c>
      <c r="BZ56" s="838">
        <f t="shared" ca="1" si="254"/>
        <v>239.61768187500002</v>
      </c>
      <c r="CA56" s="838">
        <f t="shared" ca="1" si="255"/>
        <v>332.85317312500001</v>
      </c>
      <c r="CB56" s="838">
        <f t="shared" ca="1" si="256"/>
        <v>43.949750000000002</v>
      </c>
      <c r="CC56" s="838">
        <f t="shared" ca="1" si="257"/>
        <v>-28.741500000000002</v>
      </c>
      <c r="CD56" s="838">
        <f t="shared" ca="1" si="258"/>
        <v>-26.955750000000002</v>
      </c>
      <c r="CE56" s="837">
        <f t="shared" ca="1" si="259"/>
        <v>9.1499999999999998E-2</v>
      </c>
      <c r="CF56" s="837">
        <f t="shared" ca="1" si="260"/>
        <v>-0.13775000000000001</v>
      </c>
      <c r="CG56" s="837">
        <f t="shared" ca="1" si="261"/>
        <v>0.32300000000000001</v>
      </c>
      <c r="CH56" s="837">
        <f t="shared" ca="1" si="262"/>
        <v>0.61247454812713464</v>
      </c>
      <c r="CI56" s="837">
        <f t="shared" ca="1" si="263"/>
        <v>1.3967626392471455</v>
      </c>
      <c r="CJ56" s="837">
        <f t="shared" ca="1" si="264"/>
        <v>8.5895402537925793</v>
      </c>
      <c r="CK56" s="840"/>
      <c r="CL56" s="841">
        <f>IF(CK56="",1,_xll.BDP(CK56&amp;" CURNCY","LAST PRICE"))</f>
        <v>1</v>
      </c>
      <c r="CM56" s="842">
        <v>1</v>
      </c>
      <c r="CN56" s="843">
        <f ca="1">_xll.BDH(B56&amp;" EQUITY","BS_SH_OUT",R56,R56,"EQY_FUND_PER="&amp;CT56,"days=a","fill=p")-10.2</f>
        <v>67.505600000000001</v>
      </c>
      <c r="CO56" s="844" t="str">
        <f>_xll.BDP(B56&amp;" EQUITY","EQY_FISCAL_YR_END")</f>
        <v>03/2018</v>
      </c>
      <c r="CP56" s="845">
        <f t="shared" si="190"/>
        <v>31</v>
      </c>
      <c r="CQ56" s="844">
        <f t="shared" si="191"/>
        <v>3</v>
      </c>
      <c r="CR56" s="844">
        <f t="shared" si="192"/>
        <v>2018</v>
      </c>
      <c r="CS56" s="836">
        <f t="shared" ca="1" si="193"/>
        <v>42825</v>
      </c>
      <c r="CT56" s="830" t="s">
        <v>866</v>
      </c>
      <c r="CU56" s="846">
        <f t="shared" ca="1" si="194"/>
        <v>0.25</v>
      </c>
      <c r="CV56" s="846">
        <f t="shared" ca="1" si="195"/>
        <v>0.75</v>
      </c>
      <c r="CW56" s="806"/>
    </row>
    <row r="57" spans="1:101" s="847" customFormat="1" ht="11.25" customHeight="1" x14ac:dyDescent="0.25">
      <c r="A57" s="806"/>
      <c r="B57" s="830" t="s">
        <v>805</v>
      </c>
      <c r="C57" s="816" t="str">
        <f>_xll.BDP($B57&amp;" EQUITY","Name")</f>
        <v>LIVERAMP HOLDINGS INC</v>
      </c>
      <c r="D57" s="816"/>
      <c r="E57" s="831">
        <f t="shared" ca="1" si="148"/>
        <v>44.545996655888551</v>
      </c>
      <c r="F57" s="832">
        <f t="shared" ca="1" si="149"/>
        <v>3007.1042318537502</v>
      </c>
      <c r="G57" s="832">
        <f t="shared" ca="1" si="150"/>
        <v>2005.4361249999999</v>
      </c>
      <c r="H57" s="833">
        <f t="shared" ca="1" si="151"/>
        <v>7.2588338079505847</v>
      </c>
      <c r="I57" s="896">
        <f t="shared" si="265"/>
        <v>7.5000000000000018</v>
      </c>
      <c r="J57" s="869">
        <f t="shared" ca="1" si="152"/>
        <v>4.3725165337300078</v>
      </c>
      <c r="K57" s="833">
        <f t="shared" ca="1" si="153"/>
        <v>12.626978266542968</v>
      </c>
      <c r="L57" s="833">
        <f t="shared" ca="1" si="154"/>
        <v>8.3693161093435684</v>
      </c>
      <c r="M57" s="833">
        <f t="shared" ca="1" si="155"/>
        <v>6.0249872524029584</v>
      </c>
      <c r="N57" s="834">
        <f t="shared" ca="1" si="156"/>
        <v>0.31978796508192447</v>
      </c>
      <c r="O57" s="834">
        <f t="shared" ca="1" si="157"/>
        <v>0.57486705486647827</v>
      </c>
      <c r="P57" s="834">
        <f t="shared" ca="1" si="158"/>
        <v>5.9662390591944246E-2</v>
      </c>
      <c r="Q57" s="835"/>
      <c r="R57" s="836">
        <f t="shared" ca="1" si="1"/>
        <v>43433</v>
      </c>
      <c r="S57" s="837">
        <f t="shared" ca="1" si="266"/>
        <v>46.924999999999997</v>
      </c>
      <c r="T57" s="838">
        <f t="shared" ca="1" si="196"/>
        <v>0</v>
      </c>
      <c r="U57" s="838">
        <f t="shared" si="197"/>
        <v>0</v>
      </c>
      <c r="V57" s="838">
        <f t="shared" si="198"/>
        <v>0</v>
      </c>
      <c r="W57" s="838">
        <f t="shared" si="199"/>
        <v>0</v>
      </c>
      <c r="X57" s="838">
        <f t="shared" si="200"/>
        <v>1001.6681068537501</v>
      </c>
      <c r="Y57" s="838">
        <f t="shared" si="201"/>
        <v>0</v>
      </c>
      <c r="Z57" s="838">
        <f t="shared" ca="1" si="202"/>
        <v>1291.45</v>
      </c>
      <c r="AA57" s="838">
        <f t="shared" ca="1" si="203"/>
        <v>-530.77200000000005</v>
      </c>
      <c r="AB57" s="838">
        <f t="shared" ca="1" si="204"/>
        <v>2005.4361249999999</v>
      </c>
      <c r="AC57" s="838">
        <f t="shared" ca="1" si="205"/>
        <v>771.42399999999998</v>
      </c>
      <c r="AD57" s="838">
        <f t="shared" si="206"/>
        <v>220.101</v>
      </c>
      <c r="AE57" s="838">
        <f t="shared" ca="1" si="207"/>
        <v>295</v>
      </c>
      <c r="AF57" s="838">
        <f t="shared" ca="1" si="208"/>
        <v>387.83300000000003</v>
      </c>
      <c r="AG57" s="838">
        <f t="shared" ca="1" si="209"/>
        <v>482.25</v>
      </c>
      <c r="AH57" s="838">
        <f t="shared" ca="1" si="210"/>
        <v>44.344000000000001</v>
      </c>
      <c r="AI57" s="838">
        <f t="shared" ca="1" si="211"/>
        <v>107.2332072</v>
      </c>
      <c r="AJ57" s="838">
        <f t="shared" ca="1" si="212"/>
        <v>176.01765</v>
      </c>
      <c r="AK57" s="838">
        <f t="shared" ca="1" si="213"/>
        <v>260.81769250000002</v>
      </c>
      <c r="AL57" s="838">
        <f t="shared" ca="1" si="214"/>
        <v>356.86500000000001</v>
      </c>
      <c r="AM57" s="838">
        <f t="shared" ca="1" si="215"/>
        <v>-28.047000000000001</v>
      </c>
      <c r="AN57" s="838">
        <f t="shared" ca="1" si="216"/>
        <v>12.8</v>
      </c>
      <c r="AO57" s="838">
        <f t="shared" ca="1" si="217"/>
        <v>54.332999999999998</v>
      </c>
      <c r="AP57" s="838">
        <f t="shared" ca="1" si="218"/>
        <v>-56.433</v>
      </c>
      <c r="AQ57" s="838">
        <f t="shared" ca="1" si="219"/>
        <v>-17.13</v>
      </c>
      <c r="AR57" s="838">
        <f t="shared" ca="1" si="220"/>
        <v>0.46779999999999999</v>
      </c>
      <c r="AS57" s="838">
        <f t="shared" ca="1" si="221"/>
        <v>71.739999999999995</v>
      </c>
      <c r="AT57" s="838">
        <f t="shared" ca="1" si="222"/>
        <v>-38.78</v>
      </c>
      <c r="AU57" s="838">
        <f t="shared" ca="1" si="223"/>
        <v>-20.318000000000001</v>
      </c>
      <c r="AV57" s="838">
        <f t="shared" ca="1" si="224"/>
        <v>16.167000000000002</v>
      </c>
      <c r="AW57" s="837">
        <f t="shared" ca="1" si="225"/>
        <v>1.9400000000000001E-2</v>
      </c>
      <c r="AX57" s="837">
        <f t="shared" ca="1" si="226"/>
        <v>0.876</v>
      </c>
      <c r="AY57" s="837">
        <f t="shared" ca="1" si="227"/>
        <v>-0.17</v>
      </c>
      <c r="AZ57" s="837">
        <f t="shared" ca="1" si="228"/>
        <v>-0.127</v>
      </c>
      <c r="BA57" s="837">
        <f t="shared" ca="1" si="229"/>
        <v>0.47299999999999998</v>
      </c>
      <c r="BB57" s="839">
        <f t="shared" ca="1" si="230"/>
        <v>24.11340206185567</v>
      </c>
      <c r="BC57" s="839">
        <f t="shared" ca="1" si="231"/>
        <v>81.894977168949765</v>
      </c>
      <c r="BD57" s="839">
        <f t="shared" ca="1" si="232"/>
        <v>228.11764705882351</v>
      </c>
      <c r="BE57" s="839">
        <f t="shared" ca="1" si="233"/>
        <v>159.98425196850394</v>
      </c>
      <c r="BF57" s="839">
        <f t="shared" ca="1" si="234"/>
        <v>34.179704016913327</v>
      </c>
      <c r="BG57" s="838">
        <f t="shared" ca="1" si="235"/>
        <v>-46.024999999999999</v>
      </c>
      <c r="BH57" s="838">
        <f t="shared" ca="1" si="236"/>
        <v>-41.85</v>
      </c>
      <c r="BI57" s="838">
        <f t="shared" ca="1" si="237"/>
        <v>-12.05</v>
      </c>
      <c r="BJ57" s="838">
        <f t="shared" ca="1" si="238"/>
        <v>-15.55</v>
      </c>
      <c r="BK57" s="838">
        <f t="shared" ca="1" si="239"/>
        <v>-18.75</v>
      </c>
      <c r="BL57" s="838">
        <f t="shared" ca="1" si="240"/>
        <v>72.391000000000005</v>
      </c>
      <c r="BM57" s="838">
        <f t="shared" ca="1" si="241"/>
        <v>94.433207199999998</v>
      </c>
      <c r="BN57" s="838">
        <f t="shared" ca="1" si="242"/>
        <v>121.68465</v>
      </c>
      <c r="BO57" s="838">
        <f t="shared" ca="1" si="243"/>
        <v>317.25069250000001</v>
      </c>
      <c r="BP57" s="838">
        <f t="shared" ca="1" si="244"/>
        <v>373.995</v>
      </c>
      <c r="BQ57" s="837">
        <f t="shared" ca="1" si="245"/>
        <v>1.1128168448054725</v>
      </c>
      <c r="BR57" s="837">
        <f t="shared" ca="1" si="246"/>
        <v>1.5180809800278783</v>
      </c>
      <c r="BS57" s="837">
        <f t="shared" ca="1" si="247"/>
        <v>0.31060573749355341</v>
      </c>
      <c r="BT57" s="837">
        <f t="shared" ca="1" si="248"/>
        <v>1.7588149398316764</v>
      </c>
      <c r="BU57" s="837">
        <f t="shared" ca="1" si="249"/>
        <v>10.866448691779549</v>
      </c>
      <c r="BV57" s="838">
        <f t="shared" ca="1" si="250"/>
        <v>276.27525000000003</v>
      </c>
      <c r="BW57" s="838">
        <f t="shared" ca="1" si="251"/>
        <v>364.62475000000001</v>
      </c>
      <c r="BX57" s="838">
        <f t="shared" ca="1" si="252"/>
        <v>458.64575000000002</v>
      </c>
      <c r="BY57" s="838">
        <f t="shared" ca="1" si="253"/>
        <v>158.82153930000001</v>
      </c>
      <c r="BZ57" s="838">
        <f t="shared" ca="1" si="254"/>
        <v>239.61768187500002</v>
      </c>
      <c r="CA57" s="838">
        <f t="shared" ca="1" si="255"/>
        <v>332.85317312500001</v>
      </c>
      <c r="CB57" s="838">
        <f t="shared" ca="1" si="256"/>
        <v>43.949750000000002</v>
      </c>
      <c r="CC57" s="838">
        <f t="shared" ca="1" si="257"/>
        <v>-28.741500000000002</v>
      </c>
      <c r="CD57" s="838">
        <f t="shared" ca="1" si="258"/>
        <v>-26.955750000000002</v>
      </c>
      <c r="CE57" s="837">
        <f t="shared" ca="1" si="259"/>
        <v>9.1499999999999998E-2</v>
      </c>
      <c r="CF57" s="837">
        <f t="shared" ca="1" si="260"/>
        <v>-0.13775000000000001</v>
      </c>
      <c r="CG57" s="837">
        <f t="shared" ca="1" si="261"/>
        <v>0.32300000000000001</v>
      </c>
      <c r="CH57" s="837">
        <f t="shared" ca="1" si="262"/>
        <v>0.61247454812713464</v>
      </c>
      <c r="CI57" s="837">
        <f t="shared" ca="1" si="263"/>
        <v>1.3967626392471455</v>
      </c>
      <c r="CJ57" s="837">
        <f t="shared" ca="1" si="264"/>
        <v>8.5895402537925793</v>
      </c>
      <c r="CK57" s="840"/>
      <c r="CL57" s="841">
        <f>IF(CK57="",1,_xll.BDP(CK57&amp;" CURNCY","LAST PRICE"))</f>
        <v>1</v>
      </c>
      <c r="CM57" s="842">
        <v>1</v>
      </c>
      <c r="CN57" s="843">
        <f ca="1">_xll.BDH(B57&amp;" EQUITY","BS_SH_OUT",R57,R57,"EQY_FUND_PER="&amp;CT57,"days=a","fill=p")-10.2</f>
        <v>67.505600000000001</v>
      </c>
      <c r="CO57" s="844" t="str">
        <f>_xll.BDP(B57&amp;" EQUITY","EQY_FISCAL_YR_END")</f>
        <v>03/2018</v>
      </c>
      <c r="CP57" s="845">
        <f t="shared" si="190"/>
        <v>31</v>
      </c>
      <c r="CQ57" s="844">
        <f t="shared" si="191"/>
        <v>3</v>
      </c>
      <c r="CR57" s="844">
        <f t="shared" si="192"/>
        <v>2018</v>
      </c>
      <c r="CS57" s="836">
        <f t="shared" ca="1" si="193"/>
        <v>42825</v>
      </c>
      <c r="CT57" s="830" t="s">
        <v>866</v>
      </c>
      <c r="CU57" s="846">
        <f t="shared" ca="1" si="194"/>
        <v>0.25</v>
      </c>
      <c r="CV57" s="846">
        <f t="shared" ca="1" si="195"/>
        <v>0.75</v>
      </c>
      <c r="CW57" s="806"/>
    </row>
    <row r="58" spans="1:101" s="847" customFormat="1" ht="11.25" customHeight="1" x14ac:dyDescent="0.25">
      <c r="A58" s="806"/>
      <c r="B58" s="830" t="s">
        <v>805</v>
      </c>
      <c r="C58" s="816" t="str">
        <f>_xll.BDP($B58&amp;" EQUITY","Name")</f>
        <v>LIVERAMP HOLDINGS INC</v>
      </c>
      <c r="D58" s="816"/>
      <c r="E58" s="831">
        <f t="shared" ca="1" si="148"/>
        <v>44.545996655888551</v>
      </c>
      <c r="F58" s="832">
        <f t="shared" ca="1" si="149"/>
        <v>3007.1042318537502</v>
      </c>
      <c r="G58" s="832">
        <f t="shared" ca="1" si="150"/>
        <v>2005.4361249999999</v>
      </c>
      <c r="H58" s="833">
        <f t="shared" ca="1" si="151"/>
        <v>7.2588338079505847</v>
      </c>
      <c r="I58" s="896">
        <f t="shared" si="265"/>
        <v>7.700000000000002</v>
      </c>
      <c r="J58" s="833">
        <f t="shared" ca="1" si="152"/>
        <v>4.3725165337300078</v>
      </c>
      <c r="K58" s="833">
        <f t="shared" ca="1" si="153"/>
        <v>12.626978266542968</v>
      </c>
      <c r="L58" s="833">
        <f t="shared" ca="1" si="154"/>
        <v>8.3693161093435684</v>
      </c>
      <c r="M58" s="833">
        <f t="shared" ca="1" si="155"/>
        <v>6.0249872524029584</v>
      </c>
      <c r="N58" s="834">
        <f t="shared" ca="1" si="156"/>
        <v>0.31978796508192447</v>
      </c>
      <c r="O58" s="834">
        <f t="shared" ca="1" si="157"/>
        <v>0.57486705486647827</v>
      </c>
      <c r="P58" s="834">
        <f t="shared" ca="1" si="158"/>
        <v>5.9662390591944246E-2</v>
      </c>
      <c r="Q58" s="835"/>
      <c r="R58" s="836">
        <f t="shared" ca="1" si="1"/>
        <v>43433</v>
      </c>
      <c r="S58" s="837">
        <f t="shared" ca="1" si="266"/>
        <v>46.924999999999997</v>
      </c>
      <c r="T58" s="838">
        <f t="shared" ca="1" si="196"/>
        <v>0</v>
      </c>
      <c r="U58" s="838">
        <f t="shared" si="197"/>
        <v>0</v>
      </c>
      <c r="V58" s="838">
        <f t="shared" si="198"/>
        <v>0</v>
      </c>
      <c r="W58" s="838">
        <f t="shared" si="199"/>
        <v>0</v>
      </c>
      <c r="X58" s="838">
        <f t="shared" si="200"/>
        <v>1001.6681068537501</v>
      </c>
      <c r="Y58" s="838">
        <f t="shared" si="201"/>
        <v>0</v>
      </c>
      <c r="Z58" s="838">
        <f t="shared" ca="1" si="202"/>
        <v>1291.45</v>
      </c>
      <c r="AA58" s="838">
        <f t="shared" ca="1" si="203"/>
        <v>-530.77200000000005</v>
      </c>
      <c r="AB58" s="838">
        <f t="shared" ca="1" si="204"/>
        <v>2005.4361249999999</v>
      </c>
      <c r="AC58" s="838">
        <f t="shared" ca="1" si="205"/>
        <v>771.42399999999998</v>
      </c>
      <c r="AD58" s="838">
        <f t="shared" si="206"/>
        <v>220.101</v>
      </c>
      <c r="AE58" s="838">
        <f t="shared" ca="1" si="207"/>
        <v>295</v>
      </c>
      <c r="AF58" s="838">
        <f t="shared" ca="1" si="208"/>
        <v>387.83300000000003</v>
      </c>
      <c r="AG58" s="838">
        <f t="shared" ca="1" si="209"/>
        <v>482.25</v>
      </c>
      <c r="AH58" s="838">
        <f t="shared" ca="1" si="210"/>
        <v>44.344000000000001</v>
      </c>
      <c r="AI58" s="838">
        <f t="shared" ca="1" si="211"/>
        <v>107.2332072</v>
      </c>
      <c r="AJ58" s="838">
        <f t="shared" ca="1" si="212"/>
        <v>176.01765</v>
      </c>
      <c r="AK58" s="838">
        <f t="shared" ca="1" si="213"/>
        <v>260.81769250000002</v>
      </c>
      <c r="AL58" s="838">
        <f t="shared" ca="1" si="214"/>
        <v>356.86500000000001</v>
      </c>
      <c r="AM58" s="838">
        <f t="shared" ca="1" si="215"/>
        <v>-28.047000000000001</v>
      </c>
      <c r="AN58" s="838">
        <f t="shared" ca="1" si="216"/>
        <v>12.8</v>
      </c>
      <c r="AO58" s="838">
        <f t="shared" ca="1" si="217"/>
        <v>54.332999999999998</v>
      </c>
      <c r="AP58" s="838">
        <f t="shared" ca="1" si="218"/>
        <v>-56.433</v>
      </c>
      <c r="AQ58" s="838">
        <f t="shared" ca="1" si="219"/>
        <v>-17.13</v>
      </c>
      <c r="AR58" s="838">
        <f t="shared" ca="1" si="220"/>
        <v>0.46779999999999999</v>
      </c>
      <c r="AS58" s="838">
        <f t="shared" ca="1" si="221"/>
        <v>71.739999999999995</v>
      </c>
      <c r="AT58" s="838">
        <f t="shared" ca="1" si="222"/>
        <v>-38.78</v>
      </c>
      <c r="AU58" s="838">
        <f t="shared" ca="1" si="223"/>
        <v>-20.318000000000001</v>
      </c>
      <c r="AV58" s="838">
        <f t="shared" ca="1" si="224"/>
        <v>16.167000000000002</v>
      </c>
      <c r="AW58" s="837">
        <f t="shared" ca="1" si="225"/>
        <v>1.9400000000000001E-2</v>
      </c>
      <c r="AX58" s="837">
        <f t="shared" ca="1" si="226"/>
        <v>0.876</v>
      </c>
      <c r="AY58" s="837">
        <f t="shared" ca="1" si="227"/>
        <v>-0.17</v>
      </c>
      <c r="AZ58" s="837">
        <f t="shared" ca="1" si="228"/>
        <v>-0.127</v>
      </c>
      <c r="BA58" s="837">
        <f t="shared" ca="1" si="229"/>
        <v>0.47299999999999998</v>
      </c>
      <c r="BB58" s="839">
        <f t="shared" ca="1" si="230"/>
        <v>24.11340206185567</v>
      </c>
      <c r="BC58" s="839">
        <f t="shared" ca="1" si="231"/>
        <v>81.894977168949765</v>
      </c>
      <c r="BD58" s="839">
        <f t="shared" ca="1" si="232"/>
        <v>228.11764705882351</v>
      </c>
      <c r="BE58" s="839">
        <f t="shared" ca="1" si="233"/>
        <v>159.98425196850394</v>
      </c>
      <c r="BF58" s="839">
        <f t="shared" ca="1" si="234"/>
        <v>34.179704016913327</v>
      </c>
      <c r="BG58" s="838">
        <f t="shared" ca="1" si="235"/>
        <v>-46.024999999999999</v>
      </c>
      <c r="BH58" s="838">
        <f t="shared" ca="1" si="236"/>
        <v>-41.85</v>
      </c>
      <c r="BI58" s="838">
        <f t="shared" ca="1" si="237"/>
        <v>-12.05</v>
      </c>
      <c r="BJ58" s="838">
        <f t="shared" ca="1" si="238"/>
        <v>-15.55</v>
      </c>
      <c r="BK58" s="838">
        <f t="shared" ca="1" si="239"/>
        <v>-18.75</v>
      </c>
      <c r="BL58" s="838">
        <f t="shared" ca="1" si="240"/>
        <v>72.391000000000005</v>
      </c>
      <c r="BM58" s="838">
        <f t="shared" ca="1" si="241"/>
        <v>94.433207199999998</v>
      </c>
      <c r="BN58" s="838">
        <f t="shared" ca="1" si="242"/>
        <v>121.68465</v>
      </c>
      <c r="BO58" s="838">
        <f t="shared" ca="1" si="243"/>
        <v>317.25069250000001</v>
      </c>
      <c r="BP58" s="838">
        <f t="shared" ca="1" si="244"/>
        <v>373.995</v>
      </c>
      <c r="BQ58" s="837">
        <f t="shared" ca="1" si="245"/>
        <v>1.1128168448054725</v>
      </c>
      <c r="BR58" s="837">
        <f t="shared" ca="1" si="246"/>
        <v>1.5180809800278783</v>
      </c>
      <c r="BS58" s="837">
        <f t="shared" ca="1" si="247"/>
        <v>0.31060573749355341</v>
      </c>
      <c r="BT58" s="837">
        <f t="shared" ca="1" si="248"/>
        <v>1.7588149398316764</v>
      </c>
      <c r="BU58" s="837">
        <f t="shared" ca="1" si="249"/>
        <v>10.866448691779549</v>
      </c>
      <c r="BV58" s="838">
        <f t="shared" ca="1" si="250"/>
        <v>276.27525000000003</v>
      </c>
      <c r="BW58" s="838">
        <f t="shared" ca="1" si="251"/>
        <v>364.62475000000001</v>
      </c>
      <c r="BX58" s="838">
        <f t="shared" ca="1" si="252"/>
        <v>458.64575000000002</v>
      </c>
      <c r="BY58" s="838">
        <f t="shared" ca="1" si="253"/>
        <v>158.82153930000001</v>
      </c>
      <c r="BZ58" s="838">
        <f t="shared" ca="1" si="254"/>
        <v>239.61768187500002</v>
      </c>
      <c r="CA58" s="838">
        <f t="shared" ca="1" si="255"/>
        <v>332.85317312500001</v>
      </c>
      <c r="CB58" s="838">
        <f t="shared" ca="1" si="256"/>
        <v>43.949750000000002</v>
      </c>
      <c r="CC58" s="838">
        <f t="shared" ca="1" si="257"/>
        <v>-28.741500000000002</v>
      </c>
      <c r="CD58" s="838">
        <f t="shared" ca="1" si="258"/>
        <v>-26.955750000000002</v>
      </c>
      <c r="CE58" s="837">
        <f t="shared" ca="1" si="259"/>
        <v>9.1499999999999998E-2</v>
      </c>
      <c r="CF58" s="837">
        <f t="shared" ca="1" si="260"/>
        <v>-0.13775000000000001</v>
      </c>
      <c r="CG58" s="837">
        <f t="shared" ca="1" si="261"/>
        <v>0.32300000000000001</v>
      </c>
      <c r="CH58" s="837">
        <f t="shared" ca="1" si="262"/>
        <v>0.61247454812713464</v>
      </c>
      <c r="CI58" s="837">
        <f t="shared" ca="1" si="263"/>
        <v>1.3967626392471455</v>
      </c>
      <c r="CJ58" s="837">
        <f t="shared" ca="1" si="264"/>
        <v>8.5895402537925793</v>
      </c>
      <c r="CK58" s="840"/>
      <c r="CL58" s="841">
        <f>IF(CK58="",1,_xll.BDP(CK58&amp;" CURNCY","LAST PRICE"))</f>
        <v>1</v>
      </c>
      <c r="CM58" s="842">
        <v>1</v>
      </c>
      <c r="CN58" s="843">
        <f ca="1">_xll.BDH(B58&amp;" EQUITY","BS_SH_OUT",R58,R58,"EQY_FUND_PER="&amp;CT58,"days=a","fill=p")-10.2</f>
        <v>67.505600000000001</v>
      </c>
      <c r="CO58" s="844" t="str">
        <f>_xll.BDP(B58&amp;" EQUITY","EQY_FISCAL_YR_END")</f>
        <v>03/2018</v>
      </c>
      <c r="CP58" s="845">
        <f t="shared" si="190"/>
        <v>31</v>
      </c>
      <c r="CQ58" s="844">
        <f t="shared" si="191"/>
        <v>3</v>
      </c>
      <c r="CR58" s="844">
        <f t="shared" si="192"/>
        <v>2018</v>
      </c>
      <c r="CS58" s="836">
        <f t="shared" ca="1" si="193"/>
        <v>42825</v>
      </c>
      <c r="CT58" s="830" t="s">
        <v>866</v>
      </c>
      <c r="CU58" s="846">
        <f t="shared" ca="1" si="194"/>
        <v>0.25</v>
      </c>
      <c r="CV58" s="846">
        <f t="shared" ca="1" si="195"/>
        <v>0.75</v>
      </c>
      <c r="CW58" s="806"/>
    </row>
    <row r="59" spans="1:101" s="847" customFormat="1" ht="11.25" customHeight="1" x14ac:dyDescent="0.25">
      <c r="A59" s="806"/>
      <c r="B59" s="830" t="s">
        <v>805</v>
      </c>
      <c r="C59" s="816" t="str">
        <f>_xll.BDP($B59&amp;" EQUITY","Name")</f>
        <v>LIVERAMP HOLDINGS INC</v>
      </c>
      <c r="D59" s="816"/>
      <c r="E59" s="831">
        <f t="shared" ca="1" si="148"/>
        <v>44.545996655888551</v>
      </c>
      <c r="F59" s="832">
        <f t="shared" ca="1" si="149"/>
        <v>3007.1042318537502</v>
      </c>
      <c r="G59" s="832">
        <f t="shared" ca="1" si="150"/>
        <v>2005.4361249999999</v>
      </c>
      <c r="H59" s="833">
        <f t="shared" ca="1" si="151"/>
        <v>7.2588338079505847</v>
      </c>
      <c r="I59" s="896">
        <f t="shared" si="265"/>
        <v>7.9000000000000021</v>
      </c>
      <c r="J59" s="833">
        <f t="shared" ca="1" si="152"/>
        <v>4.3725165337300078</v>
      </c>
      <c r="K59" s="833">
        <f t="shared" ca="1" si="153"/>
        <v>12.626978266542968</v>
      </c>
      <c r="L59" s="833">
        <f t="shared" ca="1" si="154"/>
        <v>8.3693161093435684</v>
      </c>
      <c r="M59" s="833">
        <f t="shared" ca="1" si="155"/>
        <v>6.0249872524029584</v>
      </c>
      <c r="N59" s="834">
        <f t="shared" ca="1" si="156"/>
        <v>0.31978796508192447</v>
      </c>
      <c r="O59" s="834">
        <f t="shared" ca="1" si="157"/>
        <v>0.57486705486647827</v>
      </c>
      <c r="P59" s="834">
        <f t="shared" ca="1" si="158"/>
        <v>5.9662390591944246E-2</v>
      </c>
      <c r="Q59" s="835"/>
      <c r="R59" s="836">
        <f t="shared" ca="1" si="1"/>
        <v>43433</v>
      </c>
      <c r="S59" s="837">
        <f t="shared" ca="1" si="266"/>
        <v>46.924999999999997</v>
      </c>
      <c r="T59" s="838">
        <f t="shared" ca="1" si="196"/>
        <v>0</v>
      </c>
      <c r="U59" s="838">
        <f t="shared" si="197"/>
        <v>0</v>
      </c>
      <c r="V59" s="838">
        <f t="shared" si="198"/>
        <v>0</v>
      </c>
      <c r="W59" s="838">
        <f t="shared" si="199"/>
        <v>0</v>
      </c>
      <c r="X59" s="838">
        <f t="shared" si="200"/>
        <v>1001.6681068537501</v>
      </c>
      <c r="Y59" s="838">
        <f t="shared" si="201"/>
        <v>0</v>
      </c>
      <c r="Z59" s="838">
        <f t="shared" ca="1" si="202"/>
        <v>1291.45</v>
      </c>
      <c r="AA59" s="838">
        <f t="shared" ca="1" si="203"/>
        <v>-530.77200000000005</v>
      </c>
      <c r="AB59" s="838">
        <f t="shared" ca="1" si="204"/>
        <v>2005.4361249999999</v>
      </c>
      <c r="AC59" s="838">
        <f t="shared" ca="1" si="205"/>
        <v>771.42399999999998</v>
      </c>
      <c r="AD59" s="838">
        <f t="shared" si="206"/>
        <v>220.101</v>
      </c>
      <c r="AE59" s="838">
        <f t="shared" ca="1" si="207"/>
        <v>295</v>
      </c>
      <c r="AF59" s="838">
        <f t="shared" ca="1" si="208"/>
        <v>387.83300000000003</v>
      </c>
      <c r="AG59" s="838">
        <f t="shared" ca="1" si="209"/>
        <v>482.25</v>
      </c>
      <c r="AH59" s="838">
        <f t="shared" ca="1" si="210"/>
        <v>44.344000000000001</v>
      </c>
      <c r="AI59" s="838">
        <f t="shared" ca="1" si="211"/>
        <v>107.2332072</v>
      </c>
      <c r="AJ59" s="838">
        <f t="shared" ca="1" si="212"/>
        <v>176.01765</v>
      </c>
      <c r="AK59" s="838">
        <f t="shared" ca="1" si="213"/>
        <v>260.81769250000002</v>
      </c>
      <c r="AL59" s="838">
        <f t="shared" ca="1" si="214"/>
        <v>356.86500000000001</v>
      </c>
      <c r="AM59" s="838">
        <f t="shared" ca="1" si="215"/>
        <v>-28.047000000000001</v>
      </c>
      <c r="AN59" s="838">
        <f t="shared" ca="1" si="216"/>
        <v>12.8</v>
      </c>
      <c r="AO59" s="838">
        <f t="shared" ca="1" si="217"/>
        <v>54.332999999999998</v>
      </c>
      <c r="AP59" s="838">
        <f t="shared" ca="1" si="218"/>
        <v>-56.433</v>
      </c>
      <c r="AQ59" s="838">
        <f t="shared" ca="1" si="219"/>
        <v>-17.13</v>
      </c>
      <c r="AR59" s="838">
        <f t="shared" ca="1" si="220"/>
        <v>0.46779999999999999</v>
      </c>
      <c r="AS59" s="838">
        <f t="shared" ca="1" si="221"/>
        <v>71.739999999999995</v>
      </c>
      <c r="AT59" s="838">
        <f t="shared" ca="1" si="222"/>
        <v>-38.78</v>
      </c>
      <c r="AU59" s="838">
        <f t="shared" ca="1" si="223"/>
        <v>-20.318000000000001</v>
      </c>
      <c r="AV59" s="838">
        <f t="shared" ca="1" si="224"/>
        <v>16.167000000000002</v>
      </c>
      <c r="AW59" s="837">
        <f t="shared" ca="1" si="225"/>
        <v>1.9400000000000001E-2</v>
      </c>
      <c r="AX59" s="837">
        <f t="shared" ca="1" si="226"/>
        <v>0.876</v>
      </c>
      <c r="AY59" s="837">
        <f t="shared" ca="1" si="227"/>
        <v>-0.17</v>
      </c>
      <c r="AZ59" s="837">
        <f t="shared" ca="1" si="228"/>
        <v>-0.127</v>
      </c>
      <c r="BA59" s="837">
        <f t="shared" ca="1" si="229"/>
        <v>0.47299999999999998</v>
      </c>
      <c r="BB59" s="839">
        <f t="shared" ca="1" si="230"/>
        <v>24.11340206185567</v>
      </c>
      <c r="BC59" s="839">
        <f t="shared" ca="1" si="231"/>
        <v>81.894977168949765</v>
      </c>
      <c r="BD59" s="839">
        <f t="shared" ca="1" si="232"/>
        <v>228.11764705882351</v>
      </c>
      <c r="BE59" s="839">
        <f t="shared" ca="1" si="233"/>
        <v>159.98425196850394</v>
      </c>
      <c r="BF59" s="839">
        <f t="shared" ca="1" si="234"/>
        <v>34.179704016913327</v>
      </c>
      <c r="BG59" s="838">
        <f t="shared" ca="1" si="235"/>
        <v>-46.024999999999999</v>
      </c>
      <c r="BH59" s="838">
        <f t="shared" ca="1" si="236"/>
        <v>-41.85</v>
      </c>
      <c r="BI59" s="838">
        <f t="shared" ca="1" si="237"/>
        <v>-12.05</v>
      </c>
      <c r="BJ59" s="838">
        <f t="shared" ca="1" si="238"/>
        <v>-15.55</v>
      </c>
      <c r="BK59" s="838">
        <f t="shared" ca="1" si="239"/>
        <v>-18.75</v>
      </c>
      <c r="BL59" s="838">
        <f t="shared" ca="1" si="240"/>
        <v>72.391000000000005</v>
      </c>
      <c r="BM59" s="838">
        <f t="shared" ca="1" si="241"/>
        <v>94.433207199999998</v>
      </c>
      <c r="BN59" s="838">
        <f t="shared" ca="1" si="242"/>
        <v>121.68465</v>
      </c>
      <c r="BO59" s="838">
        <f t="shared" ca="1" si="243"/>
        <v>317.25069250000001</v>
      </c>
      <c r="BP59" s="838">
        <f t="shared" ca="1" si="244"/>
        <v>373.995</v>
      </c>
      <c r="BQ59" s="837">
        <f t="shared" ca="1" si="245"/>
        <v>1.1128168448054725</v>
      </c>
      <c r="BR59" s="837">
        <f t="shared" ca="1" si="246"/>
        <v>1.5180809800278783</v>
      </c>
      <c r="BS59" s="837">
        <f t="shared" ca="1" si="247"/>
        <v>0.31060573749355341</v>
      </c>
      <c r="BT59" s="837">
        <f t="shared" ca="1" si="248"/>
        <v>1.7588149398316764</v>
      </c>
      <c r="BU59" s="837">
        <f t="shared" ca="1" si="249"/>
        <v>10.866448691779549</v>
      </c>
      <c r="BV59" s="838">
        <f t="shared" ca="1" si="250"/>
        <v>276.27525000000003</v>
      </c>
      <c r="BW59" s="838">
        <f t="shared" ca="1" si="251"/>
        <v>364.62475000000001</v>
      </c>
      <c r="BX59" s="838">
        <f t="shared" ca="1" si="252"/>
        <v>458.64575000000002</v>
      </c>
      <c r="BY59" s="838">
        <f t="shared" ca="1" si="253"/>
        <v>158.82153930000001</v>
      </c>
      <c r="BZ59" s="838">
        <f t="shared" ca="1" si="254"/>
        <v>239.61768187500002</v>
      </c>
      <c r="CA59" s="838">
        <f t="shared" ca="1" si="255"/>
        <v>332.85317312500001</v>
      </c>
      <c r="CB59" s="838">
        <f t="shared" ca="1" si="256"/>
        <v>43.949750000000002</v>
      </c>
      <c r="CC59" s="838">
        <f t="shared" ca="1" si="257"/>
        <v>-28.741500000000002</v>
      </c>
      <c r="CD59" s="838">
        <f t="shared" ca="1" si="258"/>
        <v>-26.955750000000002</v>
      </c>
      <c r="CE59" s="837">
        <f t="shared" ca="1" si="259"/>
        <v>9.1499999999999998E-2</v>
      </c>
      <c r="CF59" s="837">
        <f t="shared" ca="1" si="260"/>
        <v>-0.13775000000000001</v>
      </c>
      <c r="CG59" s="837">
        <f t="shared" ca="1" si="261"/>
        <v>0.32300000000000001</v>
      </c>
      <c r="CH59" s="837">
        <f t="shared" ca="1" si="262"/>
        <v>0.61247454812713464</v>
      </c>
      <c r="CI59" s="837">
        <f t="shared" ca="1" si="263"/>
        <v>1.3967626392471455</v>
      </c>
      <c r="CJ59" s="837">
        <f t="shared" ca="1" si="264"/>
        <v>8.5895402537925793</v>
      </c>
      <c r="CK59" s="840"/>
      <c r="CL59" s="841">
        <f>IF(CK59="",1,_xll.BDP(CK59&amp;" CURNCY","LAST PRICE"))</f>
        <v>1</v>
      </c>
      <c r="CM59" s="842">
        <v>1</v>
      </c>
      <c r="CN59" s="843">
        <f ca="1">_xll.BDH(B59&amp;" EQUITY","BS_SH_OUT",R59,R59,"EQY_FUND_PER="&amp;CT59,"days=a","fill=p")-10.2</f>
        <v>67.505600000000001</v>
      </c>
      <c r="CO59" s="844" t="str">
        <f>_xll.BDP(B59&amp;" EQUITY","EQY_FISCAL_YR_END")</f>
        <v>03/2018</v>
      </c>
      <c r="CP59" s="845">
        <f t="shared" si="190"/>
        <v>31</v>
      </c>
      <c r="CQ59" s="844">
        <f t="shared" si="191"/>
        <v>3</v>
      </c>
      <c r="CR59" s="844">
        <f t="shared" si="192"/>
        <v>2018</v>
      </c>
      <c r="CS59" s="836">
        <f t="shared" ca="1" si="193"/>
        <v>42825</v>
      </c>
      <c r="CT59" s="830" t="s">
        <v>866</v>
      </c>
      <c r="CU59" s="846">
        <f t="shared" ca="1" si="194"/>
        <v>0.25</v>
      </c>
      <c r="CV59" s="846">
        <f t="shared" ca="1" si="195"/>
        <v>0.75</v>
      </c>
      <c r="CW59" s="806"/>
    </row>
    <row r="60" spans="1:101" s="847" customFormat="1" ht="11.25" customHeight="1" x14ac:dyDescent="0.25">
      <c r="A60" s="806"/>
      <c r="B60" s="830"/>
      <c r="C60" s="816"/>
      <c r="D60" s="816"/>
      <c r="E60" s="831"/>
      <c r="F60" s="832"/>
      <c r="G60" s="832"/>
      <c r="H60" s="833"/>
      <c r="I60" s="833"/>
      <c r="J60" s="833"/>
      <c r="K60" s="833"/>
      <c r="L60" s="833"/>
      <c r="M60" s="833"/>
      <c r="N60" s="834"/>
      <c r="O60" s="834"/>
      <c r="P60" s="834"/>
      <c r="Q60" s="835"/>
      <c r="R60" s="836"/>
      <c r="S60" s="837"/>
      <c r="T60" s="838"/>
      <c r="U60" s="838"/>
      <c r="V60" s="838"/>
      <c r="W60" s="838"/>
      <c r="X60" s="838"/>
      <c r="Y60" s="838"/>
      <c r="Z60" s="838"/>
      <c r="AA60" s="838"/>
      <c r="AB60" s="838"/>
      <c r="AC60" s="838"/>
      <c r="AD60" s="838"/>
      <c r="AE60" s="838"/>
      <c r="AF60" s="838"/>
      <c r="AG60" s="838"/>
      <c r="AH60" s="838"/>
      <c r="AI60" s="838"/>
      <c r="AJ60" s="838"/>
      <c r="AK60" s="838"/>
      <c r="AL60" s="838"/>
      <c r="AM60" s="838"/>
      <c r="AN60" s="838"/>
      <c r="AO60" s="838"/>
      <c r="AP60" s="838"/>
      <c r="AQ60" s="838"/>
      <c r="AR60" s="838"/>
      <c r="AS60" s="838"/>
      <c r="AT60" s="838"/>
      <c r="AU60" s="838"/>
      <c r="AV60" s="838"/>
      <c r="AW60" s="837"/>
      <c r="AX60" s="837"/>
      <c r="AY60" s="837"/>
      <c r="AZ60" s="837"/>
      <c r="BA60" s="837"/>
      <c r="BB60" s="839"/>
      <c r="BC60" s="839"/>
      <c r="BD60" s="839"/>
      <c r="BE60" s="839"/>
      <c r="BF60" s="839"/>
      <c r="BG60" s="838"/>
      <c r="BH60" s="838"/>
      <c r="BI60" s="838"/>
      <c r="BJ60" s="838"/>
      <c r="BK60" s="838"/>
      <c r="BL60" s="838"/>
      <c r="BM60" s="838"/>
      <c r="BN60" s="838"/>
      <c r="BO60" s="838"/>
      <c r="BP60" s="838"/>
      <c r="BQ60" s="837"/>
      <c r="BR60" s="837"/>
      <c r="BS60" s="837"/>
      <c r="BT60" s="837"/>
      <c r="BU60" s="837"/>
      <c r="BV60" s="838"/>
      <c r="BW60" s="838"/>
      <c r="BX60" s="838"/>
      <c r="BY60" s="838"/>
      <c r="BZ60" s="838"/>
      <c r="CA60" s="838"/>
      <c r="CB60" s="838"/>
      <c r="CC60" s="838"/>
      <c r="CD60" s="838"/>
      <c r="CE60" s="837"/>
      <c r="CF60" s="837"/>
      <c r="CG60" s="837"/>
      <c r="CH60" s="837"/>
      <c r="CI60" s="837"/>
      <c r="CJ60" s="837"/>
      <c r="CK60" s="840"/>
      <c r="CL60" s="841"/>
      <c r="CM60" s="842"/>
      <c r="CN60" s="843"/>
      <c r="CO60" s="844"/>
      <c r="CP60" s="845"/>
      <c r="CQ60" s="844"/>
      <c r="CR60" s="844"/>
      <c r="CS60" s="836"/>
      <c r="CT60" s="830"/>
      <c r="CU60" s="846"/>
      <c r="CV60" s="846"/>
      <c r="CW60" s="806"/>
    </row>
    <row r="61" spans="1:101" s="847" customFormat="1" ht="11.25" customHeight="1" x14ac:dyDescent="0.25">
      <c r="A61" s="806"/>
      <c r="B61" s="868" t="s">
        <v>1001</v>
      </c>
      <c r="C61" s="816"/>
      <c r="D61" s="816"/>
      <c r="E61" s="831"/>
      <c r="F61" s="832"/>
      <c r="G61" s="832"/>
      <c r="H61" s="833"/>
      <c r="I61" s="833"/>
      <c r="J61" s="833"/>
      <c r="K61" s="833"/>
      <c r="L61" s="833"/>
      <c r="M61" s="833"/>
      <c r="N61" s="834"/>
      <c r="O61" s="834"/>
      <c r="P61" s="834"/>
      <c r="Q61" s="835"/>
      <c r="R61" s="836"/>
      <c r="S61" s="837"/>
      <c r="T61" s="838"/>
      <c r="U61" s="838"/>
      <c r="V61" s="838"/>
      <c r="W61" s="838"/>
      <c r="X61" s="838"/>
      <c r="Y61" s="838"/>
      <c r="Z61" s="838"/>
      <c r="AA61" s="838"/>
      <c r="AB61" s="838"/>
      <c r="AC61" s="838"/>
      <c r="AD61" s="838"/>
      <c r="AE61" s="838"/>
      <c r="AF61" s="838"/>
      <c r="AG61" s="838"/>
      <c r="AH61" s="838"/>
      <c r="AI61" s="838"/>
      <c r="AJ61" s="838"/>
      <c r="AK61" s="838"/>
      <c r="AL61" s="838"/>
      <c r="AM61" s="838"/>
      <c r="AN61" s="838"/>
      <c r="AO61" s="838"/>
      <c r="AP61" s="838"/>
      <c r="AQ61" s="838"/>
      <c r="AR61" s="838"/>
      <c r="AS61" s="838"/>
      <c r="AT61" s="838"/>
      <c r="AU61" s="838"/>
      <c r="AV61" s="838"/>
      <c r="AW61" s="837"/>
      <c r="AX61" s="837"/>
      <c r="AY61" s="837"/>
      <c r="AZ61" s="837"/>
      <c r="BA61" s="837"/>
      <c r="BB61" s="839"/>
      <c r="BC61" s="839"/>
      <c r="BD61" s="839"/>
      <c r="BE61" s="839"/>
      <c r="BF61" s="839"/>
      <c r="BG61" s="838"/>
      <c r="BH61" s="838"/>
      <c r="BI61" s="838"/>
      <c r="BJ61" s="838"/>
      <c r="BK61" s="838"/>
      <c r="BL61" s="838"/>
      <c r="BM61" s="838"/>
      <c r="BN61" s="838"/>
      <c r="BO61" s="838"/>
      <c r="BP61" s="838"/>
      <c r="BQ61" s="837"/>
      <c r="BR61" s="837"/>
      <c r="BS61" s="837"/>
      <c r="BT61" s="837"/>
      <c r="BU61" s="837"/>
      <c r="BV61" s="838"/>
      <c r="BW61" s="838"/>
      <c r="BX61" s="838"/>
      <c r="BY61" s="838"/>
      <c r="BZ61" s="838"/>
      <c r="CA61" s="838"/>
      <c r="CB61" s="838"/>
      <c r="CC61" s="838"/>
      <c r="CD61" s="838"/>
      <c r="CE61" s="837"/>
      <c r="CF61" s="837"/>
      <c r="CG61" s="837"/>
      <c r="CH61" s="837"/>
      <c r="CI61" s="837"/>
      <c r="CJ61" s="837"/>
      <c r="CK61" s="840"/>
      <c r="CL61" s="841"/>
      <c r="CM61" s="842"/>
      <c r="CN61" s="843"/>
      <c r="CO61" s="844"/>
      <c r="CP61" s="845"/>
      <c r="CQ61" s="844"/>
      <c r="CR61" s="844"/>
      <c r="CS61" s="836"/>
      <c r="CT61" s="830"/>
      <c r="CU61" s="846"/>
      <c r="CV61" s="846"/>
      <c r="CW61" s="806"/>
    </row>
    <row r="62" spans="1:101" s="847" customFormat="1" ht="11.25" customHeight="1" x14ac:dyDescent="0.25">
      <c r="A62" s="806"/>
      <c r="B62" s="830" t="s">
        <v>805</v>
      </c>
      <c r="C62" s="816" t="str">
        <f>_xll.BDP($B62&amp;" EQUITY","Name")</f>
        <v>LIVERAMP HOLDINGS INC</v>
      </c>
      <c r="D62" s="816"/>
      <c r="E62" s="831">
        <f t="shared" ref="E62:E74" ca="1" si="267">+F62/CN62</f>
        <v>38.273032820295654</v>
      </c>
      <c r="F62" s="832">
        <f t="shared" ref="F62:F74" ca="1" si="268">+G62-T62-U62-V62-W62+X62+Y62</f>
        <v>2583.6440443537504</v>
      </c>
      <c r="G62" s="832">
        <f t="shared" ref="G62:G74" ca="1" si="269">AB62</f>
        <v>1581.9759375000001</v>
      </c>
      <c r="H62" s="833">
        <f t="shared" ref="H62:H74" ca="1" si="270">IF(ISERROR(AB62/BV62),"N/A",AB62/BV62)</f>
        <v>6.052631578947369</v>
      </c>
      <c r="I62" s="896">
        <v>5</v>
      </c>
      <c r="J62" s="833">
        <f t="shared" ref="J62:J74" ca="1" si="271">IF(ISERROR(AB62/BX62),"N/A",AB62/BX62)</f>
        <v>4.3071161048689142</v>
      </c>
      <c r="K62" s="833"/>
      <c r="L62" s="892"/>
      <c r="M62" s="833"/>
      <c r="N62" s="834"/>
      <c r="O62" s="834"/>
      <c r="P62" s="834"/>
      <c r="Q62" s="835"/>
      <c r="R62" s="836">
        <f t="shared" ref="R62:R74" ca="1" si="272">+$C$1</f>
        <v>43433</v>
      </c>
      <c r="S62" s="837">
        <f ca="1">_xll.BDH(B62&amp;" Equity","PX_LAST",R62,R62,"days=a","fill=p")*CL62*CM62</f>
        <v>46.924999999999997</v>
      </c>
      <c r="T62" s="838">
        <f ca="1">IF(ISERROR(_xll.BDP(B62&amp;" Equity","BS_ST_BORROW", "EQY_FUND_DT=" &amp;TEXT(R62,"YYYYMMDD"), "EQY_FUND_RELATIVE_PERIOD=-0F"&amp;CT62)+0),_xll.BDP(B62&amp;" Equity","BS_ST_BORROW", "EQY_FUND_DT=" &amp;TEXT(R62,"YYYYMMDD"), "EQY_FUND_RELATIVE_PERIOD=-1F"&amp;CT62),_xll.BDP(B62&amp;" Equity","BS_ST_BORROW", "EQY_FUND_DT=" &amp;TEXT(R62,"YYYYMMDD"), "EQY_FUND_RELATIVE_PERIOD=-0F"&amp;CT62))</f>
        <v>0</v>
      </c>
      <c r="U62" s="838">
        <v>0</v>
      </c>
      <c r="V62" s="838">
        <v>0</v>
      </c>
      <c r="W62" s="838">
        <v>0</v>
      </c>
      <c r="X62" s="838">
        <f>+Balance!$CL$61</f>
        <v>1001.6681068537501</v>
      </c>
      <c r="Y62" s="838">
        <v>0</v>
      </c>
      <c r="Z62" s="838">
        <f ca="1">IF(ISERROR(_xll.BDP(B62&amp;" Equity","BS_SH_CAP_AND_APIC", "EQY_FUND_DT=" &amp;TEXT(R62,"YYYYMMDD"),"EQY_FUND_RELATIVE_PERIOD=-0F"&amp;CT62)+0),_xll.BDP(B62&amp;" Equity","BS_SH_CAP_AND_APIC", "EQY_FUND_DT=" &amp;TEXT(R62,"YYYYMMDD"),"EQY_FUND_RELATIVE_PERIOD=-1F"&amp;CT62),_xll.BDP(B62&amp;" Equity","BS_SH_CAP_AND_APIC", "EQY_FUND_DT=" &amp;TEXT(R62,"YYYYMMDD"),"EQY_FUND_RELATIVE_PERIOD=-0F"&amp;CT62))</f>
        <v>1291.45</v>
      </c>
      <c r="AA62" s="838">
        <f ca="1">IF(ISERROR(_xll.BDP(B62&amp;" Equity","BS_RETAIN_EARN", "EQY_FUND_DT=" &amp;TEXT(R62,"YYYYMMDD"),"EQY_FUND_RELATIVE_PERIOD=-0F"&amp;CT62)+0),_xll.BDP(B62&amp;" Equity","BS_RETAIN_EARN", "EQY_FUND_DT=" &amp;TEXT(R62,"YYYYMMDD"),"EQY_FUND_RELATIVE_PERIOD=-1F"&amp;CT62),_xll.BDP(B62&amp;" Equity","BS_RETAIN_EARN", "EQY_FUND_DT=" &amp;TEXT(R62,"YYYYMMDD"),"EQY_FUND_RELATIVE_PERIOD=-0F"&amp;CT62))</f>
        <v>-530.77200000000005</v>
      </c>
      <c r="AB62" s="838">
        <f t="shared" ref="AB62:AB74" ca="1" si="273">+BW62*I62</f>
        <v>1581.9759375000001</v>
      </c>
      <c r="AC62" s="838">
        <f ca="1">_xll.BDH(B62&amp;" EQUITY","TRAIL_12M_NET_SALES", R62,R62,"days=a","fill=p")</f>
        <v>771.42399999999998</v>
      </c>
      <c r="AD62" s="838">
        <v>220.101</v>
      </c>
      <c r="AE62" s="838">
        <f>+AE44</f>
        <v>275.12625000000003</v>
      </c>
      <c r="AF62" s="838">
        <f t="shared" ref="AF62:AG62" si="274">+AF44</f>
        <v>330.1515</v>
      </c>
      <c r="AG62" s="838">
        <f t="shared" si="274"/>
        <v>379.67422499999998</v>
      </c>
      <c r="AH62" s="838">
        <f ca="1">_xll.BDH(B62&amp;" EQUITY","TRAIL_12M_EBITDA",R62,R62,"days=a","fill=p")</f>
        <v>44.344000000000001</v>
      </c>
      <c r="AI62" s="838">
        <f ca="1">_xll.BDH(B62&amp;" EQUITY","BEST_GROSS_MARGIN",R62,R62,"BEST_FPERIOD_OVERRIDE="&amp;RIGHT(YEAR(CS62)+1,2)&amp;"Y", "days=a","fill=p")%*AD62</f>
        <v>107.2332072</v>
      </c>
      <c r="AJ62" s="838">
        <f ca="1">_xll.BDH(B62&amp;" EQUITY","BEST_GROSS_MARGIN",R62,R62,"BEST_FPERIOD_OVERRIDE="&amp;RIGHT(YEAR(CS62)+2,2)&amp;"Y", "days=a","fill=p")%*AE62</f>
        <v>164.15957958750002</v>
      </c>
      <c r="AK62" s="838">
        <f ca="1">_xll.BDH(B62&amp;" EQUITY","BEST_GROSS_MARGIN",R62,R62,"BEST_FPERIOD_OVERRIDE="&amp;RIGHT(YEAR(CS62)+3,2)&amp;"Y", "days=a","fill=p")%*AF62</f>
        <v>222.02688375</v>
      </c>
      <c r="AL62" s="838">
        <f ca="1">_xll.BDH(B62&amp;" EQUITY","BEST_GROSS_MARGIN",R62,R62,"BEST_FPERIOD_OVERRIDE="&amp;RIGHT(YEAR(CS62)+4,2)&amp;"Y", "days=a","fill=p")%*AG62</f>
        <v>280.95892649999996</v>
      </c>
      <c r="AM62" s="838">
        <f ca="1">_xll.BDH(B62&amp;" EQUITY","TRAIL_12M_OPER_INC",R62,R62,"days=a","fill=p")</f>
        <v>-28.047000000000001</v>
      </c>
      <c r="AN62" s="838">
        <f ca="1">_xll.BDH(B62&amp;" EQUITY","BEST_EBIT",R62,R62,"BEST_FPERIOD_OVERRIDE="&amp;RIGHT(YEAR(CS62)+1,2)&amp;"Y", "days=a","fill=p")</f>
        <v>12.8</v>
      </c>
      <c r="AO62" s="838">
        <f ca="1">_xll.BDH(B62&amp;" EQUITY","BEST_EBIT",R62,R62,"BEST_FPERIOD_OVERRIDE="&amp;RIGHT(YEAR(CS62)+2,2)&amp;"Y", "days=a","fill=p")</f>
        <v>54.332999999999998</v>
      </c>
      <c r="AP62" s="838">
        <f ca="1">_xll.BDH(B62&amp;" EQUITY","BEST_EBIT",R62,R62,"BEST_FPERIOD_OVERRIDE="&amp;RIGHT(YEAR(CS62)+3,2)&amp;"Y", "days=a","fill=p")</f>
        <v>-56.433</v>
      </c>
      <c r="AQ62" s="838">
        <f ca="1">_xll.BDH(B62&amp;" EQUITY","BEST_EBIT",R62,R62,"BEST_FPERIOD_OVERRIDE="&amp;RIGHT(YEAR(CS62)+4,2)&amp;"Y", "days=a","fill=p")</f>
        <v>-17.13</v>
      </c>
      <c r="AR62" s="838">
        <f ca="1">_xll.BDH(B62&amp;" EQUITY","TRAIL_12M_EST_COMP_NET_INC_ADJ",R62,R62,"days=a","fill=p")</f>
        <v>0.46779999999999999</v>
      </c>
      <c r="AS62" s="838">
        <f ca="1">_xll.BDH(B62&amp;" EQUITY","BEST_NET_INCOME",R62,R62,"BEST_FPERIOD_OVERRIDE="&amp;RIGHT(YEAR(CS62)+1,2)&amp;"Y", "days=a","fill=p")</f>
        <v>71.739999999999995</v>
      </c>
      <c r="AT62" s="838">
        <f ca="1">_xll.BDH(B62&amp;" EQUITY","BEST_NET_INCOME",R62,R62,"BEST_FPERIOD_OVERRIDE="&amp;RIGHT(YEAR(CS62)+2,2)&amp;"Y", "days=a","fill=p")</f>
        <v>-38.78</v>
      </c>
      <c r="AU62" s="838">
        <f ca="1">_xll.BDH(B62&amp;" EQUITY","BEST_NET_INCOME",R62,R62,"BEST_FPERIOD_OVERRIDE="&amp;RIGHT(YEAR(CS62)+3,2)&amp;"Y", "days=a","fill=p")</f>
        <v>-20.318000000000001</v>
      </c>
      <c r="AV62" s="838">
        <f ca="1">_xll.BDH(B62&amp;" EQUITY","BEST_NET_INCOME",R62,R62,"BEST_FPERIOD_OVERRIDE="&amp;RIGHT(YEAR(CS62)+4,2)&amp;"Y", "days=a","fill=p")</f>
        <v>16.167000000000002</v>
      </c>
      <c r="AW62" s="837">
        <f ca="1">_xll.BDH(B62&amp;" EQUITY","T12M_DIL_EPS_CONT_OPS", R62,R62,"days=a","fill=p")</f>
        <v>1.9400000000000001E-2</v>
      </c>
      <c r="AX62" s="837">
        <f ca="1">_xll.BDH(B62&amp;" EQUITY","BEST_EPS",R62,R62,"BEST_FPERIOD_OVERRIDE="&amp;RIGHT(YEAR(CS62)+1,2)&amp;"Y", "days=a","fill=p")</f>
        <v>0.876</v>
      </c>
      <c r="AY62" s="837">
        <f ca="1">_xll.BDH(B62&amp;" EQUITY","BEST_EPS",R62,R62,"BEST_FPERIOD_OVERRIDE="&amp;RIGHT(YEAR(CS62)+2,2)&amp;"Y", "days=a","fill=p")</f>
        <v>-0.17</v>
      </c>
      <c r="AZ62" s="837">
        <f ca="1">_xll.BDH(B62&amp;" EQUITY","BEST_EPS",R62,R62,"BEST_FPERIOD_OVERRIDE="&amp;RIGHT(YEAR(CS62)+3,2)&amp;"Y", "days=a","fill=p")</f>
        <v>-0.127</v>
      </c>
      <c r="BA62" s="837">
        <f ca="1">_xll.BDH(B62&amp;" EQUITY","BEST_EPS",R62,R62,"BEST_FPERIOD_OVERRIDE="&amp;RIGHT(YEAR(CS62)+4,2)&amp;"Y", "days=a","fill=p")</f>
        <v>0.47299999999999998</v>
      </c>
      <c r="BB62" s="839">
        <f t="shared" ref="BB62:BB74" ca="1" si="275">+AR62/AW62</f>
        <v>24.11340206185567</v>
      </c>
      <c r="BC62" s="839">
        <f t="shared" ref="BC62:BC74" ca="1" si="276">+AS62/AX62</f>
        <v>81.894977168949765</v>
      </c>
      <c r="BD62" s="839">
        <f t="shared" ref="BD62:BD74" ca="1" si="277">+AT62/AY62</f>
        <v>228.11764705882351</v>
      </c>
      <c r="BE62" s="839">
        <f t="shared" ref="BE62:BE74" ca="1" si="278">+AU62/AZ62</f>
        <v>159.98425196850394</v>
      </c>
      <c r="BF62" s="839">
        <f t="shared" ref="BF62:BF74" ca="1" si="279">+AV62/BA62</f>
        <v>34.179704016913327</v>
      </c>
      <c r="BG62" s="838">
        <f ca="1">_xll.BDH(B62&amp;" EQUITY","TRAIL_12M_CAP_EXPEND", R62,R62,"days=a","fill=p")</f>
        <v>-46.024999999999999</v>
      </c>
      <c r="BH62" s="838">
        <f ca="1">_xll.BDH(B62&amp;" EQUITY","BEST_CAPEX",R62,R62,"BEST_FPERIOD_OVERRIDE="&amp;RIGHT(YEAR(CS62)+1,2)&amp;"Y", "days=a","fill=p")</f>
        <v>-41.85</v>
      </c>
      <c r="BI62" s="838">
        <f ca="1">_xll.BDH(B62&amp;" EQUITY","BEST_CAPEX",R62,R62,"BEST_FPERIOD_OVERRIDE="&amp;RIGHT(YEAR(CS62)+2,2)&amp;"Y", "days=a","fill=p")</f>
        <v>-12.05</v>
      </c>
      <c r="BJ62" s="838">
        <f ca="1">_xll.BDH(B62&amp;" EQUITY","BEST_CAPEX",R62,R62,"BEST_FPERIOD_OVERRIDE="&amp;RIGHT(YEAR(CS62)+3,2)&amp;"Y", "days=a","fill=p")</f>
        <v>-15.55</v>
      </c>
      <c r="BK62" s="838">
        <f ca="1">_xll.BDH(B62&amp;" EQUITY","BEST_CAPEX",R62,R62,"BEST_FPERIOD_OVERRIDE="&amp;RIGHT(YEAR(CS62)+4,2)&amp;"Y", "days=a","fill=p")</f>
        <v>-18.75</v>
      </c>
      <c r="BL62" s="838">
        <f t="shared" ref="BL62:BL74" ca="1" si="280">+AH62-AM62</f>
        <v>72.391000000000005</v>
      </c>
      <c r="BM62" s="838">
        <f t="shared" ref="BM62:BM74" ca="1" si="281">+AI62-AN62</f>
        <v>94.433207199999998</v>
      </c>
      <c r="BN62" s="838">
        <f t="shared" ref="BN62:BN74" ca="1" si="282">+AJ62-AO62</f>
        <v>109.82657958750002</v>
      </c>
      <c r="BO62" s="838">
        <f t="shared" ref="BO62:BO74" ca="1" si="283">+AK62-AP62</f>
        <v>278.45988375000002</v>
      </c>
      <c r="BP62" s="838">
        <f t="shared" ref="BP62:BP74" ca="1" si="284">+AL62-AQ62</f>
        <v>298.08892649999996</v>
      </c>
      <c r="BQ62" s="837">
        <f t="shared" ref="BQ62:BQ74" ca="1" si="285">(AR62+BL62+BG62)/BB62</f>
        <v>1.1128168448054725</v>
      </c>
      <c r="BR62" s="837">
        <f t="shared" ref="BR62:BR74" ca="1" si="286">(AS62+BM62+BH62)/BC62</f>
        <v>1.5180809800278783</v>
      </c>
      <c r="BS62" s="837">
        <f t="shared" ref="BS62:BS74" ca="1" si="287">(AT62+BN62+BI62)/BD62</f>
        <v>0.25862347936758651</v>
      </c>
      <c r="BT62" s="837">
        <f t="shared" ref="BT62:BT74" ca="1" si="288">(AU62+BO62+BJ62)/BE62</f>
        <v>1.5163485203391083</v>
      </c>
      <c r="BU62" s="837">
        <f t="shared" ref="BU62:BU74" ca="1" si="289">(AV62+BP62+BK62)/BF62</f>
        <v>8.6456549288365157</v>
      </c>
      <c r="BV62" s="838">
        <f t="shared" ref="BV62:BV74" ca="1" si="290">IF(CQ62=12,AD62,IF(ISERROR(AD62*CU62+AE62*CV62),"N/A",AD62*CU62+AE62*CV62))</f>
        <v>261.36993749999999</v>
      </c>
      <c r="BW62" s="838">
        <f t="shared" ref="BW62:BW74" ca="1" si="291">IF(CQ62=12,AE62,IF(ISERROR(AE62*CU62+AF62*CV62),"N/A",AE62*CU62+AF62*CV62))</f>
        <v>316.39518750000002</v>
      </c>
      <c r="BX62" s="838">
        <f t="shared" ref="BX62:BX74" ca="1" si="292">IF($CQ62=12,AF62,IF(ISERROR(AF62*$CU62+AG62*$CV62),"N/A",AF62*$CU62+AG62*$CV62))</f>
        <v>367.29354374999997</v>
      </c>
      <c r="BY62" s="838">
        <f t="shared" ref="BY62:BY74" ca="1" si="293">IF(CQ62=12,AI62,IF(ISERROR(AI62*CU62+AJ62*CV62),"N/A",AI62*CU62+AJ62*CV62))</f>
        <v>149.92798649062502</v>
      </c>
      <c r="BZ62" s="838">
        <f t="shared" ref="BZ62:BZ74" ca="1" si="294">IF(CQ62=12,AJ62,IF(ISERROR(AJ62*CU62+AK62*CV62),"N/A",AJ62*CU62+AK62*CV62))</f>
        <v>207.560057709375</v>
      </c>
      <c r="CA62" s="838">
        <f t="shared" ref="CA62:CA74" ca="1" si="295">IF($CQ62=12,AK62,IF(ISERROR(AK62*$CU62+AL62*$CV62),"N/A",AK62*$CU62+AL62*$CV62))</f>
        <v>266.22591581249998</v>
      </c>
      <c r="CB62" s="838">
        <f t="shared" ref="CB62:CB74" ca="1" si="296">IF(CQ62=12,AN62,IF(ISERROR(AN62*CU62+AO62*CV62),"N/A",AN62*CU62+AO62*CV62))</f>
        <v>43.949750000000002</v>
      </c>
      <c r="CC62" s="838">
        <f t="shared" ref="CC62:CC74" ca="1" si="297">IF(CQ62=12,AO62,IF(ISERROR(AO62*CU62+AP62*CV62),"N/A",AO62*CU62+AP62*CV62))</f>
        <v>-28.741500000000002</v>
      </c>
      <c r="CD62" s="838">
        <f t="shared" ref="CD62:CD74" ca="1" si="298">IF($CQ62=12,AP62,IF(ISERROR(AP62*$CU62+AQ62*$CV62),"N/A",AP62*$CU62+AQ62*$CV62))</f>
        <v>-26.955750000000002</v>
      </c>
      <c r="CE62" s="837">
        <f t="shared" ref="CE62:CE74" ca="1" si="299">IF(CQ62=12,AX62,IF(ISERROR(AX62*CU62+AY62*CV62),"N/A",AX62*CU62+AY62*CV62))</f>
        <v>9.1499999999999998E-2</v>
      </c>
      <c r="CF62" s="837">
        <f t="shared" ref="CF62:CF74" ca="1" si="300">IF(CQ62=12,AY62,IF(ISERROR(AY62*CU62+AZ62*CV62),"N/A",AY62*CU62+AZ62*CV62))</f>
        <v>-0.13775000000000001</v>
      </c>
      <c r="CG62" s="837">
        <f t="shared" ref="CG62:CG74" ca="1" si="301">IF($CQ62=12,AZ62,IF(ISERROR(AZ62*$CU62+BA62*$CV62),"N/A",AZ62*$CU62+BA62*$CV62))</f>
        <v>0.32300000000000001</v>
      </c>
      <c r="CH62" s="837">
        <f t="shared" ref="CH62:CH74" ca="1" si="302">IF(CQ62=12,BR62,IF(ISERROR(BR62*CU62+BS62*CV62),"N/A",BR62*CU62+BS62*CV62))</f>
        <v>0.57348785453265938</v>
      </c>
      <c r="CI62" s="837">
        <f t="shared" ref="CI62:CI74" ca="1" si="303">IF(CQ62=12,BS62,IF(ISERROR(BS62*CU62+BT62*CV62),"N/A",BS62*CU62+BT62*CV62))</f>
        <v>1.2019172600962278</v>
      </c>
      <c r="CJ62" s="837">
        <f t="shared" ref="CJ62:CJ74" ca="1" si="304">IF($CQ62=12,BT62,IF(ISERROR(BT62*$CU62+BU62*$CV62),"N/A",BT62*$CU62+BU62*$CV62))</f>
        <v>6.8633283267121641</v>
      </c>
      <c r="CK62" s="840"/>
      <c r="CL62" s="841">
        <f>IF(CK62="",1,_xll.BDP(CK62&amp;" CURNCY","LAST PRICE"))</f>
        <v>1</v>
      </c>
      <c r="CM62" s="842">
        <v>1</v>
      </c>
      <c r="CN62" s="843">
        <f ca="1">_xll.BDH(B62&amp;" EQUITY","BS_SH_OUT",R62,R62,"EQY_FUND_PER="&amp;CT62,"days=a","fill=p")-10.2</f>
        <v>67.505600000000001</v>
      </c>
      <c r="CO62" s="844" t="str">
        <f>_xll.BDP(B62&amp;" EQUITY","EQY_FISCAL_YR_END")</f>
        <v>03/2018</v>
      </c>
      <c r="CP62" s="845">
        <f t="shared" ref="CP62:CP74" si="305">DAY(DATE(YEAR(CO62),1+MONTH(CO62),0))</f>
        <v>31</v>
      </c>
      <c r="CQ62" s="844">
        <f t="shared" ref="CQ62:CQ74" si="306">+MONTH(CO62)</f>
        <v>3</v>
      </c>
      <c r="CR62" s="844">
        <f t="shared" ref="CR62:CR74" si="307">YEAR(CO62)</f>
        <v>2018</v>
      </c>
      <c r="CS62" s="836">
        <f t="shared" ref="CS62:CS74" ca="1" si="308">+DATE(CR62,CQ62,CP62)-((CR62-YEAR($R$7)+1)*365)</f>
        <v>42825</v>
      </c>
      <c r="CT62" s="830" t="s">
        <v>866</v>
      </c>
      <c r="CU62" s="846">
        <f t="shared" ref="CU62:CU74" ca="1" si="309">+MONTH(CS62)/12</f>
        <v>0.25</v>
      </c>
      <c r="CV62" s="846">
        <f t="shared" ref="CV62:CV74" ca="1" si="310">1-CU62</f>
        <v>0.75</v>
      </c>
      <c r="CW62" s="806"/>
    </row>
    <row r="63" spans="1:101" s="847" customFormat="1" ht="11.25" customHeight="1" x14ac:dyDescent="0.25">
      <c r="A63" s="806"/>
      <c r="B63" s="830" t="s">
        <v>805</v>
      </c>
      <c r="C63" s="816" t="str">
        <f>_xll.BDP($B63&amp;" EQUITY","Name")</f>
        <v>LIVERAMP HOLDINGS INC</v>
      </c>
      <c r="D63" s="816"/>
      <c r="E63" s="831">
        <f t="shared" ca="1" si="267"/>
        <v>38.273032820295654</v>
      </c>
      <c r="F63" s="832">
        <f t="shared" ca="1" si="268"/>
        <v>2583.6440443537504</v>
      </c>
      <c r="G63" s="832">
        <f t="shared" ca="1" si="269"/>
        <v>1581.9759375000001</v>
      </c>
      <c r="H63" s="833">
        <f t="shared" ca="1" si="270"/>
        <v>6.052631578947369</v>
      </c>
      <c r="I63" s="869">
        <f>+I62+0.2</f>
        <v>5.2</v>
      </c>
      <c r="J63" s="869">
        <f t="shared" ca="1" si="271"/>
        <v>4.3071161048689142</v>
      </c>
      <c r="K63" s="833"/>
      <c r="L63" s="833"/>
      <c r="M63" s="892"/>
      <c r="N63" s="834"/>
      <c r="O63" s="834"/>
      <c r="P63" s="834"/>
      <c r="Q63" s="835"/>
      <c r="R63" s="836">
        <f t="shared" ca="1" si="272"/>
        <v>43433</v>
      </c>
      <c r="S63" s="837">
        <f ca="1">S62</f>
        <v>46.924999999999997</v>
      </c>
      <c r="T63" s="838">
        <f t="shared" ref="T63:T74" ca="1" si="311">T62</f>
        <v>0</v>
      </c>
      <c r="U63" s="838">
        <f t="shared" ref="U63:U74" si="312">U62</f>
        <v>0</v>
      </c>
      <c r="V63" s="838">
        <f t="shared" ref="V63:V74" si="313">V62</f>
        <v>0</v>
      </c>
      <c r="W63" s="838">
        <f t="shared" ref="W63:W74" si="314">W62</f>
        <v>0</v>
      </c>
      <c r="X63" s="838">
        <f t="shared" ref="X63:X74" si="315">X62</f>
        <v>1001.6681068537501</v>
      </c>
      <c r="Y63" s="838">
        <f t="shared" ref="Y63:Y74" si="316">Y62</f>
        <v>0</v>
      </c>
      <c r="Z63" s="838">
        <f t="shared" ref="Z63:Z74" ca="1" si="317">Z62</f>
        <v>1291.45</v>
      </c>
      <c r="AA63" s="838">
        <f t="shared" ref="AA63:AA74" ca="1" si="318">AA62</f>
        <v>-530.77200000000005</v>
      </c>
      <c r="AB63" s="838">
        <f t="shared" ref="AB63:AB74" ca="1" si="319">AB62</f>
        <v>1581.9759375000001</v>
      </c>
      <c r="AC63" s="838">
        <f t="shared" ref="AC63:AC74" ca="1" si="320">AC62</f>
        <v>771.42399999999998</v>
      </c>
      <c r="AD63" s="838">
        <f t="shared" ref="AD63:AD74" si="321">AD62</f>
        <v>220.101</v>
      </c>
      <c r="AE63" s="838">
        <f t="shared" ref="AE63:AE74" si="322">AE62</f>
        <v>275.12625000000003</v>
      </c>
      <c r="AF63" s="838">
        <f t="shared" ref="AF63:AF74" si="323">AF62</f>
        <v>330.1515</v>
      </c>
      <c r="AG63" s="838">
        <f t="shared" ref="AG63:AG74" si="324">AG62</f>
        <v>379.67422499999998</v>
      </c>
      <c r="AH63" s="838">
        <f t="shared" ref="AH63:AH74" ca="1" si="325">AH62</f>
        <v>44.344000000000001</v>
      </c>
      <c r="AI63" s="838">
        <f t="shared" ref="AI63:AI74" ca="1" si="326">AI62</f>
        <v>107.2332072</v>
      </c>
      <c r="AJ63" s="838">
        <f t="shared" ref="AJ63:AJ74" ca="1" si="327">AJ62</f>
        <v>164.15957958750002</v>
      </c>
      <c r="AK63" s="838">
        <f t="shared" ref="AK63:AK74" ca="1" si="328">AK62</f>
        <v>222.02688375</v>
      </c>
      <c r="AL63" s="838">
        <f t="shared" ref="AL63:AL74" ca="1" si="329">AL62</f>
        <v>280.95892649999996</v>
      </c>
      <c r="AM63" s="838">
        <f t="shared" ref="AM63:AM74" ca="1" si="330">AM62</f>
        <v>-28.047000000000001</v>
      </c>
      <c r="AN63" s="838">
        <f t="shared" ref="AN63:AN74" ca="1" si="331">AN62</f>
        <v>12.8</v>
      </c>
      <c r="AO63" s="838">
        <f t="shared" ref="AO63:AO74" ca="1" si="332">AO62</f>
        <v>54.332999999999998</v>
      </c>
      <c r="AP63" s="838">
        <f t="shared" ref="AP63:AP74" ca="1" si="333">AP62</f>
        <v>-56.433</v>
      </c>
      <c r="AQ63" s="838">
        <f t="shared" ref="AQ63:AQ74" ca="1" si="334">AQ62</f>
        <v>-17.13</v>
      </c>
      <c r="AR63" s="838">
        <f t="shared" ref="AR63:AR74" ca="1" si="335">AR62</f>
        <v>0.46779999999999999</v>
      </c>
      <c r="AS63" s="838">
        <f t="shared" ref="AS63:AS74" ca="1" si="336">AS62</f>
        <v>71.739999999999995</v>
      </c>
      <c r="AT63" s="838">
        <f t="shared" ref="AT63:AT74" ca="1" si="337">AT62</f>
        <v>-38.78</v>
      </c>
      <c r="AU63" s="838">
        <f t="shared" ref="AU63:AU74" ca="1" si="338">AU62</f>
        <v>-20.318000000000001</v>
      </c>
      <c r="AV63" s="838">
        <f t="shared" ref="AV63:AV74" ca="1" si="339">AV62</f>
        <v>16.167000000000002</v>
      </c>
      <c r="AW63" s="837">
        <f t="shared" ref="AW63:AW74" ca="1" si="340">AW62</f>
        <v>1.9400000000000001E-2</v>
      </c>
      <c r="AX63" s="837">
        <f t="shared" ref="AX63:AX74" ca="1" si="341">AX62</f>
        <v>0.876</v>
      </c>
      <c r="AY63" s="837">
        <f t="shared" ref="AY63:AY74" ca="1" si="342">AY62</f>
        <v>-0.17</v>
      </c>
      <c r="AZ63" s="837">
        <f t="shared" ref="AZ63:AZ74" ca="1" si="343">AZ62</f>
        <v>-0.127</v>
      </c>
      <c r="BA63" s="837">
        <f t="shared" ref="BA63:BA74" ca="1" si="344">BA62</f>
        <v>0.47299999999999998</v>
      </c>
      <c r="BB63" s="839">
        <f t="shared" ref="BB63:BB74" ca="1" si="345">BB62</f>
        <v>24.11340206185567</v>
      </c>
      <c r="BC63" s="839">
        <f t="shared" ref="BC63:BC74" ca="1" si="346">BC62</f>
        <v>81.894977168949765</v>
      </c>
      <c r="BD63" s="839">
        <f t="shared" ref="BD63:BD74" ca="1" si="347">BD62</f>
        <v>228.11764705882351</v>
      </c>
      <c r="BE63" s="839">
        <f t="shared" ref="BE63:BE74" ca="1" si="348">BE62</f>
        <v>159.98425196850394</v>
      </c>
      <c r="BF63" s="839">
        <f t="shared" ref="BF63:BF74" ca="1" si="349">BF62</f>
        <v>34.179704016913327</v>
      </c>
      <c r="BG63" s="838">
        <f t="shared" ref="BG63:BG74" ca="1" si="350">BG62</f>
        <v>-46.024999999999999</v>
      </c>
      <c r="BH63" s="838">
        <f t="shared" ref="BH63:BH74" ca="1" si="351">BH62</f>
        <v>-41.85</v>
      </c>
      <c r="BI63" s="838">
        <f t="shared" ref="BI63:BI74" ca="1" si="352">BI62</f>
        <v>-12.05</v>
      </c>
      <c r="BJ63" s="838">
        <f t="shared" ref="BJ63:BJ74" ca="1" si="353">BJ62</f>
        <v>-15.55</v>
      </c>
      <c r="BK63" s="838">
        <f t="shared" ref="BK63:BK74" ca="1" si="354">BK62</f>
        <v>-18.75</v>
      </c>
      <c r="BL63" s="838">
        <f t="shared" ref="BL63:BL74" ca="1" si="355">BL62</f>
        <v>72.391000000000005</v>
      </c>
      <c r="BM63" s="838">
        <f t="shared" ref="BM63:BM74" ca="1" si="356">BM62</f>
        <v>94.433207199999998</v>
      </c>
      <c r="BN63" s="838">
        <f t="shared" ref="BN63:BN74" ca="1" si="357">BN62</f>
        <v>109.82657958750002</v>
      </c>
      <c r="BO63" s="838">
        <f t="shared" ref="BO63:BO74" ca="1" si="358">BO62</f>
        <v>278.45988375000002</v>
      </c>
      <c r="BP63" s="838">
        <f t="shared" ref="BP63:BP74" ca="1" si="359">BP62</f>
        <v>298.08892649999996</v>
      </c>
      <c r="BQ63" s="837">
        <f t="shared" ref="BQ63:BQ74" ca="1" si="360">BQ62</f>
        <v>1.1128168448054725</v>
      </c>
      <c r="BR63" s="837">
        <f t="shared" ref="BR63:BR74" ca="1" si="361">BR62</f>
        <v>1.5180809800278783</v>
      </c>
      <c r="BS63" s="837">
        <f t="shared" ref="BS63:BS74" ca="1" si="362">BS62</f>
        <v>0.25862347936758651</v>
      </c>
      <c r="BT63" s="837">
        <f t="shared" ref="BT63:BT74" ca="1" si="363">BT62</f>
        <v>1.5163485203391083</v>
      </c>
      <c r="BU63" s="837">
        <f t="shared" ref="BU63:BU74" ca="1" si="364">BU62</f>
        <v>8.6456549288365157</v>
      </c>
      <c r="BV63" s="838">
        <f t="shared" ref="BV63:BV74" ca="1" si="365">BV62</f>
        <v>261.36993749999999</v>
      </c>
      <c r="BW63" s="838">
        <f t="shared" ref="BW63:BW74" ca="1" si="366">BW62</f>
        <v>316.39518750000002</v>
      </c>
      <c r="BX63" s="838">
        <f t="shared" ref="BX63:BX74" ca="1" si="367">BX62</f>
        <v>367.29354374999997</v>
      </c>
      <c r="BY63" s="838">
        <f t="shared" ref="BY63:BY74" ca="1" si="368">BY62</f>
        <v>149.92798649062502</v>
      </c>
      <c r="BZ63" s="838">
        <f t="shared" ref="BZ63:BZ74" ca="1" si="369">BZ62</f>
        <v>207.560057709375</v>
      </c>
      <c r="CA63" s="838">
        <f t="shared" ref="CA63:CA74" ca="1" si="370">CA62</f>
        <v>266.22591581249998</v>
      </c>
      <c r="CB63" s="838">
        <f t="shared" ref="CB63:CB74" ca="1" si="371">CB62</f>
        <v>43.949750000000002</v>
      </c>
      <c r="CC63" s="838">
        <f t="shared" ref="CC63:CC74" ca="1" si="372">CC62</f>
        <v>-28.741500000000002</v>
      </c>
      <c r="CD63" s="838">
        <f t="shared" ref="CD63:CD74" ca="1" si="373">CD62</f>
        <v>-26.955750000000002</v>
      </c>
      <c r="CE63" s="837">
        <f t="shared" ref="CE63:CE74" ca="1" si="374">CE62</f>
        <v>9.1499999999999998E-2</v>
      </c>
      <c r="CF63" s="837">
        <f t="shared" ref="CF63:CF74" ca="1" si="375">CF62</f>
        <v>-0.13775000000000001</v>
      </c>
      <c r="CG63" s="837">
        <f t="shared" ref="CG63:CG74" ca="1" si="376">CG62</f>
        <v>0.32300000000000001</v>
      </c>
      <c r="CH63" s="837">
        <f t="shared" ref="CH63:CH74" ca="1" si="377">CH62</f>
        <v>0.57348785453265938</v>
      </c>
      <c r="CI63" s="837">
        <f t="shared" ref="CI63:CI74" ca="1" si="378">CI62</f>
        <v>1.2019172600962278</v>
      </c>
      <c r="CJ63" s="837">
        <f t="shared" ref="CJ63:CJ74" ca="1" si="379">CJ62</f>
        <v>6.8633283267121641</v>
      </c>
      <c r="CK63" s="840"/>
      <c r="CL63" s="841">
        <f>IF(CK63="",1,_xll.BDP(CK63&amp;" CURNCY","LAST PRICE"))</f>
        <v>1</v>
      </c>
      <c r="CM63" s="842">
        <v>1</v>
      </c>
      <c r="CN63" s="843">
        <f ca="1">_xll.BDH(B63&amp;" EQUITY","BS_SH_OUT",R63,R63,"EQY_FUND_PER="&amp;CT63,"days=a","fill=p")-10.2</f>
        <v>67.505600000000001</v>
      </c>
      <c r="CO63" s="844" t="str">
        <f>_xll.BDP(B63&amp;" EQUITY","EQY_FISCAL_YR_END")</f>
        <v>03/2018</v>
      </c>
      <c r="CP63" s="845">
        <f t="shared" si="305"/>
        <v>31</v>
      </c>
      <c r="CQ63" s="844">
        <f t="shared" si="306"/>
        <v>3</v>
      </c>
      <c r="CR63" s="844">
        <f t="shared" si="307"/>
        <v>2018</v>
      </c>
      <c r="CS63" s="836">
        <f t="shared" ca="1" si="308"/>
        <v>42825</v>
      </c>
      <c r="CT63" s="830" t="s">
        <v>866</v>
      </c>
      <c r="CU63" s="846">
        <f t="shared" ca="1" si="309"/>
        <v>0.25</v>
      </c>
      <c r="CV63" s="846">
        <f t="shared" ca="1" si="310"/>
        <v>0.75</v>
      </c>
      <c r="CW63" s="806"/>
    </row>
    <row r="64" spans="1:101" s="847" customFormat="1" ht="11.25" customHeight="1" x14ac:dyDescent="0.25">
      <c r="A64" s="806"/>
      <c r="B64" s="830" t="s">
        <v>805</v>
      </c>
      <c r="C64" s="816" t="str">
        <f>_xll.BDP($B64&amp;" EQUITY","Name")</f>
        <v>LIVERAMP HOLDINGS INC</v>
      </c>
      <c r="D64" s="816"/>
      <c r="E64" s="831">
        <f t="shared" ca="1" si="267"/>
        <v>38.273032820295654</v>
      </c>
      <c r="F64" s="832">
        <f t="shared" ca="1" si="268"/>
        <v>2583.6440443537504</v>
      </c>
      <c r="G64" s="832">
        <f t="shared" ca="1" si="269"/>
        <v>1581.9759375000001</v>
      </c>
      <c r="H64" s="833">
        <f t="shared" ca="1" si="270"/>
        <v>6.052631578947369</v>
      </c>
      <c r="I64" s="869">
        <f t="shared" ref="I64:I74" si="380">+I63+0.2</f>
        <v>5.4</v>
      </c>
      <c r="J64" s="869">
        <f t="shared" ca="1" si="271"/>
        <v>4.3071161048689142</v>
      </c>
      <c r="K64" s="833"/>
      <c r="L64" s="833"/>
      <c r="M64" s="892"/>
      <c r="N64" s="834"/>
      <c r="O64" s="834"/>
      <c r="P64" s="834"/>
      <c r="Q64" s="835"/>
      <c r="R64" s="836">
        <f t="shared" ca="1" si="272"/>
        <v>43433</v>
      </c>
      <c r="S64" s="837">
        <f t="shared" ref="S64:S74" ca="1" si="381">S63</f>
        <v>46.924999999999997</v>
      </c>
      <c r="T64" s="838">
        <f t="shared" ca="1" si="311"/>
        <v>0</v>
      </c>
      <c r="U64" s="838">
        <f t="shared" si="312"/>
        <v>0</v>
      </c>
      <c r="V64" s="838">
        <f t="shared" si="313"/>
        <v>0</v>
      </c>
      <c r="W64" s="838">
        <f t="shared" si="314"/>
        <v>0</v>
      </c>
      <c r="X64" s="838">
        <f t="shared" si="315"/>
        <v>1001.6681068537501</v>
      </c>
      <c r="Y64" s="838">
        <f t="shared" si="316"/>
        <v>0</v>
      </c>
      <c r="Z64" s="838">
        <f t="shared" ca="1" si="317"/>
        <v>1291.45</v>
      </c>
      <c r="AA64" s="838">
        <f t="shared" ca="1" si="318"/>
        <v>-530.77200000000005</v>
      </c>
      <c r="AB64" s="838">
        <f t="shared" ca="1" si="319"/>
        <v>1581.9759375000001</v>
      </c>
      <c r="AC64" s="838">
        <f t="shared" ca="1" si="320"/>
        <v>771.42399999999998</v>
      </c>
      <c r="AD64" s="838">
        <f t="shared" si="321"/>
        <v>220.101</v>
      </c>
      <c r="AE64" s="838">
        <f t="shared" si="322"/>
        <v>275.12625000000003</v>
      </c>
      <c r="AF64" s="838">
        <f t="shared" si="323"/>
        <v>330.1515</v>
      </c>
      <c r="AG64" s="838">
        <f t="shared" si="324"/>
        <v>379.67422499999998</v>
      </c>
      <c r="AH64" s="838">
        <f t="shared" ca="1" si="325"/>
        <v>44.344000000000001</v>
      </c>
      <c r="AI64" s="838">
        <f t="shared" ca="1" si="326"/>
        <v>107.2332072</v>
      </c>
      <c r="AJ64" s="838">
        <f t="shared" ca="1" si="327"/>
        <v>164.15957958750002</v>
      </c>
      <c r="AK64" s="838">
        <f t="shared" ca="1" si="328"/>
        <v>222.02688375</v>
      </c>
      <c r="AL64" s="838">
        <f t="shared" ca="1" si="329"/>
        <v>280.95892649999996</v>
      </c>
      <c r="AM64" s="838">
        <f t="shared" ca="1" si="330"/>
        <v>-28.047000000000001</v>
      </c>
      <c r="AN64" s="838">
        <f t="shared" ca="1" si="331"/>
        <v>12.8</v>
      </c>
      <c r="AO64" s="838">
        <f t="shared" ca="1" si="332"/>
        <v>54.332999999999998</v>
      </c>
      <c r="AP64" s="838">
        <f t="shared" ca="1" si="333"/>
        <v>-56.433</v>
      </c>
      <c r="AQ64" s="838">
        <f t="shared" ca="1" si="334"/>
        <v>-17.13</v>
      </c>
      <c r="AR64" s="838">
        <f t="shared" ca="1" si="335"/>
        <v>0.46779999999999999</v>
      </c>
      <c r="AS64" s="838">
        <f t="shared" ca="1" si="336"/>
        <v>71.739999999999995</v>
      </c>
      <c r="AT64" s="838">
        <f t="shared" ca="1" si="337"/>
        <v>-38.78</v>
      </c>
      <c r="AU64" s="838">
        <f t="shared" ca="1" si="338"/>
        <v>-20.318000000000001</v>
      </c>
      <c r="AV64" s="838">
        <f t="shared" ca="1" si="339"/>
        <v>16.167000000000002</v>
      </c>
      <c r="AW64" s="837">
        <f t="shared" ca="1" si="340"/>
        <v>1.9400000000000001E-2</v>
      </c>
      <c r="AX64" s="837">
        <f t="shared" ca="1" si="341"/>
        <v>0.876</v>
      </c>
      <c r="AY64" s="837">
        <f t="shared" ca="1" si="342"/>
        <v>-0.17</v>
      </c>
      <c r="AZ64" s="837">
        <f t="shared" ca="1" si="343"/>
        <v>-0.127</v>
      </c>
      <c r="BA64" s="837">
        <f t="shared" ca="1" si="344"/>
        <v>0.47299999999999998</v>
      </c>
      <c r="BB64" s="839">
        <f t="shared" ca="1" si="345"/>
        <v>24.11340206185567</v>
      </c>
      <c r="BC64" s="839">
        <f t="shared" ca="1" si="346"/>
        <v>81.894977168949765</v>
      </c>
      <c r="BD64" s="839">
        <f t="shared" ca="1" si="347"/>
        <v>228.11764705882351</v>
      </c>
      <c r="BE64" s="839">
        <f t="shared" ca="1" si="348"/>
        <v>159.98425196850394</v>
      </c>
      <c r="BF64" s="839">
        <f t="shared" ca="1" si="349"/>
        <v>34.179704016913327</v>
      </c>
      <c r="BG64" s="838">
        <f t="shared" ca="1" si="350"/>
        <v>-46.024999999999999</v>
      </c>
      <c r="BH64" s="838">
        <f t="shared" ca="1" si="351"/>
        <v>-41.85</v>
      </c>
      <c r="BI64" s="838">
        <f t="shared" ca="1" si="352"/>
        <v>-12.05</v>
      </c>
      <c r="BJ64" s="838">
        <f t="shared" ca="1" si="353"/>
        <v>-15.55</v>
      </c>
      <c r="BK64" s="838">
        <f t="shared" ca="1" si="354"/>
        <v>-18.75</v>
      </c>
      <c r="BL64" s="838">
        <f t="shared" ca="1" si="355"/>
        <v>72.391000000000005</v>
      </c>
      <c r="BM64" s="838">
        <f t="shared" ca="1" si="356"/>
        <v>94.433207199999998</v>
      </c>
      <c r="BN64" s="838">
        <f t="shared" ca="1" si="357"/>
        <v>109.82657958750002</v>
      </c>
      <c r="BO64" s="838">
        <f t="shared" ca="1" si="358"/>
        <v>278.45988375000002</v>
      </c>
      <c r="BP64" s="838">
        <f t="shared" ca="1" si="359"/>
        <v>298.08892649999996</v>
      </c>
      <c r="BQ64" s="837">
        <f t="shared" ca="1" si="360"/>
        <v>1.1128168448054725</v>
      </c>
      <c r="BR64" s="837">
        <f t="shared" ca="1" si="361"/>
        <v>1.5180809800278783</v>
      </c>
      <c r="BS64" s="837">
        <f t="shared" ca="1" si="362"/>
        <v>0.25862347936758651</v>
      </c>
      <c r="BT64" s="837">
        <f t="shared" ca="1" si="363"/>
        <v>1.5163485203391083</v>
      </c>
      <c r="BU64" s="837">
        <f t="shared" ca="1" si="364"/>
        <v>8.6456549288365157</v>
      </c>
      <c r="BV64" s="838">
        <f t="shared" ca="1" si="365"/>
        <v>261.36993749999999</v>
      </c>
      <c r="BW64" s="838">
        <f t="shared" ca="1" si="366"/>
        <v>316.39518750000002</v>
      </c>
      <c r="BX64" s="838">
        <f t="shared" ca="1" si="367"/>
        <v>367.29354374999997</v>
      </c>
      <c r="BY64" s="838">
        <f t="shared" ca="1" si="368"/>
        <v>149.92798649062502</v>
      </c>
      <c r="BZ64" s="838">
        <f t="shared" ca="1" si="369"/>
        <v>207.560057709375</v>
      </c>
      <c r="CA64" s="838">
        <f t="shared" ca="1" si="370"/>
        <v>266.22591581249998</v>
      </c>
      <c r="CB64" s="838">
        <f t="shared" ca="1" si="371"/>
        <v>43.949750000000002</v>
      </c>
      <c r="CC64" s="838">
        <f t="shared" ca="1" si="372"/>
        <v>-28.741500000000002</v>
      </c>
      <c r="CD64" s="838">
        <f t="shared" ca="1" si="373"/>
        <v>-26.955750000000002</v>
      </c>
      <c r="CE64" s="837">
        <f t="shared" ca="1" si="374"/>
        <v>9.1499999999999998E-2</v>
      </c>
      <c r="CF64" s="837">
        <f t="shared" ca="1" si="375"/>
        <v>-0.13775000000000001</v>
      </c>
      <c r="CG64" s="837">
        <f t="shared" ca="1" si="376"/>
        <v>0.32300000000000001</v>
      </c>
      <c r="CH64" s="837">
        <f t="shared" ca="1" si="377"/>
        <v>0.57348785453265938</v>
      </c>
      <c r="CI64" s="837">
        <f t="shared" ca="1" si="378"/>
        <v>1.2019172600962278</v>
      </c>
      <c r="CJ64" s="837">
        <f t="shared" ca="1" si="379"/>
        <v>6.8633283267121641</v>
      </c>
      <c r="CK64" s="840"/>
      <c r="CL64" s="841">
        <f>IF(CK64="",1,_xll.BDP(CK64&amp;" CURNCY","LAST PRICE"))</f>
        <v>1</v>
      </c>
      <c r="CM64" s="842">
        <v>1</v>
      </c>
      <c r="CN64" s="843">
        <f ca="1">_xll.BDH(B64&amp;" EQUITY","BS_SH_OUT",R64,R64,"EQY_FUND_PER="&amp;CT64,"days=a","fill=p")-10.2</f>
        <v>67.505600000000001</v>
      </c>
      <c r="CO64" s="844" t="str">
        <f>_xll.BDP(B64&amp;" EQUITY","EQY_FISCAL_YR_END")</f>
        <v>03/2018</v>
      </c>
      <c r="CP64" s="845">
        <f t="shared" si="305"/>
        <v>31</v>
      </c>
      <c r="CQ64" s="844">
        <f t="shared" si="306"/>
        <v>3</v>
      </c>
      <c r="CR64" s="844">
        <f t="shared" si="307"/>
        <v>2018</v>
      </c>
      <c r="CS64" s="836">
        <f t="shared" ca="1" si="308"/>
        <v>42825</v>
      </c>
      <c r="CT64" s="830" t="s">
        <v>866</v>
      </c>
      <c r="CU64" s="846">
        <f t="shared" ca="1" si="309"/>
        <v>0.25</v>
      </c>
      <c r="CV64" s="846">
        <f t="shared" ca="1" si="310"/>
        <v>0.75</v>
      </c>
      <c r="CW64" s="806"/>
    </row>
    <row r="65" spans="1:101" s="847" customFormat="1" ht="11.25" customHeight="1" x14ac:dyDescent="0.25">
      <c r="A65" s="806"/>
      <c r="B65" s="830" t="s">
        <v>805</v>
      </c>
      <c r="C65" s="816" t="str">
        <f>_xll.BDP($B65&amp;" EQUITY","Name")</f>
        <v>LIVERAMP HOLDINGS INC</v>
      </c>
      <c r="D65" s="816"/>
      <c r="E65" s="831">
        <f t="shared" ca="1" si="267"/>
        <v>38.273032820295654</v>
      </c>
      <c r="F65" s="832">
        <f t="shared" ca="1" si="268"/>
        <v>2583.6440443537504</v>
      </c>
      <c r="G65" s="832">
        <f t="shared" ca="1" si="269"/>
        <v>1581.9759375000001</v>
      </c>
      <c r="H65" s="869">
        <f t="shared" ca="1" si="270"/>
        <v>6.052631578947369</v>
      </c>
      <c r="I65" s="869">
        <f t="shared" si="380"/>
        <v>5.6000000000000005</v>
      </c>
      <c r="J65" s="869">
        <f t="shared" ca="1" si="271"/>
        <v>4.3071161048689142</v>
      </c>
      <c r="K65" s="833"/>
      <c r="L65" s="833"/>
      <c r="M65" s="892"/>
      <c r="N65" s="834"/>
      <c r="O65" s="834"/>
      <c r="P65" s="834"/>
      <c r="Q65" s="835"/>
      <c r="R65" s="836">
        <f t="shared" ca="1" si="272"/>
        <v>43433</v>
      </c>
      <c r="S65" s="837">
        <f t="shared" ca="1" si="381"/>
        <v>46.924999999999997</v>
      </c>
      <c r="T65" s="838">
        <f t="shared" ca="1" si="311"/>
        <v>0</v>
      </c>
      <c r="U65" s="838">
        <f t="shared" si="312"/>
        <v>0</v>
      </c>
      <c r="V65" s="838">
        <f t="shared" si="313"/>
        <v>0</v>
      </c>
      <c r="W65" s="838">
        <f t="shared" si="314"/>
        <v>0</v>
      </c>
      <c r="X65" s="838">
        <f t="shared" si="315"/>
        <v>1001.6681068537501</v>
      </c>
      <c r="Y65" s="838">
        <f t="shared" si="316"/>
        <v>0</v>
      </c>
      <c r="Z65" s="838">
        <f t="shared" ca="1" si="317"/>
        <v>1291.45</v>
      </c>
      <c r="AA65" s="838">
        <f t="shared" ca="1" si="318"/>
        <v>-530.77200000000005</v>
      </c>
      <c r="AB65" s="838">
        <f t="shared" ca="1" si="319"/>
        <v>1581.9759375000001</v>
      </c>
      <c r="AC65" s="838">
        <f t="shared" ca="1" si="320"/>
        <v>771.42399999999998</v>
      </c>
      <c r="AD65" s="838">
        <f t="shared" si="321"/>
        <v>220.101</v>
      </c>
      <c r="AE65" s="838">
        <f t="shared" si="322"/>
        <v>275.12625000000003</v>
      </c>
      <c r="AF65" s="838">
        <f t="shared" si="323"/>
        <v>330.1515</v>
      </c>
      <c r="AG65" s="838">
        <f t="shared" si="324"/>
        <v>379.67422499999998</v>
      </c>
      <c r="AH65" s="838">
        <f t="shared" ca="1" si="325"/>
        <v>44.344000000000001</v>
      </c>
      <c r="AI65" s="838">
        <f t="shared" ca="1" si="326"/>
        <v>107.2332072</v>
      </c>
      <c r="AJ65" s="838">
        <f t="shared" ca="1" si="327"/>
        <v>164.15957958750002</v>
      </c>
      <c r="AK65" s="838">
        <f t="shared" ca="1" si="328"/>
        <v>222.02688375</v>
      </c>
      <c r="AL65" s="838">
        <f t="shared" ca="1" si="329"/>
        <v>280.95892649999996</v>
      </c>
      <c r="AM65" s="838">
        <f t="shared" ca="1" si="330"/>
        <v>-28.047000000000001</v>
      </c>
      <c r="AN65" s="838">
        <f t="shared" ca="1" si="331"/>
        <v>12.8</v>
      </c>
      <c r="AO65" s="838">
        <f t="shared" ca="1" si="332"/>
        <v>54.332999999999998</v>
      </c>
      <c r="AP65" s="838">
        <f t="shared" ca="1" si="333"/>
        <v>-56.433</v>
      </c>
      <c r="AQ65" s="838">
        <f t="shared" ca="1" si="334"/>
        <v>-17.13</v>
      </c>
      <c r="AR65" s="838">
        <f t="shared" ca="1" si="335"/>
        <v>0.46779999999999999</v>
      </c>
      <c r="AS65" s="838">
        <f t="shared" ca="1" si="336"/>
        <v>71.739999999999995</v>
      </c>
      <c r="AT65" s="838">
        <f t="shared" ca="1" si="337"/>
        <v>-38.78</v>
      </c>
      <c r="AU65" s="838">
        <f t="shared" ca="1" si="338"/>
        <v>-20.318000000000001</v>
      </c>
      <c r="AV65" s="838">
        <f t="shared" ca="1" si="339"/>
        <v>16.167000000000002</v>
      </c>
      <c r="AW65" s="837">
        <f t="shared" ca="1" si="340"/>
        <v>1.9400000000000001E-2</v>
      </c>
      <c r="AX65" s="837">
        <f t="shared" ca="1" si="341"/>
        <v>0.876</v>
      </c>
      <c r="AY65" s="837">
        <f t="shared" ca="1" si="342"/>
        <v>-0.17</v>
      </c>
      <c r="AZ65" s="837">
        <f t="shared" ca="1" si="343"/>
        <v>-0.127</v>
      </c>
      <c r="BA65" s="837">
        <f t="shared" ca="1" si="344"/>
        <v>0.47299999999999998</v>
      </c>
      <c r="BB65" s="839">
        <f t="shared" ca="1" si="345"/>
        <v>24.11340206185567</v>
      </c>
      <c r="BC65" s="839">
        <f t="shared" ca="1" si="346"/>
        <v>81.894977168949765</v>
      </c>
      <c r="BD65" s="839">
        <f t="shared" ca="1" si="347"/>
        <v>228.11764705882351</v>
      </c>
      <c r="BE65" s="839">
        <f t="shared" ca="1" si="348"/>
        <v>159.98425196850394</v>
      </c>
      <c r="BF65" s="839">
        <f t="shared" ca="1" si="349"/>
        <v>34.179704016913327</v>
      </c>
      <c r="BG65" s="838">
        <f t="shared" ca="1" si="350"/>
        <v>-46.024999999999999</v>
      </c>
      <c r="BH65" s="838">
        <f t="shared" ca="1" si="351"/>
        <v>-41.85</v>
      </c>
      <c r="BI65" s="838">
        <f t="shared" ca="1" si="352"/>
        <v>-12.05</v>
      </c>
      <c r="BJ65" s="838">
        <f t="shared" ca="1" si="353"/>
        <v>-15.55</v>
      </c>
      <c r="BK65" s="838">
        <f t="shared" ca="1" si="354"/>
        <v>-18.75</v>
      </c>
      <c r="BL65" s="838">
        <f t="shared" ca="1" si="355"/>
        <v>72.391000000000005</v>
      </c>
      <c r="BM65" s="838">
        <f t="shared" ca="1" si="356"/>
        <v>94.433207199999998</v>
      </c>
      <c r="BN65" s="838">
        <f t="shared" ca="1" si="357"/>
        <v>109.82657958750002</v>
      </c>
      <c r="BO65" s="838">
        <f t="shared" ca="1" si="358"/>
        <v>278.45988375000002</v>
      </c>
      <c r="BP65" s="838">
        <f t="shared" ca="1" si="359"/>
        <v>298.08892649999996</v>
      </c>
      <c r="BQ65" s="837">
        <f t="shared" ca="1" si="360"/>
        <v>1.1128168448054725</v>
      </c>
      <c r="BR65" s="837">
        <f t="shared" ca="1" si="361"/>
        <v>1.5180809800278783</v>
      </c>
      <c r="BS65" s="837">
        <f t="shared" ca="1" si="362"/>
        <v>0.25862347936758651</v>
      </c>
      <c r="BT65" s="837">
        <f t="shared" ca="1" si="363"/>
        <v>1.5163485203391083</v>
      </c>
      <c r="BU65" s="837">
        <f t="shared" ca="1" si="364"/>
        <v>8.6456549288365157</v>
      </c>
      <c r="BV65" s="838">
        <f t="shared" ca="1" si="365"/>
        <v>261.36993749999999</v>
      </c>
      <c r="BW65" s="838">
        <f t="shared" ca="1" si="366"/>
        <v>316.39518750000002</v>
      </c>
      <c r="BX65" s="838">
        <f t="shared" ca="1" si="367"/>
        <v>367.29354374999997</v>
      </c>
      <c r="BY65" s="838">
        <f t="shared" ca="1" si="368"/>
        <v>149.92798649062502</v>
      </c>
      <c r="BZ65" s="838">
        <f t="shared" ca="1" si="369"/>
        <v>207.560057709375</v>
      </c>
      <c r="CA65" s="838">
        <f t="shared" ca="1" si="370"/>
        <v>266.22591581249998</v>
      </c>
      <c r="CB65" s="838">
        <f t="shared" ca="1" si="371"/>
        <v>43.949750000000002</v>
      </c>
      <c r="CC65" s="838">
        <f t="shared" ca="1" si="372"/>
        <v>-28.741500000000002</v>
      </c>
      <c r="CD65" s="838">
        <f t="shared" ca="1" si="373"/>
        <v>-26.955750000000002</v>
      </c>
      <c r="CE65" s="837">
        <f t="shared" ca="1" si="374"/>
        <v>9.1499999999999998E-2</v>
      </c>
      <c r="CF65" s="837">
        <f t="shared" ca="1" si="375"/>
        <v>-0.13775000000000001</v>
      </c>
      <c r="CG65" s="837">
        <f t="shared" ca="1" si="376"/>
        <v>0.32300000000000001</v>
      </c>
      <c r="CH65" s="837">
        <f t="shared" ca="1" si="377"/>
        <v>0.57348785453265938</v>
      </c>
      <c r="CI65" s="837">
        <f t="shared" ca="1" si="378"/>
        <v>1.2019172600962278</v>
      </c>
      <c r="CJ65" s="837">
        <f t="shared" ca="1" si="379"/>
        <v>6.8633283267121641</v>
      </c>
      <c r="CK65" s="840"/>
      <c r="CL65" s="841">
        <f>IF(CK65="",1,_xll.BDP(CK65&amp;" CURNCY","LAST PRICE"))</f>
        <v>1</v>
      </c>
      <c r="CM65" s="842">
        <v>1</v>
      </c>
      <c r="CN65" s="843">
        <f ca="1">_xll.BDH(B65&amp;" EQUITY","BS_SH_OUT",R65,R65,"EQY_FUND_PER="&amp;CT65,"days=a","fill=p")-10.2</f>
        <v>67.505600000000001</v>
      </c>
      <c r="CO65" s="844" t="str">
        <f>_xll.BDP(B65&amp;" EQUITY","EQY_FISCAL_YR_END")</f>
        <v>03/2018</v>
      </c>
      <c r="CP65" s="845">
        <f t="shared" si="305"/>
        <v>31</v>
      </c>
      <c r="CQ65" s="844">
        <f t="shared" si="306"/>
        <v>3</v>
      </c>
      <c r="CR65" s="844">
        <f t="shared" si="307"/>
        <v>2018</v>
      </c>
      <c r="CS65" s="836">
        <f t="shared" ca="1" si="308"/>
        <v>42825</v>
      </c>
      <c r="CT65" s="830" t="s">
        <v>866</v>
      </c>
      <c r="CU65" s="846">
        <f t="shared" ca="1" si="309"/>
        <v>0.25</v>
      </c>
      <c r="CV65" s="846">
        <f t="shared" ca="1" si="310"/>
        <v>0.75</v>
      </c>
      <c r="CW65" s="806"/>
    </row>
    <row r="66" spans="1:101" s="847" customFormat="1" ht="11.25" customHeight="1" x14ac:dyDescent="0.25">
      <c r="A66" s="806"/>
      <c r="B66" s="830" t="s">
        <v>805</v>
      </c>
      <c r="C66" s="816" t="str">
        <f>_xll.BDP($B66&amp;" EQUITY","Name")</f>
        <v>LIVERAMP HOLDINGS INC</v>
      </c>
      <c r="D66" s="816"/>
      <c r="E66" s="831">
        <f t="shared" ca="1" si="267"/>
        <v>38.273032820295654</v>
      </c>
      <c r="F66" s="832">
        <f t="shared" ca="1" si="268"/>
        <v>2583.6440443537504</v>
      </c>
      <c r="G66" s="832">
        <f t="shared" ca="1" si="269"/>
        <v>1581.9759375000001</v>
      </c>
      <c r="H66" s="869">
        <f t="shared" ca="1" si="270"/>
        <v>6.052631578947369</v>
      </c>
      <c r="I66" s="869">
        <f t="shared" si="380"/>
        <v>5.8000000000000007</v>
      </c>
      <c r="J66" s="869">
        <f t="shared" ca="1" si="271"/>
        <v>4.3071161048689142</v>
      </c>
      <c r="K66" s="833"/>
      <c r="L66" s="833"/>
      <c r="M66" s="833"/>
      <c r="N66" s="834"/>
      <c r="O66" s="834"/>
      <c r="P66" s="834"/>
      <c r="Q66" s="835"/>
      <c r="R66" s="836">
        <f t="shared" ca="1" si="272"/>
        <v>43433</v>
      </c>
      <c r="S66" s="837">
        <f t="shared" ca="1" si="381"/>
        <v>46.924999999999997</v>
      </c>
      <c r="T66" s="838">
        <f t="shared" ca="1" si="311"/>
        <v>0</v>
      </c>
      <c r="U66" s="838">
        <f t="shared" si="312"/>
        <v>0</v>
      </c>
      <c r="V66" s="838">
        <f t="shared" si="313"/>
        <v>0</v>
      </c>
      <c r="W66" s="838">
        <f t="shared" si="314"/>
        <v>0</v>
      </c>
      <c r="X66" s="838">
        <f t="shared" si="315"/>
        <v>1001.6681068537501</v>
      </c>
      <c r="Y66" s="838">
        <f t="shared" si="316"/>
        <v>0</v>
      </c>
      <c r="Z66" s="838">
        <f t="shared" ca="1" si="317"/>
        <v>1291.45</v>
      </c>
      <c r="AA66" s="838">
        <f t="shared" ca="1" si="318"/>
        <v>-530.77200000000005</v>
      </c>
      <c r="AB66" s="838">
        <f t="shared" ca="1" si="319"/>
        <v>1581.9759375000001</v>
      </c>
      <c r="AC66" s="838">
        <f t="shared" ca="1" si="320"/>
        <v>771.42399999999998</v>
      </c>
      <c r="AD66" s="838">
        <f t="shared" si="321"/>
        <v>220.101</v>
      </c>
      <c r="AE66" s="838">
        <f t="shared" si="322"/>
        <v>275.12625000000003</v>
      </c>
      <c r="AF66" s="838">
        <f t="shared" si="323"/>
        <v>330.1515</v>
      </c>
      <c r="AG66" s="838">
        <f t="shared" si="324"/>
        <v>379.67422499999998</v>
      </c>
      <c r="AH66" s="838">
        <f t="shared" ca="1" si="325"/>
        <v>44.344000000000001</v>
      </c>
      <c r="AI66" s="838">
        <f t="shared" ca="1" si="326"/>
        <v>107.2332072</v>
      </c>
      <c r="AJ66" s="838">
        <f t="shared" ca="1" si="327"/>
        <v>164.15957958750002</v>
      </c>
      <c r="AK66" s="838">
        <f t="shared" ca="1" si="328"/>
        <v>222.02688375</v>
      </c>
      <c r="AL66" s="838">
        <f t="shared" ca="1" si="329"/>
        <v>280.95892649999996</v>
      </c>
      <c r="AM66" s="838">
        <f t="shared" ca="1" si="330"/>
        <v>-28.047000000000001</v>
      </c>
      <c r="AN66" s="838">
        <f t="shared" ca="1" si="331"/>
        <v>12.8</v>
      </c>
      <c r="AO66" s="838">
        <f t="shared" ca="1" si="332"/>
        <v>54.332999999999998</v>
      </c>
      <c r="AP66" s="838">
        <f t="shared" ca="1" si="333"/>
        <v>-56.433</v>
      </c>
      <c r="AQ66" s="838">
        <f t="shared" ca="1" si="334"/>
        <v>-17.13</v>
      </c>
      <c r="AR66" s="838">
        <f t="shared" ca="1" si="335"/>
        <v>0.46779999999999999</v>
      </c>
      <c r="AS66" s="838">
        <f t="shared" ca="1" si="336"/>
        <v>71.739999999999995</v>
      </c>
      <c r="AT66" s="838">
        <f t="shared" ca="1" si="337"/>
        <v>-38.78</v>
      </c>
      <c r="AU66" s="838">
        <f t="shared" ca="1" si="338"/>
        <v>-20.318000000000001</v>
      </c>
      <c r="AV66" s="838">
        <f t="shared" ca="1" si="339"/>
        <v>16.167000000000002</v>
      </c>
      <c r="AW66" s="837">
        <f t="shared" ca="1" si="340"/>
        <v>1.9400000000000001E-2</v>
      </c>
      <c r="AX66" s="837">
        <f t="shared" ca="1" si="341"/>
        <v>0.876</v>
      </c>
      <c r="AY66" s="837">
        <f t="shared" ca="1" si="342"/>
        <v>-0.17</v>
      </c>
      <c r="AZ66" s="837">
        <f t="shared" ca="1" si="343"/>
        <v>-0.127</v>
      </c>
      <c r="BA66" s="837">
        <f t="shared" ca="1" si="344"/>
        <v>0.47299999999999998</v>
      </c>
      <c r="BB66" s="839">
        <f t="shared" ca="1" si="345"/>
        <v>24.11340206185567</v>
      </c>
      <c r="BC66" s="839">
        <f t="shared" ca="1" si="346"/>
        <v>81.894977168949765</v>
      </c>
      <c r="BD66" s="839">
        <f t="shared" ca="1" si="347"/>
        <v>228.11764705882351</v>
      </c>
      <c r="BE66" s="839">
        <f t="shared" ca="1" si="348"/>
        <v>159.98425196850394</v>
      </c>
      <c r="BF66" s="839">
        <f t="shared" ca="1" si="349"/>
        <v>34.179704016913327</v>
      </c>
      <c r="BG66" s="838">
        <f t="shared" ca="1" si="350"/>
        <v>-46.024999999999999</v>
      </c>
      <c r="BH66" s="838">
        <f t="shared" ca="1" si="351"/>
        <v>-41.85</v>
      </c>
      <c r="BI66" s="838">
        <f t="shared" ca="1" si="352"/>
        <v>-12.05</v>
      </c>
      <c r="BJ66" s="838">
        <f t="shared" ca="1" si="353"/>
        <v>-15.55</v>
      </c>
      <c r="BK66" s="838">
        <f t="shared" ca="1" si="354"/>
        <v>-18.75</v>
      </c>
      <c r="BL66" s="838">
        <f t="shared" ca="1" si="355"/>
        <v>72.391000000000005</v>
      </c>
      <c r="BM66" s="838">
        <f t="shared" ca="1" si="356"/>
        <v>94.433207199999998</v>
      </c>
      <c r="BN66" s="838">
        <f t="shared" ca="1" si="357"/>
        <v>109.82657958750002</v>
      </c>
      <c r="BO66" s="838">
        <f t="shared" ca="1" si="358"/>
        <v>278.45988375000002</v>
      </c>
      <c r="BP66" s="838">
        <f t="shared" ca="1" si="359"/>
        <v>298.08892649999996</v>
      </c>
      <c r="BQ66" s="837">
        <f t="shared" ca="1" si="360"/>
        <v>1.1128168448054725</v>
      </c>
      <c r="BR66" s="837">
        <f t="shared" ca="1" si="361"/>
        <v>1.5180809800278783</v>
      </c>
      <c r="BS66" s="837">
        <f t="shared" ca="1" si="362"/>
        <v>0.25862347936758651</v>
      </c>
      <c r="BT66" s="837">
        <f t="shared" ca="1" si="363"/>
        <v>1.5163485203391083</v>
      </c>
      <c r="BU66" s="837">
        <f t="shared" ca="1" si="364"/>
        <v>8.6456549288365157</v>
      </c>
      <c r="BV66" s="838">
        <f t="shared" ca="1" si="365"/>
        <v>261.36993749999999</v>
      </c>
      <c r="BW66" s="838">
        <f t="shared" ca="1" si="366"/>
        <v>316.39518750000002</v>
      </c>
      <c r="BX66" s="838">
        <f t="shared" ca="1" si="367"/>
        <v>367.29354374999997</v>
      </c>
      <c r="BY66" s="838">
        <f t="shared" ca="1" si="368"/>
        <v>149.92798649062502</v>
      </c>
      <c r="BZ66" s="838">
        <f t="shared" ca="1" si="369"/>
        <v>207.560057709375</v>
      </c>
      <c r="CA66" s="838">
        <f t="shared" ca="1" si="370"/>
        <v>266.22591581249998</v>
      </c>
      <c r="CB66" s="838">
        <f t="shared" ca="1" si="371"/>
        <v>43.949750000000002</v>
      </c>
      <c r="CC66" s="838">
        <f t="shared" ca="1" si="372"/>
        <v>-28.741500000000002</v>
      </c>
      <c r="CD66" s="838">
        <f t="shared" ca="1" si="373"/>
        <v>-26.955750000000002</v>
      </c>
      <c r="CE66" s="837">
        <f t="shared" ca="1" si="374"/>
        <v>9.1499999999999998E-2</v>
      </c>
      <c r="CF66" s="837">
        <f t="shared" ca="1" si="375"/>
        <v>-0.13775000000000001</v>
      </c>
      <c r="CG66" s="837">
        <f t="shared" ca="1" si="376"/>
        <v>0.32300000000000001</v>
      </c>
      <c r="CH66" s="837">
        <f t="shared" ca="1" si="377"/>
        <v>0.57348785453265938</v>
      </c>
      <c r="CI66" s="837">
        <f t="shared" ca="1" si="378"/>
        <v>1.2019172600962278</v>
      </c>
      <c r="CJ66" s="837">
        <f t="shared" ca="1" si="379"/>
        <v>6.8633283267121641</v>
      </c>
      <c r="CK66" s="840"/>
      <c r="CL66" s="841">
        <f>IF(CK66="",1,_xll.BDP(CK66&amp;" CURNCY","LAST PRICE"))</f>
        <v>1</v>
      </c>
      <c r="CM66" s="842">
        <v>1</v>
      </c>
      <c r="CN66" s="843">
        <f ca="1">_xll.BDH(B66&amp;" EQUITY","BS_SH_OUT",R66,R66,"EQY_FUND_PER="&amp;CT66,"days=a","fill=p")-10.2</f>
        <v>67.505600000000001</v>
      </c>
      <c r="CO66" s="844" t="str">
        <f>_xll.BDP(B66&amp;" EQUITY","EQY_FISCAL_YR_END")</f>
        <v>03/2018</v>
      </c>
      <c r="CP66" s="845">
        <f t="shared" si="305"/>
        <v>31</v>
      </c>
      <c r="CQ66" s="844">
        <f t="shared" si="306"/>
        <v>3</v>
      </c>
      <c r="CR66" s="844">
        <f t="shared" si="307"/>
        <v>2018</v>
      </c>
      <c r="CS66" s="836">
        <f t="shared" ca="1" si="308"/>
        <v>42825</v>
      </c>
      <c r="CT66" s="830" t="s">
        <v>866</v>
      </c>
      <c r="CU66" s="846">
        <f t="shared" ca="1" si="309"/>
        <v>0.25</v>
      </c>
      <c r="CV66" s="846">
        <f t="shared" ca="1" si="310"/>
        <v>0.75</v>
      </c>
      <c r="CW66" s="806"/>
    </row>
    <row r="67" spans="1:101" s="847" customFormat="1" ht="11.25" customHeight="1" x14ac:dyDescent="0.25">
      <c r="A67" s="806"/>
      <c r="B67" s="830" t="s">
        <v>805</v>
      </c>
      <c r="C67" s="816" t="str">
        <f>_xll.BDP($B67&amp;" EQUITY","Name")</f>
        <v>LIVERAMP HOLDINGS INC</v>
      </c>
      <c r="D67" s="816"/>
      <c r="E67" s="831">
        <f t="shared" ca="1" si="267"/>
        <v>38.273032820295654</v>
      </c>
      <c r="F67" s="832">
        <f t="shared" ca="1" si="268"/>
        <v>2583.6440443537504</v>
      </c>
      <c r="G67" s="832">
        <f t="shared" ca="1" si="269"/>
        <v>1581.9759375000001</v>
      </c>
      <c r="H67" s="869">
        <f t="shared" ca="1" si="270"/>
        <v>6.052631578947369</v>
      </c>
      <c r="I67" s="869">
        <f t="shared" si="380"/>
        <v>6.0000000000000009</v>
      </c>
      <c r="J67" s="869">
        <f t="shared" ca="1" si="271"/>
        <v>4.3071161048689142</v>
      </c>
      <c r="K67" s="833"/>
      <c r="L67" s="833"/>
      <c r="M67" s="833"/>
      <c r="N67" s="834"/>
      <c r="O67" s="834"/>
      <c r="P67" s="834"/>
      <c r="Q67" s="835"/>
      <c r="R67" s="836">
        <f t="shared" ca="1" si="272"/>
        <v>43433</v>
      </c>
      <c r="S67" s="837">
        <f t="shared" ca="1" si="381"/>
        <v>46.924999999999997</v>
      </c>
      <c r="T67" s="838">
        <f t="shared" ca="1" si="311"/>
        <v>0</v>
      </c>
      <c r="U67" s="838">
        <f t="shared" si="312"/>
        <v>0</v>
      </c>
      <c r="V67" s="838">
        <f t="shared" si="313"/>
        <v>0</v>
      </c>
      <c r="W67" s="838">
        <f t="shared" si="314"/>
        <v>0</v>
      </c>
      <c r="X67" s="838">
        <f t="shared" si="315"/>
        <v>1001.6681068537501</v>
      </c>
      <c r="Y67" s="838">
        <f t="shared" si="316"/>
        <v>0</v>
      </c>
      <c r="Z67" s="838">
        <f t="shared" ca="1" si="317"/>
        <v>1291.45</v>
      </c>
      <c r="AA67" s="838">
        <f t="shared" ca="1" si="318"/>
        <v>-530.77200000000005</v>
      </c>
      <c r="AB67" s="838">
        <f t="shared" ca="1" si="319"/>
        <v>1581.9759375000001</v>
      </c>
      <c r="AC67" s="838">
        <f t="shared" ca="1" si="320"/>
        <v>771.42399999999998</v>
      </c>
      <c r="AD67" s="838">
        <f t="shared" si="321"/>
        <v>220.101</v>
      </c>
      <c r="AE67" s="838">
        <f t="shared" si="322"/>
        <v>275.12625000000003</v>
      </c>
      <c r="AF67" s="838">
        <f t="shared" si="323"/>
        <v>330.1515</v>
      </c>
      <c r="AG67" s="838">
        <f t="shared" si="324"/>
        <v>379.67422499999998</v>
      </c>
      <c r="AH67" s="838">
        <f t="shared" ca="1" si="325"/>
        <v>44.344000000000001</v>
      </c>
      <c r="AI67" s="838">
        <f t="shared" ca="1" si="326"/>
        <v>107.2332072</v>
      </c>
      <c r="AJ67" s="838">
        <f t="shared" ca="1" si="327"/>
        <v>164.15957958750002</v>
      </c>
      <c r="AK67" s="838">
        <f t="shared" ca="1" si="328"/>
        <v>222.02688375</v>
      </c>
      <c r="AL67" s="838">
        <f t="shared" ca="1" si="329"/>
        <v>280.95892649999996</v>
      </c>
      <c r="AM67" s="838">
        <f t="shared" ca="1" si="330"/>
        <v>-28.047000000000001</v>
      </c>
      <c r="AN67" s="838">
        <f t="shared" ca="1" si="331"/>
        <v>12.8</v>
      </c>
      <c r="AO67" s="838">
        <f t="shared" ca="1" si="332"/>
        <v>54.332999999999998</v>
      </c>
      <c r="AP67" s="838">
        <f t="shared" ca="1" si="333"/>
        <v>-56.433</v>
      </c>
      <c r="AQ67" s="838">
        <f t="shared" ca="1" si="334"/>
        <v>-17.13</v>
      </c>
      <c r="AR67" s="838">
        <f t="shared" ca="1" si="335"/>
        <v>0.46779999999999999</v>
      </c>
      <c r="AS67" s="838">
        <f t="shared" ca="1" si="336"/>
        <v>71.739999999999995</v>
      </c>
      <c r="AT67" s="838">
        <f t="shared" ca="1" si="337"/>
        <v>-38.78</v>
      </c>
      <c r="AU67" s="838">
        <f t="shared" ca="1" si="338"/>
        <v>-20.318000000000001</v>
      </c>
      <c r="AV67" s="838">
        <f t="shared" ca="1" si="339"/>
        <v>16.167000000000002</v>
      </c>
      <c r="AW67" s="837">
        <f t="shared" ca="1" si="340"/>
        <v>1.9400000000000001E-2</v>
      </c>
      <c r="AX67" s="837">
        <f t="shared" ca="1" si="341"/>
        <v>0.876</v>
      </c>
      <c r="AY67" s="837">
        <f t="shared" ca="1" si="342"/>
        <v>-0.17</v>
      </c>
      <c r="AZ67" s="837">
        <f t="shared" ca="1" si="343"/>
        <v>-0.127</v>
      </c>
      <c r="BA67" s="837">
        <f t="shared" ca="1" si="344"/>
        <v>0.47299999999999998</v>
      </c>
      <c r="BB67" s="839">
        <f t="shared" ca="1" si="345"/>
        <v>24.11340206185567</v>
      </c>
      <c r="BC67" s="839">
        <f t="shared" ca="1" si="346"/>
        <v>81.894977168949765</v>
      </c>
      <c r="BD67" s="839">
        <f t="shared" ca="1" si="347"/>
        <v>228.11764705882351</v>
      </c>
      <c r="BE67" s="839">
        <f t="shared" ca="1" si="348"/>
        <v>159.98425196850394</v>
      </c>
      <c r="BF67" s="839">
        <f t="shared" ca="1" si="349"/>
        <v>34.179704016913327</v>
      </c>
      <c r="BG67" s="838">
        <f t="shared" ca="1" si="350"/>
        <v>-46.024999999999999</v>
      </c>
      <c r="BH67" s="838">
        <f t="shared" ca="1" si="351"/>
        <v>-41.85</v>
      </c>
      <c r="BI67" s="838">
        <f t="shared" ca="1" si="352"/>
        <v>-12.05</v>
      </c>
      <c r="BJ67" s="838">
        <f t="shared" ca="1" si="353"/>
        <v>-15.55</v>
      </c>
      <c r="BK67" s="838">
        <f t="shared" ca="1" si="354"/>
        <v>-18.75</v>
      </c>
      <c r="BL67" s="838">
        <f t="shared" ca="1" si="355"/>
        <v>72.391000000000005</v>
      </c>
      <c r="BM67" s="838">
        <f t="shared" ca="1" si="356"/>
        <v>94.433207199999998</v>
      </c>
      <c r="BN67" s="838">
        <f t="shared" ca="1" si="357"/>
        <v>109.82657958750002</v>
      </c>
      <c r="BO67" s="838">
        <f t="shared" ca="1" si="358"/>
        <v>278.45988375000002</v>
      </c>
      <c r="BP67" s="838">
        <f t="shared" ca="1" si="359"/>
        <v>298.08892649999996</v>
      </c>
      <c r="BQ67" s="837">
        <f t="shared" ca="1" si="360"/>
        <v>1.1128168448054725</v>
      </c>
      <c r="BR67" s="837">
        <f t="shared" ca="1" si="361"/>
        <v>1.5180809800278783</v>
      </c>
      <c r="BS67" s="837">
        <f t="shared" ca="1" si="362"/>
        <v>0.25862347936758651</v>
      </c>
      <c r="BT67" s="837">
        <f t="shared" ca="1" si="363"/>
        <v>1.5163485203391083</v>
      </c>
      <c r="BU67" s="837">
        <f t="shared" ca="1" si="364"/>
        <v>8.6456549288365157</v>
      </c>
      <c r="BV67" s="838">
        <f t="shared" ca="1" si="365"/>
        <v>261.36993749999999</v>
      </c>
      <c r="BW67" s="838">
        <f t="shared" ca="1" si="366"/>
        <v>316.39518750000002</v>
      </c>
      <c r="BX67" s="838">
        <f t="shared" ca="1" si="367"/>
        <v>367.29354374999997</v>
      </c>
      <c r="BY67" s="838">
        <f t="shared" ca="1" si="368"/>
        <v>149.92798649062502</v>
      </c>
      <c r="BZ67" s="838">
        <f t="shared" ca="1" si="369"/>
        <v>207.560057709375</v>
      </c>
      <c r="CA67" s="838">
        <f t="shared" ca="1" si="370"/>
        <v>266.22591581249998</v>
      </c>
      <c r="CB67" s="838">
        <f t="shared" ca="1" si="371"/>
        <v>43.949750000000002</v>
      </c>
      <c r="CC67" s="838">
        <f t="shared" ca="1" si="372"/>
        <v>-28.741500000000002</v>
      </c>
      <c r="CD67" s="838">
        <f t="shared" ca="1" si="373"/>
        <v>-26.955750000000002</v>
      </c>
      <c r="CE67" s="837">
        <f t="shared" ca="1" si="374"/>
        <v>9.1499999999999998E-2</v>
      </c>
      <c r="CF67" s="837">
        <f t="shared" ca="1" si="375"/>
        <v>-0.13775000000000001</v>
      </c>
      <c r="CG67" s="837">
        <f t="shared" ca="1" si="376"/>
        <v>0.32300000000000001</v>
      </c>
      <c r="CH67" s="837">
        <f t="shared" ca="1" si="377"/>
        <v>0.57348785453265938</v>
      </c>
      <c r="CI67" s="837">
        <f t="shared" ca="1" si="378"/>
        <v>1.2019172600962278</v>
      </c>
      <c r="CJ67" s="837">
        <f t="shared" ca="1" si="379"/>
        <v>6.8633283267121641</v>
      </c>
      <c r="CK67" s="840"/>
      <c r="CL67" s="841">
        <f>IF(CK67="",1,_xll.BDP(CK67&amp;" CURNCY","LAST PRICE"))</f>
        <v>1</v>
      </c>
      <c r="CM67" s="842">
        <v>1</v>
      </c>
      <c r="CN67" s="843">
        <f ca="1">_xll.BDH(B67&amp;" EQUITY","BS_SH_OUT",R67,R67,"EQY_FUND_PER="&amp;CT67,"days=a","fill=p")-10.2</f>
        <v>67.505600000000001</v>
      </c>
      <c r="CO67" s="844" t="str">
        <f>_xll.BDP(B67&amp;" EQUITY","EQY_FISCAL_YR_END")</f>
        <v>03/2018</v>
      </c>
      <c r="CP67" s="845">
        <f t="shared" si="305"/>
        <v>31</v>
      </c>
      <c r="CQ67" s="844">
        <f t="shared" si="306"/>
        <v>3</v>
      </c>
      <c r="CR67" s="844">
        <f t="shared" si="307"/>
        <v>2018</v>
      </c>
      <c r="CS67" s="836">
        <f t="shared" ca="1" si="308"/>
        <v>42825</v>
      </c>
      <c r="CT67" s="830" t="s">
        <v>866</v>
      </c>
      <c r="CU67" s="846">
        <f t="shared" ca="1" si="309"/>
        <v>0.25</v>
      </c>
      <c r="CV67" s="846">
        <f t="shared" ca="1" si="310"/>
        <v>0.75</v>
      </c>
      <c r="CW67" s="806"/>
    </row>
    <row r="68" spans="1:101" s="847" customFormat="1" ht="11.25" customHeight="1" x14ac:dyDescent="0.25">
      <c r="A68" s="806"/>
      <c r="B68" s="830" t="s">
        <v>805</v>
      </c>
      <c r="C68" s="816" t="str">
        <f>_xll.BDP($B68&amp;" EQUITY","Name")</f>
        <v>LIVERAMP HOLDINGS INC</v>
      </c>
      <c r="D68" s="816"/>
      <c r="E68" s="831">
        <f t="shared" ca="1" si="267"/>
        <v>38.273032820295654</v>
      </c>
      <c r="F68" s="832">
        <f t="shared" ca="1" si="268"/>
        <v>2583.6440443537504</v>
      </c>
      <c r="G68" s="832">
        <f t="shared" ca="1" si="269"/>
        <v>1581.9759375000001</v>
      </c>
      <c r="H68" s="869">
        <f t="shared" ca="1" si="270"/>
        <v>6.052631578947369</v>
      </c>
      <c r="I68" s="896">
        <f t="shared" si="380"/>
        <v>6.2000000000000011</v>
      </c>
      <c r="J68" s="869">
        <f t="shared" ca="1" si="271"/>
        <v>4.3071161048689142</v>
      </c>
      <c r="K68" s="833"/>
      <c r="L68" s="833"/>
      <c r="M68" s="833"/>
      <c r="N68" s="834"/>
      <c r="O68" s="834"/>
      <c r="P68" s="834"/>
      <c r="Q68" s="835"/>
      <c r="R68" s="836">
        <f t="shared" ca="1" si="272"/>
        <v>43433</v>
      </c>
      <c r="S68" s="837">
        <f t="shared" ca="1" si="381"/>
        <v>46.924999999999997</v>
      </c>
      <c r="T68" s="838">
        <f t="shared" ca="1" si="311"/>
        <v>0</v>
      </c>
      <c r="U68" s="838">
        <f t="shared" si="312"/>
        <v>0</v>
      </c>
      <c r="V68" s="838">
        <f t="shared" si="313"/>
        <v>0</v>
      </c>
      <c r="W68" s="838">
        <f t="shared" si="314"/>
        <v>0</v>
      </c>
      <c r="X68" s="838">
        <f t="shared" si="315"/>
        <v>1001.6681068537501</v>
      </c>
      <c r="Y68" s="838">
        <f t="shared" si="316"/>
        <v>0</v>
      </c>
      <c r="Z68" s="838">
        <f t="shared" ca="1" si="317"/>
        <v>1291.45</v>
      </c>
      <c r="AA68" s="838">
        <f t="shared" ca="1" si="318"/>
        <v>-530.77200000000005</v>
      </c>
      <c r="AB68" s="838">
        <f t="shared" ca="1" si="319"/>
        <v>1581.9759375000001</v>
      </c>
      <c r="AC68" s="838">
        <f t="shared" ca="1" si="320"/>
        <v>771.42399999999998</v>
      </c>
      <c r="AD68" s="838">
        <f t="shared" si="321"/>
        <v>220.101</v>
      </c>
      <c r="AE68" s="838">
        <f t="shared" si="322"/>
        <v>275.12625000000003</v>
      </c>
      <c r="AF68" s="838">
        <f t="shared" si="323"/>
        <v>330.1515</v>
      </c>
      <c r="AG68" s="838">
        <f t="shared" si="324"/>
        <v>379.67422499999998</v>
      </c>
      <c r="AH68" s="838">
        <f t="shared" ca="1" si="325"/>
        <v>44.344000000000001</v>
      </c>
      <c r="AI68" s="838">
        <f t="shared" ca="1" si="326"/>
        <v>107.2332072</v>
      </c>
      <c r="AJ68" s="838">
        <f t="shared" ca="1" si="327"/>
        <v>164.15957958750002</v>
      </c>
      <c r="AK68" s="838">
        <f t="shared" ca="1" si="328"/>
        <v>222.02688375</v>
      </c>
      <c r="AL68" s="838">
        <f t="shared" ca="1" si="329"/>
        <v>280.95892649999996</v>
      </c>
      <c r="AM68" s="838">
        <f t="shared" ca="1" si="330"/>
        <v>-28.047000000000001</v>
      </c>
      <c r="AN68" s="838">
        <f t="shared" ca="1" si="331"/>
        <v>12.8</v>
      </c>
      <c r="AO68" s="838">
        <f t="shared" ca="1" si="332"/>
        <v>54.332999999999998</v>
      </c>
      <c r="AP68" s="838">
        <f t="shared" ca="1" si="333"/>
        <v>-56.433</v>
      </c>
      <c r="AQ68" s="838">
        <f t="shared" ca="1" si="334"/>
        <v>-17.13</v>
      </c>
      <c r="AR68" s="838">
        <f t="shared" ca="1" si="335"/>
        <v>0.46779999999999999</v>
      </c>
      <c r="AS68" s="838">
        <f t="shared" ca="1" si="336"/>
        <v>71.739999999999995</v>
      </c>
      <c r="AT68" s="838">
        <f t="shared" ca="1" si="337"/>
        <v>-38.78</v>
      </c>
      <c r="AU68" s="838">
        <f t="shared" ca="1" si="338"/>
        <v>-20.318000000000001</v>
      </c>
      <c r="AV68" s="838">
        <f t="shared" ca="1" si="339"/>
        <v>16.167000000000002</v>
      </c>
      <c r="AW68" s="837">
        <f t="shared" ca="1" si="340"/>
        <v>1.9400000000000001E-2</v>
      </c>
      <c r="AX68" s="837">
        <f t="shared" ca="1" si="341"/>
        <v>0.876</v>
      </c>
      <c r="AY68" s="837">
        <f t="shared" ca="1" si="342"/>
        <v>-0.17</v>
      </c>
      <c r="AZ68" s="837">
        <f t="shared" ca="1" si="343"/>
        <v>-0.127</v>
      </c>
      <c r="BA68" s="837">
        <f t="shared" ca="1" si="344"/>
        <v>0.47299999999999998</v>
      </c>
      <c r="BB68" s="839">
        <f t="shared" ca="1" si="345"/>
        <v>24.11340206185567</v>
      </c>
      <c r="BC68" s="839">
        <f t="shared" ca="1" si="346"/>
        <v>81.894977168949765</v>
      </c>
      <c r="BD68" s="839">
        <f t="shared" ca="1" si="347"/>
        <v>228.11764705882351</v>
      </c>
      <c r="BE68" s="839">
        <f t="shared" ca="1" si="348"/>
        <v>159.98425196850394</v>
      </c>
      <c r="BF68" s="839">
        <f t="shared" ca="1" si="349"/>
        <v>34.179704016913327</v>
      </c>
      <c r="BG68" s="838">
        <f t="shared" ca="1" si="350"/>
        <v>-46.024999999999999</v>
      </c>
      <c r="BH68" s="838">
        <f t="shared" ca="1" si="351"/>
        <v>-41.85</v>
      </c>
      <c r="BI68" s="838">
        <f t="shared" ca="1" si="352"/>
        <v>-12.05</v>
      </c>
      <c r="BJ68" s="838">
        <f t="shared" ca="1" si="353"/>
        <v>-15.55</v>
      </c>
      <c r="BK68" s="838">
        <f t="shared" ca="1" si="354"/>
        <v>-18.75</v>
      </c>
      <c r="BL68" s="838">
        <f t="shared" ca="1" si="355"/>
        <v>72.391000000000005</v>
      </c>
      <c r="BM68" s="838">
        <f t="shared" ca="1" si="356"/>
        <v>94.433207199999998</v>
      </c>
      <c r="BN68" s="838">
        <f t="shared" ca="1" si="357"/>
        <v>109.82657958750002</v>
      </c>
      <c r="BO68" s="838">
        <f t="shared" ca="1" si="358"/>
        <v>278.45988375000002</v>
      </c>
      <c r="BP68" s="838">
        <f t="shared" ca="1" si="359"/>
        <v>298.08892649999996</v>
      </c>
      <c r="BQ68" s="837">
        <f t="shared" ca="1" si="360"/>
        <v>1.1128168448054725</v>
      </c>
      <c r="BR68" s="837">
        <f t="shared" ca="1" si="361"/>
        <v>1.5180809800278783</v>
      </c>
      <c r="BS68" s="837">
        <f t="shared" ca="1" si="362"/>
        <v>0.25862347936758651</v>
      </c>
      <c r="BT68" s="837">
        <f t="shared" ca="1" si="363"/>
        <v>1.5163485203391083</v>
      </c>
      <c r="BU68" s="837">
        <f t="shared" ca="1" si="364"/>
        <v>8.6456549288365157</v>
      </c>
      <c r="BV68" s="838">
        <f t="shared" ca="1" si="365"/>
        <v>261.36993749999999</v>
      </c>
      <c r="BW68" s="838">
        <f t="shared" ca="1" si="366"/>
        <v>316.39518750000002</v>
      </c>
      <c r="BX68" s="838">
        <f t="shared" ca="1" si="367"/>
        <v>367.29354374999997</v>
      </c>
      <c r="BY68" s="838">
        <f t="shared" ca="1" si="368"/>
        <v>149.92798649062502</v>
      </c>
      <c r="BZ68" s="838">
        <f t="shared" ca="1" si="369"/>
        <v>207.560057709375</v>
      </c>
      <c r="CA68" s="838">
        <f t="shared" ca="1" si="370"/>
        <v>266.22591581249998</v>
      </c>
      <c r="CB68" s="838">
        <f t="shared" ca="1" si="371"/>
        <v>43.949750000000002</v>
      </c>
      <c r="CC68" s="838">
        <f t="shared" ca="1" si="372"/>
        <v>-28.741500000000002</v>
      </c>
      <c r="CD68" s="838">
        <f t="shared" ca="1" si="373"/>
        <v>-26.955750000000002</v>
      </c>
      <c r="CE68" s="837">
        <f t="shared" ca="1" si="374"/>
        <v>9.1499999999999998E-2</v>
      </c>
      <c r="CF68" s="837">
        <f t="shared" ca="1" si="375"/>
        <v>-0.13775000000000001</v>
      </c>
      <c r="CG68" s="837">
        <f t="shared" ca="1" si="376"/>
        <v>0.32300000000000001</v>
      </c>
      <c r="CH68" s="837">
        <f t="shared" ca="1" si="377"/>
        <v>0.57348785453265938</v>
      </c>
      <c r="CI68" s="837">
        <f t="shared" ca="1" si="378"/>
        <v>1.2019172600962278</v>
      </c>
      <c r="CJ68" s="837">
        <f t="shared" ca="1" si="379"/>
        <v>6.8633283267121641</v>
      </c>
      <c r="CK68" s="840"/>
      <c r="CL68" s="841">
        <f>IF(CK68="",1,_xll.BDP(CK68&amp;" CURNCY","LAST PRICE"))</f>
        <v>1</v>
      </c>
      <c r="CM68" s="842">
        <v>1</v>
      </c>
      <c r="CN68" s="843">
        <f ca="1">_xll.BDH(B68&amp;" EQUITY","BS_SH_OUT",R68,R68,"EQY_FUND_PER="&amp;CT68,"days=a","fill=p")-10.2</f>
        <v>67.505600000000001</v>
      </c>
      <c r="CO68" s="844" t="str">
        <f>_xll.BDP(B68&amp;" EQUITY","EQY_FISCAL_YR_END")</f>
        <v>03/2018</v>
      </c>
      <c r="CP68" s="845">
        <f t="shared" si="305"/>
        <v>31</v>
      </c>
      <c r="CQ68" s="844">
        <f t="shared" si="306"/>
        <v>3</v>
      </c>
      <c r="CR68" s="844">
        <f t="shared" si="307"/>
        <v>2018</v>
      </c>
      <c r="CS68" s="836">
        <f t="shared" ca="1" si="308"/>
        <v>42825</v>
      </c>
      <c r="CT68" s="830" t="s">
        <v>866</v>
      </c>
      <c r="CU68" s="846">
        <f t="shared" ca="1" si="309"/>
        <v>0.25</v>
      </c>
      <c r="CV68" s="846">
        <f t="shared" ca="1" si="310"/>
        <v>0.75</v>
      </c>
      <c r="CW68" s="806"/>
    </row>
    <row r="69" spans="1:101" s="847" customFormat="1" ht="11.25" customHeight="1" x14ac:dyDescent="0.25">
      <c r="A69" s="806"/>
      <c r="B69" s="830" t="s">
        <v>805</v>
      </c>
      <c r="C69" s="816" t="str">
        <f>_xll.BDP($B69&amp;" EQUITY","Name")</f>
        <v>LIVERAMP HOLDINGS INC</v>
      </c>
      <c r="D69" s="816"/>
      <c r="E69" s="831">
        <f t="shared" ca="1" si="267"/>
        <v>38.273032820295654</v>
      </c>
      <c r="F69" s="832">
        <f t="shared" ca="1" si="268"/>
        <v>2583.6440443537504</v>
      </c>
      <c r="G69" s="832">
        <f t="shared" ca="1" si="269"/>
        <v>1581.9759375000001</v>
      </c>
      <c r="H69" s="869">
        <f t="shared" ca="1" si="270"/>
        <v>6.052631578947369</v>
      </c>
      <c r="I69" s="896">
        <f t="shared" si="380"/>
        <v>6.4000000000000012</v>
      </c>
      <c r="J69" s="869">
        <f t="shared" ca="1" si="271"/>
        <v>4.3071161048689142</v>
      </c>
      <c r="K69" s="833"/>
      <c r="L69" s="833"/>
      <c r="M69" s="833"/>
      <c r="N69" s="834"/>
      <c r="O69" s="834"/>
      <c r="P69" s="834"/>
      <c r="Q69" s="835"/>
      <c r="R69" s="836">
        <f t="shared" ca="1" si="272"/>
        <v>43433</v>
      </c>
      <c r="S69" s="837">
        <f t="shared" ca="1" si="381"/>
        <v>46.924999999999997</v>
      </c>
      <c r="T69" s="838">
        <f t="shared" ca="1" si="311"/>
        <v>0</v>
      </c>
      <c r="U69" s="838">
        <f t="shared" si="312"/>
        <v>0</v>
      </c>
      <c r="V69" s="838">
        <f t="shared" si="313"/>
        <v>0</v>
      </c>
      <c r="W69" s="838">
        <f t="shared" si="314"/>
        <v>0</v>
      </c>
      <c r="X69" s="838">
        <f t="shared" si="315"/>
        <v>1001.6681068537501</v>
      </c>
      <c r="Y69" s="838">
        <f t="shared" si="316"/>
        <v>0</v>
      </c>
      <c r="Z69" s="838">
        <f t="shared" ca="1" si="317"/>
        <v>1291.45</v>
      </c>
      <c r="AA69" s="838">
        <f t="shared" ca="1" si="318"/>
        <v>-530.77200000000005</v>
      </c>
      <c r="AB69" s="838">
        <f t="shared" ca="1" si="319"/>
        <v>1581.9759375000001</v>
      </c>
      <c r="AC69" s="838">
        <f t="shared" ca="1" si="320"/>
        <v>771.42399999999998</v>
      </c>
      <c r="AD69" s="838">
        <f t="shared" si="321"/>
        <v>220.101</v>
      </c>
      <c r="AE69" s="838">
        <f t="shared" si="322"/>
        <v>275.12625000000003</v>
      </c>
      <c r="AF69" s="838">
        <f t="shared" si="323"/>
        <v>330.1515</v>
      </c>
      <c r="AG69" s="838">
        <f t="shared" si="324"/>
        <v>379.67422499999998</v>
      </c>
      <c r="AH69" s="838">
        <f t="shared" ca="1" si="325"/>
        <v>44.344000000000001</v>
      </c>
      <c r="AI69" s="838">
        <f t="shared" ca="1" si="326"/>
        <v>107.2332072</v>
      </c>
      <c r="AJ69" s="838">
        <f t="shared" ca="1" si="327"/>
        <v>164.15957958750002</v>
      </c>
      <c r="AK69" s="838">
        <f t="shared" ca="1" si="328"/>
        <v>222.02688375</v>
      </c>
      <c r="AL69" s="838">
        <f t="shared" ca="1" si="329"/>
        <v>280.95892649999996</v>
      </c>
      <c r="AM69" s="838">
        <f t="shared" ca="1" si="330"/>
        <v>-28.047000000000001</v>
      </c>
      <c r="AN69" s="838">
        <f t="shared" ca="1" si="331"/>
        <v>12.8</v>
      </c>
      <c r="AO69" s="838">
        <f t="shared" ca="1" si="332"/>
        <v>54.332999999999998</v>
      </c>
      <c r="AP69" s="838">
        <f t="shared" ca="1" si="333"/>
        <v>-56.433</v>
      </c>
      <c r="AQ69" s="838">
        <f t="shared" ca="1" si="334"/>
        <v>-17.13</v>
      </c>
      <c r="AR69" s="838">
        <f t="shared" ca="1" si="335"/>
        <v>0.46779999999999999</v>
      </c>
      <c r="AS69" s="838">
        <f t="shared" ca="1" si="336"/>
        <v>71.739999999999995</v>
      </c>
      <c r="AT69" s="838">
        <f t="shared" ca="1" si="337"/>
        <v>-38.78</v>
      </c>
      <c r="AU69" s="838">
        <f t="shared" ca="1" si="338"/>
        <v>-20.318000000000001</v>
      </c>
      <c r="AV69" s="838">
        <f t="shared" ca="1" si="339"/>
        <v>16.167000000000002</v>
      </c>
      <c r="AW69" s="837">
        <f t="shared" ca="1" si="340"/>
        <v>1.9400000000000001E-2</v>
      </c>
      <c r="AX69" s="837">
        <f t="shared" ca="1" si="341"/>
        <v>0.876</v>
      </c>
      <c r="AY69" s="837">
        <f t="shared" ca="1" si="342"/>
        <v>-0.17</v>
      </c>
      <c r="AZ69" s="837">
        <f t="shared" ca="1" si="343"/>
        <v>-0.127</v>
      </c>
      <c r="BA69" s="837">
        <f t="shared" ca="1" si="344"/>
        <v>0.47299999999999998</v>
      </c>
      <c r="BB69" s="839">
        <f t="shared" ca="1" si="345"/>
        <v>24.11340206185567</v>
      </c>
      <c r="BC69" s="839">
        <f t="shared" ca="1" si="346"/>
        <v>81.894977168949765</v>
      </c>
      <c r="BD69" s="839">
        <f t="shared" ca="1" si="347"/>
        <v>228.11764705882351</v>
      </c>
      <c r="BE69" s="839">
        <f t="shared" ca="1" si="348"/>
        <v>159.98425196850394</v>
      </c>
      <c r="BF69" s="839">
        <f t="shared" ca="1" si="349"/>
        <v>34.179704016913327</v>
      </c>
      <c r="BG69" s="838">
        <f t="shared" ca="1" si="350"/>
        <v>-46.024999999999999</v>
      </c>
      <c r="BH69" s="838">
        <f t="shared" ca="1" si="351"/>
        <v>-41.85</v>
      </c>
      <c r="BI69" s="838">
        <f t="shared" ca="1" si="352"/>
        <v>-12.05</v>
      </c>
      <c r="BJ69" s="838">
        <f t="shared" ca="1" si="353"/>
        <v>-15.55</v>
      </c>
      <c r="BK69" s="838">
        <f t="shared" ca="1" si="354"/>
        <v>-18.75</v>
      </c>
      <c r="BL69" s="838">
        <f t="shared" ca="1" si="355"/>
        <v>72.391000000000005</v>
      </c>
      <c r="BM69" s="838">
        <f t="shared" ca="1" si="356"/>
        <v>94.433207199999998</v>
      </c>
      <c r="BN69" s="838">
        <f t="shared" ca="1" si="357"/>
        <v>109.82657958750002</v>
      </c>
      <c r="BO69" s="838">
        <f t="shared" ca="1" si="358"/>
        <v>278.45988375000002</v>
      </c>
      <c r="BP69" s="838">
        <f t="shared" ca="1" si="359"/>
        <v>298.08892649999996</v>
      </c>
      <c r="BQ69" s="837">
        <f t="shared" ca="1" si="360"/>
        <v>1.1128168448054725</v>
      </c>
      <c r="BR69" s="837">
        <f t="shared" ca="1" si="361"/>
        <v>1.5180809800278783</v>
      </c>
      <c r="BS69" s="837">
        <f t="shared" ca="1" si="362"/>
        <v>0.25862347936758651</v>
      </c>
      <c r="BT69" s="837">
        <f t="shared" ca="1" si="363"/>
        <v>1.5163485203391083</v>
      </c>
      <c r="BU69" s="837">
        <f t="shared" ca="1" si="364"/>
        <v>8.6456549288365157</v>
      </c>
      <c r="BV69" s="838">
        <f t="shared" ca="1" si="365"/>
        <v>261.36993749999999</v>
      </c>
      <c r="BW69" s="838">
        <f t="shared" ca="1" si="366"/>
        <v>316.39518750000002</v>
      </c>
      <c r="BX69" s="838">
        <f t="shared" ca="1" si="367"/>
        <v>367.29354374999997</v>
      </c>
      <c r="BY69" s="838">
        <f t="shared" ca="1" si="368"/>
        <v>149.92798649062502</v>
      </c>
      <c r="BZ69" s="838">
        <f t="shared" ca="1" si="369"/>
        <v>207.560057709375</v>
      </c>
      <c r="CA69" s="838">
        <f t="shared" ca="1" si="370"/>
        <v>266.22591581249998</v>
      </c>
      <c r="CB69" s="838">
        <f t="shared" ca="1" si="371"/>
        <v>43.949750000000002</v>
      </c>
      <c r="CC69" s="838">
        <f t="shared" ca="1" si="372"/>
        <v>-28.741500000000002</v>
      </c>
      <c r="CD69" s="838">
        <f t="shared" ca="1" si="373"/>
        <v>-26.955750000000002</v>
      </c>
      <c r="CE69" s="837">
        <f t="shared" ca="1" si="374"/>
        <v>9.1499999999999998E-2</v>
      </c>
      <c r="CF69" s="837">
        <f t="shared" ca="1" si="375"/>
        <v>-0.13775000000000001</v>
      </c>
      <c r="CG69" s="837">
        <f t="shared" ca="1" si="376"/>
        <v>0.32300000000000001</v>
      </c>
      <c r="CH69" s="837">
        <f t="shared" ca="1" si="377"/>
        <v>0.57348785453265938</v>
      </c>
      <c r="CI69" s="837">
        <f t="shared" ca="1" si="378"/>
        <v>1.2019172600962278</v>
      </c>
      <c r="CJ69" s="837">
        <f t="shared" ca="1" si="379"/>
        <v>6.8633283267121641</v>
      </c>
      <c r="CK69" s="840"/>
      <c r="CL69" s="841">
        <f>IF(CK69="",1,_xll.BDP(CK69&amp;" CURNCY","LAST PRICE"))</f>
        <v>1</v>
      </c>
      <c r="CM69" s="842">
        <v>1</v>
      </c>
      <c r="CN69" s="843">
        <f ca="1">_xll.BDH(B69&amp;" EQUITY","BS_SH_OUT",R69,R69,"EQY_FUND_PER="&amp;CT69,"days=a","fill=p")-10.2</f>
        <v>67.505600000000001</v>
      </c>
      <c r="CO69" s="844" t="str">
        <f>_xll.BDP(B69&amp;" EQUITY","EQY_FISCAL_YR_END")</f>
        <v>03/2018</v>
      </c>
      <c r="CP69" s="845">
        <f t="shared" si="305"/>
        <v>31</v>
      </c>
      <c r="CQ69" s="844">
        <f t="shared" si="306"/>
        <v>3</v>
      </c>
      <c r="CR69" s="844">
        <f t="shared" si="307"/>
        <v>2018</v>
      </c>
      <c r="CS69" s="836">
        <f t="shared" ca="1" si="308"/>
        <v>42825</v>
      </c>
      <c r="CT69" s="830" t="s">
        <v>866</v>
      </c>
      <c r="CU69" s="846">
        <f t="shared" ca="1" si="309"/>
        <v>0.25</v>
      </c>
      <c r="CV69" s="846">
        <f t="shared" ca="1" si="310"/>
        <v>0.75</v>
      </c>
      <c r="CW69" s="806"/>
    </row>
    <row r="70" spans="1:101" s="847" customFormat="1" ht="11.25" customHeight="1" x14ac:dyDescent="0.25">
      <c r="A70" s="806"/>
      <c r="B70" s="830" t="s">
        <v>805</v>
      </c>
      <c r="C70" s="816" t="str">
        <f>_xll.BDP($B70&amp;" EQUITY","Name")</f>
        <v>LIVERAMP HOLDINGS INC</v>
      </c>
      <c r="D70" s="816"/>
      <c r="E70" s="831">
        <f t="shared" ca="1" si="267"/>
        <v>38.273032820295654</v>
      </c>
      <c r="F70" s="832">
        <f t="shared" ca="1" si="268"/>
        <v>2583.6440443537504</v>
      </c>
      <c r="G70" s="832">
        <f t="shared" ca="1" si="269"/>
        <v>1581.9759375000001</v>
      </c>
      <c r="H70" s="869">
        <f t="shared" ca="1" si="270"/>
        <v>6.052631578947369</v>
      </c>
      <c r="I70" s="896">
        <f t="shared" si="380"/>
        <v>6.6000000000000014</v>
      </c>
      <c r="J70" s="833">
        <f t="shared" ca="1" si="271"/>
        <v>4.3071161048689142</v>
      </c>
      <c r="K70" s="833"/>
      <c r="L70" s="833"/>
      <c r="M70" s="833"/>
      <c r="N70" s="834"/>
      <c r="O70" s="834"/>
      <c r="P70" s="834"/>
      <c r="Q70" s="835"/>
      <c r="R70" s="836">
        <f t="shared" ca="1" si="272"/>
        <v>43433</v>
      </c>
      <c r="S70" s="837">
        <f t="shared" ca="1" si="381"/>
        <v>46.924999999999997</v>
      </c>
      <c r="T70" s="838">
        <f t="shared" ca="1" si="311"/>
        <v>0</v>
      </c>
      <c r="U70" s="838">
        <f t="shared" si="312"/>
        <v>0</v>
      </c>
      <c r="V70" s="838">
        <f t="shared" si="313"/>
        <v>0</v>
      </c>
      <c r="W70" s="838">
        <f t="shared" si="314"/>
        <v>0</v>
      </c>
      <c r="X70" s="838">
        <f t="shared" si="315"/>
        <v>1001.6681068537501</v>
      </c>
      <c r="Y70" s="838">
        <f t="shared" si="316"/>
        <v>0</v>
      </c>
      <c r="Z70" s="838">
        <f t="shared" ca="1" si="317"/>
        <v>1291.45</v>
      </c>
      <c r="AA70" s="838">
        <f t="shared" ca="1" si="318"/>
        <v>-530.77200000000005</v>
      </c>
      <c r="AB70" s="838">
        <f t="shared" ca="1" si="319"/>
        <v>1581.9759375000001</v>
      </c>
      <c r="AC70" s="838">
        <f t="shared" ca="1" si="320"/>
        <v>771.42399999999998</v>
      </c>
      <c r="AD70" s="838">
        <f t="shared" si="321"/>
        <v>220.101</v>
      </c>
      <c r="AE70" s="838">
        <f t="shared" si="322"/>
        <v>275.12625000000003</v>
      </c>
      <c r="AF70" s="838">
        <f t="shared" si="323"/>
        <v>330.1515</v>
      </c>
      <c r="AG70" s="838">
        <f t="shared" si="324"/>
        <v>379.67422499999998</v>
      </c>
      <c r="AH70" s="838">
        <f t="shared" ca="1" si="325"/>
        <v>44.344000000000001</v>
      </c>
      <c r="AI70" s="838">
        <f t="shared" ca="1" si="326"/>
        <v>107.2332072</v>
      </c>
      <c r="AJ70" s="838">
        <f t="shared" ca="1" si="327"/>
        <v>164.15957958750002</v>
      </c>
      <c r="AK70" s="838">
        <f t="shared" ca="1" si="328"/>
        <v>222.02688375</v>
      </c>
      <c r="AL70" s="838">
        <f t="shared" ca="1" si="329"/>
        <v>280.95892649999996</v>
      </c>
      <c r="AM70" s="838">
        <f t="shared" ca="1" si="330"/>
        <v>-28.047000000000001</v>
      </c>
      <c r="AN70" s="838">
        <f t="shared" ca="1" si="331"/>
        <v>12.8</v>
      </c>
      <c r="AO70" s="838">
        <f t="shared" ca="1" si="332"/>
        <v>54.332999999999998</v>
      </c>
      <c r="AP70" s="838">
        <f t="shared" ca="1" si="333"/>
        <v>-56.433</v>
      </c>
      <c r="AQ70" s="838">
        <f t="shared" ca="1" si="334"/>
        <v>-17.13</v>
      </c>
      <c r="AR70" s="838">
        <f t="shared" ca="1" si="335"/>
        <v>0.46779999999999999</v>
      </c>
      <c r="AS70" s="838">
        <f t="shared" ca="1" si="336"/>
        <v>71.739999999999995</v>
      </c>
      <c r="AT70" s="838">
        <f t="shared" ca="1" si="337"/>
        <v>-38.78</v>
      </c>
      <c r="AU70" s="838">
        <f t="shared" ca="1" si="338"/>
        <v>-20.318000000000001</v>
      </c>
      <c r="AV70" s="838">
        <f t="shared" ca="1" si="339"/>
        <v>16.167000000000002</v>
      </c>
      <c r="AW70" s="837">
        <f t="shared" ca="1" si="340"/>
        <v>1.9400000000000001E-2</v>
      </c>
      <c r="AX70" s="837">
        <f t="shared" ca="1" si="341"/>
        <v>0.876</v>
      </c>
      <c r="AY70" s="837">
        <f t="shared" ca="1" si="342"/>
        <v>-0.17</v>
      </c>
      <c r="AZ70" s="837">
        <f t="shared" ca="1" si="343"/>
        <v>-0.127</v>
      </c>
      <c r="BA70" s="837">
        <f t="shared" ca="1" si="344"/>
        <v>0.47299999999999998</v>
      </c>
      <c r="BB70" s="839">
        <f t="shared" ca="1" si="345"/>
        <v>24.11340206185567</v>
      </c>
      <c r="BC70" s="839">
        <f t="shared" ca="1" si="346"/>
        <v>81.894977168949765</v>
      </c>
      <c r="BD70" s="839">
        <f t="shared" ca="1" si="347"/>
        <v>228.11764705882351</v>
      </c>
      <c r="BE70" s="839">
        <f t="shared" ca="1" si="348"/>
        <v>159.98425196850394</v>
      </c>
      <c r="BF70" s="839">
        <f t="shared" ca="1" si="349"/>
        <v>34.179704016913327</v>
      </c>
      <c r="BG70" s="838">
        <f t="shared" ca="1" si="350"/>
        <v>-46.024999999999999</v>
      </c>
      <c r="BH70" s="838">
        <f t="shared" ca="1" si="351"/>
        <v>-41.85</v>
      </c>
      <c r="BI70" s="838">
        <f t="shared" ca="1" si="352"/>
        <v>-12.05</v>
      </c>
      <c r="BJ70" s="838">
        <f t="shared" ca="1" si="353"/>
        <v>-15.55</v>
      </c>
      <c r="BK70" s="838">
        <f t="shared" ca="1" si="354"/>
        <v>-18.75</v>
      </c>
      <c r="BL70" s="838">
        <f t="shared" ca="1" si="355"/>
        <v>72.391000000000005</v>
      </c>
      <c r="BM70" s="838">
        <f t="shared" ca="1" si="356"/>
        <v>94.433207199999998</v>
      </c>
      <c r="BN70" s="838">
        <f t="shared" ca="1" si="357"/>
        <v>109.82657958750002</v>
      </c>
      <c r="BO70" s="838">
        <f t="shared" ca="1" si="358"/>
        <v>278.45988375000002</v>
      </c>
      <c r="BP70" s="838">
        <f t="shared" ca="1" si="359"/>
        <v>298.08892649999996</v>
      </c>
      <c r="BQ70" s="837">
        <f t="shared" ca="1" si="360"/>
        <v>1.1128168448054725</v>
      </c>
      <c r="BR70" s="837">
        <f t="shared" ca="1" si="361"/>
        <v>1.5180809800278783</v>
      </c>
      <c r="BS70" s="837">
        <f t="shared" ca="1" si="362"/>
        <v>0.25862347936758651</v>
      </c>
      <c r="BT70" s="837">
        <f t="shared" ca="1" si="363"/>
        <v>1.5163485203391083</v>
      </c>
      <c r="BU70" s="837">
        <f t="shared" ca="1" si="364"/>
        <v>8.6456549288365157</v>
      </c>
      <c r="BV70" s="838">
        <f t="shared" ca="1" si="365"/>
        <v>261.36993749999999</v>
      </c>
      <c r="BW70" s="838">
        <f t="shared" ca="1" si="366"/>
        <v>316.39518750000002</v>
      </c>
      <c r="BX70" s="838">
        <f t="shared" ca="1" si="367"/>
        <v>367.29354374999997</v>
      </c>
      <c r="BY70" s="838">
        <f t="shared" ca="1" si="368"/>
        <v>149.92798649062502</v>
      </c>
      <c r="BZ70" s="838">
        <f t="shared" ca="1" si="369"/>
        <v>207.560057709375</v>
      </c>
      <c r="CA70" s="838">
        <f t="shared" ca="1" si="370"/>
        <v>266.22591581249998</v>
      </c>
      <c r="CB70" s="838">
        <f t="shared" ca="1" si="371"/>
        <v>43.949750000000002</v>
      </c>
      <c r="CC70" s="838">
        <f t="shared" ca="1" si="372"/>
        <v>-28.741500000000002</v>
      </c>
      <c r="CD70" s="838">
        <f t="shared" ca="1" si="373"/>
        <v>-26.955750000000002</v>
      </c>
      <c r="CE70" s="837">
        <f t="shared" ca="1" si="374"/>
        <v>9.1499999999999998E-2</v>
      </c>
      <c r="CF70" s="837">
        <f t="shared" ca="1" si="375"/>
        <v>-0.13775000000000001</v>
      </c>
      <c r="CG70" s="837">
        <f t="shared" ca="1" si="376"/>
        <v>0.32300000000000001</v>
      </c>
      <c r="CH70" s="837">
        <f t="shared" ca="1" si="377"/>
        <v>0.57348785453265938</v>
      </c>
      <c r="CI70" s="837">
        <f t="shared" ca="1" si="378"/>
        <v>1.2019172600962278</v>
      </c>
      <c r="CJ70" s="837">
        <f t="shared" ca="1" si="379"/>
        <v>6.8633283267121641</v>
      </c>
      <c r="CK70" s="840"/>
      <c r="CL70" s="841">
        <f>IF(CK70="",1,_xll.BDP(CK70&amp;" CURNCY","LAST PRICE"))</f>
        <v>1</v>
      </c>
      <c r="CM70" s="842">
        <v>1</v>
      </c>
      <c r="CN70" s="843">
        <f ca="1">_xll.BDH(B70&amp;" EQUITY","BS_SH_OUT",R70,R70,"EQY_FUND_PER="&amp;CT70,"days=a","fill=p")-10.2</f>
        <v>67.505600000000001</v>
      </c>
      <c r="CO70" s="844" t="str">
        <f>_xll.BDP(B70&amp;" EQUITY","EQY_FISCAL_YR_END")</f>
        <v>03/2018</v>
      </c>
      <c r="CP70" s="845">
        <f t="shared" si="305"/>
        <v>31</v>
      </c>
      <c r="CQ70" s="844">
        <f t="shared" si="306"/>
        <v>3</v>
      </c>
      <c r="CR70" s="844">
        <f t="shared" si="307"/>
        <v>2018</v>
      </c>
      <c r="CS70" s="836">
        <f t="shared" ca="1" si="308"/>
        <v>42825</v>
      </c>
      <c r="CT70" s="830" t="s">
        <v>866</v>
      </c>
      <c r="CU70" s="846">
        <f t="shared" ca="1" si="309"/>
        <v>0.25</v>
      </c>
      <c r="CV70" s="846">
        <f t="shared" ca="1" si="310"/>
        <v>0.75</v>
      </c>
      <c r="CW70" s="806"/>
    </row>
    <row r="71" spans="1:101" s="847" customFormat="1" ht="11.25" customHeight="1" x14ac:dyDescent="0.25">
      <c r="A71" s="806"/>
      <c r="B71" s="830" t="s">
        <v>805</v>
      </c>
      <c r="C71" s="816" t="str">
        <f>_xll.BDP($B71&amp;" EQUITY","Name")</f>
        <v>LIVERAMP HOLDINGS INC</v>
      </c>
      <c r="D71" s="816"/>
      <c r="E71" s="831">
        <f t="shared" ca="1" si="267"/>
        <v>38.273032820295654</v>
      </c>
      <c r="F71" s="832">
        <f t="shared" ca="1" si="268"/>
        <v>2583.6440443537504</v>
      </c>
      <c r="G71" s="832">
        <f t="shared" ca="1" si="269"/>
        <v>1581.9759375000001</v>
      </c>
      <c r="H71" s="869">
        <f t="shared" ca="1" si="270"/>
        <v>6.052631578947369</v>
      </c>
      <c r="I71" s="896">
        <f t="shared" si="380"/>
        <v>6.8000000000000016</v>
      </c>
      <c r="J71" s="833">
        <f t="shared" ca="1" si="271"/>
        <v>4.3071161048689142</v>
      </c>
      <c r="K71" s="833"/>
      <c r="L71" s="833"/>
      <c r="M71" s="833"/>
      <c r="N71" s="834"/>
      <c r="O71" s="834"/>
      <c r="P71" s="834"/>
      <c r="Q71" s="835"/>
      <c r="R71" s="836">
        <f t="shared" ca="1" si="272"/>
        <v>43433</v>
      </c>
      <c r="S71" s="837">
        <f t="shared" ca="1" si="381"/>
        <v>46.924999999999997</v>
      </c>
      <c r="T71" s="838">
        <f t="shared" ca="1" si="311"/>
        <v>0</v>
      </c>
      <c r="U71" s="838">
        <f t="shared" si="312"/>
        <v>0</v>
      </c>
      <c r="V71" s="838">
        <f t="shared" si="313"/>
        <v>0</v>
      </c>
      <c r="W71" s="838">
        <f t="shared" si="314"/>
        <v>0</v>
      </c>
      <c r="X71" s="838">
        <f t="shared" si="315"/>
        <v>1001.6681068537501</v>
      </c>
      <c r="Y71" s="838">
        <f t="shared" si="316"/>
        <v>0</v>
      </c>
      <c r="Z71" s="838">
        <f t="shared" ca="1" si="317"/>
        <v>1291.45</v>
      </c>
      <c r="AA71" s="838">
        <f t="shared" ca="1" si="318"/>
        <v>-530.77200000000005</v>
      </c>
      <c r="AB71" s="838">
        <f t="shared" ca="1" si="319"/>
        <v>1581.9759375000001</v>
      </c>
      <c r="AC71" s="838">
        <f t="shared" ca="1" si="320"/>
        <v>771.42399999999998</v>
      </c>
      <c r="AD71" s="838">
        <f t="shared" si="321"/>
        <v>220.101</v>
      </c>
      <c r="AE71" s="838">
        <f t="shared" si="322"/>
        <v>275.12625000000003</v>
      </c>
      <c r="AF71" s="838">
        <f t="shared" si="323"/>
        <v>330.1515</v>
      </c>
      <c r="AG71" s="838">
        <f t="shared" si="324"/>
        <v>379.67422499999998</v>
      </c>
      <c r="AH71" s="838">
        <f t="shared" ca="1" si="325"/>
        <v>44.344000000000001</v>
      </c>
      <c r="AI71" s="838">
        <f t="shared" ca="1" si="326"/>
        <v>107.2332072</v>
      </c>
      <c r="AJ71" s="838">
        <f t="shared" ca="1" si="327"/>
        <v>164.15957958750002</v>
      </c>
      <c r="AK71" s="838">
        <f t="shared" ca="1" si="328"/>
        <v>222.02688375</v>
      </c>
      <c r="AL71" s="838">
        <f t="shared" ca="1" si="329"/>
        <v>280.95892649999996</v>
      </c>
      <c r="AM71" s="838">
        <f t="shared" ca="1" si="330"/>
        <v>-28.047000000000001</v>
      </c>
      <c r="AN71" s="838">
        <f t="shared" ca="1" si="331"/>
        <v>12.8</v>
      </c>
      <c r="AO71" s="838">
        <f t="shared" ca="1" si="332"/>
        <v>54.332999999999998</v>
      </c>
      <c r="AP71" s="838">
        <f t="shared" ca="1" si="333"/>
        <v>-56.433</v>
      </c>
      <c r="AQ71" s="838">
        <f t="shared" ca="1" si="334"/>
        <v>-17.13</v>
      </c>
      <c r="AR71" s="838">
        <f t="shared" ca="1" si="335"/>
        <v>0.46779999999999999</v>
      </c>
      <c r="AS71" s="838">
        <f t="shared" ca="1" si="336"/>
        <v>71.739999999999995</v>
      </c>
      <c r="AT71" s="838">
        <f t="shared" ca="1" si="337"/>
        <v>-38.78</v>
      </c>
      <c r="AU71" s="838">
        <f t="shared" ca="1" si="338"/>
        <v>-20.318000000000001</v>
      </c>
      <c r="AV71" s="838">
        <f t="shared" ca="1" si="339"/>
        <v>16.167000000000002</v>
      </c>
      <c r="AW71" s="837">
        <f t="shared" ca="1" si="340"/>
        <v>1.9400000000000001E-2</v>
      </c>
      <c r="AX71" s="837">
        <f t="shared" ca="1" si="341"/>
        <v>0.876</v>
      </c>
      <c r="AY71" s="837">
        <f t="shared" ca="1" si="342"/>
        <v>-0.17</v>
      </c>
      <c r="AZ71" s="837">
        <f t="shared" ca="1" si="343"/>
        <v>-0.127</v>
      </c>
      <c r="BA71" s="837">
        <f t="shared" ca="1" si="344"/>
        <v>0.47299999999999998</v>
      </c>
      <c r="BB71" s="839">
        <f t="shared" ca="1" si="345"/>
        <v>24.11340206185567</v>
      </c>
      <c r="BC71" s="839">
        <f t="shared" ca="1" si="346"/>
        <v>81.894977168949765</v>
      </c>
      <c r="BD71" s="839">
        <f t="shared" ca="1" si="347"/>
        <v>228.11764705882351</v>
      </c>
      <c r="BE71" s="839">
        <f t="shared" ca="1" si="348"/>
        <v>159.98425196850394</v>
      </c>
      <c r="BF71" s="839">
        <f t="shared" ca="1" si="349"/>
        <v>34.179704016913327</v>
      </c>
      <c r="BG71" s="838">
        <f t="shared" ca="1" si="350"/>
        <v>-46.024999999999999</v>
      </c>
      <c r="BH71" s="838">
        <f t="shared" ca="1" si="351"/>
        <v>-41.85</v>
      </c>
      <c r="BI71" s="838">
        <f t="shared" ca="1" si="352"/>
        <v>-12.05</v>
      </c>
      <c r="BJ71" s="838">
        <f t="shared" ca="1" si="353"/>
        <v>-15.55</v>
      </c>
      <c r="BK71" s="838">
        <f t="shared" ca="1" si="354"/>
        <v>-18.75</v>
      </c>
      <c r="BL71" s="838">
        <f t="shared" ca="1" si="355"/>
        <v>72.391000000000005</v>
      </c>
      <c r="BM71" s="838">
        <f t="shared" ca="1" si="356"/>
        <v>94.433207199999998</v>
      </c>
      <c r="BN71" s="838">
        <f t="shared" ca="1" si="357"/>
        <v>109.82657958750002</v>
      </c>
      <c r="BO71" s="838">
        <f t="shared" ca="1" si="358"/>
        <v>278.45988375000002</v>
      </c>
      <c r="BP71" s="838">
        <f t="shared" ca="1" si="359"/>
        <v>298.08892649999996</v>
      </c>
      <c r="BQ71" s="837">
        <f t="shared" ca="1" si="360"/>
        <v>1.1128168448054725</v>
      </c>
      <c r="BR71" s="837">
        <f t="shared" ca="1" si="361"/>
        <v>1.5180809800278783</v>
      </c>
      <c r="BS71" s="837">
        <f t="shared" ca="1" si="362"/>
        <v>0.25862347936758651</v>
      </c>
      <c r="BT71" s="837">
        <f t="shared" ca="1" si="363"/>
        <v>1.5163485203391083</v>
      </c>
      <c r="BU71" s="837">
        <f t="shared" ca="1" si="364"/>
        <v>8.6456549288365157</v>
      </c>
      <c r="BV71" s="838">
        <f t="shared" ca="1" si="365"/>
        <v>261.36993749999999</v>
      </c>
      <c r="BW71" s="838">
        <f t="shared" ca="1" si="366"/>
        <v>316.39518750000002</v>
      </c>
      <c r="BX71" s="838">
        <f t="shared" ca="1" si="367"/>
        <v>367.29354374999997</v>
      </c>
      <c r="BY71" s="838">
        <f t="shared" ca="1" si="368"/>
        <v>149.92798649062502</v>
      </c>
      <c r="BZ71" s="838">
        <f t="shared" ca="1" si="369"/>
        <v>207.560057709375</v>
      </c>
      <c r="CA71" s="838">
        <f t="shared" ca="1" si="370"/>
        <v>266.22591581249998</v>
      </c>
      <c r="CB71" s="838">
        <f t="shared" ca="1" si="371"/>
        <v>43.949750000000002</v>
      </c>
      <c r="CC71" s="838">
        <f t="shared" ca="1" si="372"/>
        <v>-28.741500000000002</v>
      </c>
      <c r="CD71" s="838">
        <f t="shared" ca="1" si="373"/>
        <v>-26.955750000000002</v>
      </c>
      <c r="CE71" s="837">
        <f t="shared" ca="1" si="374"/>
        <v>9.1499999999999998E-2</v>
      </c>
      <c r="CF71" s="837">
        <f t="shared" ca="1" si="375"/>
        <v>-0.13775000000000001</v>
      </c>
      <c r="CG71" s="837">
        <f t="shared" ca="1" si="376"/>
        <v>0.32300000000000001</v>
      </c>
      <c r="CH71" s="837">
        <f t="shared" ca="1" si="377"/>
        <v>0.57348785453265938</v>
      </c>
      <c r="CI71" s="837">
        <f t="shared" ca="1" si="378"/>
        <v>1.2019172600962278</v>
      </c>
      <c r="CJ71" s="837">
        <f t="shared" ca="1" si="379"/>
        <v>6.8633283267121641</v>
      </c>
      <c r="CK71" s="840"/>
      <c r="CL71" s="841">
        <f>IF(CK71="",1,_xll.BDP(CK71&amp;" CURNCY","LAST PRICE"))</f>
        <v>1</v>
      </c>
      <c r="CM71" s="842">
        <v>1</v>
      </c>
      <c r="CN71" s="843">
        <f ca="1">_xll.BDH(B71&amp;" EQUITY","BS_SH_OUT",R71,R71,"EQY_FUND_PER="&amp;CT71,"days=a","fill=p")-10.2</f>
        <v>67.505600000000001</v>
      </c>
      <c r="CO71" s="844" t="str">
        <f>_xll.BDP(B71&amp;" EQUITY","EQY_FISCAL_YR_END")</f>
        <v>03/2018</v>
      </c>
      <c r="CP71" s="845">
        <f t="shared" si="305"/>
        <v>31</v>
      </c>
      <c r="CQ71" s="844">
        <f t="shared" si="306"/>
        <v>3</v>
      </c>
      <c r="CR71" s="844">
        <f t="shared" si="307"/>
        <v>2018</v>
      </c>
      <c r="CS71" s="836">
        <f t="shared" ca="1" si="308"/>
        <v>42825</v>
      </c>
      <c r="CT71" s="830" t="s">
        <v>866</v>
      </c>
      <c r="CU71" s="846">
        <f t="shared" ca="1" si="309"/>
        <v>0.25</v>
      </c>
      <c r="CV71" s="846">
        <f t="shared" ca="1" si="310"/>
        <v>0.75</v>
      </c>
      <c r="CW71" s="806"/>
    </row>
    <row r="72" spans="1:101" s="847" customFormat="1" ht="11.25" customHeight="1" x14ac:dyDescent="0.25">
      <c r="A72" s="806"/>
      <c r="B72" s="830" t="s">
        <v>805</v>
      </c>
      <c r="C72" s="816" t="str">
        <f>_xll.BDP($B72&amp;" EQUITY","Name")</f>
        <v>LIVERAMP HOLDINGS INC</v>
      </c>
      <c r="D72" s="816"/>
      <c r="E72" s="831">
        <f t="shared" ca="1" si="267"/>
        <v>38.273032820295654</v>
      </c>
      <c r="F72" s="832">
        <f t="shared" ca="1" si="268"/>
        <v>2583.6440443537504</v>
      </c>
      <c r="G72" s="832">
        <f t="shared" ca="1" si="269"/>
        <v>1581.9759375000001</v>
      </c>
      <c r="H72" s="869">
        <f t="shared" ca="1" si="270"/>
        <v>6.052631578947369</v>
      </c>
      <c r="I72" s="896">
        <f t="shared" si="380"/>
        <v>7.0000000000000018</v>
      </c>
      <c r="J72" s="833">
        <f t="shared" ca="1" si="271"/>
        <v>4.3071161048689142</v>
      </c>
      <c r="K72" s="833"/>
      <c r="L72" s="833"/>
      <c r="M72" s="833"/>
      <c r="N72" s="834"/>
      <c r="O72" s="834"/>
      <c r="P72" s="834"/>
      <c r="Q72" s="835"/>
      <c r="R72" s="836">
        <f t="shared" ca="1" si="272"/>
        <v>43433</v>
      </c>
      <c r="S72" s="837">
        <f t="shared" ca="1" si="381"/>
        <v>46.924999999999997</v>
      </c>
      <c r="T72" s="838">
        <f t="shared" ca="1" si="311"/>
        <v>0</v>
      </c>
      <c r="U72" s="838">
        <f t="shared" si="312"/>
        <v>0</v>
      </c>
      <c r="V72" s="838">
        <f t="shared" si="313"/>
        <v>0</v>
      </c>
      <c r="W72" s="838">
        <f t="shared" si="314"/>
        <v>0</v>
      </c>
      <c r="X72" s="838">
        <f t="shared" si="315"/>
        <v>1001.6681068537501</v>
      </c>
      <c r="Y72" s="838">
        <f t="shared" si="316"/>
        <v>0</v>
      </c>
      <c r="Z72" s="838">
        <f t="shared" ca="1" si="317"/>
        <v>1291.45</v>
      </c>
      <c r="AA72" s="838">
        <f t="shared" ca="1" si="318"/>
        <v>-530.77200000000005</v>
      </c>
      <c r="AB72" s="838">
        <f t="shared" ca="1" si="319"/>
        <v>1581.9759375000001</v>
      </c>
      <c r="AC72" s="838">
        <f t="shared" ca="1" si="320"/>
        <v>771.42399999999998</v>
      </c>
      <c r="AD72" s="838">
        <f t="shared" si="321"/>
        <v>220.101</v>
      </c>
      <c r="AE72" s="838">
        <f t="shared" si="322"/>
        <v>275.12625000000003</v>
      </c>
      <c r="AF72" s="838">
        <f t="shared" si="323"/>
        <v>330.1515</v>
      </c>
      <c r="AG72" s="838">
        <f t="shared" si="324"/>
        <v>379.67422499999998</v>
      </c>
      <c r="AH72" s="838">
        <f t="shared" ca="1" si="325"/>
        <v>44.344000000000001</v>
      </c>
      <c r="AI72" s="838">
        <f t="shared" ca="1" si="326"/>
        <v>107.2332072</v>
      </c>
      <c r="AJ72" s="838">
        <f t="shared" ca="1" si="327"/>
        <v>164.15957958750002</v>
      </c>
      <c r="AK72" s="838">
        <f t="shared" ca="1" si="328"/>
        <v>222.02688375</v>
      </c>
      <c r="AL72" s="838">
        <f t="shared" ca="1" si="329"/>
        <v>280.95892649999996</v>
      </c>
      <c r="AM72" s="838">
        <f t="shared" ca="1" si="330"/>
        <v>-28.047000000000001</v>
      </c>
      <c r="AN72" s="838">
        <f t="shared" ca="1" si="331"/>
        <v>12.8</v>
      </c>
      <c r="AO72" s="838">
        <f t="shared" ca="1" si="332"/>
        <v>54.332999999999998</v>
      </c>
      <c r="AP72" s="838">
        <f t="shared" ca="1" si="333"/>
        <v>-56.433</v>
      </c>
      <c r="AQ72" s="838">
        <f t="shared" ca="1" si="334"/>
        <v>-17.13</v>
      </c>
      <c r="AR72" s="838">
        <f t="shared" ca="1" si="335"/>
        <v>0.46779999999999999</v>
      </c>
      <c r="AS72" s="838">
        <f t="shared" ca="1" si="336"/>
        <v>71.739999999999995</v>
      </c>
      <c r="AT72" s="838">
        <f t="shared" ca="1" si="337"/>
        <v>-38.78</v>
      </c>
      <c r="AU72" s="838">
        <f t="shared" ca="1" si="338"/>
        <v>-20.318000000000001</v>
      </c>
      <c r="AV72" s="838">
        <f t="shared" ca="1" si="339"/>
        <v>16.167000000000002</v>
      </c>
      <c r="AW72" s="837">
        <f t="shared" ca="1" si="340"/>
        <v>1.9400000000000001E-2</v>
      </c>
      <c r="AX72" s="837">
        <f t="shared" ca="1" si="341"/>
        <v>0.876</v>
      </c>
      <c r="AY72" s="837">
        <f t="shared" ca="1" si="342"/>
        <v>-0.17</v>
      </c>
      <c r="AZ72" s="837">
        <f t="shared" ca="1" si="343"/>
        <v>-0.127</v>
      </c>
      <c r="BA72" s="837">
        <f t="shared" ca="1" si="344"/>
        <v>0.47299999999999998</v>
      </c>
      <c r="BB72" s="839">
        <f t="shared" ca="1" si="345"/>
        <v>24.11340206185567</v>
      </c>
      <c r="BC72" s="839">
        <f t="shared" ca="1" si="346"/>
        <v>81.894977168949765</v>
      </c>
      <c r="BD72" s="839">
        <f t="shared" ca="1" si="347"/>
        <v>228.11764705882351</v>
      </c>
      <c r="BE72" s="839">
        <f t="shared" ca="1" si="348"/>
        <v>159.98425196850394</v>
      </c>
      <c r="BF72" s="839">
        <f t="shared" ca="1" si="349"/>
        <v>34.179704016913327</v>
      </c>
      <c r="BG72" s="838">
        <f t="shared" ca="1" si="350"/>
        <v>-46.024999999999999</v>
      </c>
      <c r="BH72" s="838">
        <f t="shared" ca="1" si="351"/>
        <v>-41.85</v>
      </c>
      <c r="BI72" s="838">
        <f t="shared" ca="1" si="352"/>
        <v>-12.05</v>
      </c>
      <c r="BJ72" s="838">
        <f t="shared" ca="1" si="353"/>
        <v>-15.55</v>
      </c>
      <c r="BK72" s="838">
        <f t="shared" ca="1" si="354"/>
        <v>-18.75</v>
      </c>
      <c r="BL72" s="838">
        <f t="shared" ca="1" si="355"/>
        <v>72.391000000000005</v>
      </c>
      <c r="BM72" s="838">
        <f t="shared" ca="1" si="356"/>
        <v>94.433207199999998</v>
      </c>
      <c r="BN72" s="838">
        <f t="shared" ca="1" si="357"/>
        <v>109.82657958750002</v>
      </c>
      <c r="BO72" s="838">
        <f t="shared" ca="1" si="358"/>
        <v>278.45988375000002</v>
      </c>
      <c r="BP72" s="838">
        <f t="shared" ca="1" si="359"/>
        <v>298.08892649999996</v>
      </c>
      <c r="BQ72" s="837">
        <f t="shared" ca="1" si="360"/>
        <v>1.1128168448054725</v>
      </c>
      <c r="BR72" s="837">
        <f t="shared" ca="1" si="361"/>
        <v>1.5180809800278783</v>
      </c>
      <c r="BS72" s="837">
        <f t="shared" ca="1" si="362"/>
        <v>0.25862347936758651</v>
      </c>
      <c r="BT72" s="837">
        <f t="shared" ca="1" si="363"/>
        <v>1.5163485203391083</v>
      </c>
      <c r="BU72" s="837">
        <f t="shared" ca="1" si="364"/>
        <v>8.6456549288365157</v>
      </c>
      <c r="BV72" s="838">
        <f t="shared" ca="1" si="365"/>
        <v>261.36993749999999</v>
      </c>
      <c r="BW72" s="838">
        <f t="shared" ca="1" si="366"/>
        <v>316.39518750000002</v>
      </c>
      <c r="BX72" s="838">
        <f t="shared" ca="1" si="367"/>
        <v>367.29354374999997</v>
      </c>
      <c r="BY72" s="838">
        <f t="shared" ca="1" si="368"/>
        <v>149.92798649062502</v>
      </c>
      <c r="BZ72" s="838">
        <f t="shared" ca="1" si="369"/>
        <v>207.560057709375</v>
      </c>
      <c r="CA72" s="838">
        <f t="shared" ca="1" si="370"/>
        <v>266.22591581249998</v>
      </c>
      <c r="CB72" s="838">
        <f t="shared" ca="1" si="371"/>
        <v>43.949750000000002</v>
      </c>
      <c r="CC72" s="838">
        <f t="shared" ca="1" si="372"/>
        <v>-28.741500000000002</v>
      </c>
      <c r="CD72" s="838">
        <f t="shared" ca="1" si="373"/>
        <v>-26.955750000000002</v>
      </c>
      <c r="CE72" s="837">
        <f t="shared" ca="1" si="374"/>
        <v>9.1499999999999998E-2</v>
      </c>
      <c r="CF72" s="837">
        <f t="shared" ca="1" si="375"/>
        <v>-0.13775000000000001</v>
      </c>
      <c r="CG72" s="837">
        <f t="shared" ca="1" si="376"/>
        <v>0.32300000000000001</v>
      </c>
      <c r="CH72" s="837">
        <f t="shared" ca="1" si="377"/>
        <v>0.57348785453265938</v>
      </c>
      <c r="CI72" s="837">
        <f t="shared" ca="1" si="378"/>
        <v>1.2019172600962278</v>
      </c>
      <c r="CJ72" s="837">
        <f t="shared" ca="1" si="379"/>
        <v>6.8633283267121641</v>
      </c>
      <c r="CK72" s="840"/>
      <c r="CL72" s="841">
        <f>IF(CK72="",1,_xll.BDP(CK72&amp;" CURNCY","LAST PRICE"))</f>
        <v>1</v>
      </c>
      <c r="CM72" s="842">
        <v>1</v>
      </c>
      <c r="CN72" s="843">
        <f ca="1">_xll.BDH(B72&amp;" EQUITY","BS_SH_OUT",R72,R72,"EQY_FUND_PER="&amp;CT72,"days=a","fill=p")-10.2</f>
        <v>67.505600000000001</v>
      </c>
      <c r="CO72" s="844" t="str">
        <f>_xll.BDP(B72&amp;" EQUITY","EQY_FISCAL_YR_END")</f>
        <v>03/2018</v>
      </c>
      <c r="CP72" s="845">
        <f t="shared" si="305"/>
        <v>31</v>
      </c>
      <c r="CQ72" s="844">
        <f t="shared" si="306"/>
        <v>3</v>
      </c>
      <c r="CR72" s="844">
        <f t="shared" si="307"/>
        <v>2018</v>
      </c>
      <c r="CS72" s="836">
        <f t="shared" ca="1" si="308"/>
        <v>42825</v>
      </c>
      <c r="CT72" s="830" t="s">
        <v>866</v>
      </c>
      <c r="CU72" s="846">
        <f t="shared" ca="1" si="309"/>
        <v>0.25</v>
      </c>
      <c r="CV72" s="846">
        <f t="shared" ca="1" si="310"/>
        <v>0.75</v>
      </c>
      <c r="CW72" s="806"/>
    </row>
    <row r="73" spans="1:101" s="847" customFormat="1" ht="11.25" customHeight="1" x14ac:dyDescent="0.25">
      <c r="A73" s="806"/>
      <c r="B73" s="830" t="s">
        <v>805</v>
      </c>
      <c r="C73" s="816" t="str">
        <f>_xll.BDP($B73&amp;" EQUITY","Name")</f>
        <v>LIVERAMP HOLDINGS INC</v>
      </c>
      <c r="D73" s="816"/>
      <c r="E73" s="831">
        <f t="shared" ca="1" si="267"/>
        <v>38.273032820295654</v>
      </c>
      <c r="F73" s="832">
        <f t="shared" ca="1" si="268"/>
        <v>2583.6440443537504</v>
      </c>
      <c r="G73" s="832">
        <f t="shared" ca="1" si="269"/>
        <v>1581.9759375000001</v>
      </c>
      <c r="H73" s="833">
        <f t="shared" ca="1" si="270"/>
        <v>6.052631578947369</v>
      </c>
      <c r="I73" s="896">
        <f t="shared" si="380"/>
        <v>7.200000000000002</v>
      </c>
      <c r="J73" s="833">
        <f t="shared" ca="1" si="271"/>
        <v>4.3071161048689142</v>
      </c>
      <c r="K73" s="833"/>
      <c r="L73" s="833"/>
      <c r="M73" s="833"/>
      <c r="N73" s="834"/>
      <c r="O73" s="834"/>
      <c r="P73" s="834"/>
      <c r="Q73" s="835"/>
      <c r="R73" s="836">
        <f t="shared" ca="1" si="272"/>
        <v>43433</v>
      </c>
      <c r="S73" s="837">
        <f t="shared" ca="1" si="381"/>
        <v>46.924999999999997</v>
      </c>
      <c r="T73" s="838">
        <f t="shared" ca="1" si="311"/>
        <v>0</v>
      </c>
      <c r="U73" s="838">
        <f t="shared" si="312"/>
        <v>0</v>
      </c>
      <c r="V73" s="838">
        <f t="shared" si="313"/>
        <v>0</v>
      </c>
      <c r="W73" s="838">
        <f t="shared" si="314"/>
        <v>0</v>
      </c>
      <c r="X73" s="838">
        <f t="shared" si="315"/>
        <v>1001.6681068537501</v>
      </c>
      <c r="Y73" s="838">
        <f t="shared" si="316"/>
        <v>0</v>
      </c>
      <c r="Z73" s="838">
        <f t="shared" ca="1" si="317"/>
        <v>1291.45</v>
      </c>
      <c r="AA73" s="838">
        <f t="shared" ca="1" si="318"/>
        <v>-530.77200000000005</v>
      </c>
      <c r="AB73" s="838">
        <f t="shared" ca="1" si="319"/>
        <v>1581.9759375000001</v>
      </c>
      <c r="AC73" s="838">
        <f t="shared" ca="1" si="320"/>
        <v>771.42399999999998</v>
      </c>
      <c r="AD73" s="838">
        <f t="shared" si="321"/>
        <v>220.101</v>
      </c>
      <c r="AE73" s="838">
        <f t="shared" si="322"/>
        <v>275.12625000000003</v>
      </c>
      <c r="AF73" s="838">
        <f t="shared" si="323"/>
        <v>330.1515</v>
      </c>
      <c r="AG73" s="838">
        <f t="shared" si="324"/>
        <v>379.67422499999998</v>
      </c>
      <c r="AH73" s="838">
        <f t="shared" ca="1" si="325"/>
        <v>44.344000000000001</v>
      </c>
      <c r="AI73" s="838">
        <f t="shared" ca="1" si="326"/>
        <v>107.2332072</v>
      </c>
      <c r="AJ73" s="838">
        <f t="shared" ca="1" si="327"/>
        <v>164.15957958750002</v>
      </c>
      <c r="AK73" s="838">
        <f t="shared" ca="1" si="328"/>
        <v>222.02688375</v>
      </c>
      <c r="AL73" s="838">
        <f t="shared" ca="1" si="329"/>
        <v>280.95892649999996</v>
      </c>
      <c r="AM73" s="838">
        <f t="shared" ca="1" si="330"/>
        <v>-28.047000000000001</v>
      </c>
      <c r="AN73" s="838">
        <f t="shared" ca="1" si="331"/>
        <v>12.8</v>
      </c>
      <c r="AO73" s="838">
        <f t="shared" ca="1" si="332"/>
        <v>54.332999999999998</v>
      </c>
      <c r="AP73" s="838">
        <f t="shared" ca="1" si="333"/>
        <v>-56.433</v>
      </c>
      <c r="AQ73" s="838">
        <f t="shared" ca="1" si="334"/>
        <v>-17.13</v>
      </c>
      <c r="AR73" s="838">
        <f t="shared" ca="1" si="335"/>
        <v>0.46779999999999999</v>
      </c>
      <c r="AS73" s="838">
        <f t="shared" ca="1" si="336"/>
        <v>71.739999999999995</v>
      </c>
      <c r="AT73" s="838">
        <f t="shared" ca="1" si="337"/>
        <v>-38.78</v>
      </c>
      <c r="AU73" s="838">
        <f t="shared" ca="1" si="338"/>
        <v>-20.318000000000001</v>
      </c>
      <c r="AV73" s="838">
        <f t="shared" ca="1" si="339"/>
        <v>16.167000000000002</v>
      </c>
      <c r="AW73" s="837">
        <f t="shared" ca="1" si="340"/>
        <v>1.9400000000000001E-2</v>
      </c>
      <c r="AX73" s="837">
        <f t="shared" ca="1" si="341"/>
        <v>0.876</v>
      </c>
      <c r="AY73" s="837">
        <f t="shared" ca="1" si="342"/>
        <v>-0.17</v>
      </c>
      <c r="AZ73" s="837">
        <f t="shared" ca="1" si="343"/>
        <v>-0.127</v>
      </c>
      <c r="BA73" s="837">
        <f t="shared" ca="1" si="344"/>
        <v>0.47299999999999998</v>
      </c>
      <c r="BB73" s="839">
        <f t="shared" ca="1" si="345"/>
        <v>24.11340206185567</v>
      </c>
      <c r="BC73" s="839">
        <f t="shared" ca="1" si="346"/>
        <v>81.894977168949765</v>
      </c>
      <c r="BD73" s="839">
        <f t="shared" ca="1" si="347"/>
        <v>228.11764705882351</v>
      </c>
      <c r="BE73" s="839">
        <f t="shared" ca="1" si="348"/>
        <v>159.98425196850394</v>
      </c>
      <c r="BF73" s="839">
        <f t="shared" ca="1" si="349"/>
        <v>34.179704016913327</v>
      </c>
      <c r="BG73" s="838">
        <f t="shared" ca="1" si="350"/>
        <v>-46.024999999999999</v>
      </c>
      <c r="BH73" s="838">
        <f t="shared" ca="1" si="351"/>
        <v>-41.85</v>
      </c>
      <c r="BI73" s="838">
        <f t="shared" ca="1" si="352"/>
        <v>-12.05</v>
      </c>
      <c r="BJ73" s="838">
        <f t="shared" ca="1" si="353"/>
        <v>-15.55</v>
      </c>
      <c r="BK73" s="838">
        <f t="shared" ca="1" si="354"/>
        <v>-18.75</v>
      </c>
      <c r="BL73" s="838">
        <f t="shared" ca="1" si="355"/>
        <v>72.391000000000005</v>
      </c>
      <c r="BM73" s="838">
        <f t="shared" ca="1" si="356"/>
        <v>94.433207199999998</v>
      </c>
      <c r="BN73" s="838">
        <f t="shared" ca="1" si="357"/>
        <v>109.82657958750002</v>
      </c>
      <c r="BO73" s="838">
        <f t="shared" ca="1" si="358"/>
        <v>278.45988375000002</v>
      </c>
      <c r="BP73" s="838">
        <f t="shared" ca="1" si="359"/>
        <v>298.08892649999996</v>
      </c>
      <c r="BQ73" s="837">
        <f t="shared" ca="1" si="360"/>
        <v>1.1128168448054725</v>
      </c>
      <c r="BR73" s="837">
        <f t="shared" ca="1" si="361"/>
        <v>1.5180809800278783</v>
      </c>
      <c r="BS73" s="837">
        <f t="shared" ca="1" si="362"/>
        <v>0.25862347936758651</v>
      </c>
      <c r="BT73" s="837">
        <f t="shared" ca="1" si="363"/>
        <v>1.5163485203391083</v>
      </c>
      <c r="BU73" s="837">
        <f t="shared" ca="1" si="364"/>
        <v>8.6456549288365157</v>
      </c>
      <c r="BV73" s="838">
        <f t="shared" ca="1" si="365"/>
        <v>261.36993749999999</v>
      </c>
      <c r="BW73" s="838">
        <f t="shared" ca="1" si="366"/>
        <v>316.39518750000002</v>
      </c>
      <c r="BX73" s="838">
        <f t="shared" ca="1" si="367"/>
        <v>367.29354374999997</v>
      </c>
      <c r="BY73" s="838">
        <f t="shared" ca="1" si="368"/>
        <v>149.92798649062502</v>
      </c>
      <c r="BZ73" s="838">
        <f t="shared" ca="1" si="369"/>
        <v>207.560057709375</v>
      </c>
      <c r="CA73" s="838">
        <f t="shared" ca="1" si="370"/>
        <v>266.22591581249998</v>
      </c>
      <c r="CB73" s="838">
        <f t="shared" ca="1" si="371"/>
        <v>43.949750000000002</v>
      </c>
      <c r="CC73" s="838">
        <f t="shared" ca="1" si="372"/>
        <v>-28.741500000000002</v>
      </c>
      <c r="CD73" s="838">
        <f t="shared" ca="1" si="373"/>
        <v>-26.955750000000002</v>
      </c>
      <c r="CE73" s="837">
        <f t="shared" ca="1" si="374"/>
        <v>9.1499999999999998E-2</v>
      </c>
      <c r="CF73" s="837">
        <f t="shared" ca="1" si="375"/>
        <v>-0.13775000000000001</v>
      </c>
      <c r="CG73" s="837">
        <f t="shared" ca="1" si="376"/>
        <v>0.32300000000000001</v>
      </c>
      <c r="CH73" s="837">
        <f t="shared" ca="1" si="377"/>
        <v>0.57348785453265938</v>
      </c>
      <c r="CI73" s="837">
        <f t="shared" ca="1" si="378"/>
        <v>1.2019172600962278</v>
      </c>
      <c r="CJ73" s="837">
        <f t="shared" ca="1" si="379"/>
        <v>6.8633283267121641</v>
      </c>
      <c r="CK73" s="840"/>
      <c r="CL73" s="841">
        <f>IF(CK73="",1,_xll.BDP(CK73&amp;" CURNCY","LAST PRICE"))</f>
        <v>1</v>
      </c>
      <c r="CM73" s="842">
        <v>1</v>
      </c>
      <c r="CN73" s="843">
        <f ca="1">_xll.BDH(B73&amp;" EQUITY","BS_SH_OUT",R73,R73,"EQY_FUND_PER="&amp;CT73,"days=a","fill=p")-10.2</f>
        <v>67.505600000000001</v>
      </c>
      <c r="CO73" s="844" t="str">
        <f>_xll.BDP(B73&amp;" EQUITY","EQY_FISCAL_YR_END")</f>
        <v>03/2018</v>
      </c>
      <c r="CP73" s="845">
        <f t="shared" si="305"/>
        <v>31</v>
      </c>
      <c r="CQ73" s="844">
        <f t="shared" si="306"/>
        <v>3</v>
      </c>
      <c r="CR73" s="844">
        <f t="shared" si="307"/>
        <v>2018</v>
      </c>
      <c r="CS73" s="836">
        <f t="shared" ca="1" si="308"/>
        <v>42825</v>
      </c>
      <c r="CT73" s="830" t="s">
        <v>866</v>
      </c>
      <c r="CU73" s="846">
        <f t="shared" ca="1" si="309"/>
        <v>0.25</v>
      </c>
      <c r="CV73" s="846">
        <f t="shared" ca="1" si="310"/>
        <v>0.75</v>
      </c>
      <c r="CW73" s="806"/>
    </row>
    <row r="74" spans="1:101" s="847" customFormat="1" ht="11.25" customHeight="1" x14ac:dyDescent="0.25">
      <c r="A74" s="806"/>
      <c r="B74" s="830" t="s">
        <v>805</v>
      </c>
      <c r="C74" s="816" t="str">
        <f>_xll.BDP($B74&amp;" EQUITY","Name")</f>
        <v>LIVERAMP HOLDINGS INC</v>
      </c>
      <c r="D74" s="816"/>
      <c r="E74" s="831">
        <f t="shared" ca="1" si="267"/>
        <v>38.273032820295654</v>
      </c>
      <c r="F74" s="832">
        <f t="shared" ca="1" si="268"/>
        <v>2583.6440443537504</v>
      </c>
      <c r="G74" s="832">
        <f t="shared" ca="1" si="269"/>
        <v>1581.9759375000001</v>
      </c>
      <c r="H74" s="833">
        <f t="shared" ca="1" si="270"/>
        <v>6.052631578947369</v>
      </c>
      <c r="I74" s="896">
        <f t="shared" si="380"/>
        <v>7.4000000000000021</v>
      </c>
      <c r="J74" s="833">
        <f t="shared" ca="1" si="271"/>
        <v>4.3071161048689142</v>
      </c>
      <c r="K74" s="833"/>
      <c r="L74" s="833"/>
      <c r="M74" s="833"/>
      <c r="N74" s="834"/>
      <c r="O74" s="834"/>
      <c r="P74" s="834"/>
      <c r="Q74" s="835"/>
      <c r="R74" s="836">
        <f t="shared" ca="1" si="272"/>
        <v>43433</v>
      </c>
      <c r="S74" s="837">
        <f t="shared" ca="1" si="381"/>
        <v>46.924999999999997</v>
      </c>
      <c r="T74" s="838">
        <f t="shared" ca="1" si="311"/>
        <v>0</v>
      </c>
      <c r="U74" s="838">
        <f t="shared" si="312"/>
        <v>0</v>
      </c>
      <c r="V74" s="838">
        <f t="shared" si="313"/>
        <v>0</v>
      </c>
      <c r="W74" s="838">
        <f t="shared" si="314"/>
        <v>0</v>
      </c>
      <c r="X74" s="838">
        <f t="shared" si="315"/>
        <v>1001.6681068537501</v>
      </c>
      <c r="Y74" s="838">
        <f t="shared" si="316"/>
        <v>0</v>
      </c>
      <c r="Z74" s="838">
        <f t="shared" ca="1" si="317"/>
        <v>1291.45</v>
      </c>
      <c r="AA74" s="838">
        <f t="shared" ca="1" si="318"/>
        <v>-530.77200000000005</v>
      </c>
      <c r="AB74" s="838">
        <f t="shared" ca="1" si="319"/>
        <v>1581.9759375000001</v>
      </c>
      <c r="AC74" s="838">
        <f t="shared" ca="1" si="320"/>
        <v>771.42399999999998</v>
      </c>
      <c r="AD74" s="838">
        <f t="shared" si="321"/>
        <v>220.101</v>
      </c>
      <c r="AE74" s="838">
        <f t="shared" si="322"/>
        <v>275.12625000000003</v>
      </c>
      <c r="AF74" s="838">
        <f t="shared" si="323"/>
        <v>330.1515</v>
      </c>
      <c r="AG74" s="838">
        <f t="shared" si="324"/>
        <v>379.67422499999998</v>
      </c>
      <c r="AH74" s="838">
        <f t="shared" ca="1" si="325"/>
        <v>44.344000000000001</v>
      </c>
      <c r="AI74" s="838">
        <f t="shared" ca="1" si="326"/>
        <v>107.2332072</v>
      </c>
      <c r="AJ74" s="838">
        <f t="shared" ca="1" si="327"/>
        <v>164.15957958750002</v>
      </c>
      <c r="AK74" s="838">
        <f t="shared" ca="1" si="328"/>
        <v>222.02688375</v>
      </c>
      <c r="AL74" s="838">
        <f t="shared" ca="1" si="329"/>
        <v>280.95892649999996</v>
      </c>
      <c r="AM74" s="838">
        <f t="shared" ca="1" si="330"/>
        <v>-28.047000000000001</v>
      </c>
      <c r="AN74" s="838">
        <f t="shared" ca="1" si="331"/>
        <v>12.8</v>
      </c>
      <c r="AO74" s="838">
        <f t="shared" ca="1" si="332"/>
        <v>54.332999999999998</v>
      </c>
      <c r="AP74" s="838">
        <f t="shared" ca="1" si="333"/>
        <v>-56.433</v>
      </c>
      <c r="AQ74" s="838">
        <f t="shared" ca="1" si="334"/>
        <v>-17.13</v>
      </c>
      <c r="AR74" s="838">
        <f t="shared" ca="1" si="335"/>
        <v>0.46779999999999999</v>
      </c>
      <c r="AS74" s="838">
        <f t="shared" ca="1" si="336"/>
        <v>71.739999999999995</v>
      </c>
      <c r="AT74" s="838">
        <f t="shared" ca="1" si="337"/>
        <v>-38.78</v>
      </c>
      <c r="AU74" s="838">
        <f t="shared" ca="1" si="338"/>
        <v>-20.318000000000001</v>
      </c>
      <c r="AV74" s="838">
        <f t="shared" ca="1" si="339"/>
        <v>16.167000000000002</v>
      </c>
      <c r="AW74" s="837">
        <f t="shared" ca="1" si="340"/>
        <v>1.9400000000000001E-2</v>
      </c>
      <c r="AX74" s="837">
        <f t="shared" ca="1" si="341"/>
        <v>0.876</v>
      </c>
      <c r="AY74" s="837">
        <f t="shared" ca="1" si="342"/>
        <v>-0.17</v>
      </c>
      <c r="AZ74" s="837">
        <f t="shared" ca="1" si="343"/>
        <v>-0.127</v>
      </c>
      <c r="BA74" s="837">
        <f t="shared" ca="1" si="344"/>
        <v>0.47299999999999998</v>
      </c>
      <c r="BB74" s="839">
        <f t="shared" ca="1" si="345"/>
        <v>24.11340206185567</v>
      </c>
      <c r="BC74" s="839">
        <f t="shared" ca="1" si="346"/>
        <v>81.894977168949765</v>
      </c>
      <c r="BD74" s="839">
        <f t="shared" ca="1" si="347"/>
        <v>228.11764705882351</v>
      </c>
      <c r="BE74" s="839">
        <f t="shared" ca="1" si="348"/>
        <v>159.98425196850394</v>
      </c>
      <c r="BF74" s="839">
        <f t="shared" ca="1" si="349"/>
        <v>34.179704016913327</v>
      </c>
      <c r="BG74" s="838">
        <f t="shared" ca="1" si="350"/>
        <v>-46.024999999999999</v>
      </c>
      <c r="BH74" s="838">
        <f t="shared" ca="1" si="351"/>
        <v>-41.85</v>
      </c>
      <c r="BI74" s="838">
        <f t="shared" ca="1" si="352"/>
        <v>-12.05</v>
      </c>
      <c r="BJ74" s="838">
        <f t="shared" ca="1" si="353"/>
        <v>-15.55</v>
      </c>
      <c r="BK74" s="838">
        <f t="shared" ca="1" si="354"/>
        <v>-18.75</v>
      </c>
      <c r="BL74" s="838">
        <f t="shared" ca="1" si="355"/>
        <v>72.391000000000005</v>
      </c>
      <c r="BM74" s="838">
        <f t="shared" ca="1" si="356"/>
        <v>94.433207199999998</v>
      </c>
      <c r="BN74" s="838">
        <f t="shared" ca="1" si="357"/>
        <v>109.82657958750002</v>
      </c>
      <c r="BO74" s="838">
        <f t="shared" ca="1" si="358"/>
        <v>278.45988375000002</v>
      </c>
      <c r="BP74" s="838">
        <f t="shared" ca="1" si="359"/>
        <v>298.08892649999996</v>
      </c>
      <c r="BQ74" s="837">
        <f t="shared" ca="1" si="360"/>
        <v>1.1128168448054725</v>
      </c>
      <c r="BR74" s="837">
        <f t="shared" ca="1" si="361"/>
        <v>1.5180809800278783</v>
      </c>
      <c r="BS74" s="837">
        <f t="shared" ca="1" si="362"/>
        <v>0.25862347936758651</v>
      </c>
      <c r="BT74" s="837">
        <f t="shared" ca="1" si="363"/>
        <v>1.5163485203391083</v>
      </c>
      <c r="BU74" s="837">
        <f t="shared" ca="1" si="364"/>
        <v>8.6456549288365157</v>
      </c>
      <c r="BV74" s="838">
        <f t="shared" ca="1" si="365"/>
        <v>261.36993749999999</v>
      </c>
      <c r="BW74" s="838">
        <f t="shared" ca="1" si="366"/>
        <v>316.39518750000002</v>
      </c>
      <c r="BX74" s="838">
        <f t="shared" ca="1" si="367"/>
        <v>367.29354374999997</v>
      </c>
      <c r="BY74" s="838">
        <f t="shared" ca="1" si="368"/>
        <v>149.92798649062502</v>
      </c>
      <c r="BZ74" s="838">
        <f t="shared" ca="1" si="369"/>
        <v>207.560057709375</v>
      </c>
      <c r="CA74" s="838">
        <f t="shared" ca="1" si="370"/>
        <v>266.22591581249998</v>
      </c>
      <c r="CB74" s="838">
        <f t="shared" ca="1" si="371"/>
        <v>43.949750000000002</v>
      </c>
      <c r="CC74" s="838">
        <f t="shared" ca="1" si="372"/>
        <v>-28.741500000000002</v>
      </c>
      <c r="CD74" s="838">
        <f t="shared" ca="1" si="373"/>
        <v>-26.955750000000002</v>
      </c>
      <c r="CE74" s="837">
        <f t="shared" ca="1" si="374"/>
        <v>9.1499999999999998E-2</v>
      </c>
      <c r="CF74" s="837">
        <f t="shared" ca="1" si="375"/>
        <v>-0.13775000000000001</v>
      </c>
      <c r="CG74" s="837">
        <f t="shared" ca="1" si="376"/>
        <v>0.32300000000000001</v>
      </c>
      <c r="CH74" s="837">
        <f t="shared" ca="1" si="377"/>
        <v>0.57348785453265938</v>
      </c>
      <c r="CI74" s="837">
        <f t="shared" ca="1" si="378"/>
        <v>1.2019172600962278</v>
      </c>
      <c r="CJ74" s="837">
        <f t="shared" ca="1" si="379"/>
        <v>6.8633283267121641</v>
      </c>
      <c r="CK74" s="840"/>
      <c r="CL74" s="841">
        <f>IF(CK74="",1,_xll.BDP(CK74&amp;" CURNCY","LAST PRICE"))</f>
        <v>1</v>
      </c>
      <c r="CM74" s="842">
        <v>1</v>
      </c>
      <c r="CN74" s="843">
        <f ca="1">_xll.BDH(B74&amp;" EQUITY","BS_SH_OUT",R74,R74,"EQY_FUND_PER="&amp;CT74,"days=a","fill=p")-10.2</f>
        <v>67.505600000000001</v>
      </c>
      <c r="CO74" s="844" t="str">
        <f>_xll.BDP(B74&amp;" EQUITY","EQY_FISCAL_YR_END")</f>
        <v>03/2018</v>
      </c>
      <c r="CP74" s="845">
        <f t="shared" si="305"/>
        <v>31</v>
      </c>
      <c r="CQ74" s="844">
        <f t="shared" si="306"/>
        <v>3</v>
      </c>
      <c r="CR74" s="844">
        <f t="shared" si="307"/>
        <v>2018</v>
      </c>
      <c r="CS74" s="836">
        <f t="shared" ca="1" si="308"/>
        <v>42825</v>
      </c>
      <c r="CT74" s="830" t="s">
        <v>866</v>
      </c>
      <c r="CU74" s="846">
        <f t="shared" ca="1" si="309"/>
        <v>0.25</v>
      </c>
      <c r="CV74" s="846">
        <f t="shared" ca="1" si="310"/>
        <v>0.75</v>
      </c>
      <c r="CW74" s="806"/>
    </row>
    <row r="75" spans="1:101" ht="11.25" customHeight="1" x14ac:dyDescent="0.2">
      <c r="R75" s="809"/>
      <c r="S75" s="809"/>
      <c r="T75" s="870"/>
      <c r="U75" s="871"/>
      <c r="V75" s="871"/>
      <c r="W75" s="871"/>
      <c r="X75" s="871"/>
      <c r="Y75" s="871"/>
      <c r="Z75" s="871"/>
      <c r="AA75" s="871"/>
      <c r="AB75" s="871"/>
      <c r="AC75" s="871"/>
      <c r="AD75" s="871"/>
      <c r="AE75" s="871"/>
      <c r="AF75" s="871"/>
      <c r="AG75" s="871"/>
      <c r="AH75" s="871"/>
      <c r="AI75" s="871"/>
      <c r="AJ75" s="871"/>
      <c r="AK75" s="871"/>
      <c r="AL75" s="871"/>
      <c r="AM75" s="871"/>
      <c r="AN75" s="871"/>
      <c r="AO75" s="871"/>
      <c r="AP75" s="870"/>
      <c r="AQ75" s="870"/>
      <c r="AR75" s="870"/>
      <c r="AS75" s="870"/>
      <c r="AT75" s="870"/>
      <c r="AU75" s="872"/>
      <c r="AV75" s="872"/>
      <c r="AW75" s="871"/>
      <c r="AX75" s="871"/>
      <c r="AY75" s="871"/>
      <c r="AZ75" s="871"/>
      <c r="BA75" s="871"/>
      <c r="BB75" s="871"/>
      <c r="BC75" s="871"/>
      <c r="BD75" s="870"/>
      <c r="BE75" s="870"/>
      <c r="BF75" s="870"/>
      <c r="BG75" s="870"/>
      <c r="BH75" s="872"/>
      <c r="BI75" s="873"/>
      <c r="BJ75" s="854"/>
      <c r="BK75" s="854"/>
      <c r="BL75" s="854"/>
      <c r="BM75" s="854"/>
      <c r="BN75" s="854"/>
      <c r="BO75" s="836"/>
      <c r="BP75" s="836"/>
      <c r="BQ75" s="830"/>
      <c r="BR75" s="855"/>
      <c r="BS75" s="855"/>
    </row>
    <row r="76" spans="1:101" x14ac:dyDescent="0.2">
      <c r="A76" s="874"/>
      <c r="AF76" s="853"/>
      <c r="AR76" s="809"/>
    </row>
    <row r="78" spans="1:101" x14ac:dyDescent="0.2">
      <c r="B78" s="806" t="s">
        <v>969</v>
      </c>
      <c r="E78" s="880">
        <v>43417</v>
      </c>
      <c r="N78" s="806" t="s">
        <v>982</v>
      </c>
    </row>
    <row r="79" spans="1:101" x14ac:dyDescent="0.2">
      <c r="B79" s="806" t="s">
        <v>970</v>
      </c>
      <c r="E79" s="880">
        <v>43446</v>
      </c>
    </row>
    <row r="80" spans="1:101" x14ac:dyDescent="0.2">
      <c r="B80" s="806" t="s">
        <v>998</v>
      </c>
      <c r="E80" s="890">
        <v>44.5</v>
      </c>
      <c r="F80" s="890">
        <v>49</v>
      </c>
      <c r="G80" s="890">
        <v>0.1</v>
      </c>
      <c r="I80" s="806" t="s">
        <v>999</v>
      </c>
      <c r="K80" s="891">
        <f ca="1">(E41-E80)/(F80-E80)</f>
        <v>0.53888888888888831</v>
      </c>
      <c r="L80" s="806" t="s">
        <v>1000</v>
      </c>
    </row>
    <row r="82" spans="2:7" x14ac:dyDescent="0.2">
      <c r="B82" s="806" t="s">
        <v>971</v>
      </c>
      <c r="E82" s="880">
        <v>43416</v>
      </c>
    </row>
    <row r="83" spans="2:7" x14ac:dyDescent="0.2">
      <c r="B83" s="881" t="s">
        <v>972</v>
      </c>
      <c r="E83" s="806">
        <f>_xll.BDH(F83,"last price",E$82,E$82)</f>
        <v>12343.51</v>
      </c>
      <c r="F83" s="806" t="s">
        <v>976</v>
      </c>
    </row>
    <row r="84" spans="2:7" x14ac:dyDescent="0.2">
      <c r="B84" s="881" t="s">
        <v>973</v>
      </c>
      <c r="E84" s="806">
        <f>_xll.BDH(F84,"last price",E$82,E$82)</f>
        <v>7200.8689999999997</v>
      </c>
      <c r="F84" s="806" t="s">
        <v>977</v>
      </c>
    </row>
    <row r="85" spans="2:7" x14ac:dyDescent="0.2">
      <c r="B85" s="881" t="s">
        <v>974</v>
      </c>
      <c r="E85" s="806">
        <f>_xll.BDH(F85,"last price",E$82,E$82)</f>
        <v>25387.18</v>
      </c>
      <c r="F85" s="806" t="s">
        <v>978</v>
      </c>
    </row>
    <row r="86" spans="2:7" x14ac:dyDescent="0.2">
      <c r="B86" s="884" t="s">
        <v>975</v>
      </c>
      <c r="C86" s="885"/>
      <c r="D86" s="885"/>
      <c r="E86" s="885">
        <f>_xll.BDH(F86,"last price",E$82,E$82)</f>
        <v>2726.22</v>
      </c>
      <c r="F86" s="885" t="s">
        <v>979</v>
      </c>
      <c r="G86" s="885"/>
    </row>
    <row r="87" spans="2:7" x14ac:dyDescent="0.2">
      <c r="B87" s="881" t="str">
        <f>_xll.BDP(F87,"name")</f>
        <v>SALESFORCE.COM INC</v>
      </c>
      <c r="E87" s="806">
        <f>_xll.BDH(F87,"last price",E$82,E$82)</f>
        <v>130.5</v>
      </c>
      <c r="F87" s="883" t="s">
        <v>983</v>
      </c>
    </row>
    <row r="88" spans="2:7" x14ac:dyDescent="0.2">
      <c r="B88" s="881" t="str">
        <f>_xll.BDP(F88,"name")</f>
        <v>TABLEAU SOFTWARE INC-CL A</v>
      </c>
      <c r="E88" s="806">
        <f>_xll.BDH(F88,"last price",E$82,E$82)</f>
        <v>110.9</v>
      </c>
      <c r="F88" s="883" t="s">
        <v>984</v>
      </c>
    </row>
    <row r="89" spans="2:7" x14ac:dyDescent="0.2">
      <c r="B89" s="881" t="str">
        <f>_xll.BDP(F89,"name")</f>
        <v>WORKDAY INC-CLASS A</v>
      </c>
      <c r="E89" s="806">
        <f>_xll.BDH(F89,"last price",E$82,E$82)</f>
        <v>133.1</v>
      </c>
      <c r="F89" s="883" t="s">
        <v>985</v>
      </c>
    </row>
    <row r="90" spans="2:7" x14ac:dyDescent="0.2">
      <c r="B90" s="881" t="str">
        <f>_xll.BDP(F90,"name")</f>
        <v>SPLUNK INC</v>
      </c>
      <c r="E90" s="806">
        <f>_xll.BDH(F90,"last price",E$82,E$82)</f>
        <v>96.36</v>
      </c>
      <c r="F90" s="883" t="s">
        <v>986</v>
      </c>
    </row>
    <row r="91" spans="2:7" x14ac:dyDescent="0.2">
      <c r="B91" s="881" t="str">
        <f>_xll.BDP(F91,"name")</f>
        <v>SERVICENOW INC</v>
      </c>
      <c r="E91" s="806">
        <f>_xll.BDH(F91,"last price",E$82,E$82)</f>
        <v>172.37</v>
      </c>
      <c r="F91" s="883" t="s">
        <v>987</v>
      </c>
    </row>
    <row r="92" spans="2:7" x14ac:dyDescent="0.2">
      <c r="B92" s="881" t="str">
        <f>_xll.BDP(F92,"name")</f>
        <v>TRADE DESK INC/THE -CLASS A</v>
      </c>
      <c r="E92" s="806">
        <f>_xll.BDH(F92,"last price",E$82,E$82)</f>
        <v>110.93</v>
      </c>
      <c r="F92" s="883" t="s">
        <v>988</v>
      </c>
    </row>
    <row r="93" spans="2:7" x14ac:dyDescent="0.2">
      <c r="B93" s="881" t="str">
        <f>_xll.BDP(F93,"name")</f>
        <v>TWILIO INC - A</v>
      </c>
      <c r="E93" s="806">
        <f>_xll.BDH(F93,"last price",E$82,E$82)</f>
        <v>83.34</v>
      </c>
      <c r="F93" s="883" t="s">
        <v>1005</v>
      </c>
    </row>
    <row r="94" spans="2:7" x14ac:dyDescent="0.2">
      <c r="B94" s="881" t="str">
        <f>_xll.BDP(F94,"name")</f>
        <v>OKTA INC</v>
      </c>
      <c r="E94" s="806">
        <f>_xll.BDH(F94,"last price",E$82,E$82)</f>
        <v>54.62</v>
      </c>
      <c r="F94" s="883" t="s">
        <v>1006</v>
      </c>
    </row>
    <row r="95" spans="2:7" x14ac:dyDescent="0.2">
      <c r="B95" s="881" t="str">
        <f>_xll.BDP(F95,"name")</f>
        <v>ZENDESK INC</v>
      </c>
      <c r="E95" s="806">
        <f>_xll.BDH(F95,"last price",E$82,E$82)</f>
        <v>53.19</v>
      </c>
      <c r="F95" s="883" t="s">
        <v>1007</v>
      </c>
    </row>
    <row r="96" spans="2:7" x14ac:dyDescent="0.2">
      <c r="B96" s="881" t="str">
        <f>_xll.BDP(F96,"name")</f>
        <v>YEXT INC</v>
      </c>
      <c r="E96" s="806">
        <f>_xll.BDH(F96,"last price",E$82,E$82)</f>
        <v>17.89</v>
      </c>
      <c r="F96" s="883" t="s">
        <v>1008</v>
      </c>
    </row>
    <row r="97" spans="2:7" x14ac:dyDescent="0.2">
      <c r="B97" s="881" t="str">
        <f>_xll.BDP(F97,"name")</f>
        <v>HUBSPOT INC</v>
      </c>
      <c r="E97" s="806">
        <f>_xll.BDH(F97,"last price",E$82,E$82)</f>
        <v>129.16</v>
      </c>
      <c r="F97" s="883" t="s">
        <v>1009</v>
      </c>
    </row>
    <row r="98" spans="2:7" x14ac:dyDescent="0.2">
      <c r="B98" s="881" t="str">
        <f>_xll.BDP(F98,"name")</f>
        <v>SENDGRID INC</v>
      </c>
      <c r="E98" s="806">
        <f>_xll.BDH(F98,"last price",E$82,E$82)</f>
        <v>40.21</v>
      </c>
      <c r="F98" s="883" t="s">
        <v>1010</v>
      </c>
    </row>
    <row r="99" spans="2:7" x14ac:dyDescent="0.2">
      <c r="B99" s="881"/>
      <c r="F99" s="883"/>
    </row>
    <row r="100" spans="2:7" x14ac:dyDescent="0.2">
      <c r="B100" s="806" t="s">
        <v>980</v>
      </c>
      <c r="E100" s="809">
        <f ca="1">C1</f>
        <v>43433</v>
      </c>
    </row>
    <row r="101" spans="2:7" x14ac:dyDescent="0.2">
      <c r="B101" s="881" t="s">
        <v>972</v>
      </c>
      <c r="E101" s="806">
        <f>_xll.BDP(F101,"last price")</f>
        <v>12374.05</v>
      </c>
      <c r="F101" s="806" t="str">
        <f t="shared" ref="F101:F110" si="382">F83</f>
        <v>NYA INDEX</v>
      </c>
    </row>
    <row r="102" spans="2:7" x14ac:dyDescent="0.2">
      <c r="B102" s="881" t="s">
        <v>973</v>
      </c>
      <c r="E102" s="806">
        <f>_xll.BDP(F102,"last price")</f>
        <v>7219.3159999999998</v>
      </c>
      <c r="F102" s="806" t="str">
        <f t="shared" si="382"/>
        <v>CCMP INDEX</v>
      </c>
    </row>
    <row r="103" spans="2:7" x14ac:dyDescent="0.2">
      <c r="B103" s="881" t="s">
        <v>974</v>
      </c>
      <c r="E103" s="806">
        <f>_xll.BDP(F103,"last price")</f>
        <v>25209.74</v>
      </c>
      <c r="F103" s="806" t="str">
        <f t="shared" si="382"/>
        <v>INDU INDEX</v>
      </c>
    </row>
    <row r="104" spans="2:7" x14ac:dyDescent="0.2">
      <c r="B104" s="884" t="s">
        <v>975</v>
      </c>
      <c r="C104" s="885"/>
      <c r="D104" s="885"/>
      <c r="E104" s="885">
        <f>_xll.BDP(F104,"last price")</f>
        <v>2723.21</v>
      </c>
      <c r="F104" s="885" t="str">
        <f t="shared" si="382"/>
        <v>SPX INDEX</v>
      </c>
      <c r="G104" s="885"/>
    </row>
    <row r="105" spans="2:7" x14ac:dyDescent="0.2">
      <c r="B105" s="881" t="str">
        <f>_xll.BDP(F105,"name")</f>
        <v>SALESFORCE.COM INC</v>
      </c>
      <c r="E105" s="806">
        <f>_xll.BDP(F105,"last price")</f>
        <v>139.61000000000001</v>
      </c>
      <c r="F105" s="806" t="str">
        <f t="shared" si="382"/>
        <v>CRM EQUITY</v>
      </c>
    </row>
    <row r="106" spans="2:7" x14ac:dyDescent="0.2">
      <c r="B106" s="881" t="str">
        <f>_xll.BDP(F106,"name")</f>
        <v>TABLEAU SOFTWARE INC-CL A</v>
      </c>
      <c r="E106" s="806">
        <f>_xll.BDP(F106,"last price")</f>
        <v>119.39</v>
      </c>
      <c r="F106" s="806" t="str">
        <f t="shared" si="382"/>
        <v>DATA EQUITY</v>
      </c>
    </row>
    <row r="107" spans="2:7" x14ac:dyDescent="0.2">
      <c r="B107" s="881" t="str">
        <f>_xll.BDP(F107,"name")</f>
        <v>WORKDAY INC-CLASS A</v>
      </c>
      <c r="E107" s="806">
        <f>_xll.BDP(F107,"last price")</f>
        <v>143.65</v>
      </c>
      <c r="F107" s="806" t="str">
        <f t="shared" si="382"/>
        <v>WDAY EQUITY</v>
      </c>
    </row>
    <row r="108" spans="2:7" x14ac:dyDescent="0.2">
      <c r="B108" s="881" t="str">
        <f>_xll.BDP(F108,"name")</f>
        <v>SPLUNK INC</v>
      </c>
      <c r="E108" s="806">
        <f>_xll.BDP(F108,"last price")</f>
        <v>98.075000000000003</v>
      </c>
      <c r="F108" s="806" t="str">
        <f t="shared" si="382"/>
        <v>SPLK EQUITY</v>
      </c>
    </row>
    <row r="109" spans="2:7" x14ac:dyDescent="0.2">
      <c r="B109" s="884" t="str">
        <f>_xll.BDP(F109,"name")</f>
        <v>SERVICENOW INC</v>
      </c>
      <c r="C109" s="885"/>
      <c r="D109" s="885"/>
      <c r="E109" s="885">
        <f>_xll.BDP(F109,"last price")</f>
        <v>177.16</v>
      </c>
      <c r="F109" s="885" t="str">
        <f t="shared" si="382"/>
        <v>NOW EQUITY</v>
      </c>
      <c r="G109" s="885"/>
    </row>
    <row r="110" spans="2:7" x14ac:dyDescent="0.2">
      <c r="B110" s="881" t="str">
        <f>_xll.BDP(F110,"name")</f>
        <v>TRADE DESK INC/THE -CLASS A</v>
      </c>
      <c r="E110" s="806">
        <f>_xll.BDP(F110,"last price")</f>
        <v>136.4</v>
      </c>
      <c r="F110" s="806" t="str">
        <f t="shared" si="382"/>
        <v>TTD EQUITY</v>
      </c>
    </row>
    <row r="111" spans="2:7" x14ac:dyDescent="0.2">
      <c r="B111" s="881" t="str">
        <f>_xll.BDP(F111,"name")</f>
        <v>TWILIO INC - A</v>
      </c>
      <c r="E111" s="806">
        <f>_xll.BDP(F111,"last price")</f>
        <v>92.04</v>
      </c>
      <c r="F111" s="806" t="str">
        <f t="shared" ref="F111:F116" si="383">F93</f>
        <v>TWLO EQUITY</v>
      </c>
    </row>
    <row r="112" spans="2:7" x14ac:dyDescent="0.2">
      <c r="B112" s="881" t="str">
        <f>_xll.BDP(F112,"name")</f>
        <v>OKTA INC</v>
      </c>
      <c r="E112" s="806">
        <f>_xll.BDP(F112,"last price")</f>
        <v>58.195</v>
      </c>
      <c r="F112" s="806" t="str">
        <f t="shared" si="383"/>
        <v>OKTA EQUITY</v>
      </c>
    </row>
    <row r="113" spans="2:7" x14ac:dyDescent="0.2">
      <c r="B113" s="881" t="str">
        <f>_xll.BDP(F113,"name")</f>
        <v>ZENDESK INC</v>
      </c>
      <c r="E113" s="806">
        <f>_xll.BDP(F113,"last price")</f>
        <v>57</v>
      </c>
      <c r="F113" s="806" t="str">
        <f t="shared" si="383"/>
        <v>ZEN EQUITY</v>
      </c>
    </row>
    <row r="114" spans="2:7" x14ac:dyDescent="0.2">
      <c r="B114" s="881" t="str">
        <f>_xll.BDP(F114,"name")</f>
        <v>YEXT INC</v>
      </c>
      <c r="E114" s="806">
        <f>_xll.BDP(F114,"last price")</f>
        <v>17.7</v>
      </c>
      <c r="F114" s="806" t="str">
        <f t="shared" si="383"/>
        <v>YEXT EQUITY</v>
      </c>
    </row>
    <row r="115" spans="2:7" x14ac:dyDescent="0.2">
      <c r="B115" s="881" t="str">
        <f>_xll.BDP(F115,"name")</f>
        <v>HUBSPOT INC</v>
      </c>
      <c r="E115" s="806">
        <f>_xll.BDP(F115,"last price")</f>
        <v>128.99</v>
      </c>
      <c r="F115" s="806" t="str">
        <f t="shared" si="383"/>
        <v>HUBS EQUITY</v>
      </c>
    </row>
    <row r="116" spans="2:7" x14ac:dyDescent="0.2">
      <c r="B116" s="881" t="str">
        <f>_xll.BDP(F116,"name")</f>
        <v>SENDGRID INC</v>
      </c>
      <c r="E116" s="806">
        <f>_xll.BDP(F116,"last price")</f>
        <v>44.22</v>
      </c>
      <c r="F116" s="806" t="str">
        <f t="shared" si="383"/>
        <v>SEND EQUITY</v>
      </c>
    </row>
    <row r="117" spans="2:7" x14ac:dyDescent="0.2">
      <c r="B117" s="881"/>
    </row>
    <row r="119" spans="2:7" x14ac:dyDescent="0.2">
      <c r="B119" s="806" t="s">
        <v>981</v>
      </c>
    </row>
    <row r="120" spans="2:7" x14ac:dyDescent="0.2">
      <c r="B120" s="881" t="s">
        <v>972</v>
      </c>
      <c r="E120" s="882">
        <f t="shared" ref="E120:E129" si="384">+E101/E83-1</f>
        <v>2.4741746877507964E-3</v>
      </c>
    </row>
    <row r="121" spans="2:7" x14ac:dyDescent="0.2">
      <c r="B121" s="881" t="s">
        <v>973</v>
      </c>
      <c r="E121" s="882">
        <f t="shared" si="384"/>
        <v>2.5617741414265538E-3</v>
      </c>
    </row>
    <row r="122" spans="2:7" x14ac:dyDescent="0.2">
      <c r="B122" s="881" t="s">
        <v>974</v>
      </c>
      <c r="E122" s="882">
        <f t="shared" si="384"/>
        <v>-6.9893544694604737E-3</v>
      </c>
    </row>
    <row r="123" spans="2:7" x14ac:dyDescent="0.2">
      <c r="B123" s="884" t="s">
        <v>975</v>
      </c>
      <c r="C123" s="885"/>
      <c r="D123" s="885"/>
      <c r="E123" s="886">
        <f t="shared" si="384"/>
        <v>-1.1040928465053668E-3</v>
      </c>
      <c r="F123" s="885"/>
      <c r="G123" s="885"/>
    </row>
    <row r="124" spans="2:7" x14ac:dyDescent="0.2">
      <c r="B124" s="881" t="str">
        <f>B105</f>
        <v>SALESFORCE.COM INC</v>
      </c>
      <c r="E124" s="882">
        <f t="shared" si="384"/>
        <v>6.980842911877394E-2</v>
      </c>
    </row>
    <row r="125" spans="2:7" x14ac:dyDescent="0.2">
      <c r="B125" s="881" t="str">
        <f t="shared" ref="B125:B135" si="385">B106</f>
        <v>TABLEAU SOFTWARE INC-CL A</v>
      </c>
      <c r="E125" s="882">
        <f t="shared" si="384"/>
        <v>7.6555455365193925E-2</v>
      </c>
    </row>
    <row r="126" spans="2:7" x14ac:dyDescent="0.2">
      <c r="B126" s="881" t="str">
        <f t="shared" si="385"/>
        <v>WORKDAY INC-CLASS A</v>
      </c>
      <c r="E126" s="882">
        <f t="shared" si="384"/>
        <v>7.9263711495116462E-2</v>
      </c>
    </row>
    <row r="127" spans="2:7" x14ac:dyDescent="0.2">
      <c r="B127" s="881" t="str">
        <f t="shared" si="385"/>
        <v>SPLUNK INC</v>
      </c>
      <c r="E127" s="882">
        <f t="shared" si="384"/>
        <v>1.7797841427978467E-2</v>
      </c>
    </row>
    <row r="128" spans="2:7" x14ac:dyDescent="0.2">
      <c r="B128" s="884" t="str">
        <f t="shared" si="385"/>
        <v>SERVICENOW INC</v>
      </c>
      <c r="C128" s="885"/>
      <c r="D128" s="885"/>
      <c r="E128" s="886">
        <f t="shared" si="384"/>
        <v>2.7789058420838897E-2</v>
      </c>
      <c r="F128" s="885"/>
      <c r="G128" s="885"/>
    </row>
    <row r="129" spans="2:5" x14ac:dyDescent="0.2">
      <c r="B129" s="881" t="str">
        <f t="shared" si="385"/>
        <v>TRADE DESK INC/THE -CLASS A</v>
      </c>
      <c r="E129" s="882">
        <f t="shared" si="384"/>
        <v>0.22960425493554482</v>
      </c>
    </row>
    <row r="130" spans="2:5" x14ac:dyDescent="0.2">
      <c r="B130" s="881" t="str">
        <f t="shared" si="385"/>
        <v>TWILIO INC - A</v>
      </c>
      <c r="E130" s="882">
        <f t="shared" ref="E130:E135" si="386">+E111/E93-1</f>
        <v>0.10439164866810668</v>
      </c>
    </row>
    <row r="131" spans="2:5" x14ac:dyDescent="0.2">
      <c r="B131" s="881" t="str">
        <f t="shared" si="385"/>
        <v>OKTA INC</v>
      </c>
      <c r="E131" s="882">
        <f t="shared" si="386"/>
        <v>6.5452215305748851E-2</v>
      </c>
    </row>
    <row r="132" spans="2:5" x14ac:dyDescent="0.2">
      <c r="B132" s="881" t="str">
        <f t="shared" si="385"/>
        <v>ZENDESK INC</v>
      </c>
      <c r="E132" s="882">
        <f t="shared" si="386"/>
        <v>7.1630005640157979E-2</v>
      </c>
    </row>
    <row r="133" spans="2:5" x14ac:dyDescent="0.2">
      <c r="B133" s="881" t="str">
        <f t="shared" si="385"/>
        <v>YEXT INC</v>
      </c>
      <c r="E133" s="882">
        <f t="shared" si="386"/>
        <v>-1.0620458356623841E-2</v>
      </c>
    </row>
    <row r="134" spans="2:5" x14ac:dyDescent="0.2">
      <c r="B134" s="881" t="str">
        <f t="shared" si="385"/>
        <v>HUBSPOT INC</v>
      </c>
      <c r="E134" s="882">
        <f t="shared" si="386"/>
        <v>-1.3161969650045124E-3</v>
      </c>
    </row>
    <row r="135" spans="2:5" x14ac:dyDescent="0.2">
      <c r="B135" s="881" t="str">
        <f t="shared" si="385"/>
        <v>SENDGRID INC</v>
      </c>
      <c r="E135" s="882">
        <f t="shared" si="386"/>
        <v>9.9726436209897962E-2</v>
      </c>
    </row>
    <row r="136" spans="2:5" x14ac:dyDescent="0.2">
      <c r="B136" s="881"/>
      <c r="E136" s="882"/>
    </row>
  </sheetData>
  <pageMargins left="0.25" right="0.25" top="0.25" bottom="0.25" header="0.3" footer="0.3"/>
  <pageSetup scale="70" orientation="landscape"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14355-29DE-423C-8C13-9E5BAD068735}">
  <dimension ref="A1:R504"/>
  <sheetViews>
    <sheetView topLeftCell="E1" workbookViewId="0">
      <selection activeCell="O12" sqref="O12"/>
    </sheetView>
  </sheetViews>
  <sheetFormatPr defaultRowHeight="12.75" x14ac:dyDescent="0.25"/>
  <cols>
    <col min="1" max="1" width="11.5" bestFit="1" customWidth="1"/>
    <col min="15" max="15" width="11.5" style="715" bestFit="1" customWidth="1"/>
  </cols>
  <sheetData>
    <row r="1" spans="1:18" x14ac:dyDescent="0.25">
      <c r="A1" s="875" t="s">
        <v>469</v>
      </c>
      <c r="B1" s="875" t="s">
        <v>865</v>
      </c>
      <c r="C1" s="875" t="s">
        <v>867</v>
      </c>
      <c r="D1" s="875" t="s">
        <v>868</v>
      </c>
      <c r="E1" s="875" t="s">
        <v>869</v>
      </c>
      <c r="F1" s="875" t="s">
        <v>870</v>
      </c>
      <c r="G1" s="875" t="s">
        <v>982</v>
      </c>
      <c r="H1" s="875" t="s">
        <v>989</v>
      </c>
      <c r="I1" s="875" t="s">
        <v>990</v>
      </c>
      <c r="J1" s="875" t="s">
        <v>991</v>
      </c>
      <c r="K1" s="875" t="s">
        <v>992</v>
      </c>
      <c r="L1" s="875" t="s">
        <v>993</v>
      </c>
      <c r="M1" s="875" t="s">
        <v>994</v>
      </c>
      <c r="O1" s="875" t="s">
        <v>469</v>
      </c>
      <c r="P1" s="875" t="s">
        <v>1004</v>
      </c>
      <c r="Q1" s="875" t="s">
        <v>1002</v>
      </c>
      <c r="R1" s="875" t="s">
        <v>1003</v>
      </c>
    </row>
    <row r="2" spans="1:18" x14ac:dyDescent="0.25">
      <c r="A2" s="894">
        <v>43423</v>
      </c>
      <c r="B2" s="875">
        <v>6.0190000000000001</v>
      </c>
      <c r="C2" s="875">
        <v>6.3749000000000002</v>
      </c>
      <c r="D2" s="875">
        <v>7.5785999999999998</v>
      </c>
      <c r="E2" s="875">
        <v>6.1227999999999998</v>
      </c>
      <c r="F2" s="875">
        <v>8.3924000000000003</v>
      </c>
      <c r="G2" s="875">
        <v>7.9024000000000001</v>
      </c>
      <c r="H2" s="875">
        <v>9.2415000000000003</v>
      </c>
      <c r="I2" s="875">
        <v>10.805400000000001</v>
      </c>
      <c r="J2" s="875">
        <v>6.4607000000000001</v>
      </c>
      <c r="K2" s="875">
        <v>5.3727999999999998</v>
      </c>
      <c r="L2" s="875">
        <v>6.8547000000000002</v>
      </c>
      <c r="M2" s="875">
        <v>9.1781000000000006</v>
      </c>
      <c r="O2" s="893">
        <f t="shared" ref="O2:O65" si="0">A2</f>
        <v>43423</v>
      </c>
      <c r="P2" s="895">
        <f t="shared" ref="P2:P65" si="1">AVERAGE(B2:M2)</f>
        <v>7.5252749999999997</v>
      </c>
      <c r="Q2" s="895">
        <f t="shared" ref="Q2:Q65" si="2">AVERAGE(B2:F2)</f>
        <v>6.8975400000000011</v>
      </c>
      <c r="R2" s="895">
        <f t="shared" ref="R2:R65" si="3">AVERAGE(G2:M2)</f>
        <v>7.9736571428571432</v>
      </c>
    </row>
    <row r="3" spans="1:18" x14ac:dyDescent="0.25">
      <c r="A3" s="894">
        <v>43420</v>
      </c>
      <c r="B3" s="875">
        <v>6.5762999999999998</v>
      </c>
      <c r="C3" s="875">
        <v>7.0971000000000002</v>
      </c>
      <c r="D3" s="875">
        <v>8.234</v>
      </c>
      <c r="E3" s="875">
        <v>6.8845000000000001</v>
      </c>
      <c r="F3" s="875">
        <v>9.1083999999999996</v>
      </c>
      <c r="G3" s="875">
        <v>8.7668999999999997</v>
      </c>
      <c r="H3" s="875">
        <v>10.6326</v>
      </c>
      <c r="I3" s="875">
        <v>12.7515</v>
      </c>
      <c r="J3" s="875">
        <v>7.2952000000000004</v>
      </c>
      <c r="K3" s="875">
        <v>5.8399000000000001</v>
      </c>
      <c r="L3" s="875">
        <v>8.0695999999999994</v>
      </c>
      <c r="M3" s="875">
        <v>10.6408</v>
      </c>
      <c r="O3" s="893">
        <f t="shared" si="0"/>
        <v>43420</v>
      </c>
      <c r="P3" s="895">
        <f t="shared" si="1"/>
        <v>8.4913999999999987</v>
      </c>
      <c r="Q3" s="895">
        <f t="shared" si="2"/>
        <v>7.5800600000000005</v>
      </c>
      <c r="R3" s="895">
        <f t="shared" si="3"/>
        <v>9.1423571428571417</v>
      </c>
    </row>
    <row r="4" spans="1:18" x14ac:dyDescent="0.25">
      <c r="A4" s="894">
        <v>43419</v>
      </c>
      <c r="B4" s="875">
        <v>6.5768000000000004</v>
      </c>
      <c r="C4" s="875">
        <v>7.2187000000000001</v>
      </c>
      <c r="D4" s="875">
        <v>8.3661999999999992</v>
      </c>
      <c r="E4" s="875">
        <v>6.9703999999999997</v>
      </c>
      <c r="F4" s="875">
        <v>9.2184000000000008</v>
      </c>
      <c r="G4" s="875">
        <v>8.6378000000000004</v>
      </c>
      <c r="H4" s="875">
        <v>10.716900000000001</v>
      </c>
      <c r="I4" s="875">
        <v>12.833299999999999</v>
      </c>
      <c r="J4" s="875">
        <v>7.45</v>
      </c>
      <c r="K4" s="875">
        <v>5.7732000000000001</v>
      </c>
      <c r="L4" s="875">
        <v>8.0784000000000002</v>
      </c>
      <c r="M4" s="875">
        <v>10.723800000000001</v>
      </c>
      <c r="O4" s="893">
        <f t="shared" si="0"/>
        <v>43419</v>
      </c>
      <c r="P4" s="895">
        <f t="shared" si="1"/>
        <v>8.546991666666667</v>
      </c>
      <c r="Q4" s="895">
        <f t="shared" si="2"/>
        <v>7.6701000000000006</v>
      </c>
      <c r="R4" s="895">
        <f t="shared" si="3"/>
        <v>9.1733428571428579</v>
      </c>
    </row>
    <row r="5" spans="1:18" x14ac:dyDescent="0.25">
      <c r="A5" s="894">
        <v>43418</v>
      </c>
      <c r="B5" s="875">
        <v>6.4256000000000002</v>
      </c>
      <c r="C5" s="875">
        <v>6.8654999999999999</v>
      </c>
      <c r="D5" s="875">
        <v>8.1247000000000007</v>
      </c>
      <c r="E5" s="875">
        <v>6.6925999999999997</v>
      </c>
      <c r="F5" s="875">
        <v>8.9204000000000008</v>
      </c>
      <c r="G5" s="875">
        <v>8.1521000000000008</v>
      </c>
      <c r="H5" s="875">
        <v>10.005800000000001</v>
      </c>
      <c r="I5" s="875">
        <v>12.1151</v>
      </c>
      <c r="J5" s="875">
        <v>7.0511999999999997</v>
      </c>
      <c r="K5" s="875">
        <v>5.6356000000000002</v>
      </c>
      <c r="L5" s="875">
        <v>7.6266999999999996</v>
      </c>
      <c r="M5" s="875">
        <v>10.017300000000001</v>
      </c>
      <c r="O5" s="893">
        <f t="shared" si="0"/>
        <v>43418</v>
      </c>
      <c r="P5" s="895">
        <f t="shared" si="1"/>
        <v>8.1360500000000009</v>
      </c>
      <c r="Q5" s="895">
        <f t="shared" si="2"/>
        <v>7.4057600000000008</v>
      </c>
      <c r="R5" s="895">
        <f t="shared" si="3"/>
        <v>8.657685714285714</v>
      </c>
    </row>
    <row r="6" spans="1:18" x14ac:dyDescent="0.25">
      <c r="A6" s="894">
        <v>43417</v>
      </c>
      <c r="B6" s="875">
        <v>6.5692000000000004</v>
      </c>
      <c r="C6" s="875">
        <v>6.8761999999999999</v>
      </c>
      <c r="D6" s="875">
        <v>8.3062000000000005</v>
      </c>
      <c r="E6" s="875">
        <v>6.6810999999999998</v>
      </c>
      <c r="F6" s="875">
        <v>8.9962999999999997</v>
      </c>
      <c r="G6" s="875">
        <v>7.8376999999999999</v>
      </c>
      <c r="H6" s="875">
        <v>10.156499999999999</v>
      </c>
      <c r="I6" s="875">
        <v>12.159800000000001</v>
      </c>
      <c r="J6" s="875">
        <v>6.9798</v>
      </c>
      <c r="K6" s="875">
        <v>5.9222999999999999</v>
      </c>
      <c r="L6" s="875">
        <v>7.6924000000000001</v>
      </c>
      <c r="M6" s="875">
        <v>10.1172</v>
      </c>
      <c r="O6" s="893">
        <f t="shared" si="0"/>
        <v>43417</v>
      </c>
      <c r="P6" s="895">
        <f t="shared" si="1"/>
        <v>8.1912249999999993</v>
      </c>
      <c r="Q6" s="895">
        <f t="shared" si="2"/>
        <v>7.4858000000000002</v>
      </c>
      <c r="R6" s="895">
        <f t="shared" si="3"/>
        <v>8.6951000000000001</v>
      </c>
    </row>
    <row r="7" spans="1:18" x14ac:dyDescent="0.25">
      <c r="A7" s="894">
        <v>43416</v>
      </c>
      <c r="B7" s="875">
        <v>6.4912000000000001</v>
      </c>
      <c r="C7" s="875">
        <v>6.7713000000000001</v>
      </c>
      <c r="D7" s="875">
        <v>8.1842000000000006</v>
      </c>
      <c r="E7" s="875">
        <v>6.6051000000000002</v>
      </c>
      <c r="F7" s="875">
        <v>9.2072000000000003</v>
      </c>
      <c r="G7" s="875">
        <v>7.7634999999999996</v>
      </c>
      <c r="H7" s="875">
        <v>9.9474999999999998</v>
      </c>
      <c r="I7" s="875">
        <v>12.0839</v>
      </c>
      <c r="J7" s="875">
        <v>7.0773000000000001</v>
      </c>
      <c r="K7" s="875">
        <v>5.9344999999999999</v>
      </c>
      <c r="L7" s="875">
        <v>7.7976000000000001</v>
      </c>
      <c r="M7" s="875">
        <v>9.9326000000000008</v>
      </c>
      <c r="O7" s="893">
        <f t="shared" si="0"/>
        <v>43416</v>
      </c>
      <c r="P7" s="895">
        <f t="shared" si="1"/>
        <v>8.149658333333333</v>
      </c>
      <c r="Q7" s="895">
        <f t="shared" si="2"/>
        <v>7.4518000000000004</v>
      </c>
      <c r="R7" s="895">
        <f t="shared" si="3"/>
        <v>8.6481285714285718</v>
      </c>
    </row>
    <row r="8" spans="1:18" x14ac:dyDescent="0.25">
      <c r="A8" s="894">
        <v>43413</v>
      </c>
      <c r="B8" s="875">
        <v>6.8154000000000003</v>
      </c>
      <c r="C8" s="875">
        <v>6.9973000000000001</v>
      </c>
      <c r="D8" s="875">
        <v>8.6408000000000005</v>
      </c>
      <c r="E8" s="875">
        <v>6.7706999999999997</v>
      </c>
      <c r="F8" s="875">
        <v>9.5031999999999996</v>
      </c>
      <c r="G8" s="875">
        <v>8.6168999999999993</v>
      </c>
      <c r="H8" s="875">
        <v>11.062799999999999</v>
      </c>
      <c r="I8" s="875">
        <v>13.1806</v>
      </c>
      <c r="J8" s="875">
        <v>7.2561</v>
      </c>
      <c r="K8" s="875">
        <v>6.2911000000000001</v>
      </c>
      <c r="L8" s="875">
        <v>8.2012999999999998</v>
      </c>
      <c r="M8" s="875">
        <v>11.070600000000001</v>
      </c>
      <c r="O8" s="893">
        <f t="shared" si="0"/>
        <v>43413</v>
      </c>
      <c r="P8" s="895">
        <f t="shared" si="1"/>
        <v>8.700566666666667</v>
      </c>
      <c r="Q8" s="895">
        <f t="shared" si="2"/>
        <v>7.7454799999999988</v>
      </c>
      <c r="R8" s="895">
        <f t="shared" si="3"/>
        <v>9.382771428571429</v>
      </c>
    </row>
    <row r="9" spans="1:18" x14ac:dyDescent="0.25">
      <c r="A9" s="894">
        <v>43412</v>
      </c>
      <c r="B9" s="875">
        <v>7.0648</v>
      </c>
      <c r="C9" s="875">
        <v>7.3201999999999998</v>
      </c>
      <c r="D9" s="875">
        <v>9.0442999999999998</v>
      </c>
      <c r="E9" s="875">
        <v>7.0084999999999997</v>
      </c>
      <c r="F9" s="875">
        <v>9.9815000000000005</v>
      </c>
      <c r="G9" s="875">
        <v>8.5858000000000008</v>
      </c>
      <c r="H9" s="875">
        <v>11.029</v>
      </c>
      <c r="I9" s="875">
        <v>13.7042</v>
      </c>
      <c r="J9" s="875">
        <v>7.4256000000000002</v>
      </c>
      <c r="K9" s="875">
        <v>6.4919000000000002</v>
      </c>
      <c r="L9" s="875">
        <v>8.3762000000000008</v>
      </c>
      <c r="M9" s="875">
        <v>11.0998</v>
      </c>
      <c r="O9" s="893">
        <f t="shared" si="0"/>
        <v>43412</v>
      </c>
      <c r="P9" s="895">
        <f t="shared" si="1"/>
        <v>8.9276499999999999</v>
      </c>
      <c r="Q9" s="895">
        <f t="shared" si="2"/>
        <v>8.0838599999999978</v>
      </c>
      <c r="R9" s="895">
        <f t="shared" si="3"/>
        <v>9.5303571428571434</v>
      </c>
    </row>
    <row r="10" spans="1:18" x14ac:dyDescent="0.25">
      <c r="A10" s="894">
        <v>43411</v>
      </c>
      <c r="B10" s="875">
        <v>7.0655999999999999</v>
      </c>
      <c r="C10" s="875">
        <v>7.4282000000000004</v>
      </c>
      <c r="D10" s="875">
        <v>8.9365000000000006</v>
      </c>
      <c r="E10" s="875">
        <v>7.0145999999999997</v>
      </c>
      <c r="F10" s="875">
        <v>10.247299999999999</v>
      </c>
      <c r="G10" s="875">
        <v>9.3302999999999994</v>
      </c>
      <c r="H10" s="875">
        <v>11.566800000000001</v>
      </c>
      <c r="I10" s="875">
        <v>13.9762</v>
      </c>
      <c r="J10" s="875">
        <v>7.7302999999999997</v>
      </c>
      <c r="K10" s="875">
        <v>6.7051999999999996</v>
      </c>
      <c r="L10" s="875">
        <v>8.8504000000000005</v>
      </c>
      <c r="M10" s="875">
        <v>11.652100000000001</v>
      </c>
      <c r="O10" s="893">
        <f t="shared" si="0"/>
        <v>43411</v>
      </c>
      <c r="P10" s="895">
        <f t="shared" si="1"/>
        <v>9.2086250000000014</v>
      </c>
      <c r="Q10" s="895">
        <f t="shared" si="2"/>
        <v>8.1384399999999992</v>
      </c>
      <c r="R10" s="895">
        <f t="shared" si="3"/>
        <v>9.9730428571428575</v>
      </c>
    </row>
    <row r="11" spans="1:18" x14ac:dyDescent="0.25">
      <c r="A11" s="894">
        <v>43410</v>
      </c>
      <c r="B11" s="875">
        <v>6.6802999999999999</v>
      </c>
      <c r="C11" s="875">
        <v>6.7981999999999996</v>
      </c>
      <c r="D11" s="875">
        <v>8.3343000000000007</v>
      </c>
      <c r="E11" s="875">
        <v>6.5209999999999999</v>
      </c>
      <c r="F11" s="875">
        <v>9.4391999999999996</v>
      </c>
      <c r="G11" s="875">
        <v>8.6265999999999998</v>
      </c>
      <c r="H11" s="875">
        <v>8.7954000000000008</v>
      </c>
      <c r="I11" s="875">
        <v>12.4773</v>
      </c>
      <c r="J11" s="875">
        <v>7.0777000000000001</v>
      </c>
      <c r="K11" s="875">
        <v>6.2344999999999997</v>
      </c>
      <c r="L11" s="875">
        <v>8.2476000000000003</v>
      </c>
      <c r="M11" s="875">
        <v>8.3484999999999996</v>
      </c>
      <c r="O11" s="893">
        <f t="shared" si="0"/>
        <v>43410</v>
      </c>
      <c r="P11" s="895">
        <f t="shared" si="1"/>
        <v>8.1317166666666676</v>
      </c>
      <c r="Q11" s="895">
        <f t="shared" si="2"/>
        <v>7.5546000000000006</v>
      </c>
      <c r="R11" s="895">
        <f t="shared" si="3"/>
        <v>8.5439428571428575</v>
      </c>
    </row>
    <row r="12" spans="1:18" x14ac:dyDescent="0.25">
      <c r="A12" s="894">
        <v>43409</v>
      </c>
      <c r="B12" s="875">
        <v>6.7588999999999997</v>
      </c>
      <c r="C12" s="875">
        <v>7.1116000000000001</v>
      </c>
      <c r="D12" s="875">
        <v>8.0373999999999999</v>
      </c>
      <c r="E12" s="875">
        <v>6.9762000000000004</v>
      </c>
      <c r="F12" s="875">
        <v>9.6138999999999992</v>
      </c>
      <c r="G12" s="875">
        <v>8.7001000000000008</v>
      </c>
      <c r="H12" s="875">
        <v>9.3008000000000006</v>
      </c>
      <c r="I12" s="875">
        <v>12.590199999999999</v>
      </c>
      <c r="J12" s="875">
        <v>7.1302000000000003</v>
      </c>
      <c r="K12" s="875">
        <v>6.3331999999999997</v>
      </c>
      <c r="L12" s="875">
        <v>8.2111000000000001</v>
      </c>
      <c r="M12" s="875">
        <v>8.4321000000000002</v>
      </c>
      <c r="O12" s="893">
        <f t="shared" si="0"/>
        <v>43409</v>
      </c>
      <c r="P12" s="895">
        <f t="shared" si="1"/>
        <v>8.2663083333333347</v>
      </c>
      <c r="Q12" s="895">
        <f t="shared" si="2"/>
        <v>7.6995999999999993</v>
      </c>
      <c r="R12" s="895">
        <f t="shared" si="3"/>
        <v>8.6710999999999991</v>
      </c>
    </row>
    <row r="13" spans="1:18" x14ac:dyDescent="0.25">
      <c r="A13" s="894">
        <v>43406</v>
      </c>
      <c r="B13" s="875">
        <v>6.8318000000000003</v>
      </c>
      <c r="C13" s="875">
        <v>7.1330999999999998</v>
      </c>
      <c r="D13" s="875">
        <v>8.2116000000000007</v>
      </c>
      <c r="E13" s="875">
        <v>7.2980999999999998</v>
      </c>
      <c r="F13" s="875">
        <v>9.5345999999999993</v>
      </c>
      <c r="G13" s="875">
        <v>9.0718999999999994</v>
      </c>
      <c r="H13" s="875">
        <v>9.6563999999999997</v>
      </c>
      <c r="I13" s="875">
        <v>12.8218</v>
      </c>
      <c r="J13" s="875">
        <v>7.3211000000000004</v>
      </c>
      <c r="K13" s="875">
        <v>6.5194999999999999</v>
      </c>
      <c r="L13" s="875">
        <v>8.4474</v>
      </c>
      <c r="M13" s="875">
        <v>8.7432999999999996</v>
      </c>
      <c r="O13" s="893">
        <f t="shared" si="0"/>
        <v>43406</v>
      </c>
      <c r="P13" s="895">
        <f t="shared" si="1"/>
        <v>8.4658833333333323</v>
      </c>
      <c r="Q13" s="895">
        <f t="shared" si="2"/>
        <v>7.8018400000000003</v>
      </c>
      <c r="R13" s="895">
        <f t="shared" si="3"/>
        <v>8.940199999999999</v>
      </c>
    </row>
    <row r="14" spans="1:18" x14ac:dyDescent="0.25">
      <c r="A14" s="894">
        <v>43405</v>
      </c>
      <c r="B14" s="875">
        <v>6.9748000000000001</v>
      </c>
      <c r="C14" s="875">
        <v>7.2904999999999998</v>
      </c>
      <c r="D14" s="875">
        <v>8.5497999999999994</v>
      </c>
      <c r="E14" s="875">
        <v>7.1252000000000004</v>
      </c>
      <c r="F14" s="875">
        <v>9.8130000000000006</v>
      </c>
      <c r="G14" s="875">
        <v>8.9806000000000008</v>
      </c>
      <c r="H14" s="875">
        <v>9.9772999999999996</v>
      </c>
      <c r="I14" s="875">
        <v>13.332100000000001</v>
      </c>
      <c r="J14" s="875">
        <v>7.3242000000000003</v>
      </c>
      <c r="K14" s="875">
        <v>6.4303999999999997</v>
      </c>
      <c r="L14" s="875">
        <v>8.6509999999999998</v>
      </c>
      <c r="M14" s="875">
        <v>9.0501000000000005</v>
      </c>
      <c r="O14" s="893">
        <f t="shared" si="0"/>
        <v>43405</v>
      </c>
      <c r="P14" s="895">
        <f t="shared" si="1"/>
        <v>8.6249166666666675</v>
      </c>
      <c r="Q14" s="895">
        <f t="shared" si="2"/>
        <v>7.9506600000000009</v>
      </c>
      <c r="R14" s="895">
        <f t="shared" si="3"/>
        <v>9.1065285714285711</v>
      </c>
    </row>
    <row r="15" spans="1:18" x14ac:dyDescent="0.25">
      <c r="A15" s="894">
        <v>43404</v>
      </c>
      <c r="B15" s="875">
        <v>6.8623000000000003</v>
      </c>
      <c r="C15" s="875">
        <v>7.1288</v>
      </c>
      <c r="D15" s="875">
        <v>8.2350999999999992</v>
      </c>
      <c r="E15" s="875">
        <v>6.8968999999999996</v>
      </c>
      <c r="F15" s="875">
        <v>9.6743000000000006</v>
      </c>
      <c r="G15" s="875">
        <v>8.766</v>
      </c>
      <c r="H15" s="875">
        <v>9.7941000000000003</v>
      </c>
      <c r="I15" s="875">
        <v>12.9796</v>
      </c>
      <c r="J15" s="875">
        <v>7.3056999999999999</v>
      </c>
      <c r="K15" s="875">
        <v>6.4539</v>
      </c>
      <c r="L15" s="875">
        <v>8.3168000000000006</v>
      </c>
      <c r="M15" s="875">
        <v>8.8780999999999999</v>
      </c>
      <c r="O15" s="893">
        <f t="shared" si="0"/>
        <v>43404</v>
      </c>
      <c r="P15" s="895">
        <f t="shared" si="1"/>
        <v>8.4409666666666663</v>
      </c>
      <c r="Q15" s="895">
        <f t="shared" si="2"/>
        <v>7.759479999999999</v>
      </c>
      <c r="R15" s="895">
        <f t="shared" si="3"/>
        <v>8.9277428571428565</v>
      </c>
    </row>
    <row r="16" spans="1:18" x14ac:dyDescent="0.25">
      <c r="A16" s="894">
        <v>43403</v>
      </c>
      <c r="B16" s="875">
        <v>6.6138000000000003</v>
      </c>
      <c r="C16" s="875">
        <v>6.7336999999999998</v>
      </c>
      <c r="D16" s="875">
        <v>7.9112</v>
      </c>
      <c r="E16" s="875">
        <v>6.5797999999999996</v>
      </c>
      <c r="F16" s="875">
        <v>8.9949999999999992</v>
      </c>
      <c r="G16" s="875">
        <v>8.1683000000000003</v>
      </c>
      <c r="H16" s="875">
        <v>9.0708000000000002</v>
      </c>
      <c r="I16" s="875">
        <v>11.8683</v>
      </c>
      <c r="J16" s="875">
        <v>7.2140000000000004</v>
      </c>
      <c r="K16" s="875">
        <v>6.1860999999999997</v>
      </c>
      <c r="L16" s="875">
        <v>7.8796999999999997</v>
      </c>
      <c r="M16" s="875">
        <v>8.1463000000000001</v>
      </c>
      <c r="O16" s="893">
        <f t="shared" si="0"/>
        <v>43403</v>
      </c>
      <c r="P16" s="895">
        <f t="shared" si="1"/>
        <v>7.9472499999999995</v>
      </c>
      <c r="Q16" s="895">
        <f t="shared" si="2"/>
        <v>7.3666999999999998</v>
      </c>
      <c r="R16" s="895">
        <f t="shared" si="3"/>
        <v>8.3619285714285692</v>
      </c>
    </row>
    <row r="17" spans="1:18" x14ac:dyDescent="0.25">
      <c r="A17" s="894">
        <v>43402</v>
      </c>
      <c r="B17" s="875">
        <v>6.5593000000000004</v>
      </c>
      <c r="C17" s="875">
        <v>6.3772000000000002</v>
      </c>
      <c r="D17" s="875">
        <v>7.569</v>
      </c>
      <c r="E17" s="875">
        <v>6.4111000000000002</v>
      </c>
      <c r="F17" s="875">
        <v>8.7684999999999995</v>
      </c>
      <c r="G17" s="875">
        <v>7.7241999999999997</v>
      </c>
      <c r="H17" s="875">
        <v>8.5527999999999995</v>
      </c>
      <c r="I17" s="875">
        <v>11.6348</v>
      </c>
      <c r="J17" s="875">
        <v>7.3270999999999997</v>
      </c>
      <c r="K17" s="875">
        <v>6.1519000000000004</v>
      </c>
      <c r="L17" s="875">
        <v>7.6166</v>
      </c>
      <c r="M17" s="875">
        <v>7.6988000000000003</v>
      </c>
      <c r="O17" s="893">
        <f t="shared" si="0"/>
        <v>43402</v>
      </c>
      <c r="P17" s="895">
        <f t="shared" si="1"/>
        <v>7.6992750000000001</v>
      </c>
      <c r="Q17" s="895">
        <f t="shared" si="2"/>
        <v>7.1370200000000015</v>
      </c>
      <c r="R17" s="895">
        <f t="shared" si="3"/>
        <v>8.1008857142857131</v>
      </c>
    </row>
    <row r="18" spans="1:18" x14ac:dyDescent="0.25">
      <c r="A18" s="894">
        <v>43399</v>
      </c>
      <c r="B18" s="875">
        <v>6.7919999999999998</v>
      </c>
      <c r="C18" s="875">
        <v>6.3968999999999996</v>
      </c>
      <c r="D18" s="875">
        <v>7.4375999999999998</v>
      </c>
      <c r="E18" s="875">
        <v>6.1821999999999999</v>
      </c>
      <c r="F18" s="875">
        <v>8.9169</v>
      </c>
      <c r="G18" s="875">
        <v>7.8205999999999998</v>
      </c>
      <c r="H18" s="875">
        <v>8.5437999999999992</v>
      </c>
      <c r="I18" s="875">
        <v>11.5943</v>
      </c>
      <c r="J18" s="875">
        <v>7.5602</v>
      </c>
      <c r="K18" s="875">
        <v>6.0974000000000004</v>
      </c>
      <c r="L18" s="875">
        <v>7.7436999999999996</v>
      </c>
      <c r="M18" s="875">
        <v>7.7114000000000003</v>
      </c>
      <c r="O18" s="893">
        <f t="shared" si="0"/>
        <v>43399</v>
      </c>
      <c r="P18" s="895">
        <f t="shared" si="1"/>
        <v>7.7330833333333322</v>
      </c>
      <c r="Q18" s="895">
        <f t="shared" si="2"/>
        <v>7.1451200000000004</v>
      </c>
      <c r="R18" s="895">
        <f t="shared" si="3"/>
        <v>8.1530571428571417</v>
      </c>
    </row>
    <row r="19" spans="1:18" x14ac:dyDescent="0.25">
      <c r="A19" s="894">
        <v>43398</v>
      </c>
      <c r="B19" s="875">
        <v>7.0594999999999999</v>
      </c>
      <c r="C19" s="875">
        <v>6.6189</v>
      </c>
      <c r="D19" s="875">
        <v>7.7858999999999998</v>
      </c>
      <c r="E19" s="875">
        <v>6.4610000000000003</v>
      </c>
      <c r="F19" s="875">
        <v>9.2464999999999993</v>
      </c>
      <c r="G19" s="875">
        <v>8.2630999999999997</v>
      </c>
      <c r="H19" s="875">
        <v>8.7545999999999999</v>
      </c>
      <c r="I19" s="875">
        <v>12.307</v>
      </c>
      <c r="J19" s="875">
        <v>7.7439999999999998</v>
      </c>
      <c r="K19" s="875">
        <v>6.6604999999999999</v>
      </c>
      <c r="L19" s="875">
        <v>8.0429999999999993</v>
      </c>
      <c r="M19" s="875">
        <v>7.8715999999999999</v>
      </c>
      <c r="O19" s="893">
        <f t="shared" si="0"/>
        <v>43398</v>
      </c>
      <c r="P19" s="895">
        <f t="shared" si="1"/>
        <v>8.0679666666666652</v>
      </c>
      <c r="Q19" s="895">
        <f t="shared" si="2"/>
        <v>7.4343599999999999</v>
      </c>
      <c r="R19" s="895">
        <f t="shared" si="3"/>
        <v>8.520542857142857</v>
      </c>
    </row>
    <row r="20" spans="1:18" x14ac:dyDescent="0.25">
      <c r="A20" s="894">
        <v>43397</v>
      </c>
      <c r="B20" s="875">
        <v>6.6867999999999999</v>
      </c>
      <c r="C20" s="875">
        <v>6.4143999999999997</v>
      </c>
      <c r="D20" s="875">
        <v>7.5449000000000002</v>
      </c>
      <c r="E20" s="875">
        <v>6.2519</v>
      </c>
      <c r="F20" s="875">
        <v>9.1547000000000001</v>
      </c>
      <c r="G20" s="875">
        <v>8.0915999999999997</v>
      </c>
      <c r="H20" s="875">
        <v>8.3018999999999998</v>
      </c>
      <c r="I20" s="875">
        <v>11.812200000000001</v>
      </c>
      <c r="J20" s="875">
        <v>7.5759999999999996</v>
      </c>
      <c r="K20" s="875">
        <v>6.5724</v>
      </c>
      <c r="L20" s="875">
        <v>7.7347999999999999</v>
      </c>
      <c r="M20" s="875">
        <v>7.48</v>
      </c>
      <c r="O20" s="893">
        <f t="shared" si="0"/>
        <v>43397</v>
      </c>
      <c r="P20" s="895">
        <f t="shared" si="1"/>
        <v>7.8017999999999992</v>
      </c>
      <c r="Q20" s="895">
        <f t="shared" si="2"/>
        <v>7.2105399999999991</v>
      </c>
      <c r="R20" s="895">
        <f t="shared" si="3"/>
        <v>8.2241285714285706</v>
      </c>
    </row>
    <row r="21" spans="1:18" x14ac:dyDescent="0.25">
      <c r="A21" s="894">
        <v>43396</v>
      </c>
      <c r="B21" s="875">
        <v>7.0620000000000003</v>
      </c>
      <c r="C21" s="875">
        <v>6.7598000000000003</v>
      </c>
      <c r="D21" s="875">
        <v>7.9935999999999998</v>
      </c>
      <c r="E21" s="875">
        <v>6.7260999999999997</v>
      </c>
      <c r="F21" s="875">
        <v>9.8154000000000003</v>
      </c>
      <c r="G21" s="875">
        <v>8.7591000000000001</v>
      </c>
      <c r="H21" s="875">
        <v>9.0884</v>
      </c>
      <c r="I21" s="875">
        <v>12.880699999999999</v>
      </c>
      <c r="J21" s="875">
        <v>8.1064000000000007</v>
      </c>
      <c r="K21" s="875">
        <v>6.3468999999999998</v>
      </c>
      <c r="L21" s="875">
        <v>8.1935000000000002</v>
      </c>
      <c r="M21" s="875">
        <v>8.1485000000000003</v>
      </c>
      <c r="O21" s="893">
        <f t="shared" si="0"/>
        <v>43396</v>
      </c>
      <c r="P21" s="895">
        <f t="shared" si="1"/>
        <v>8.3233666666666668</v>
      </c>
      <c r="Q21" s="895">
        <f t="shared" si="2"/>
        <v>7.6713799999999992</v>
      </c>
      <c r="R21" s="895">
        <f t="shared" si="3"/>
        <v>8.7890714285714289</v>
      </c>
    </row>
    <row r="22" spans="1:18" x14ac:dyDescent="0.25">
      <c r="A22" s="894">
        <v>43395</v>
      </c>
      <c r="B22" s="875">
        <v>7.1818999999999997</v>
      </c>
      <c r="C22" s="875">
        <v>6.7099000000000002</v>
      </c>
      <c r="D22" s="875">
        <v>8.0625</v>
      </c>
      <c r="E22" s="875">
        <v>6.7248000000000001</v>
      </c>
      <c r="F22" s="875">
        <v>9.6626999999999992</v>
      </c>
      <c r="G22" s="875">
        <v>8.8895</v>
      </c>
      <c r="H22" s="875">
        <v>9.0348000000000006</v>
      </c>
      <c r="I22" s="875">
        <v>12.9292</v>
      </c>
      <c r="J22" s="875">
        <v>8.0312999999999999</v>
      </c>
      <c r="K22" s="875">
        <v>6.0157999999999996</v>
      </c>
      <c r="L22" s="875">
        <v>8.1106999999999996</v>
      </c>
      <c r="M22" s="875">
        <v>8.1876999999999995</v>
      </c>
      <c r="O22" s="893">
        <f t="shared" si="0"/>
        <v>43395</v>
      </c>
      <c r="P22" s="895">
        <f t="shared" si="1"/>
        <v>8.2950666666666653</v>
      </c>
      <c r="Q22" s="895">
        <f t="shared" si="2"/>
        <v>7.6683599999999998</v>
      </c>
      <c r="R22" s="895">
        <f t="shared" si="3"/>
        <v>8.7427142857142872</v>
      </c>
    </row>
    <row r="23" spans="1:18" x14ac:dyDescent="0.25">
      <c r="A23" s="894">
        <v>43392</v>
      </c>
      <c r="B23" s="875">
        <v>7.0647000000000002</v>
      </c>
      <c r="C23" s="875">
        <v>6.6314000000000002</v>
      </c>
      <c r="D23" s="875">
        <v>7.9366000000000003</v>
      </c>
      <c r="E23" s="875">
        <v>6.5686999999999998</v>
      </c>
      <c r="F23" s="875">
        <v>9.5830000000000002</v>
      </c>
      <c r="G23" s="875">
        <v>8.6710999999999991</v>
      </c>
      <c r="H23" s="875">
        <v>8.6578999999999997</v>
      </c>
      <c r="I23" s="875">
        <v>12.5549</v>
      </c>
      <c r="J23" s="875">
        <v>7.9066999999999998</v>
      </c>
      <c r="K23" s="875">
        <v>6.1044999999999998</v>
      </c>
      <c r="L23" s="875">
        <v>8.0012000000000008</v>
      </c>
      <c r="M23" s="875">
        <v>7.8212000000000002</v>
      </c>
      <c r="O23" s="893">
        <f t="shared" si="0"/>
        <v>43392</v>
      </c>
      <c r="P23" s="895">
        <f t="shared" si="1"/>
        <v>8.1251583333333333</v>
      </c>
      <c r="Q23" s="895">
        <f t="shared" si="2"/>
        <v>7.5568799999999996</v>
      </c>
      <c r="R23" s="895">
        <f t="shared" si="3"/>
        <v>8.531071428571428</v>
      </c>
    </row>
    <row r="24" spans="1:18" x14ac:dyDescent="0.25">
      <c r="A24" s="894">
        <v>43391</v>
      </c>
      <c r="B24" s="875">
        <v>7.1868999999999996</v>
      </c>
      <c r="C24" s="875">
        <v>6.8032000000000004</v>
      </c>
      <c r="D24" s="875">
        <v>8.1218000000000004</v>
      </c>
      <c r="E24" s="875">
        <v>7.0547000000000004</v>
      </c>
      <c r="F24" s="875">
        <v>10.030799999999999</v>
      </c>
      <c r="G24" s="875">
        <v>8.9306999999999999</v>
      </c>
      <c r="H24" s="875">
        <v>9.3932000000000002</v>
      </c>
      <c r="I24" s="875">
        <v>13.420400000000001</v>
      </c>
      <c r="J24" s="875">
        <v>8.4768000000000008</v>
      </c>
      <c r="K24" s="875">
        <v>6.2991000000000001</v>
      </c>
      <c r="L24" s="875">
        <v>8.3213000000000008</v>
      </c>
      <c r="M24" s="875">
        <v>8.4931999999999999</v>
      </c>
      <c r="O24" s="893">
        <f t="shared" si="0"/>
        <v>43391</v>
      </c>
      <c r="P24" s="895">
        <f t="shared" si="1"/>
        <v>8.5443416666666661</v>
      </c>
      <c r="Q24" s="895">
        <f t="shared" si="2"/>
        <v>7.83948</v>
      </c>
      <c r="R24" s="895">
        <f t="shared" si="3"/>
        <v>9.0478142857142867</v>
      </c>
    </row>
    <row r="25" spans="1:18" x14ac:dyDescent="0.25">
      <c r="A25" s="894">
        <v>43390</v>
      </c>
      <c r="B25" s="875">
        <v>7.4012000000000002</v>
      </c>
      <c r="C25" s="875">
        <v>6.9965000000000002</v>
      </c>
      <c r="D25" s="875">
        <v>8.5823999999999998</v>
      </c>
      <c r="E25" s="875">
        <v>7.4</v>
      </c>
      <c r="F25" s="875">
        <v>10.3123</v>
      </c>
      <c r="G25" s="875">
        <v>9.2029999999999994</v>
      </c>
      <c r="H25" s="875">
        <v>9.7141999999999999</v>
      </c>
      <c r="I25" s="875">
        <v>14.1119</v>
      </c>
      <c r="J25" s="875">
        <v>8.6681000000000008</v>
      </c>
      <c r="K25" s="875">
        <v>6.5735999999999999</v>
      </c>
      <c r="L25" s="875">
        <v>8.4777000000000005</v>
      </c>
      <c r="M25" s="875">
        <v>8.7433999999999994</v>
      </c>
      <c r="O25" s="893">
        <f t="shared" si="0"/>
        <v>43390</v>
      </c>
      <c r="P25" s="895">
        <f t="shared" si="1"/>
        <v>8.8486916666666655</v>
      </c>
      <c r="Q25" s="895">
        <f t="shared" si="2"/>
        <v>8.1384799999999995</v>
      </c>
      <c r="R25" s="895">
        <f t="shared" si="3"/>
        <v>9.3559857142857137</v>
      </c>
    </row>
    <row r="26" spans="1:18" x14ac:dyDescent="0.25">
      <c r="A26" s="894">
        <v>43389</v>
      </c>
      <c r="B26" s="875">
        <v>7.4278000000000004</v>
      </c>
      <c r="C26" s="875">
        <v>7.0347999999999997</v>
      </c>
      <c r="D26" s="875">
        <v>8.3855000000000004</v>
      </c>
      <c r="E26" s="875">
        <v>7.4103000000000003</v>
      </c>
      <c r="F26" s="875">
        <v>10.458299999999999</v>
      </c>
      <c r="G26" s="875">
        <v>9.3313000000000006</v>
      </c>
      <c r="H26" s="875">
        <v>9.9849999999999994</v>
      </c>
      <c r="I26" s="875">
        <v>14.0322</v>
      </c>
      <c r="J26" s="875">
        <v>8.7141000000000002</v>
      </c>
      <c r="K26" s="875">
        <v>6.5907</v>
      </c>
      <c r="L26" s="875">
        <v>8.3461999999999996</v>
      </c>
      <c r="M26" s="875">
        <v>8.9939</v>
      </c>
      <c r="O26" s="893">
        <f t="shared" si="0"/>
        <v>43389</v>
      </c>
      <c r="P26" s="895">
        <f t="shared" si="1"/>
        <v>8.8925083333333337</v>
      </c>
      <c r="Q26" s="895">
        <f t="shared" si="2"/>
        <v>8.1433400000000002</v>
      </c>
      <c r="R26" s="895">
        <f t="shared" si="3"/>
        <v>9.4276285714285706</v>
      </c>
    </row>
    <row r="27" spans="1:18" x14ac:dyDescent="0.25">
      <c r="A27" s="894">
        <v>43388</v>
      </c>
      <c r="B27" s="875">
        <v>7.1566999999999998</v>
      </c>
      <c r="C27" s="875">
        <v>6.8003999999999998</v>
      </c>
      <c r="D27" s="875">
        <v>7.9128999999999996</v>
      </c>
      <c r="E27" s="875">
        <v>7.0484</v>
      </c>
      <c r="F27" s="875">
        <v>9.8106000000000009</v>
      </c>
      <c r="G27" s="875">
        <v>8.9122000000000003</v>
      </c>
      <c r="H27" s="875">
        <v>9.9011999999999993</v>
      </c>
      <c r="I27" s="875">
        <v>13.1744</v>
      </c>
      <c r="J27" s="875">
        <v>8.3462999999999994</v>
      </c>
      <c r="K27" s="875">
        <v>6.2756999999999996</v>
      </c>
      <c r="L27" s="875">
        <v>7.9981999999999998</v>
      </c>
      <c r="M27" s="875">
        <v>7.3555000000000001</v>
      </c>
      <c r="O27" s="893">
        <f t="shared" si="0"/>
        <v>43388</v>
      </c>
      <c r="P27" s="895">
        <f t="shared" si="1"/>
        <v>8.3910416666666681</v>
      </c>
      <c r="Q27" s="895">
        <f t="shared" si="2"/>
        <v>7.7458</v>
      </c>
      <c r="R27" s="895">
        <f t="shared" si="3"/>
        <v>8.8519285714285711</v>
      </c>
    </row>
    <row r="28" spans="1:18" x14ac:dyDescent="0.25">
      <c r="A28" s="894">
        <v>43385</v>
      </c>
      <c r="B28" s="875">
        <v>7.4043999999999999</v>
      </c>
      <c r="C28" s="875">
        <v>6.7225000000000001</v>
      </c>
      <c r="D28" s="875">
        <v>8.0073000000000008</v>
      </c>
      <c r="E28" s="875">
        <v>7.2474999999999996</v>
      </c>
      <c r="F28" s="875">
        <v>10.018599999999999</v>
      </c>
      <c r="G28" s="875">
        <v>8.8627000000000002</v>
      </c>
      <c r="H28" s="875">
        <v>9.7579999999999991</v>
      </c>
      <c r="I28" s="875">
        <v>13.042999999999999</v>
      </c>
      <c r="J28" s="875">
        <v>8.4974000000000007</v>
      </c>
      <c r="K28" s="875">
        <v>6.2662000000000004</v>
      </c>
      <c r="L28" s="875">
        <v>8.0196000000000005</v>
      </c>
      <c r="M28" s="875">
        <v>7.3856999999999999</v>
      </c>
      <c r="O28" s="893">
        <f t="shared" si="0"/>
        <v>43385</v>
      </c>
      <c r="P28" s="895">
        <f t="shared" si="1"/>
        <v>8.4360749999999989</v>
      </c>
      <c r="Q28" s="895">
        <f t="shared" si="2"/>
        <v>7.8800600000000003</v>
      </c>
      <c r="R28" s="895">
        <f t="shared" si="3"/>
        <v>8.8332285714285721</v>
      </c>
    </row>
    <row r="29" spans="1:18" x14ac:dyDescent="0.25">
      <c r="A29" s="894">
        <v>43384</v>
      </c>
      <c r="B29" s="875">
        <v>7.0301</v>
      </c>
      <c r="C29" s="875">
        <v>6.4409999999999998</v>
      </c>
      <c r="D29" s="875">
        <v>7.7742000000000004</v>
      </c>
      <c r="E29" s="875">
        <v>6.9203000000000001</v>
      </c>
      <c r="F29" s="875">
        <v>9.4974000000000007</v>
      </c>
      <c r="G29" s="875">
        <v>8.4688999999999997</v>
      </c>
      <c r="H29" s="875">
        <v>8.9875000000000007</v>
      </c>
      <c r="I29" s="875">
        <v>12.3536</v>
      </c>
      <c r="J29" s="875">
        <v>8.1472999999999995</v>
      </c>
      <c r="K29" s="875">
        <v>6.0686999999999998</v>
      </c>
      <c r="L29" s="875">
        <v>7.6680999999999999</v>
      </c>
      <c r="M29" s="875">
        <v>6.9470000000000001</v>
      </c>
      <c r="O29" s="893">
        <f t="shared" si="0"/>
        <v>43384</v>
      </c>
      <c r="P29" s="895">
        <f t="shared" si="1"/>
        <v>8.0253416666666659</v>
      </c>
      <c r="Q29" s="895">
        <f t="shared" si="2"/>
        <v>7.5326000000000004</v>
      </c>
      <c r="R29" s="895">
        <f t="shared" si="3"/>
        <v>8.3773000000000017</v>
      </c>
    </row>
    <row r="30" spans="1:18" x14ac:dyDescent="0.25">
      <c r="A30" s="894">
        <v>43383</v>
      </c>
      <c r="B30" s="875">
        <v>6.9627999999999997</v>
      </c>
      <c r="C30" s="875">
        <v>6.3872999999999998</v>
      </c>
      <c r="D30" s="875">
        <v>7.7504</v>
      </c>
      <c r="E30" s="875">
        <v>6.8780999999999999</v>
      </c>
      <c r="F30" s="875">
        <v>9.3481000000000005</v>
      </c>
      <c r="G30" s="875">
        <v>8.5457999999999998</v>
      </c>
      <c r="H30" s="875">
        <v>8.8224</v>
      </c>
      <c r="I30" s="875">
        <v>12.551399999999999</v>
      </c>
      <c r="J30" s="875">
        <v>8.2866</v>
      </c>
      <c r="K30" s="875">
        <v>6.3052999999999999</v>
      </c>
      <c r="L30" s="875">
        <v>7.8278999999999996</v>
      </c>
      <c r="M30" s="875">
        <v>7.0445000000000002</v>
      </c>
      <c r="O30" s="893">
        <f t="shared" si="0"/>
        <v>43383</v>
      </c>
      <c r="P30" s="895">
        <f t="shared" si="1"/>
        <v>8.0592166666666678</v>
      </c>
      <c r="Q30" s="895">
        <f t="shared" si="2"/>
        <v>7.4653400000000003</v>
      </c>
      <c r="R30" s="895">
        <f t="shared" si="3"/>
        <v>8.4834142857142858</v>
      </c>
    </row>
    <row r="31" spans="1:18" x14ac:dyDescent="0.25">
      <c r="A31" s="894">
        <v>43382</v>
      </c>
      <c r="B31" s="875">
        <v>7.5067000000000004</v>
      </c>
      <c r="C31" s="875">
        <v>6.7651000000000003</v>
      </c>
      <c r="D31" s="875">
        <v>8.2497000000000007</v>
      </c>
      <c r="E31" s="875">
        <v>7.3106</v>
      </c>
      <c r="F31" s="875">
        <v>9.8742000000000001</v>
      </c>
      <c r="G31" s="875">
        <v>9.3195999999999994</v>
      </c>
      <c r="H31" s="875">
        <v>9.6903000000000006</v>
      </c>
      <c r="I31" s="875">
        <v>13.680999999999999</v>
      </c>
      <c r="J31" s="875">
        <v>8.7657000000000007</v>
      </c>
      <c r="K31" s="875">
        <v>6.6665000000000001</v>
      </c>
      <c r="L31" s="875">
        <v>8.4259000000000004</v>
      </c>
      <c r="M31" s="875">
        <v>7.5998000000000001</v>
      </c>
      <c r="O31" s="893">
        <f t="shared" si="0"/>
        <v>43382</v>
      </c>
      <c r="P31" s="895">
        <f t="shared" si="1"/>
        <v>8.6545916666666667</v>
      </c>
      <c r="Q31" s="895">
        <f t="shared" si="2"/>
        <v>7.9412600000000015</v>
      </c>
      <c r="R31" s="895">
        <f t="shared" si="3"/>
        <v>9.1641142857142857</v>
      </c>
    </row>
    <row r="32" spans="1:18" x14ac:dyDescent="0.25">
      <c r="A32" s="894">
        <v>43381</v>
      </c>
      <c r="B32" s="875">
        <v>7.5193000000000003</v>
      </c>
      <c r="C32" s="875">
        <v>6.7167000000000003</v>
      </c>
      <c r="D32" s="875">
        <v>8.3064999999999998</v>
      </c>
      <c r="E32" s="875">
        <v>7.3775000000000004</v>
      </c>
      <c r="F32" s="875">
        <v>9.8190000000000008</v>
      </c>
      <c r="G32" s="875">
        <v>9.5511999999999997</v>
      </c>
      <c r="H32" s="875">
        <v>9.6660000000000004</v>
      </c>
      <c r="I32" s="875">
        <v>14.082599999999999</v>
      </c>
      <c r="J32" s="875">
        <v>8.8297000000000008</v>
      </c>
      <c r="K32" s="875">
        <v>6.7619999999999996</v>
      </c>
      <c r="L32" s="875">
        <v>8.6668000000000003</v>
      </c>
      <c r="M32" s="875">
        <v>7.8037000000000001</v>
      </c>
      <c r="O32" s="893">
        <f t="shared" si="0"/>
        <v>43381</v>
      </c>
      <c r="P32" s="895">
        <f t="shared" si="1"/>
        <v>8.7584166666666672</v>
      </c>
      <c r="Q32" s="895">
        <f t="shared" si="2"/>
        <v>7.9478000000000009</v>
      </c>
      <c r="R32" s="895">
        <f t="shared" si="3"/>
        <v>9.337428571428573</v>
      </c>
    </row>
    <row r="33" spans="1:18" x14ac:dyDescent="0.25">
      <c r="A33" s="894">
        <v>43378</v>
      </c>
      <c r="B33" s="875">
        <v>7.8503999999999996</v>
      </c>
      <c r="C33" s="875">
        <v>7.1005000000000003</v>
      </c>
      <c r="D33" s="875">
        <v>8.8214000000000006</v>
      </c>
      <c r="E33" s="875">
        <v>7.8030999999999997</v>
      </c>
      <c r="F33" s="875">
        <v>10.184799999999999</v>
      </c>
      <c r="G33" s="875">
        <v>9.6836000000000002</v>
      </c>
      <c r="H33" s="875">
        <v>10.044499999999999</v>
      </c>
      <c r="I33" s="875">
        <v>15.012499999999999</v>
      </c>
      <c r="J33" s="875">
        <v>9.1529000000000007</v>
      </c>
      <c r="K33" s="875">
        <v>7.0285000000000002</v>
      </c>
      <c r="L33" s="875">
        <v>9.1029</v>
      </c>
      <c r="M33" s="875">
        <v>8.2073999999999998</v>
      </c>
      <c r="O33" s="893">
        <f t="shared" si="0"/>
        <v>43378</v>
      </c>
      <c r="P33" s="895">
        <f t="shared" si="1"/>
        <v>9.1660416666666666</v>
      </c>
      <c r="Q33" s="895">
        <f t="shared" si="2"/>
        <v>8.3520399999999988</v>
      </c>
      <c r="R33" s="895">
        <f t="shared" si="3"/>
        <v>9.7474714285714299</v>
      </c>
    </row>
    <row r="34" spans="1:18" x14ac:dyDescent="0.25">
      <c r="A34" s="894">
        <v>43377</v>
      </c>
      <c r="B34" s="875">
        <v>7.8453999999999997</v>
      </c>
      <c r="C34" s="875">
        <v>7.1215999999999999</v>
      </c>
      <c r="D34" s="875">
        <v>8.8123000000000005</v>
      </c>
      <c r="E34" s="875">
        <v>7.9036999999999997</v>
      </c>
      <c r="F34" s="875">
        <v>10.238899999999999</v>
      </c>
      <c r="G34" s="875">
        <v>9.9026999999999994</v>
      </c>
      <c r="H34" s="875">
        <v>10.2525</v>
      </c>
      <c r="I34" s="875">
        <v>15.015599999999999</v>
      </c>
      <c r="J34" s="875">
        <v>9.2873000000000001</v>
      </c>
      <c r="K34" s="875">
        <v>7.1437999999999997</v>
      </c>
      <c r="L34" s="875">
        <v>9.1033000000000008</v>
      </c>
      <c r="M34" s="875">
        <v>8.2774999999999999</v>
      </c>
      <c r="O34" s="893">
        <f t="shared" si="0"/>
        <v>43377</v>
      </c>
      <c r="P34" s="895">
        <f t="shared" si="1"/>
        <v>9.2420500000000008</v>
      </c>
      <c r="Q34" s="895">
        <f t="shared" si="2"/>
        <v>8.3843800000000002</v>
      </c>
      <c r="R34" s="895">
        <f t="shared" si="3"/>
        <v>9.8546714285714305</v>
      </c>
    </row>
    <row r="35" spans="1:18" x14ac:dyDescent="0.25">
      <c r="A35" s="894">
        <v>43376</v>
      </c>
      <c r="B35" s="875">
        <v>8.0631000000000004</v>
      </c>
      <c r="C35" s="875">
        <v>7.2454999999999998</v>
      </c>
      <c r="D35" s="875">
        <v>9.2154000000000007</v>
      </c>
      <c r="E35" s="875">
        <v>8.1477000000000004</v>
      </c>
      <c r="F35" s="875">
        <v>10.7392</v>
      </c>
      <c r="G35" s="875">
        <v>10.1088</v>
      </c>
      <c r="H35" s="875">
        <v>10.646699999999999</v>
      </c>
      <c r="I35" s="875">
        <v>15.796900000000001</v>
      </c>
      <c r="J35" s="875">
        <v>9.4739000000000004</v>
      </c>
      <c r="K35" s="875">
        <v>7.5468999999999999</v>
      </c>
      <c r="L35" s="875">
        <v>9.3904999999999994</v>
      </c>
      <c r="M35" s="875">
        <v>8.6508000000000003</v>
      </c>
      <c r="O35" s="893">
        <f t="shared" si="0"/>
        <v>43376</v>
      </c>
      <c r="P35" s="895">
        <f t="shared" si="1"/>
        <v>9.5854499999999998</v>
      </c>
      <c r="Q35" s="895">
        <f t="shared" si="2"/>
        <v>8.6821799999999989</v>
      </c>
      <c r="R35" s="895">
        <f t="shared" si="3"/>
        <v>10.230642857142858</v>
      </c>
    </row>
    <row r="36" spans="1:18" x14ac:dyDescent="0.25">
      <c r="A36" s="894">
        <v>43375</v>
      </c>
      <c r="B36" s="875">
        <v>7.9755000000000003</v>
      </c>
      <c r="C36" s="875">
        <v>7.2085999999999997</v>
      </c>
      <c r="D36" s="875">
        <v>9.0374999999999996</v>
      </c>
      <c r="E36" s="875">
        <v>7.9836999999999998</v>
      </c>
      <c r="F36" s="875">
        <v>10.5639</v>
      </c>
      <c r="G36" s="875">
        <v>9.7080000000000002</v>
      </c>
      <c r="H36" s="875">
        <v>10.4734</v>
      </c>
      <c r="I36" s="875">
        <v>15.772</v>
      </c>
      <c r="J36" s="875">
        <v>9.4475999999999996</v>
      </c>
      <c r="K36" s="875">
        <v>7.6616</v>
      </c>
      <c r="L36" s="875">
        <v>9.1252999999999993</v>
      </c>
      <c r="M36" s="875">
        <v>8.3397000000000006</v>
      </c>
      <c r="O36" s="893">
        <f t="shared" si="0"/>
        <v>43375</v>
      </c>
      <c r="P36" s="895">
        <f t="shared" si="1"/>
        <v>9.4413999999999998</v>
      </c>
      <c r="Q36" s="895">
        <f t="shared" si="2"/>
        <v>8.5538399999999992</v>
      </c>
      <c r="R36" s="895">
        <f t="shared" si="3"/>
        <v>10.07537142857143</v>
      </c>
    </row>
    <row r="37" spans="1:18" x14ac:dyDescent="0.25">
      <c r="A37" s="894">
        <v>43374</v>
      </c>
      <c r="B37" s="875">
        <v>8.1126000000000005</v>
      </c>
      <c r="C37" s="875">
        <v>7.5389999999999997</v>
      </c>
      <c r="D37" s="875">
        <v>9.2446000000000002</v>
      </c>
      <c r="E37" s="875">
        <v>8.3566000000000003</v>
      </c>
      <c r="F37" s="875">
        <v>10.669600000000001</v>
      </c>
      <c r="G37" s="875">
        <v>10.543200000000001</v>
      </c>
      <c r="H37" s="875">
        <v>11.082100000000001</v>
      </c>
      <c r="I37" s="875">
        <v>16.683199999999999</v>
      </c>
      <c r="J37" s="875">
        <v>9.6861999999999995</v>
      </c>
      <c r="K37" s="875">
        <v>7.7515999999999998</v>
      </c>
      <c r="L37" s="875">
        <v>9.3544999999999998</v>
      </c>
      <c r="M37" s="875">
        <v>8.6945999999999994</v>
      </c>
      <c r="O37" s="893">
        <f t="shared" si="0"/>
        <v>43374</v>
      </c>
      <c r="P37" s="895">
        <f t="shared" si="1"/>
        <v>9.8098166666666664</v>
      </c>
      <c r="Q37" s="895">
        <f t="shared" si="2"/>
        <v>8.7844800000000003</v>
      </c>
      <c r="R37" s="895">
        <f t="shared" si="3"/>
        <v>10.542199999999999</v>
      </c>
    </row>
    <row r="38" spans="1:18" x14ac:dyDescent="0.25">
      <c r="A38" s="894">
        <v>43371</v>
      </c>
      <c r="B38" s="875">
        <v>8.0778999999999996</v>
      </c>
      <c r="C38" s="875">
        <v>7.5766</v>
      </c>
      <c r="D38" s="875">
        <v>9.2622</v>
      </c>
      <c r="E38" s="875">
        <v>8.6168999999999993</v>
      </c>
      <c r="F38" s="875">
        <v>10.7433</v>
      </c>
      <c r="G38" s="875">
        <v>11.114800000000001</v>
      </c>
      <c r="H38" s="875">
        <v>11.4427</v>
      </c>
      <c r="I38" s="875">
        <v>16.353999999999999</v>
      </c>
      <c r="J38" s="875">
        <v>9.9702000000000002</v>
      </c>
      <c r="K38" s="875">
        <v>8.0305</v>
      </c>
      <c r="L38" s="875">
        <v>9.4984000000000002</v>
      </c>
      <c r="M38" s="875">
        <v>9.0220000000000002</v>
      </c>
      <c r="O38" s="893">
        <f t="shared" si="0"/>
        <v>43371</v>
      </c>
      <c r="P38" s="895">
        <f t="shared" si="1"/>
        <v>9.9757916666666677</v>
      </c>
      <c r="Q38" s="895">
        <f t="shared" si="2"/>
        <v>8.8553800000000003</v>
      </c>
      <c r="R38" s="895">
        <f t="shared" si="3"/>
        <v>10.776085714285715</v>
      </c>
    </row>
    <row r="39" spans="1:18" x14ac:dyDescent="0.25">
      <c r="A39" s="894">
        <v>43370</v>
      </c>
      <c r="B39" s="875">
        <v>8.1524999999999999</v>
      </c>
      <c r="C39" s="875">
        <v>7.7407000000000004</v>
      </c>
      <c r="D39" s="875">
        <v>9.2665000000000006</v>
      </c>
      <c r="E39" s="875">
        <v>8.4404000000000003</v>
      </c>
      <c r="F39" s="875">
        <v>10.694000000000001</v>
      </c>
      <c r="G39" s="875">
        <v>11.469799999999999</v>
      </c>
      <c r="H39" s="875">
        <v>11.2872</v>
      </c>
      <c r="I39" s="875">
        <v>16.376999999999999</v>
      </c>
      <c r="J39" s="875">
        <v>9.8546999999999993</v>
      </c>
      <c r="K39" s="875">
        <v>8.1647999999999996</v>
      </c>
      <c r="L39" s="875">
        <v>9.4169999999999998</v>
      </c>
      <c r="M39" s="875">
        <v>9.0158000000000005</v>
      </c>
      <c r="O39" s="893">
        <f t="shared" si="0"/>
        <v>43370</v>
      </c>
      <c r="P39" s="895">
        <f t="shared" si="1"/>
        <v>9.9900333333333329</v>
      </c>
      <c r="Q39" s="895">
        <f t="shared" si="2"/>
        <v>8.8588199999999997</v>
      </c>
      <c r="R39" s="895">
        <f t="shared" si="3"/>
        <v>10.798042857142857</v>
      </c>
    </row>
    <row r="40" spans="1:18" x14ac:dyDescent="0.25">
      <c r="A40" s="894">
        <v>43369</v>
      </c>
      <c r="B40" s="875">
        <v>8.0421999999999993</v>
      </c>
      <c r="C40" s="875">
        <v>7.8152999999999997</v>
      </c>
      <c r="D40" s="875">
        <v>9.1762999999999995</v>
      </c>
      <c r="E40" s="875">
        <v>8.3682999999999996</v>
      </c>
      <c r="F40" s="875">
        <v>10.7393</v>
      </c>
      <c r="G40" s="875">
        <v>11.543799999999999</v>
      </c>
      <c r="H40" s="875">
        <v>11.1686</v>
      </c>
      <c r="I40" s="875">
        <v>16.195699999999999</v>
      </c>
      <c r="J40" s="875">
        <v>9.9158000000000008</v>
      </c>
      <c r="K40" s="875">
        <v>8.3163999999999998</v>
      </c>
      <c r="L40" s="875">
        <v>9.5068000000000001</v>
      </c>
      <c r="M40" s="875">
        <v>8.9984000000000002</v>
      </c>
      <c r="O40" s="893">
        <f t="shared" si="0"/>
        <v>43369</v>
      </c>
      <c r="P40" s="895">
        <f t="shared" si="1"/>
        <v>9.9822416666666669</v>
      </c>
      <c r="Q40" s="895">
        <f t="shared" si="2"/>
        <v>8.8282799999999995</v>
      </c>
      <c r="R40" s="895">
        <f t="shared" si="3"/>
        <v>10.8065</v>
      </c>
    </row>
    <row r="41" spans="1:18" x14ac:dyDescent="0.25">
      <c r="A41" s="894">
        <v>43368</v>
      </c>
      <c r="B41" s="875">
        <v>8.0751000000000008</v>
      </c>
      <c r="C41" s="875">
        <v>7.7740999999999998</v>
      </c>
      <c r="D41" s="875">
        <v>9.1353000000000009</v>
      </c>
      <c r="E41" s="875">
        <v>8.3764000000000003</v>
      </c>
      <c r="F41" s="875">
        <v>10.856199999999999</v>
      </c>
      <c r="G41" s="875">
        <v>11.4741</v>
      </c>
      <c r="H41" s="875">
        <v>11.5802</v>
      </c>
      <c r="I41" s="875">
        <v>16.170999999999999</v>
      </c>
      <c r="J41" s="875">
        <v>9.9563000000000006</v>
      </c>
      <c r="K41" s="875">
        <v>8.5437999999999992</v>
      </c>
      <c r="L41" s="875">
        <v>9.5736000000000008</v>
      </c>
      <c r="M41" s="875">
        <v>9.1940000000000008</v>
      </c>
      <c r="O41" s="893">
        <f t="shared" si="0"/>
        <v>43368</v>
      </c>
      <c r="P41" s="895">
        <f t="shared" si="1"/>
        <v>10.059175</v>
      </c>
      <c r="Q41" s="895">
        <f t="shared" si="2"/>
        <v>8.8434200000000001</v>
      </c>
      <c r="R41" s="895">
        <f t="shared" si="3"/>
        <v>10.927571428571428</v>
      </c>
    </row>
    <row r="42" spans="1:18" x14ac:dyDescent="0.25">
      <c r="A42" s="894">
        <v>43367</v>
      </c>
      <c r="B42" s="875">
        <v>8.0761000000000003</v>
      </c>
      <c r="C42" s="875">
        <v>7.5738000000000003</v>
      </c>
      <c r="D42" s="875">
        <v>8.9883000000000006</v>
      </c>
      <c r="E42" s="875">
        <v>8.2806999999999995</v>
      </c>
      <c r="F42" s="875">
        <v>10.6129</v>
      </c>
      <c r="G42" s="875">
        <v>10.32</v>
      </c>
      <c r="H42" s="875">
        <v>10.9901</v>
      </c>
      <c r="I42" s="875">
        <v>15.969799999999999</v>
      </c>
      <c r="J42" s="875">
        <v>9.5485000000000007</v>
      </c>
      <c r="K42" s="875">
        <v>8.4266000000000005</v>
      </c>
      <c r="L42" s="875">
        <v>9.3835999999999995</v>
      </c>
      <c r="M42" s="875">
        <v>8.6960999999999995</v>
      </c>
      <c r="O42" s="893">
        <f t="shared" si="0"/>
        <v>43367</v>
      </c>
      <c r="P42" s="895">
        <f t="shared" si="1"/>
        <v>9.7388750000000002</v>
      </c>
      <c r="Q42" s="895">
        <f t="shared" si="2"/>
        <v>8.7063600000000001</v>
      </c>
      <c r="R42" s="895">
        <f t="shared" si="3"/>
        <v>10.476385714285714</v>
      </c>
    </row>
    <row r="43" spans="1:18" x14ac:dyDescent="0.25">
      <c r="A43" s="894">
        <v>43364</v>
      </c>
      <c r="B43" s="875">
        <v>7.9440999999999997</v>
      </c>
      <c r="C43" s="875">
        <v>7.5198999999999998</v>
      </c>
      <c r="D43" s="875">
        <v>8.8043999999999993</v>
      </c>
      <c r="E43" s="875">
        <v>8.3116000000000003</v>
      </c>
      <c r="F43" s="875">
        <v>10.4315</v>
      </c>
      <c r="G43" s="875">
        <v>10.5115</v>
      </c>
      <c r="H43" s="875">
        <v>11.0534</v>
      </c>
      <c r="I43" s="875">
        <v>15.9871</v>
      </c>
      <c r="J43" s="875">
        <v>9.3764000000000003</v>
      </c>
      <c r="K43" s="875">
        <v>8.4562000000000008</v>
      </c>
      <c r="L43" s="875">
        <v>9.1457999999999995</v>
      </c>
      <c r="M43" s="875">
        <v>8.7171000000000003</v>
      </c>
      <c r="O43" s="893">
        <f t="shared" si="0"/>
        <v>43364</v>
      </c>
      <c r="P43" s="895">
        <f t="shared" si="1"/>
        <v>9.6882499999999983</v>
      </c>
      <c r="Q43" s="895">
        <f t="shared" si="2"/>
        <v>8.6022999999999996</v>
      </c>
      <c r="R43" s="895">
        <f t="shared" si="3"/>
        <v>10.463928571428571</v>
      </c>
    </row>
    <row r="44" spans="1:18" x14ac:dyDescent="0.25">
      <c r="A44" s="894">
        <v>43363</v>
      </c>
      <c r="B44" s="875">
        <v>7.9465000000000003</v>
      </c>
      <c r="C44" s="875">
        <v>7.6405000000000003</v>
      </c>
      <c r="D44" s="875">
        <v>9.0138999999999996</v>
      </c>
      <c r="E44" s="875">
        <v>8.26</v>
      </c>
      <c r="F44" s="875">
        <v>10.3062</v>
      </c>
      <c r="G44" s="875">
        <v>10.622999999999999</v>
      </c>
      <c r="H44" s="875">
        <v>11.2127</v>
      </c>
      <c r="I44" s="875">
        <v>16.603400000000001</v>
      </c>
      <c r="J44" s="875">
        <v>9.4808000000000003</v>
      </c>
      <c r="K44" s="875">
        <v>8.7028999999999996</v>
      </c>
      <c r="L44" s="875">
        <v>9.3689</v>
      </c>
      <c r="M44" s="875">
        <v>9.1297999999999995</v>
      </c>
      <c r="O44" s="893">
        <f t="shared" si="0"/>
        <v>43363</v>
      </c>
      <c r="P44" s="895">
        <f t="shared" si="1"/>
        <v>9.8573833333333329</v>
      </c>
      <c r="Q44" s="895">
        <f t="shared" si="2"/>
        <v>8.633420000000001</v>
      </c>
      <c r="R44" s="895">
        <f t="shared" si="3"/>
        <v>10.731642857142857</v>
      </c>
    </row>
    <row r="45" spans="1:18" x14ac:dyDescent="0.25">
      <c r="A45" s="894">
        <v>43362</v>
      </c>
      <c r="B45" s="875">
        <v>7.7937000000000003</v>
      </c>
      <c r="C45" s="875">
        <v>7.6013999999999999</v>
      </c>
      <c r="D45" s="875">
        <v>8.9536999999999995</v>
      </c>
      <c r="E45" s="875">
        <v>8.2492999999999999</v>
      </c>
      <c r="F45" s="875">
        <v>10.2393</v>
      </c>
      <c r="G45" s="875">
        <v>10.7567</v>
      </c>
      <c r="H45" s="875">
        <v>10.950699999999999</v>
      </c>
      <c r="I45" s="875">
        <v>16.338899999999999</v>
      </c>
      <c r="J45" s="875">
        <v>9.3801000000000005</v>
      </c>
      <c r="K45" s="875">
        <v>8.6469000000000005</v>
      </c>
      <c r="L45" s="875">
        <v>9.3697999999999997</v>
      </c>
      <c r="M45" s="875">
        <v>8.8360000000000003</v>
      </c>
      <c r="O45" s="893">
        <f t="shared" si="0"/>
        <v>43362</v>
      </c>
      <c r="P45" s="895">
        <f t="shared" si="1"/>
        <v>9.7597083333333323</v>
      </c>
      <c r="Q45" s="895">
        <f t="shared" si="2"/>
        <v>8.5674799999999998</v>
      </c>
      <c r="R45" s="895">
        <f t="shared" si="3"/>
        <v>10.6113</v>
      </c>
    </row>
    <row r="46" spans="1:18" x14ac:dyDescent="0.25">
      <c r="A46" s="894">
        <v>43361</v>
      </c>
      <c r="B46" s="875">
        <v>7.9569000000000001</v>
      </c>
      <c r="C46" s="875">
        <v>7.7942</v>
      </c>
      <c r="D46" s="875">
        <v>9.1655999999999995</v>
      </c>
      <c r="E46" s="875">
        <v>8.3244000000000007</v>
      </c>
      <c r="F46" s="875">
        <v>10.5839</v>
      </c>
      <c r="G46" s="875">
        <v>10.7582</v>
      </c>
      <c r="H46" s="875">
        <v>11.308400000000001</v>
      </c>
      <c r="I46" s="875">
        <v>16.3629</v>
      </c>
      <c r="J46" s="875">
        <v>9.5839999999999996</v>
      </c>
      <c r="K46" s="875">
        <v>8.7385999999999999</v>
      </c>
      <c r="L46" s="875">
        <v>9.6456999999999997</v>
      </c>
      <c r="M46" s="875">
        <v>9.1117000000000008</v>
      </c>
      <c r="O46" s="893">
        <f t="shared" si="0"/>
        <v>43361</v>
      </c>
      <c r="P46" s="895">
        <f t="shared" si="1"/>
        <v>9.9445416666666677</v>
      </c>
      <c r="Q46" s="895">
        <f t="shared" si="2"/>
        <v>8.7650000000000006</v>
      </c>
      <c r="R46" s="895">
        <f t="shared" si="3"/>
        <v>10.787071428571428</v>
      </c>
    </row>
    <row r="47" spans="1:18" x14ac:dyDescent="0.25">
      <c r="A47" s="894">
        <v>43360</v>
      </c>
      <c r="B47" s="875">
        <v>7.9074</v>
      </c>
      <c r="C47" s="875">
        <v>7.5799000000000003</v>
      </c>
      <c r="D47" s="875">
        <v>9.2444000000000006</v>
      </c>
      <c r="E47" s="875">
        <v>8.5714000000000006</v>
      </c>
      <c r="F47" s="875">
        <v>10.6469</v>
      </c>
      <c r="G47" s="875">
        <v>10.6105</v>
      </c>
      <c r="H47" s="875">
        <v>11.1835</v>
      </c>
      <c r="I47" s="875">
        <v>16.292100000000001</v>
      </c>
      <c r="J47" s="875">
        <v>9.4914000000000005</v>
      </c>
      <c r="K47" s="875">
        <v>8.5728000000000009</v>
      </c>
      <c r="L47" s="875">
        <v>9.6931999999999992</v>
      </c>
      <c r="M47" s="875">
        <v>8.7461000000000002</v>
      </c>
      <c r="O47" s="893">
        <f t="shared" si="0"/>
        <v>43360</v>
      </c>
      <c r="P47" s="895">
        <f t="shared" si="1"/>
        <v>9.8783000000000012</v>
      </c>
      <c r="Q47" s="895">
        <f t="shared" si="2"/>
        <v>8.7900000000000009</v>
      </c>
      <c r="R47" s="895">
        <f t="shared" si="3"/>
        <v>10.655657142857143</v>
      </c>
    </row>
    <row r="48" spans="1:18" x14ac:dyDescent="0.25">
      <c r="A48" s="894">
        <v>43357</v>
      </c>
      <c r="B48" s="875">
        <v>8.0458999999999996</v>
      </c>
      <c r="C48" s="875">
        <v>7.9414999999999996</v>
      </c>
      <c r="D48" s="875">
        <v>9.6851000000000003</v>
      </c>
      <c r="E48" s="875">
        <v>9.0248000000000008</v>
      </c>
      <c r="F48" s="875">
        <v>11.2357</v>
      </c>
      <c r="G48" s="875">
        <v>10.8864</v>
      </c>
      <c r="H48" s="875">
        <v>11.596399999999999</v>
      </c>
      <c r="I48" s="875">
        <v>16.952999999999999</v>
      </c>
      <c r="J48" s="875">
        <v>10.137499999999999</v>
      </c>
      <c r="K48" s="875">
        <v>8.8856000000000002</v>
      </c>
      <c r="L48" s="875">
        <v>10.1769</v>
      </c>
      <c r="M48" s="875">
        <v>8.9528999999999996</v>
      </c>
      <c r="O48" s="893">
        <f t="shared" si="0"/>
        <v>43357</v>
      </c>
      <c r="P48" s="895">
        <f t="shared" si="1"/>
        <v>10.293475000000001</v>
      </c>
      <c r="Q48" s="895">
        <f t="shared" si="2"/>
        <v>9.1866000000000003</v>
      </c>
      <c r="R48" s="895">
        <f t="shared" si="3"/>
        <v>11.084100000000001</v>
      </c>
    </row>
    <row r="49" spans="1:18" x14ac:dyDescent="0.25">
      <c r="A49" s="894">
        <v>43356</v>
      </c>
      <c r="B49" s="875">
        <v>8.0845000000000002</v>
      </c>
      <c r="C49" s="875">
        <v>7.9909999999999997</v>
      </c>
      <c r="D49" s="875">
        <v>9.6540999999999997</v>
      </c>
      <c r="E49" s="875">
        <v>9.0202000000000009</v>
      </c>
      <c r="F49" s="875">
        <v>11.3345</v>
      </c>
      <c r="G49" s="875">
        <v>10.8582</v>
      </c>
      <c r="H49" s="875">
        <v>11.3294</v>
      </c>
      <c r="I49" s="875">
        <v>17.051400000000001</v>
      </c>
      <c r="J49" s="875">
        <v>9.9367000000000001</v>
      </c>
      <c r="K49" s="875">
        <v>8.9274000000000004</v>
      </c>
      <c r="L49" s="875">
        <v>10.132899999999999</v>
      </c>
      <c r="M49" s="875">
        <v>9.2464999999999993</v>
      </c>
      <c r="O49" s="893">
        <f t="shared" si="0"/>
        <v>43356</v>
      </c>
      <c r="P49" s="895">
        <f t="shared" si="1"/>
        <v>10.297233333333333</v>
      </c>
      <c r="Q49" s="895">
        <f t="shared" si="2"/>
        <v>9.2168600000000005</v>
      </c>
      <c r="R49" s="895">
        <f t="shared" si="3"/>
        <v>11.068928571428572</v>
      </c>
    </row>
    <row r="50" spans="1:18" x14ac:dyDescent="0.25">
      <c r="A50" s="894">
        <v>43355</v>
      </c>
      <c r="B50" s="875">
        <v>7.9466999999999999</v>
      </c>
      <c r="C50" s="875">
        <v>7.9108999999999998</v>
      </c>
      <c r="D50" s="875">
        <v>9.5038</v>
      </c>
      <c r="E50" s="875">
        <v>9.0797000000000008</v>
      </c>
      <c r="F50" s="875">
        <v>11.242000000000001</v>
      </c>
      <c r="G50" s="875">
        <v>10.8858</v>
      </c>
      <c r="H50" s="875">
        <v>11.297499999999999</v>
      </c>
      <c r="I50" s="875">
        <v>17.4786</v>
      </c>
      <c r="J50" s="875">
        <v>9.9641000000000002</v>
      </c>
      <c r="K50" s="875">
        <v>8.9400999999999993</v>
      </c>
      <c r="L50" s="875">
        <v>10.1113</v>
      </c>
      <c r="M50" s="875">
        <v>9.1935000000000002</v>
      </c>
      <c r="O50" s="893">
        <f t="shared" si="0"/>
        <v>43355</v>
      </c>
      <c r="P50" s="895">
        <f t="shared" si="1"/>
        <v>10.296166666666666</v>
      </c>
      <c r="Q50" s="895">
        <f t="shared" si="2"/>
        <v>9.1366199999999989</v>
      </c>
      <c r="R50" s="895">
        <f t="shared" si="3"/>
        <v>11.124414285714286</v>
      </c>
    </row>
    <row r="51" spans="1:18" x14ac:dyDescent="0.25">
      <c r="A51" s="894">
        <v>43354</v>
      </c>
      <c r="B51" s="875">
        <v>7.8231999999999999</v>
      </c>
      <c r="C51" s="875">
        <v>7.9107000000000003</v>
      </c>
      <c r="D51" s="875">
        <v>9.3716000000000008</v>
      </c>
      <c r="E51" s="875">
        <v>9.0573999999999995</v>
      </c>
      <c r="F51" s="875">
        <v>11.0664</v>
      </c>
      <c r="G51" s="875">
        <v>11.0404</v>
      </c>
      <c r="H51" s="875">
        <v>11.346299999999999</v>
      </c>
      <c r="I51" s="875">
        <v>17.186499999999999</v>
      </c>
      <c r="J51" s="875">
        <v>9.9720999999999993</v>
      </c>
      <c r="K51" s="875">
        <v>8.9781999999999993</v>
      </c>
      <c r="L51" s="875">
        <v>10.119400000000001</v>
      </c>
      <c r="M51" s="875">
        <v>9.4678000000000004</v>
      </c>
      <c r="O51" s="893">
        <f t="shared" si="0"/>
        <v>43354</v>
      </c>
      <c r="P51" s="895">
        <f t="shared" si="1"/>
        <v>10.278333333333332</v>
      </c>
      <c r="Q51" s="895">
        <f t="shared" si="2"/>
        <v>9.0458600000000011</v>
      </c>
      <c r="R51" s="895">
        <f t="shared" si="3"/>
        <v>11.158671428571427</v>
      </c>
    </row>
    <row r="52" spans="1:18" x14ac:dyDescent="0.25">
      <c r="A52" s="894">
        <v>43353</v>
      </c>
      <c r="B52" s="875">
        <v>7.7508999999999997</v>
      </c>
      <c r="C52" s="875">
        <v>7.7233999999999998</v>
      </c>
      <c r="D52" s="875">
        <v>9.2098999999999993</v>
      </c>
      <c r="E52" s="875">
        <v>9.0472000000000001</v>
      </c>
      <c r="F52" s="875">
        <v>11.0487</v>
      </c>
      <c r="G52" s="875">
        <v>10.6473</v>
      </c>
      <c r="H52" s="875">
        <v>11.2195</v>
      </c>
      <c r="I52" s="875">
        <v>17.003799999999998</v>
      </c>
      <c r="J52" s="875">
        <v>9.8752999999999993</v>
      </c>
      <c r="K52" s="875">
        <v>9.0128000000000004</v>
      </c>
      <c r="L52" s="875">
        <v>9.8153000000000006</v>
      </c>
      <c r="M52" s="875">
        <v>9.3764000000000003</v>
      </c>
      <c r="O52" s="893">
        <f t="shared" si="0"/>
        <v>43353</v>
      </c>
      <c r="P52" s="895">
        <f t="shared" si="1"/>
        <v>10.144208333333333</v>
      </c>
      <c r="Q52" s="895">
        <f t="shared" si="2"/>
        <v>8.9560199999999988</v>
      </c>
      <c r="R52" s="895">
        <f t="shared" si="3"/>
        <v>10.992914285714283</v>
      </c>
    </row>
    <row r="53" spans="1:18" x14ac:dyDescent="0.25">
      <c r="A53" s="894">
        <v>43350</v>
      </c>
      <c r="B53" s="875">
        <v>7.7134</v>
      </c>
      <c r="C53" s="875">
        <v>7.8348000000000004</v>
      </c>
      <c r="D53" s="875">
        <v>9.3071000000000002</v>
      </c>
      <c r="E53" s="875">
        <v>9.0604999999999993</v>
      </c>
      <c r="F53" s="875">
        <v>10.946300000000001</v>
      </c>
      <c r="G53" s="875">
        <v>10.622</v>
      </c>
      <c r="H53" s="875">
        <v>10.9544</v>
      </c>
      <c r="I53" s="875">
        <v>16.9892</v>
      </c>
      <c r="J53" s="875">
        <v>9.7540999999999993</v>
      </c>
      <c r="K53" s="875">
        <v>9.3208000000000002</v>
      </c>
      <c r="L53" s="875">
        <v>9.6561000000000003</v>
      </c>
      <c r="M53" s="875">
        <v>9.1547999999999998</v>
      </c>
      <c r="O53" s="893">
        <f t="shared" si="0"/>
        <v>43350</v>
      </c>
      <c r="P53" s="895">
        <f t="shared" si="1"/>
        <v>10.109458333333333</v>
      </c>
      <c r="Q53" s="895">
        <f t="shared" si="2"/>
        <v>8.9724199999999996</v>
      </c>
      <c r="R53" s="895">
        <f t="shared" si="3"/>
        <v>10.92162857142857</v>
      </c>
    </row>
    <row r="54" spans="1:18" x14ac:dyDescent="0.25">
      <c r="A54" s="894">
        <v>43349</v>
      </c>
      <c r="B54" s="875">
        <v>7.6346999999999996</v>
      </c>
      <c r="C54" s="875">
        <v>7.7723000000000004</v>
      </c>
      <c r="D54" s="875">
        <v>9.2837999999999994</v>
      </c>
      <c r="E54" s="875">
        <v>8.9182000000000006</v>
      </c>
      <c r="F54" s="875">
        <v>10.736499999999999</v>
      </c>
      <c r="G54" s="875">
        <v>10.4208</v>
      </c>
      <c r="H54" s="875">
        <v>10.7067</v>
      </c>
      <c r="I54" s="875">
        <v>14.110900000000001</v>
      </c>
      <c r="J54" s="875">
        <v>9.5924999999999994</v>
      </c>
      <c r="K54" s="875">
        <v>8.7323000000000004</v>
      </c>
      <c r="L54" s="875">
        <v>9.3582000000000001</v>
      </c>
      <c r="M54" s="875">
        <v>8.9062999999999999</v>
      </c>
      <c r="O54" s="893">
        <f t="shared" si="0"/>
        <v>43349</v>
      </c>
      <c r="P54" s="895">
        <f t="shared" si="1"/>
        <v>9.6810999999999989</v>
      </c>
      <c r="Q54" s="895">
        <f t="shared" si="2"/>
        <v>8.8690999999999995</v>
      </c>
      <c r="R54" s="895">
        <f t="shared" si="3"/>
        <v>10.261100000000001</v>
      </c>
    </row>
    <row r="55" spans="1:18" x14ac:dyDescent="0.25">
      <c r="A55" s="894">
        <v>43348</v>
      </c>
      <c r="B55" s="875">
        <v>7.6307999999999998</v>
      </c>
      <c r="C55" s="875">
        <v>7.6722000000000001</v>
      </c>
      <c r="D55" s="875">
        <v>9.1339000000000006</v>
      </c>
      <c r="E55" s="875">
        <v>8.7086000000000006</v>
      </c>
      <c r="F55" s="875">
        <v>10.6082</v>
      </c>
      <c r="G55" s="875">
        <v>10.633800000000001</v>
      </c>
      <c r="H55" s="875">
        <v>10.885199999999999</v>
      </c>
      <c r="I55" s="875">
        <v>14.6203</v>
      </c>
      <c r="J55" s="875">
        <v>9.6075999999999997</v>
      </c>
      <c r="K55" s="875">
        <v>8.6936999999999998</v>
      </c>
      <c r="L55" s="875">
        <v>8.8486999999999991</v>
      </c>
      <c r="M55" s="875">
        <v>8.9273000000000007</v>
      </c>
      <c r="O55" s="893">
        <f t="shared" si="0"/>
        <v>43348</v>
      </c>
      <c r="P55" s="895">
        <f t="shared" si="1"/>
        <v>9.6641916666666656</v>
      </c>
      <c r="Q55" s="895">
        <f t="shared" si="2"/>
        <v>8.7507399999999986</v>
      </c>
      <c r="R55" s="895">
        <f t="shared" si="3"/>
        <v>10.316657142857142</v>
      </c>
    </row>
    <row r="56" spans="1:18" x14ac:dyDescent="0.25">
      <c r="A56" s="894">
        <v>43347</v>
      </c>
      <c r="B56" s="875">
        <v>7.8689</v>
      </c>
      <c r="C56" s="875">
        <v>7.8579999999999997</v>
      </c>
      <c r="D56" s="875">
        <v>10.383900000000001</v>
      </c>
      <c r="E56" s="875">
        <v>9.2207000000000008</v>
      </c>
      <c r="F56" s="875">
        <v>11.161099999999999</v>
      </c>
      <c r="G56" s="875">
        <v>11.013199999999999</v>
      </c>
      <c r="H56" s="875">
        <v>11.650499999999999</v>
      </c>
      <c r="I56" s="875">
        <v>15.4613</v>
      </c>
      <c r="J56" s="875">
        <v>9.8849</v>
      </c>
      <c r="K56" s="875">
        <v>8.7463999999999995</v>
      </c>
      <c r="L56" s="875">
        <v>9.2696000000000005</v>
      </c>
      <c r="M56" s="875">
        <v>9.1831999999999994</v>
      </c>
      <c r="O56" s="893">
        <f t="shared" si="0"/>
        <v>43347</v>
      </c>
      <c r="P56" s="895">
        <f t="shared" si="1"/>
        <v>10.141808333333332</v>
      </c>
      <c r="Q56" s="895">
        <f t="shared" si="2"/>
        <v>9.2985199999999999</v>
      </c>
      <c r="R56" s="895">
        <f t="shared" si="3"/>
        <v>10.744157142857144</v>
      </c>
    </row>
    <row r="57" spans="1:18" x14ac:dyDescent="0.25">
      <c r="A57" s="894">
        <v>43343</v>
      </c>
      <c r="B57" s="875">
        <v>7.8564999999999996</v>
      </c>
      <c r="C57" s="875">
        <v>7.6952999999999996</v>
      </c>
      <c r="D57" s="875">
        <v>10.417400000000001</v>
      </c>
      <c r="E57" s="875">
        <v>9.1912000000000003</v>
      </c>
      <c r="F57" s="875">
        <v>10.948399999999999</v>
      </c>
      <c r="G57" s="875">
        <v>10.6631</v>
      </c>
      <c r="H57" s="875">
        <v>10.757199999999999</v>
      </c>
      <c r="I57" s="875">
        <v>15.1464</v>
      </c>
      <c r="J57" s="875">
        <v>9.7752999999999997</v>
      </c>
      <c r="K57" s="875">
        <v>8.6273999999999997</v>
      </c>
      <c r="L57" s="875">
        <v>9.1501000000000001</v>
      </c>
      <c r="M57" s="875">
        <v>9.0330999999999992</v>
      </c>
      <c r="O57" s="893">
        <f t="shared" si="0"/>
        <v>43343</v>
      </c>
      <c r="P57" s="895">
        <f t="shared" si="1"/>
        <v>9.9384499999999996</v>
      </c>
      <c r="Q57" s="895">
        <f t="shared" si="2"/>
        <v>9.2217599999999997</v>
      </c>
      <c r="R57" s="895">
        <f t="shared" si="3"/>
        <v>10.45037142857143</v>
      </c>
    </row>
    <row r="58" spans="1:18" x14ac:dyDescent="0.25">
      <c r="A58" s="894">
        <v>43342</v>
      </c>
      <c r="B58" s="875">
        <v>7.6966999999999999</v>
      </c>
      <c r="C58" s="875">
        <v>7.6374000000000004</v>
      </c>
      <c r="D58" s="875">
        <v>10.2401</v>
      </c>
      <c r="E58" s="875">
        <v>9.0257000000000005</v>
      </c>
      <c r="F58" s="875">
        <v>11.0885</v>
      </c>
      <c r="G58" s="875">
        <v>10.599600000000001</v>
      </c>
      <c r="H58" s="875">
        <v>10.701000000000001</v>
      </c>
      <c r="I58" s="875">
        <v>15.1394</v>
      </c>
      <c r="J58" s="875">
        <v>9.8710000000000004</v>
      </c>
      <c r="K58" s="875">
        <v>8.8000000000000007</v>
      </c>
      <c r="L58" s="875">
        <v>9.1045999999999996</v>
      </c>
      <c r="M58" s="875">
        <v>8.6305999999999994</v>
      </c>
      <c r="O58" s="893">
        <f t="shared" si="0"/>
        <v>43342</v>
      </c>
      <c r="P58" s="895">
        <f t="shared" si="1"/>
        <v>9.8778833333333331</v>
      </c>
      <c r="Q58" s="895">
        <f t="shared" si="2"/>
        <v>9.1376799999999996</v>
      </c>
      <c r="R58" s="895">
        <f t="shared" si="3"/>
        <v>10.406600000000001</v>
      </c>
    </row>
    <row r="59" spans="1:18" x14ac:dyDescent="0.25">
      <c r="A59" s="894">
        <v>43341</v>
      </c>
      <c r="B59" s="875">
        <v>7.8517999999999999</v>
      </c>
      <c r="C59" s="875">
        <v>7.6661000000000001</v>
      </c>
      <c r="D59" s="875">
        <v>10.245799999999999</v>
      </c>
      <c r="E59" s="875">
        <v>9.1795000000000009</v>
      </c>
      <c r="F59" s="875">
        <v>11.201000000000001</v>
      </c>
      <c r="G59" s="875">
        <v>10.678100000000001</v>
      </c>
      <c r="H59" s="875">
        <v>10.851000000000001</v>
      </c>
      <c r="I59" s="875">
        <v>15.2179</v>
      </c>
      <c r="J59" s="875">
        <v>9.8547999999999991</v>
      </c>
      <c r="K59" s="875">
        <v>9.2103000000000002</v>
      </c>
      <c r="L59" s="875">
        <v>9.1187000000000005</v>
      </c>
      <c r="M59" s="875">
        <v>9.0733999999999995</v>
      </c>
      <c r="O59" s="893">
        <f t="shared" si="0"/>
        <v>43341</v>
      </c>
      <c r="P59" s="895">
        <f t="shared" si="1"/>
        <v>10.012366666666667</v>
      </c>
      <c r="Q59" s="895">
        <f t="shared" si="2"/>
        <v>9.2288400000000017</v>
      </c>
      <c r="R59" s="895">
        <f t="shared" si="3"/>
        <v>10.572028571428572</v>
      </c>
    </row>
    <row r="60" spans="1:18" x14ac:dyDescent="0.25">
      <c r="A60" s="894">
        <v>43340</v>
      </c>
      <c r="B60" s="875">
        <v>7.7736999999999998</v>
      </c>
      <c r="C60" s="875">
        <v>7.3982000000000001</v>
      </c>
      <c r="D60" s="875">
        <v>10.1473</v>
      </c>
      <c r="E60" s="875">
        <v>9.1664999999999992</v>
      </c>
      <c r="F60" s="875">
        <v>10.868600000000001</v>
      </c>
      <c r="G60" s="875">
        <v>10.567500000000001</v>
      </c>
      <c r="H60" s="875">
        <v>10.752000000000001</v>
      </c>
      <c r="I60" s="875">
        <v>14.8553</v>
      </c>
      <c r="J60" s="875">
        <v>9.5737000000000005</v>
      </c>
      <c r="K60" s="875">
        <v>9.1257000000000001</v>
      </c>
      <c r="L60" s="875">
        <v>9.1294000000000004</v>
      </c>
      <c r="M60" s="875">
        <v>8.7946000000000009</v>
      </c>
      <c r="O60" s="893">
        <f t="shared" si="0"/>
        <v>43340</v>
      </c>
      <c r="P60" s="895">
        <f t="shared" si="1"/>
        <v>9.8460416666666664</v>
      </c>
      <c r="Q60" s="895">
        <f t="shared" si="2"/>
        <v>9.0708599999999997</v>
      </c>
      <c r="R60" s="895">
        <f t="shared" si="3"/>
        <v>10.399742857142858</v>
      </c>
    </row>
    <row r="61" spans="1:18" x14ac:dyDescent="0.25">
      <c r="A61" s="894">
        <v>43339</v>
      </c>
      <c r="B61" s="875">
        <v>7.7126000000000001</v>
      </c>
      <c r="C61" s="875">
        <v>7.3052000000000001</v>
      </c>
      <c r="D61" s="875">
        <v>10.1142</v>
      </c>
      <c r="E61" s="875">
        <v>8.7012</v>
      </c>
      <c r="F61" s="875">
        <v>10.8207</v>
      </c>
      <c r="G61" s="875">
        <v>10.5495</v>
      </c>
      <c r="H61" s="875">
        <v>10.773999999999999</v>
      </c>
      <c r="I61" s="875">
        <v>14.622999999999999</v>
      </c>
      <c r="J61" s="875">
        <v>9.5374999999999996</v>
      </c>
      <c r="K61" s="875">
        <v>9.0009999999999994</v>
      </c>
      <c r="L61" s="875">
        <v>9.1233000000000004</v>
      </c>
      <c r="M61" s="875">
        <v>8.6127000000000002</v>
      </c>
      <c r="O61" s="893">
        <f t="shared" si="0"/>
        <v>43339</v>
      </c>
      <c r="P61" s="895">
        <f t="shared" si="1"/>
        <v>9.7395750000000003</v>
      </c>
      <c r="Q61" s="895">
        <f t="shared" si="2"/>
        <v>8.9307800000000022</v>
      </c>
      <c r="R61" s="895">
        <f t="shared" si="3"/>
        <v>10.317285714285715</v>
      </c>
    </row>
    <row r="62" spans="1:18" x14ac:dyDescent="0.25">
      <c r="A62" s="894">
        <v>43336</v>
      </c>
      <c r="B62" s="875">
        <v>7.7602000000000002</v>
      </c>
      <c r="C62" s="875">
        <v>7.4255000000000004</v>
      </c>
      <c r="D62" s="875">
        <v>10.077400000000001</v>
      </c>
      <c r="E62" s="875">
        <v>8.9040999999999997</v>
      </c>
      <c r="F62" s="875">
        <v>10.8522</v>
      </c>
      <c r="G62" s="875">
        <v>10.457700000000001</v>
      </c>
      <c r="H62" s="875">
        <v>10.907400000000001</v>
      </c>
      <c r="I62" s="875">
        <v>14.5449</v>
      </c>
      <c r="J62" s="875">
        <v>9.5119000000000007</v>
      </c>
      <c r="K62" s="875">
        <v>8.7276000000000007</v>
      </c>
      <c r="L62" s="875">
        <v>8.9720999999999993</v>
      </c>
      <c r="M62" s="875">
        <v>8.6387999999999998</v>
      </c>
      <c r="O62" s="893">
        <f t="shared" si="0"/>
        <v>43336</v>
      </c>
      <c r="P62" s="895">
        <f t="shared" si="1"/>
        <v>9.7316500000000001</v>
      </c>
      <c r="Q62" s="895">
        <f t="shared" si="2"/>
        <v>9.0038800000000005</v>
      </c>
      <c r="R62" s="895">
        <f t="shared" si="3"/>
        <v>10.251485714285716</v>
      </c>
    </row>
    <row r="63" spans="1:18" x14ac:dyDescent="0.25">
      <c r="A63" s="894">
        <v>43335</v>
      </c>
      <c r="B63" s="875">
        <v>7.5358999999999998</v>
      </c>
      <c r="C63" s="875">
        <v>7.0613999999999999</v>
      </c>
      <c r="D63" s="875">
        <v>9.7056000000000004</v>
      </c>
      <c r="E63" s="875">
        <v>7.7904</v>
      </c>
      <c r="F63" s="875">
        <v>10.357100000000001</v>
      </c>
      <c r="G63" s="875">
        <v>10.34</v>
      </c>
      <c r="H63" s="875">
        <v>10.827400000000001</v>
      </c>
      <c r="I63" s="875">
        <v>14.1883</v>
      </c>
      <c r="J63" s="875">
        <v>9.1885999999999992</v>
      </c>
      <c r="K63" s="875">
        <v>8.4710999999999999</v>
      </c>
      <c r="L63" s="875">
        <v>8.7585999999999995</v>
      </c>
      <c r="M63" s="875">
        <v>8.3816000000000006</v>
      </c>
      <c r="O63" s="893">
        <f t="shared" si="0"/>
        <v>43335</v>
      </c>
      <c r="P63" s="895">
        <f t="shared" si="1"/>
        <v>9.3838333333333335</v>
      </c>
      <c r="Q63" s="895">
        <f t="shared" si="2"/>
        <v>8.4900800000000007</v>
      </c>
      <c r="R63" s="895">
        <f t="shared" si="3"/>
        <v>10.022228571428572</v>
      </c>
    </row>
    <row r="64" spans="1:18" x14ac:dyDescent="0.25">
      <c r="A64" s="894">
        <v>43334</v>
      </c>
      <c r="B64" s="875">
        <v>7.4714</v>
      </c>
      <c r="C64" s="875">
        <v>7.0186000000000002</v>
      </c>
      <c r="D64" s="875">
        <v>9.7456999999999994</v>
      </c>
      <c r="E64" s="875">
        <v>7.7915999999999999</v>
      </c>
      <c r="F64" s="875">
        <v>10.226100000000001</v>
      </c>
      <c r="G64" s="875">
        <v>9.8056999999999999</v>
      </c>
      <c r="H64" s="875">
        <v>10.256</v>
      </c>
      <c r="I64" s="875">
        <v>13.8858</v>
      </c>
      <c r="J64" s="875">
        <v>9.0167000000000002</v>
      </c>
      <c r="K64" s="875">
        <v>8.6434999999999995</v>
      </c>
      <c r="L64" s="875">
        <v>8.6008999999999993</v>
      </c>
      <c r="M64" s="875">
        <v>8.2184000000000008</v>
      </c>
      <c r="O64" s="893">
        <f t="shared" si="0"/>
        <v>43334</v>
      </c>
      <c r="P64" s="895">
        <f t="shared" si="1"/>
        <v>9.2233666666666672</v>
      </c>
      <c r="Q64" s="895">
        <f t="shared" si="2"/>
        <v>8.450680000000002</v>
      </c>
      <c r="R64" s="895">
        <f t="shared" si="3"/>
        <v>9.7752857142857152</v>
      </c>
    </row>
    <row r="65" spans="1:18" x14ac:dyDescent="0.25">
      <c r="A65" s="894">
        <v>43333</v>
      </c>
      <c r="B65" s="875">
        <v>7.4291999999999998</v>
      </c>
      <c r="C65" s="875">
        <v>7.0212000000000003</v>
      </c>
      <c r="D65" s="875">
        <v>9.6839999999999993</v>
      </c>
      <c r="E65" s="875">
        <v>7.66</v>
      </c>
      <c r="F65" s="875">
        <v>10.2178</v>
      </c>
      <c r="G65" s="875">
        <v>9.7650000000000006</v>
      </c>
      <c r="H65" s="875">
        <v>10.181900000000001</v>
      </c>
      <c r="I65" s="875">
        <v>13.6004</v>
      </c>
      <c r="J65" s="875">
        <v>8.7866999999999997</v>
      </c>
      <c r="K65" s="875">
        <v>8.4487000000000005</v>
      </c>
      <c r="L65" s="875">
        <v>8.4194999999999993</v>
      </c>
      <c r="M65" s="875">
        <v>7.9238</v>
      </c>
      <c r="O65" s="893">
        <f t="shared" si="0"/>
        <v>43333</v>
      </c>
      <c r="P65" s="895">
        <f t="shared" si="1"/>
        <v>9.0948499999999992</v>
      </c>
      <c r="Q65" s="895">
        <f t="shared" si="2"/>
        <v>8.4024400000000004</v>
      </c>
      <c r="R65" s="895">
        <f t="shared" si="3"/>
        <v>9.5894285714285719</v>
      </c>
    </row>
    <row r="66" spans="1:18" x14ac:dyDescent="0.25">
      <c r="A66" s="894">
        <v>43332</v>
      </c>
      <c r="B66" s="875">
        <v>7.4406999999999996</v>
      </c>
      <c r="C66" s="875">
        <v>6.8415999999999997</v>
      </c>
      <c r="D66" s="875">
        <v>9.5694999999999997</v>
      </c>
      <c r="E66" s="875">
        <v>7.5959000000000003</v>
      </c>
      <c r="F66" s="875">
        <v>10.184699999999999</v>
      </c>
      <c r="G66" s="875">
        <v>9.4894999999999996</v>
      </c>
      <c r="H66" s="875">
        <v>10.510899999999999</v>
      </c>
      <c r="I66" s="875">
        <v>13.601900000000001</v>
      </c>
      <c r="J66" s="875">
        <v>8.7753999999999994</v>
      </c>
      <c r="K66" s="875">
        <v>8.3371999999999993</v>
      </c>
      <c r="L66" s="875">
        <v>8.0661000000000005</v>
      </c>
      <c r="M66" s="875">
        <v>7.7877999999999998</v>
      </c>
      <c r="O66" s="893">
        <f t="shared" ref="O66:O129" si="4">A66</f>
        <v>43332</v>
      </c>
      <c r="P66" s="895">
        <f t="shared" ref="P66:P129" si="5">AVERAGE(B66:M66)</f>
        <v>9.0167666666666673</v>
      </c>
      <c r="Q66" s="895">
        <f t="shared" ref="Q66:Q129" si="6">AVERAGE(B66:F66)</f>
        <v>8.3264800000000001</v>
      </c>
      <c r="R66" s="895">
        <f t="shared" ref="R66:R129" si="7">AVERAGE(G66:M66)</f>
        <v>9.5098285714285709</v>
      </c>
    </row>
    <row r="67" spans="1:18" x14ac:dyDescent="0.25">
      <c r="A67" s="894">
        <v>43329</v>
      </c>
      <c r="B67" s="875">
        <v>7.4143999999999997</v>
      </c>
      <c r="C67" s="875">
        <v>6.7255000000000003</v>
      </c>
      <c r="D67" s="875">
        <v>9.5383999999999993</v>
      </c>
      <c r="E67" s="875">
        <v>7.5469999999999997</v>
      </c>
      <c r="F67" s="875">
        <v>10.1671</v>
      </c>
      <c r="G67" s="875">
        <v>9.5244</v>
      </c>
      <c r="H67" s="875">
        <v>10.444000000000001</v>
      </c>
      <c r="I67" s="875">
        <v>13.418799999999999</v>
      </c>
      <c r="J67" s="875">
        <v>8.7885000000000009</v>
      </c>
      <c r="K67" s="875">
        <v>8.2074999999999996</v>
      </c>
      <c r="L67" s="875">
        <v>8.0211000000000006</v>
      </c>
      <c r="M67" s="875">
        <v>7.7294999999999998</v>
      </c>
      <c r="O67" s="893">
        <f t="shared" si="4"/>
        <v>43329</v>
      </c>
      <c r="P67" s="895">
        <f t="shared" si="5"/>
        <v>8.9605166666666669</v>
      </c>
      <c r="Q67" s="895">
        <f t="shared" si="6"/>
        <v>8.2784800000000001</v>
      </c>
      <c r="R67" s="895">
        <f t="shared" si="7"/>
        <v>9.4476857142857149</v>
      </c>
    </row>
    <row r="68" spans="1:18" x14ac:dyDescent="0.25">
      <c r="A68" s="894">
        <v>43328</v>
      </c>
      <c r="B68" s="875">
        <v>7.4535</v>
      </c>
      <c r="C68" s="875">
        <v>6.9368999999999996</v>
      </c>
      <c r="D68" s="875">
        <v>9.3575999999999997</v>
      </c>
      <c r="E68" s="875">
        <v>7.6017000000000001</v>
      </c>
      <c r="F68" s="875">
        <v>10.242599999999999</v>
      </c>
      <c r="G68" s="875">
        <v>9.6574000000000009</v>
      </c>
      <c r="H68" s="875">
        <v>10.1957</v>
      </c>
      <c r="I68" s="875">
        <v>13.332100000000001</v>
      </c>
      <c r="J68" s="875">
        <v>8.8686000000000007</v>
      </c>
      <c r="K68" s="875">
        <v>8.1829000000000001</v>
      </c>
      <c r="L68" s="875">
        <v>7.9779999999999998</v>
      </c>
      <c r="M68" s="875">
        <v>7.7893999999999997</v>
      </c>
      <c r="O68" s="893">
        <f t="shared" si="4"/>
        <v>43328</v>
      </c>
      <c r="P68" s="895">
        <f t="shared" si="5"/>
        <v>8.9663666666666675</v>
      </c>
      <c r="Q68" s="895">
        <f t="shared" si="6"/>
        <v>8.3184599999999982</v>
      </c>
      <c r="R68" s="895">
        <f t="shared" si="7"/>
        <v>9.4291571428571412</v>
      </c>
    </row>
    <row r="69" spans="1:18" x14ac:dyDescent="0.25">
      <c r="A69" s="894">
        <v>43327</v>
      </c>
      <c r="B69" s="875">
        <v>7.4234</v>
      </c>
      <c r="C69" s="875">
        <v>7.0453000000000001</v>
      </c>
      <c r="D69" s="875">
        <v>9.3043999999999993</v>
      </c>
      <c r="E69" s="875">
        <v>7.5210999999999997</v>
      </c>
      <c r="F69" s="875">
        <v>10.2927</v>
      </c>
      <c r="G69" s="875">
        <v>9.6242999999999999</v>
      </c>
      <c r="H69" s="875">
        <v>10.0525</v>
      </c>
      <c r="I69" s="875">
        <v>13.2415</v>
      </c>
      <c r="J69" s="875">
        <v>8.8420000000000005</v>
      </c>
      <c r="K69" s="875">
        <v>8.1293000000000006</v>
      </c>
      <c r="L69" s="875">
        <v>8.0419</v>
      </c>
      <c r="M69" s="875">
        <v>7.6501999999999999</v>
      </c>
      <c r="O69" s="893">
        <f t="shared" si="4"/>
        <v>43327</v>
      </c>
      <c r="P69" s="895">
        <f t="shared" si="5"/>
        <v>8.9307166666666671</v>
      </c>
      <c r="Q69" s="895">
        <f t="shared" si="6"/>
        <v>8.31738</v>
      </c>
      <c r="R69" s="895">
        <f t="shared" si="7"/>
        <v>9.3688142857142847</v>
      </c>
    </row>
    <row r="70" spans="1:18" x14ac:dyDescent="0.25">
      <c r="A70" s="894">
        <v>43326</v>
      </c>
      <c r="B70" s="875">
        <v>7.5068000000000001</v>
      </c>
      <c r="C70" s="875">
        <v>7.0930999999999997</v>
      </c>
      <c r="D70" s="875">
        <v>9.1835000000000004</v>
      </c>
      <c r="E70" s="875">
        <v>7.7511999999999999</v>
      </c>
      <c r="F70" s="875">
        <v>10.404500000000001</v>
      </c>
      <c r="G70" s="875">
        <v>10.1267</v>
      </c>
      <c r="H70" s="875">
        <v>10.3627</v>
      </c>
      <c r="I70" s="875">
        <v>13.5389</v>
      </c>
      <c r="J70" s="875">
        <v>9.1271000000000004</v>
      </c>
      <c r="K70" s="875">
        <v>8.2841000000000005</v>
      </c>
      <c r="L70" s="875">
        <v>8.3827999999999996</v>
      </c>
      <c r="M70" s="875">
        <v>8.0402000000000005</v>
      </c>
      <c r="O70" s="893">
        <f t="shared" si="4"/>
        <v>43326</v>
      </c>
      <c r="P70" s="895">
        <f t="shared" si="5"/>
        <v>9.1501333333333328</v>
      </c>
      <c r="Q70" s="895">
        <f t="shared" si="6"/>
        <v>8.3878200000000014</v>
      </c>
      <c r="R70" s="895">
        <f t="shared" si="7"/>
        <v>9.6946428571428562</v>
      </c>
    </row>
    <row r="71" spans="1:18" x14ac:dyDescent="0.25">
      <c r="A71" s="894">
        <v>43325</v>
      </c>
      <c r="B71" s="875">
        <v>7.4034000000000004</v>
      </c>
      <c r="C71" s="875">
        <v>7.0016999999999996</v>
      </c>
      <c r="D71" s="875">
        <v>9.1592000000000002</v>
      </c>
      <c r="E71" s="875">
        <v>7.7515000000000001</v>
      </c>
      <c r="F71" s="875">
        <v>10.445</v>
      </c>
      <c r="G71" s="875">
        <v>9.5656999999999996</v>
      </c>
      <c r="H71" s="875">
        <v>10.0046</v>
      </c>
      <c r="I71" s="875">
        <v>13.3894</v>
      </c>
      <c r="J71" s="875">
        <v>8.9922000000000004</v>
      </c>
      <c r="K71" s="875">
        <v>7.7946</v>
      </c>
      <c r="L71" s="875">
        <v>8.3998000000000008</v>
      </c>
      <c r="M71" s="875">
        <v>8.0803999999999991</v>
      </c>
      <c r="O71" s="893">
        <f t="shared" si="4"/>
        <v>43325</v>
      </c>
      <c r="P71" s="895">
        <f t="shared" si="5"/>
        <v>8.9989583333333325</v>
      </c>
      <c r="Q71" s="895">
        <f t="shared" si="6"/>
        <v>8.3521600000000014</v>
      </c>
      <c r="R71" s="895">
        <f t="shared" si="7"/>
        <v>9.4609571428571417</v>
      </c>
    </row>
    <row r="72" spans="1:18" x14ac:dyDescent="0.25">
      <c r="A72" s="894">
        <v>43322</v>
      </c>
      <c r="B72" s="875">
        <v>7.4656000000000002</v>
      </c>
      <c r="C72" s="875">
        <v>7.1418999999999997</v>
      </c>
      <c r="D72" s="875">
        <v>9.1754999999999995</v>
      </c>
      <c r="E72" s="875">
        <v>7.7674000000000003</v>
      </c>
      <c r="F72" s="875">
        <v>10.601000000000001</v>
      </c>
      <c r="G72" s="875">
        <v>9.7544000000000004</v>
      </c>
      <c r="H72" s="875">
        <v>10.539199999999999</v>
      </c>
      <c r="I72" s="875">
        <v>13.715</v>
      </c>
      <c r="J72" s="875">
        <v>9.0135000000000005</v>
      </c>
      <c r="K72" s="875">
        <v>7.8798000000000004</v>
      </c>
      <c r="L72" s="875">
        <v>8.3889999999999993</v>
      </c>
      <c r="M72" s="875">
        <v>7.9268000000000001</v>
      </c>
      <c r="O72" s="893">
        <f t="shared" si="4"/>
        <v>43322</v>
      </c>
      <c r="P72" s="895">
        <f t="shared" si="5"/>
        <v>9.1140916666666651</v>
      </c>
      <c r="Q72" s="895">
        <f t="shared" si="6"/>
        <v>8.4302799999999998</v>
      </c>
      <c r="R72" s="895">
        <f t="shared" si="7"/>
        <v>9.6025285714285733</v>
      </c>
    </row>
    <row r="73" spans="1:18" x14ac:dyDescent="0.25">
      <c r="A73" s="894">
        <v>43321</v>
      </c>
      <c r="B73" s="875">
        <v>7.4842000000000004</v>
      </c>
      <c r="C73" s="875">
        <v>7.1421000000000001</v>
      </c>
      <c r="D73" s="875">
        <v>9.1335999999999995</v>
      </c>
      <c r="E73" s="875">
        <v>7.7371999999999996</v>
      </c>
      <c r="F73" s="875">
        <v>10.6577</v>
      </c>
      <c r="G73" s="875">
        <v>7.4635999999999996</v>
      </c>
      <c r="H73" s="875">
        <v>10.606400000000001</v>
      </c>
      <c r="I73" s="875">
        <v>13.876300000000001</v>
      </c>
      <c r="J73" s="875">
        <v>9.0280000000000005</v>
      </c>
      <c r="K73" s="875">
        <v>7.7150999999999996</v>
      </c>
      <c r="L73" s="875">
        <v>8.2982999999999993</v>
      </c>
      <c r="M73" s="875">
        <v>7.7061000000000002</v>
      </c>
      <c r="O73" s="893">
        <f t="shared" si="4"/>
        <v>43321</v>
      </c>
      <c r="P73" s="895">
        <f t="shared" si="5"/>
        <v>8.9040499999999998</v>
      </c>
      <c r="Q73" s="895">
        <f t="shared" si="6"/>
        <v>8.4309600000000007</v>
      </c>
      <c r="R73" s="895">
        <f t="shared" si="7"/>
        <v>9.2419714285714285</v>
      </c>
    </row>
    <row r="74" spans="1:18" x14ac:dyDescent="0.25">
      <c r="A74" s="894">
        <v>43320</v>
      </c>
      <c r="B74" s="875">
        <v>7.4561000000000002</v>
      </c>
      <c r="C74" s="875">
        <v>6.9748999999999999</v>
      </c>
      <c r="D74" s="875">
        <v>9.0321999999999996</v>
      </c>
      <c r="E74" s="875">
        <v>7.5799000000000003</v>
      </c>
      <c r="F74" s="875">
        <v>10.539199999999999</v>
      </c>
      <c r="G74" s="875">
        <v>7.2648000000000001</v>
      </c>
      <c r="H74" s="875">
        <v>10.0351</v>
      </c>
      <c r="I74" s="875">
        <v>13.4292</v>
      </c>
      <c r="J74" s="875">
        <v>9.0367999999999995</v>
      </c>
      <c r="K74" s="875">
        <v>7.3700999999999999</v>
      </c>
      <c r="L74" s="875">
        <v>8.2407000000000004</v>
      </c>
      <c r="M74" s="875">
        <v>7.5045000000000002</v>
      </c>
      <c r="O74" s="893">
        <f t="shared" si="4"/>
        <v>43320</v>
      </c>
      <c r="P74" s="895">
        <f t="shared" si="5"/>
        <v>8.7052916666666675</v>
      </c>
      <c r="Q74" s="895">
        <f t="shared" si="6"/>
        <v>8.3164600000000011</v>
      </c>
      <c r="R74" s="895">
        <f t="shared" si="7"/>
        <v>8.9830285714285711</v>
      </c>
    </row>
    <row r="75" spans="1:18" x14ac:dyDescent="0.25">
      <c r="A75" s="894">
        <v>43319</v>
      </c>
      <c r="B75" s="875">
        <v>7.4238999999999997</v>
      </c>
      <c r="C75" s="875">
        <v>7.12</v>
      </c>
      <c r="D75" s="875">
        <v>8.8779000000000003</v>
      </c>
      <c r="E75" s="875">
        <v>7.5972</v>
      </c>
      <c r="F75" s="875">
        <v>10.452</v>
      </c>
      <c r="G75" s="875">
        <v>7.1689999999999996</v>
      </c>
      <c r="H75" s="875">
        <v>10.035600000000001</v>
      </c>
      <c r="I75" s="875">
        <v>13.433</v>
      </c>
      <c r="J75" s="875">
        <v>9.0363000000000007</v>
      </c>
      <c r="K75" s="875">
        <v>7.4219999999999997</v>
      </c>
      <c r="L75" s="875">
        <v>8.2202999999999999</v>
      </c>
      <c r="M75" s="875">
        <v>7.2996999999999996</v>
      </c>
      <c r="O75" s="893">
        <f t="shared" si="4"/>
        <v>43319</v>
      </c>
      <c r="P75" s="895">
        <f t="shared" si="5"/>
        <v>8.6739083333333316</v>
      </c>
      <c r="Q75" s="895">
        <f t="shared" si="6"/>
        <v>8.2942</v>
      </c>
      <c r="R75" s="895">
        <f t="shared" si="7"/>
        <v>8.9451285714285724</v>
      </c>
    </row>
    <row r="76" spans="1:18" x14ac:dyDescent="0.25">
      <c r="A76" s="894">
        <v>43318</v>
      </c>
      <c r="B76" s="875">
        <v>7.3403</v>
      </c>
      <c r="C76" s="875">
        <v>7.1749000000000001</v>
      </c>
      <c r="D76" s="875">
        <v>8.7990999999999993</v>
      </c>
      <c r="E76" s="875">
        <v>7.5629999999999997</v>
      </c>
      <c r="F76" s="875">
        <v>10.3993</v>
      </c>
      <c r="G76" s="875">
        <v>7.0937000000000001</v>
      </c>
      <c r="H76" s="875">
        <v>9.0486000000000004</v>
      </c>
      <c r="I76" s="875">
        <v>13.5783</v>
      </c>
      <c r="J76" s="875">
        <v>9.0558999999999994</v>
      </c>
      <c r="K76" s="875">
        <v>7.5403000000000002</v>
      </c>
      <c r="L76" s="875">
        <v>8.0607000000000006</v>
      </c>
      <c r="M76" s="875">
        <v>7.2690999999999999</v>
      </c>
      <c r="O76" s="893">
        <f t="shared" si="4"/>
        <v>43318</v>
      </c>
      <c r="P76" s="895">
        <f t="shared" si="5"/>
        <v>8.5769333333333329</v>
      </c>
      <c r="Q76" s="895">
        <f t="shared" si="6"/>
        <v>8.2553200000000011</v>
      </c>
      <c r="R76" s="895">
        <f t="shared" si="7"/>
        <v>8.8066571428571425</v>
      </c>
    </row>
    <row r="77" spans="1:18" x14ac:dyDescent="0.25">
      <c r="A77" s="894">
        <v>43315</v>
      </c>
      <c r="B77" s="875">
        <v>7.2622</v>
      </c>
      <c r="C77" s="875">
        <v>6.9743000000000004</v>
      </c>
      <c r="D77" s="875">
        <v>8.6384000000000007</v>
      </c>
      <c r="E77" s="875">
        <v>7.3838999999999997</v>
      </c>
      <c r="F77" s="875">
        <v>10.194100000000001</v>
      </c>
      <c r="G77" s="875">
        <v>6.9149000000000003</v>
      </c>
      <c r="H77" s="875">
        <v>8.9784000000000006</v>
      </c>
      <c r="I77" s="875">
        <v>12.968999999999999</v>
      </c>
      <c r="J77" s="875">
        <v>8.7759999999999998</v>
      </c>
      <c r="K77" s="875">
        <v>7.4561999999999999</v>
      </c>
      <c r="L77" s="875">
        <v>7.7472000000000003</v>
      </c>
      <c r="M77" s="875">
        <v>7.0125999999999999</v>
      </c>
      <c r="O77" s="893">
        <f t="shared" si="4"/>
        <v>43315</v>
      </c>
      <c r="P77" s="895">
        <f t="shared" si="5"/>
        <v>8.3589333333333347</v>
      </c>
      <c r="Q77" s="895">
        <f t="shared" si="6"/>
        <v>8.0905799999999992</v>
      </c>
      <c r="R77" s="895">
        <f t="shared" si="7"/>
        <v>8.5506142857142855</v>
      </c>
    </row>
    <row r="78" spans="1:18" x14ac:dyDescent="0.25">
      <c r="A78" s="894">
        <v>43314</v>
      </c>
      <c r="B78" s="875">
        <v>7.27</v>
      </c>
      <c r="C78" s="875">
        <v>7.6315999999999997</v>
      </c>
      <c r="D78" s="875">
        <v>8.7576999999999998</v>
      </c>
      <c r="E78" s="875">
        <v>7.5796999999999999</v>
      </c>
      <c r="F78" s="875">
        <v>10.313499999999999</v>
      </c>
      <c r="G78" s="875">
        <v>7.0528000000000004</v>
      </c>
      <c r="H78" s="875">
        <v>9.0213000000000001</v>
      </c>
      <c r="I78" s="875">
        <v>13.403499999999999</v>
      </c>
      <c r="J78" s="875">
        <v>8.9511000000000003</v>
      </c>
      <c r="K78" s="875">
        <v>7.8996000000000004</v>
      </c>
      <c r="L78" s="875">
        <v>7.8936999999999999</v>
      </c>
      <c r="M78" s="875">
        <v>7.4305000000000003</v>
      </c>
      <c r="O78" s="893">
        <f t="shared" si="4"/>
        <v>43314</v>
      </c>
      <c r="P78" s="895">
        <f t="shared" si="5"/>
        <v>8.6004166666666659</v>
      </c>
      <c r="Q78" s="895">
        <f t="shared" si="6"/>
        <v>8.3104999999999993</v>
      </c>
      <c r="R78" s="895">
        <f t="shared" si="7"/>
        <v>8.807500000000001</v>
      </c>
    </row>
    <row r="79" spans="1:18" x14ac:dyDescent="0.25">
      <c r="A79" s="894">
        <v>43313</v>
      </c>
      <c r="B79" s="875">
        <v>7.0971000000000002</v>
      </c>
      <c r="C79" s="875">
        <v>7.3278999999999996</v>
      </c>
      <c r="D79" s="875">
        <v>8.4495000000000005</v>
      </c>
      <c r="E79" s="875">
        <v>7.2866999999999997</v>
      </c>
      <c r="F79" s="875">
        <v>10.0388</v>
      </c>
      <c r="G79" s="875">
        <v>6.9225000000000003</v>
      </c>
      <c r="H79" s="875">
        <v>8.5717999999999996</v>
      </c>
      <c r="I79" s="875">
        <v>12.7524</v>
      </c>
      <c r="J79" s="875">
        <v>8.6602999999999994</v>
      </c>
      <c r="K79" s="875">
        <v>7.5826000000000002</v>
      </c>
      <c r="L79" s="875">
        <v>8.3591999999999995</v>
      </c>
      <c r="M79" s="875">
        <v>7.0049000000000001</v>
      </c>
      <c r="O79" s="893">
        <f t="shared" si="4"/>
        <v>43313</v>
      </c>
      <c r="P79" s="895">
        <f t="shared" si="5"/>
        <v>8.3378083333333333</v>
      </c>
      <c r="Q79" s="895">
        <f t="shared" si="6"/>
        <v>8.0400000000000009</v>
      </c>
      <c r="R79" s="895">
        <f t="shared" si="7"/>
        <v>8.5505285714285701</v>
      </c>
    </row>
    <row r="80" spans="1:18" x14ac:dyDescent="0.25">
      <c r="A80" s="894">
        <v>43312</v>
      </c>
      <c r="B80" s="875">
        <v>7.0749000000000004</v>
      </c>
      <c r="C80" s="875">
        <v>7.0663</v>
      </c>
      <c r="D80" s="875">
        <v>8.2868999999999993</v>
      </c>
      <c r="E80" s="875">
        <v>7.0567000000000002</v>
      </c>
      <c r="F80" s="875">
        <v>9.9331999999999994</v>
      </c>
      <c r="G80" s="875">
        <v>6.7196999999999996</v>
      </c>
      <c r="H80" s="875">
        <v>8.3600999999999992</v>
      </c>
      <c r="I80" s="875">
        <v>12.156700000000001</v>
      </c>
      <c r="J80" s="875">
        <v>7.7465999999999999</v>
      </c>
      <c r="K80" s="875">
        <v>7.3463000000000003</v>
      </c>
      <c r="L80" s="875">
        <v>8.0226000000000006</v>
      </c>
      <c r="M80" s="875">
        <v>6.2465999999999999</v>
      </c>
      <c r="O80" s="893">
        <f t="shared" si="4"/>
        <v>43312</v>
      </c>
      <c r="P80" s="895">
        <f t="shared" si="5"/>
        <v>8.0013833333333331</v>
      </c>
      <c r="Q80" s="895">
        <f t="shared" si="6"/>
        <v>7.8835999999999995</v>
      </c>
      <c r="R80" s="895">
        <f t="shared" si="7"/>
        <v>8.0855142857142859</v>
      </c>
    </row>
    <row r="81" spans="1:18" x14ac:dyDescent="0.25">
      <c r="A81" s="894">
        <v>43311</v>
      </c>
      <c r="B81" s="875">
        <v>6.8316999999999997</v>
      </c>
      <c r="C81" s="875">
        <v>7.0007000000000001</v>
      </c>
      <c r="D81" s="875">
        <v>8.2687000000000008</v>
      </c>
      <c r="E81" s="875">
        <v>6.9744000000000002</v>
      </c>
      <c r="F81" s="875">
        <v>10.108499999999999</v>
      </c>
      <c r="G81" s="875">
        <v>6.8620999999999999</v>
      </c>
      <c r="H81" s="875">
        <v>8.3839000000000006</v>
      </c>
      <c r="I81" s="875">
        <v>12.1755</v>
      </c>
      <c r="J81" s="875">
        <v>8.0874000000000006</v>
      </c>
      <c r="K81" s="875">
        <v>7.6272000000000002</v>
      </c>
      <c r="L81" s="875">
        <v>8.0258000000000003</v>
      </c>
      <c r="M81" s="875">
        <v>5.8704999999999998</v>
      </c>
      <c r="O81" s="893">
        <f t="shared" si="4"/>
        <v>43311</v>
      </c>
      <c r="P81" s="895">
        <f t="shared" si="5"/>
        <v>8.0180333333333333</v>
      </c>
      <c r="Q81" s="895">
        <f t="shared" si="6"/>
        <v>7.8367999999999993</v>
      </c>
      <c r="R81" s="895">
        <f t="shared" si="7"/>
        <v>8.1474857142857147</v>
      </c>
    </row>
    <row r="82" spans="1:18" x14ac:dyDescent="0.25">
      <c r="A82" s="894">
        <v>43308</v>
      </c>
      <c r="B82" s="875">
        <v>7.1421000000000001</v>
      </c>
      <c r="C82" s="875">
        <v>7.4271000000000003</v>
      </c>
      <c r="D82" s="875">
        <v>8.7561999999999998</v>
      </c>
      <c r="E82" s="875">
        <v>7.4330999999999996</v>
      </c>
      <c r="F82" s="875">
        <v>10.4216</v>
      </c>
      <c r="G82" s="875">
        <v>7.1656000000000004</v>
      </c>
      <c r="H82" s="875">
        <v>8.8141999999999996</v>
      </c>
      <c r="I82" s="875">
        <v>13.5669</v>
      </c>
      <c r="J82" s="875">
        <v>8.4802</v>
      </c>
      <c r="K82" s="875">
        <v>7.7023999999999999</v>
      </c>
      <c r="L82" s="875">
        <v>8.3026</v>
      </c>
      <c r="M82" s="875">
        <v>6.1106999999999996</v>
      </c>
      <c r="O82" s="893">
        <f t="shared" si="4"/>
        <v>43308</v>
      </c>
      <c r="P82" s="895">
        <f t="shared" si="5"/>
        <v>8.4435583333333319</v>
      </c>
      <c r="Q82" s="895">
        <f t="shared" si="6"/>
        <v>8.2360199999999999</v>
      </c>
      <c r="R82" s="895">
        <f t="shared" si="7"/>
        <v>8.5917999999999992</v>
      </c>
    </row>
    <row r="83" spans="1:18" x14ac:dyDescent="0.25">
      <c r="A83" s="894">
        <v>43307</v>
      </c>
      <c r="B83" s="875">
        <v>7.3333000000000004</v>
      </c>
      <c r="C83" s="875">
        <v>7.6896000000000004</v>
      </c>
      <c r="D83" s="875">
        <v>9.0367999999999995</v>
      </c>
      <c r="E83" s="875">
        <v>7.6673999999999998</v>
      </c>
      <c r="F83" s="875">
        <v>10.9152</v>
      </c>
      <c r="G83" s="875">
        <v>7.4432</v>
      </c>
      <c r="H83" s="875">
        <v>9.3338999999999999</v>
      </c>
      <c r="I83" s="875">
        <v>14.267899999999999</v>
      </c>
      <c r="J83" s="875">
        <v>8.8543000000000003</v>
      </c>
      <c r="K83" s="875">
        <v>8.1964000000000006</v>
      </c>
      <c r="L83" s="875">
        <v>8.7490000000000006</v>
      </c>
      <c r="M83" s="875">
        <v>6.4897999999999998</v>
      </c>
      <c r="O83" s="893">
        <f t="shared" si="4"/>
        <v>43307</v>
      </c>
      <c r="P83" s="895">
        <f t="shared" si="5"/>
        <v>8.8313999999999986</v>
      </c>
      <c r="Q83" s="895">
        <f t="shared" si="6"/>
        <v>8.528459999999999</v>
      </c>
      <c r="R83" s="895">
        <f t="shared" si="7"/>
        <v>9.0477857142857161</v>
      </c>
    </row>
    <row r="84" spans="1:18" x14ac:dyDescent="0.25">
      <c r="A84" s="894">
        <v>43306</v>
      </c>
      <c r="B84" s="875">
        <v>7.4055999999999997</v>
      </c>
      <c r="C84" s="875">
        <v>7.6759000000000004</v>
      </c>
      <c r="D84" s="875">
        <v>8.9907000000000004</v>
      </c>
      <c r="E84" s="875">
        <v>7.6738999999999997</v>
      </c>
      <c r="F84" s="875">
        <v>10.4239</v>
      </c>
      <c r="G84" s="875">
        <v>7.4791999999999996</v>
      </c>
      <c r="H84" s="875">
        <v>9.3584999999999994</v>
      </c>
      <c r="I84" s="875">
        <v>14.1768</v>
      </c>
      <c r="J84" s="875">
        <v>8.9108999999999998</v>
      </c>
      <c r="K84" s="875">
        <v>7.9448999999999996</v>
      </c>
      <c r="L84" s="875">
        <v>8.8247999999999998</v>
      </c>
      <c r="M84" s="875">
        <v>6.6573000000000002</v>
      </c>
      <c r="O84" s="893">
        <f t="shared" si="4"/>
        <v>43306</v>
      </c>
      <c r="P84" s="895">
        <f t="shared" si="5"/>
        <v>8.7935333333333343</v>
      </c>
      <c r="Q84" s="895">
        <f t="shared" si="6"/>
        <v>8.4340000000000011</v>
      </c>
      <c r="R84" s="895">
        <f t="shared" si="7"/>
        <v>9.0503428571428568</v>
      </c>
    </row>
    <row r="85" spans="1:18" x14ac:dyDescent="0.25">
      <c r="A85" s="894">
        <v>43305</v>
      </c>
      <c r="B85" s="875">
        <v>7.2625999999999999</v>
      </c>
      <c r="C85" s="875">
        <v>7.4894999999999996</v>
      </c>
      <c r="D85" s="875">
        <v>8.7990999999999993</v>
      </c>
      <c r="E85" s="875">
        <v>7.5536000000000003</v>
      </c>
      <c r="F85" s="875">
        <v>10.518000000000001</v>
      </c>
      <c r="G85" s="875">
        <v>7.2450999999999999</v>
      </c>
      <c r="H85" s="875">
        <v>9.0424000000000007</v>
      </c>
      <c r="I85" s="875">
        <v>13.605399999999999</v>
      </c>
      <c r="J85" s="875">
        <v>8.6819000000000006</v>
      </c>
      <c r="K85" s="875">
        <v>6.5693999999999999</v>
      </c>
      <c r="L85" s="875">
        <v>8.6258999999999997</v>
      </c>
      <c r="M85" s="875">
        <v>6.3628999999999998</v>
      </c>
      <c r="O85" s="893">
        <f t="shared" si="4"/>
        <v>43305</v>
      </c>
      <c r="P85" s="895">
        <f t="shared" si="5"/>
        <v>8.4796499999999995</v>
      </c>
      <c r="Q85" s="895">
        <f t="shared" si="6"/>
        <v>8.32456</v>
      </c>
      <c r="R85" s="895">
        <f t="shared" si="7"/>
        <v>8.5904285714285731</v>
      </c>
    </row>
    <row r="86" spans="1:18" x14ac:dyDescent="0.25">
      <c r="A86" s="894">
        <v>43304</v>
      </c>
      <c r="B86" s="875">
        <v>7.3483000000000001</v>
      </c>
      <c r="C86" s="875">
        <v>7.7557</v>
      </c>
      <c r="D86" s="875">
        <v>9.0228000000000002</v>
      </c>
      <c r="E86" s="875">
        <v>7.7706</v>
      </c>
      <c r="F86" s="875">
        <v>10.8558</v>
      </c>
      <c r="G86" s="875">
        <v>7.6383000000000001</v>
      </c>
      <c r="H86" s="875">
        <v>9.3376999999999999</v>
      </c>
      <c r="I86" s="875">
        <v>14.1472</v>
      </c>
      <c r="J86" s="875">
        <v>9.0123999999999995</v>
      </c>
      <c r="K86" s="875">
        <v>6.6582999999999997</v>
      </c>
      <c r="L86" s="875">
        <v>8.7464999999999993</v>
      </c>
      <c r="M86" s="875">
        <v>6.4562999999999997</v>
      </c>
      <c r="O86" s="893">
        <f t="shared" si="4"/>
        <v>43304</v>
      </c>
      <c r="P86" s="895">
        <f t="shared" si="5"/>
        <v>8.7291583333333325</v>
      </c>
      <c r="Q86" s="895">
        <f t="shared" si="6"/>
        <v>8.5506399999999996</v>
      </c>
      <c r="R86" s="895">
        <f t="shared" si="7"/>
        <v>8.8566714285714276</v>
      </c>
    </row>
    <row r="87" spans="1:18" x14ac:dyDescent="0.25">
      <c r="A87" s="894">
        <v>43301</v>
      </c>
      <c r="B87" s="875">
        <v>7.3205999999999998</v>
      </c>
      <c r="C87" s="875">
        <v>7.6782000000000004</v>
      </c>
      <c r="D87" s="875">
        <v>8.9191000000000003</v>
      </c>
      <c r="E87" s="875">
        <v>7.8127000000000004</v>
      </c>
      <c r="F87" s="875">
        <v>10.9147</v>
      </c>
      <c r="G87" s="875">
        <v>7.8506999999999998</v>
      </c>
      <c r="H87" s="875">
        <v>9.1537000000000006</v>
      </c>
      <c r="I87" s="875">
        <v>13.957000000000001</v>
      </c>
      <c r="J87" s="875">
        <v>8.9407999999999994</v>
      </c>
      <c r="K87" s="875">
        <v>6.5609000000000002</v>
      </c>
      <c r="L87" s="875">
        <v>8.7156000000000002</v>
      </c>
      <c r="M87" s="875">
        <v>6.3482000000000003</v>
      </c>
      <c r="O87" s="893">
        <f t="shared" si="4"/>
        <v>43301</v>
      </c>
      <c r="P87" s="895">
        <f t="shared" si="5"/>
        <v>8.6810166666666664</v>
      </c>
      <c r="Q87" s="895">
        <f t="shared" si="6"/>
        <v>8.5290599999999994</v>
      </c>
      <c r="R87" s="895">
        <f t="shared" si="7"/>
        <v>8.7895571428571433</v>
      </c>
    </row>
    <row r="88" spans="1:18" x14ac:dyDescent="0.25">
      <c r="A88" s="894">
        <v>43300</v>
      </c>
      <c r="B88" s="875">
        <v>7.3380000000000001</v>
      </c>
      <c r="C88" s="875">
        <v>7.6696</v>
      </c>
      <c r="D88" s="875">
        <v>8.9692000000000007</v>
      </c>
      <c r="E88" s="875">
        <v>7.8742999999999999</v>
      </c>
      <c r="F88" s="875">
        <v>10.857900000000001</v>
      </c>
      <c r="G88" s="875">
        <v>7.6372999999999998</v>
      </c>
      <c r="H88" s="875">
        <v>9.1920000000000002</v>
      </c>
      <c r="I88" s="875">
        <v>13.8729</v>
      </c>
      <c r="J88" s="875">
        <v>8.9091000000000005</v>
      </c>
      <c r="K88" s="875">
        <v>6.6276000000000002</v>
      </c>
      <c r="L88" s="875">
        <v>8.6851000000000003</v>
      </c>
      <c r="M88" s="875">
        <v>6.3539000000000003</v>
      </c>
      <c r="O88" s="893">
        <f t="shared" si="4"/>
        <v>43300</v>
      </c>
      <c r="P88" s="895">
        <f t="shared" si="5"/>
        <v>8.6655749999999987</v>
      </c>
      <c r="Q88" s="895">
        <f t="shared" si="6"/>
        <v>8.5418000000000003</v>
      </c>
      <c r="R88" s="895">
        <f t="shared" si="7"/>
        <v>8.7539857142857151</v>
      </c>
    </row>
    <row r="89" spans="1:18" x14ac:dyDescent="0.25">
      <c r="A89" s="894">
        <v>43299</v>
      </c>
      <c r="B89" s="875">
        <v>7.3784000000000001</v>
      </c>
      <c r="C89" s="875">
        <v>7.7263000000000002</v>
      </c>
      <c r="D89" s="875">
        <v>8.9914000000000005</v>
      </c>
      <c r="E89" s="875">
        <v>7.9782000000000002</v>
      </c>
      <c r="F89" s="875">
        <v>10.984</v>
      </c>
      <c r="G89" s="875">
        <v>7.6845999999999997</v>
      </c>
      <c r="H89" s="875">
        <v>9.3680000000000003</v>
      </c>
      <c r="I89" s="875">
        <v>13.9841</v>
      </c>
      <c r="J89" s="875">
        <v>8.9332999999999991</v>
      </c>
      <c r="K89" s="875">
        <v>6.4889000000000001</v>
      </c>
      <c r="L89" s="875">
        <v>8.7784999999999993</v>
      </c>
      <c r="M89" s="875">
        <v>6.4032999999999998</v>
      </c>
      <c r="O89" s="893">
        <f t="shared" si="4"/>
        <v>43299</v>
      </c>
      <c r="P89" s="895">
        <f t="shared" si="5"/>
        <v>8.7249166666666671</v>
      </c>
      <c r="Q89" s="895">
        <f t="shared" si="6"/>
        <v>8.6116600000000005</v>
      </c>
      <c r="R89" s="895">
        <f t="shared" si="7"/>
        <v>8.8058142857142858</v>
      </c>
    </row>
    <row r="90" spans="1:18" x14ac:dyDescent="0.25">
      <c r="A90" s="894">
        <v>43298</v>
      </c>
      <c r="B90" s="875">
        <v>7.3411999999999997</v>
      </c>
      <c r="C90" s="875">
        <v>7.6607000000000003</v>
      </c>
      <c r="D90" s="875">
        <v>8.9992999999999999</v>
      </c>
      <c r="E90" s="875">
        <v>7.9668999999999999</v>
      </c>
      <c r="F90" s="875">
        <v>10.946899999999999</v>
      </c>
      <c r="G90" s="875">
        <v>7.6683000000000003</v>
      </c>
      <c r="H90" s="875">
        <v>9.5380000000000003</v>
      </c>
      <c r="I90" s="875">
        <v>13.8634</v>
      </c>
      <c r="J90" s="875">
        <v>8.9178999999999995</v>
      </c>
      <c r="K90" s="875">
        <v>6.4584000000000001</v>
      </c>
      <c r="L90" s="875">
        <v>8.7581000000000007</v>
      </c>
      <c r="M90" s="875">
        <v>6.3506</v>
      </c>
      <c r="O90" s="893">
        <f t="shared" si="4"/>
        <v>43298</v>
      </c>
      <c r="P90" s="895">
        <f t="shared" si="5"/>
        <v>8.7058083333333318</v>
      </c>
      <c r="Q90" s="895">
        <f t="shared" si="6"/>
        <v>8.5829999999999984</v>
      </c>
      <c r="R90" s="895">
        <f t="shared" si="7"/>
        <v>8.7935285714285705</v>
      </c>
    </row>
    <row r="91" spans="1:18" x14ac:dyDescent="0.25">
      <c r="A91" s="894">
        <v>43297</v>
      </c>
      <c r="B91" s="875">
        <v>7.3433000000000002</v>
      </c>
      <c r="C91" s="875">
        <v>7.5362</v>
      </c>
      <c r="D91" s="875">
        <v>8.9832000000000001</v>
      </c>
      <c r="E91" s="875">
        <v>7.8905000000000003</v>
      </c>
      <c r="F91" s="875">
        <v>10.8325</v>
      </c>
      <c r="G91" s="875">
        <v>7.5437000000000003</v>
      </c>
      <c r="H91" s="875">
        <v>8.9553999999999991</v>
      </c>
      <c r="I91" s="875">
        <v>13.4186</v>
      </c>
      <c r="J91" s="875">
        <v>8.7850000000000001</v>
      </c>
      <c r="K91" s="875">
        <v>6.5327000000000002</v>
      </c>
      <c r="L91" s="875">
        <v>8.6721000000000004</v>
      </c>
      <c r="M91" s="875">
        <v>6.1235999999999997</v>
      </c>
      <c r="O91" s="893">
        <f t="shared" si="4"/>
        <v>43297</v>
      </c>
      <c r="P91" s="895">
        <f t="shared" si="5"/>
        <v>8.5513999999999992</v>
      </c>
      <c r="Q91" s="895">
        <f t="shared" si="6"/>
        <v>8.5171400000000013</v>
      </c>
      <c r="R91" s="895">
        <f t="shared" si="7"/>
        <v>8.5758714285714284</v>
      </c>
    </row>
    <row r="92" spans="1:18" x14ac:dyDescent="0.25">
      <c r="A92" s="894">
        <v>43294</v>
      </c>
      <c r="B92" s="875">
        <v>7.3851000000000004</v>
      </c>
      <c r="C92" s="875">
        <v>7.5574000000000003</v>
      </c>
      <c r="D92" s="875">
        <v>9.1303000000000001</v>
      </c>
      <c r="E92" s="875">
        <v>7.8733000000000004</v>
      </c>
      <c r="F92" s="875">
        <v>10.9613</v>
      </c>
      <c r="G92" s="875">
        <v>7.6219999999999999</v>
      </c>
      <c r="H92" s="875">
        <v>8.9658999999999995</v>
      </c>
      <c r="I92" s="875">
        <v>13.4619</v>
      </c>
      <c r="J92" s="875">
        <v>8.8354999999999997</v>
      </c>
      <c r="K92" s="875">
        <v>6.4421999999999997</v>
      </c>
      <c r="L92" s="875">
        <v>8.6548999999999996</v>
      </c>
      <c r="M92" s="875">
        <v>6.1780999999999997</v>
      </c>
      <c r="O92" s="893">
        <f t="shared" si="4"/>
        <v>43294</v>
      </c>
      <c r="P92" s="895">
        <f t="shared" si="5"/>
        <v>8.5889916666666668</v>
      </c>
      <c r="Q92" s="895">
        <f t="shared" si="6"/>
        <v>8.5814800000000009</v>
      </c>
      <c r="R92" s="895">
        <f t="shared" si="7"/>
        <v>8.5943571428571435</v>
      </c>
    </row>
    <row r="93" spans="1:18" x14ac:dyDescent="0.25">
      <c r="A93" s="894">
        <v>43293</v>
      </c>
      <c r="B93" s="875">
        <v>7.4160000000000004</v>
      </c>
      <c r="C93" s="875">
        <v>7.5688000000000004</v>
      </c>
      <c r="D93" s="875">
        <v>9.3181999999999992</v>
      </c>
      <c r="E93" s="875">
        <v>7.8834</v>
      </c>
      <c r="F93" s="875">
        <v>11.1792</v>
      </c>
      <c r="G93" s="875">
        <v>7.6977000000000002</v>
      </c>
      <c r="H93" s="875">
        <v>9.0105000000000004</v>
      </c>
      <c r="I93" s="875">
        <v>13.601900000000001</v>
      </c>
      <c r="J93" s="875">
        <v>8.8224</v>
      </c>
      <c r="K93" s="875">
        <v>6.3327</v>
      </c>
      <c r="L93" s="875">
        <v>8.6864000000000008</v>
      </c>
      <c r="M93" s="875">
        <v>5.9842000000000004</v>
      </c>
      <c r="O93" s="893">
        <f t="shared" si="4"/>
        <v>43293</v>
      </c>
      <c r="P93" s="895">
        <f t="shared" si="5"/>
        <v>8.6251166666666688</v>
      </c>
      <c r="Q93" s="895">
        <f t="shared" si="6"/>
        <v>8.6731200000000008</v>
      </c>
      <c r="R93" s="895">
        <f t="shared" si="7"/>
        <v>8.5908285714285721</v>
      </c>
    </row>
    <row r="94" spans="1:18" x14ac:dyDescent="0.25">
      <c r="A94" s="894">
        <v>43292</v>
      </c>
      <c r="B94" s="875">
        <v>7.27</v>
      </c>
      <c r="C94" s="875">
        <v>7.3712</v>
      </c>
      <c r="D94" s="875">
        <v>8.9131999999999998</v>
      </c>
      <c r="E94" s="875">
        <v>7.5838000000000001</v>
      </c>
      <c r="F94" s="875">
        <v>10.7485</v>
      </c>
      <c r="G94" s="875">
        <v>7.4360999999999997</v>
      </c>
      <c r="H94" s="875">
        <v>8.5986999999999991</v>
      </c>
      <c r="I94" s="875">
        <v>12.699400000000001</v>
      </c>
      <c r="J94" s="875">
        <v>8.5856999999999992</v>
      </c>
      <c r="K94" s="875">
        <v>6.4184000000000001</v>
      </c>
      <c r="L94" s="875">
        <v>8.3717000000000006</v>
      </c>
      <c r="M94" s="875">
        <v>5.9560000000000004</v>
      </c>
      <c r="O94" s="893">
        <f t="shared" si="4"/>
        <v>43292</v>
      </c>
      <c r="P94" s="895">
        <f t="shared" si="5"/>
        <v>8.3293916666666679</v>
      </c>
      <c r="Q94" s="895">
        <f t="shared" si="6"/>
        <v>8.3773400000000002</v>
      </c>
      <c r="R94" s="895">
        <f t="shared" si="7"/>
        <v>8.2951428571428583</v>
      </c>
    </row>
    <row r="95" spans="1:18" x14ac:dyDescent="0.25">
      <c r="A95" s="894">
        <v>43291</v>
      </c>
      <c r="B95" s="875">
        <v>7.1295999999999999</v>
      </c>
      <c r="C95" s="875">
        <v>7.1889000000000003</v>
      </c>
      <c r="D95" s="875">
        <v>8.7403999999999993</v>
      </c>
      <c r="E95" s="875">
        <v>7.4409000000000001</v>
      </c>
      <c r="F95" s="875">
        <v>10.6646</v>
      </c>
      <c r="G95" s="875">
        <v>7.5315000000000003</v>
      </c>
      <c r="H95" s="875">
        <v>8.5992999999999995</v>
      </c>
      <c r="I95" s="875">
        <v>12.652799999999999</v>
      </c>
      <c r="J95" s="875">
        <v>8.4918999999999993</v>
      </c>
      <c r="K95" s="875">
        <v>6.7899000000000003</v>
      </c>
      <c r="L95" s="875">
        <v>8.4894999999999996</v>
      </c>
      <c r="M95" s="875">
        <v>5.8860000000000001</v>
      </c>
      <c r="O95" s="893">
        <f t="shared" si="4"/>
        <v>43291</v>
      </c>
      <c r="P95" s="895">
        <f t="shared" si="5"/>
        <v>8.3004416666666661</v>
      </c>
      <c r="Q95" s="895">
        <f t="shared" si="6"/>
        <v>8.2328799999999998</v>
      </c>
      <c r="R95" s="895">
        <f t="shared" si="7"/>
        <v>8.3487000000000009</v>
      </c>
    </row>
    <row r="96" spans="1:18" x14ac:dyDescent="0.25">
      <c r="A96" s="894">
        <v>43290</v>
      </c>
      <c r="B96" s="875">
        <v>7.0987999999999998</v>
      </c>
      <c r="C96" s="875">
        <v>7.1898999999999997</v>
      </c>
      <c r="D96" s="875">
        <v>8.7444000000000006</v>
      </c>
      <c r="E96" s="875">
        <v>7.6016000000000004</v>
      </c>
      <c r="F96" s="875">
        <v>10.6294</v>
      </c>
      <c r="G96" s="875">
        <v>7.7031000000000001</v>
      </c>
      <c r="H96" s="875">
        <v>8.6219000000000001</v>
      </c>
      <c r="I96" s="875">
        <v>12.910600000000001</v>
      </c>
      <c r="J96" s="875">
        <v>8.5444999999999993</v>
      </c>
      <c r="K96" s="875">
        <v>6.8356000000000003</v>
      </c>
      <c r="L96" s="875">
        <v>8.6212999999999997</v>
      </c>
      <c r="M96" s="875">
        <v>6.2378999999999998</v>
      </c>
      <c r="O96" s="893">
        <f t="shared" si="4"/>
        <v>43290</v>
      </c>
      <c r="P96" s="895">
        <f t="shared" si="5"/>
        <v>8.394916666666667</v>
      </c>
      <c r="Q96" s="895">
        <f t="shared" si="6"/>
        <v>8.2528199999999998</v>
      </c>
      <c r="R96" s="895">
        <f t="shared" si="7"/>
        <v>8.4964142857142839</v>
      </c>
    </row>
    <row r="97" spans="1:18" x14ac:dyDescent="0.25">
      <c r="A97" s="894">
        <v>43287</v>
      </c>
      <c r="B97" s="875">
        <v>7.0880000000000001</v>
      </c>
      <c r="C97" s="875">
        <v>7.1067999999999998</v>
      </c>
      <c r="D97" s="875">
        <v>8.7299000000000007</v>
      </c>
      <c r="E97" s="875">
        <v>7.5505000000000004</v>
      </c>
      <c r="F97" s="875">
        <v>10.485300000000001</v>
      </c>
      <c r="G97" s="875">
        <v>7.6962999999999999</v>
      </c>
      <c r="H97" s="875">
        <v>8.5817999999999994</v>
      </c>
      <c r="I97" s="875">
        <v>13.119300000000001</v>
      </c>
      <c r="J97" s="875">
        <v>8.5549999999999997</v>
      </c>
      <c r="K97" s="875">
        <v>6.8620999999999999</v>
      </c>
      <c r="L97" s="875">
        <v>8.5556000000000001</v>
      </c>
      <c r="M97" s="875">
        <v>6.2095000000000002</v>
      </c>
      <c r="O97" s="893">
        <f t="shared" si="4"/>
        <v>43287</v>
      </c>
      <c r="P97" s="895">
        <f t="shared" si="5"/>
        <v>8.3783416666666675</v>
      </c>
      <c r="Q97" s="895">
        <f t="shared" si="6"/>
        <v>8.1920999999999999</v>
      </c>
      <c r="R97" s="895">
        <f t="shared" si="7"/>
        <v>8.5113714285714277</v>
      </c>
    </row>
    <row r="98" spans="1:18" x14ac:dyDescent="0.25">
      <c r="A98" s="894">
        <v>43286</v>
      </c>
      <c r="B98" s="875">
        <v>7.0052000000000003</v>
      </c>
      <c r="C98" s="875">
        <v>6.9836</v>
      </c>
      <c r="D98" s="875">
        <v>8.5612999999999992</v>
      </c>
      <c r="E98" s="875">
        <v>7.3621999999999996</v>
      </c>
      <c r="F98" s="875">
        <v>10.328799999999999</v>
      </c>
      <c r="G98" s="875">
        <v>7.5953999999999997</v>
      </c>
      <c r="H98" s="875">
        <v>8.3539999999999992</v>
      </c>
      <c r="I98" s="875">
        <v>12.8674</v>
      </c>
      <c r="J98" s="875">
        <v>8.3595000000000006</v>
      </c>
      <c r="K98" s="875">
        <v>6.7031000000000001</v>
      </c>
      <c r="L98" s="875">
        <v>8.4724000000000004</v>
      </c>
      <c r="M98" s="875">
        <v>6.1981999999999999</v>
      </c>
      <c r="O98" s="893">
        <f t="shared" si="4"/>
        <v>43286</v>
      </c>
      <c r="P98" s="895">
        <f t="shared" si="5"/>
        <v>8.2325916666666679</v>
      </c>
      <c r="Q98" s="895">
        <f t="shared" si="6"/>
        <v>8.0482200000000006</v>
      </c>
      <c r="R98" s="895">
        <f t="shared" si="7"/>
        <v>8.3642857142857139</v>
      </c>
    </row>
    <row r="99" spans="1:18" x14ac:dyDescent="0.25">
      <c r="A99" s="894">
        <v>43284</v>
      </c>
      <c r="B99" s="875">
        <v>6.9095000000000004</v>
      </c>
      <c r="C99" s="875">
        <v>6.8993000000000002</v>
      </c>
      <c r="D99" s="875">
        <v>8.3752999999999993</v>
      </c>
      <c r="E99" s="875">
        <v>7.3821000000000003</v>
      </c>
      <c r="F99" s="875">
        <v>10.2059</v>
      </c>
      <c r="G99" s="875">
        <v>7.4519000000000002</v>
      </c>
      <c r="H99" s="875">
        <v>8.2299000000000007</v>
      </c>
      <c r="I99" s="875">
        <v>12.6785</v>
      </c>
      <c r="J99" s="875">
        <v>8.3147000000000002</v>
      </c>
      <c r="K99" s="875">
        <v>6.8311000000000002</v>
      </c>
      <c r="L99" s="875">
        <v>8.3717000000000006</v>
      </c>
      <c r="M99" s="875">
        <v>6.3592000000000004</v>
      </c>
      <c r="O99" s="893">
        <f t="shared" si="4"/>
        <v>43284</v>
      </c>
      <c r="P99" s="895">
        <f t="shared" si="5"/>
        <v>8.1674250000000015</v>
      </c>
      <c r="Q99" s="895">
        <f t="shared" si="6"/>
        <v>7.9544200000000007</v>
      </c>
      <c r="R99" s="895">
        <f t="shared" si="7"/>
        <v>8.3195714285714306</v>
      </c>
    </row>
    <row r="100" spans="1:18" x14ac:dyDescent="0.25">
      <c r="A100" s="894">
        <v>43283</v>
      </c>
      <c r="B100" s="875">
        <v>7.0547000000000004</v>
      </c>
      <c r="C100" s="875">
        <v>6.9009999999999998</v>
      </c>
      <c r="D100" s="875">
        <v>8.4265000000000008</v>
      </c>
      <c r="E100" s="875">
        <v>7.5194000000000001</v>
      </c>
      <c r="F100" s="875">
        <v>10.25</v>
      </c>
      <c r="G100" s="875">
        <v>7.7382999999999997</v>
      </c>
      <c r="H100" s="875">
        <v>8.3504000000000005</v>
      </c>
      <c r="I100" s="875">
        <v>12.8644</v>
      </c>
      <c r="J100" s="875">
        <v>8.3657000000000004</v>
      </c>
      <c r="K100" s="875">
        <v>6.91</v>
      </c>
      <c r="L100" s="875">
        <v>8.4482999999999997</v>
      </c>
      <c r="M100" s="875">
        <v>6.3308</v>
      </c>
      <c r="O100" s="893">
        <f t="shared" si="4"/>
        <v>43283</v>
      </c>
      <c r="P100" s="895">
        <f t="shared" si="5"/>
        <v>8.2632916666666674</v>
      </c>
      <c r="Q100" s="895">
        <f t="shared" si="6"/>
        <v>8.0303199999999997</v>
      </c>
      <c r="R100" s="895">
        <f t="shared" si="7"/>
        <v>8.4296999999999986</v>
      </c>
    </row>
    <row r="101" spans="1:18" x14ac:dyDescent="0.25">
      <c r="A101" s="894">
        <v>43280</v>
      </c>
      <c r="B101" s="875">
        <v>6.8520000000000003</v>
      </c>
      <c r="C101" s="875">
        <v>6.7412999999999998</v>
      </c>
      <c r="D101" s="875">
        <v>8.1990999999999996</v>
      </c>
      <c r="E101" s="875">
        <v>7.4017999999999997</v>
      </c>
      <c r="F101" s="875">
        <v>9.9596999999999998</v>
      </c>
      <c r="G101" s="875">
        <v>7.7149000000000001</v>
      </c>
      <c r="H101" s="875">
        <v>8.2294</v>
      </c>
      <c r="I101" s="875">
        <v>12.6089</v>
      </c>
      <c r="J101" s="875">
        <v>8.0873000000000008</v>
      </c>
      <c r="K101" s="875">
        <v>6.8422999999999998</v>
      </c>
      <c r="L101" s="875">
        <v>8.2706</v>
      </c>
      <c r="M101" s="875">
        <v>6.3498999999999999</v>
      </c>
      <c r="O101" s="893">
        <f t="shared" si="4"/>
        <v>43280</v>
      </c>
      <c r="P101" s="895">
        <f t="shared" si="5"/>
        <v>8.1047666666666665</v>
      </c>
      <c r="Q101" s="895">
        <f t="shared" si="6"/>
        <v>7.8307799999999999</v>
      </c>
      <c r="R101" s="895">
        <f t="shared" si="7"/>
        <v>8.3004714285714289</v>
      </c>
    </row>
    <row r="102" spans="1:18" x14ac:dyDescent="0.25">
      <c r="A102" s="894">
        <v>43279</v>
      </c>
      <c r="B102" s="875">
        <v>6.7869999999999999</v>
      </c>
      <c r="C102" s="875">
        <v>6.7554999999999996</v>
      </c>
      <c r="D102" s="875">
        <v>8.1135999999999999</v>
      </c>
      <c r="E102" s="875">
        <v>7.3308</v>
      </c>
      <c r="F102" s="875">
        <v>10.0152</v>
      </c>
      <c r="G102" s="875">
        <v>7.5881999999999996</v>
      </c>
      <c r="H102" s="875">
        <v>8.3181999999999992</v>
      </c>
      <c r="I102" s="875">
        <v>12.617100000000001</v>
      </c>
      <c r="J102" s="875">
        <v>8.1502999999999997</v>
      </c>
      <c r="K102" s="875">
        <v>6.7278000000000002</v>
      </c>
      <c r="L102" s="875">
        <v>8.4094999999999995</v>
      </c>
      <c r="M102" s="875">
        <v>6.5117000000000003</v>
      </c>
      <c r="O102" s="893">
        <f t="shared" si="4"/>
        <v>43279</v>
      </c>
      <c r="P102" s="895">
        <f t="shared" si="5"/>
        <v>8.1104083333333339</v>
      </c>
      <c r="Q102" s="895">
        <f t="shared" si="6"/>
        <v>7.8004199999999999</v>
      </c>
      <c r="R102" s="895">
        <f t="shared" si="7"/>
        <v>8.3318285714285718</v>
      </c>
    </row>
    <row r="103" spans="1:18" x14ac:dyDescent="0.25">
      <c r="A103" s="894">
        <v>43278</v>
      </c>
      <c r="B103" s="875">
        <v>6.6924000000000001</v>
      </c>
      <c r="C103" s="875">
        <v>6.4714</v>
      </c>
      <c r="D103" s="875">
        <v>7.9603000000000002</v>
      </c>
      <c r="E103" s="875">
        <v>7.1970000000000001</v>
      </c>
      <c r="F103" s="875">
        <v>9.7604000000000006</v>
      </c>
      <c r="G103" s="875">
        <v>7.3705999999999996</v>
      </c>
      <c r="H103" s="875">
        <v>8.0813000000000006</v>
      </c>
      <c r="I103" s="875">
        <v>12.082599999999999</v>
      </c>
      <c r="J103" s="875">
        <v>7.7965999999999998</v>
      </c>
      <c r="K103" s="875">
        <v>6.5831999999999997</v>
      </c>
      <c r="L103" s="875">
        <v>8.1303000000000001</v>
      </c>
      <c r="M103" s="875">
        <v>6.3802000000000003</v>
      </c>
      <c r="O103" s="893">
        <f t="shared" si="4"/>
        <v>43278</v>
      </c>
      <c r="P103" s="895">
        <f t="shared" si="5"/>
        <v>7.8755250000000006</v>
      </c>
      <c r="Q103" s="895">
        <f t="shared" si="6"/>
        <v>7.6162999999999998</v>
      </c>
      <c r="R103" s="895">
        <f t="shared" si="7"/>
        <v>8.0606857142857145</v>
      </c>
    </row>
    <row r="104" spans="1:18" x14ac:dyDescent="0.25">
      <c r="A104" s="894">
        <v>43277</v>
      </c>
      <c r="B104" s="875">
        <v>6.8155999999999999</v>
      </c>
      <c r="C104" s="875">
        <v>6.6852999999999998</v>
      </c>
      <c r="D104" s="875">
        <v>8.266</v>
      </c>
      <c r="E104" s="875">
        <v>7.6288</v>
      </c>
      <c r="F104" s="875">
        <v>9.9415999999999993</v>
      </c>
      <c r="G104" s="875">
        <v>7.5544000000000002</v>
      </c>
      <c r="H104" s="875">
        <v>8.5663</v>
      </c>
      <c r="I104" s="875">
        <v>12.4298</v>
      </c>
      <c r="J104" s="875">
        <v>8.1128999999999998</v>
      </c>
      <c r="K104" s="875">
        <v>6.7991999999999999</v>
      </c>
      <c r="L104" s="875">
        <v>8.5701999999999998</v>
      </c>
      <c r="M104" s="875">
        <v>6.7435999999999998</v>
      </c>
      <c r="O104" s="893">
        <f t="shared" si="4"/>
        <v>43277</v>
      </c>
      <c r="P104" s="895">
        <f t="shared" si="5"/>
        <v>8.1761416666666662</v>
      </c>
      <c r="Q104" s="895">
        <f t="shared" si="6"/>
        <v>7.8674599999999995</v>
      </c>
      <c r="R104" s="895">
        <f t="shared" si="7"/>
        <v>8.39662857142857</v>
      </c>
    </row>
    <row r="105" spans="1:18" x14ac:dyDescent="0.25">
      <c r="A105" s="894">
        <v>43276</v>
      </c>
      <c r="B105" s="875">
        <v>6.7004999999999999</v>
      </c>
      <c r="C105" s="875">
        <v>6.4797000000000002</v>
      </c>
      <c r="D105" s="875">
        <v>8.1922999999999995</v>
      </c>
      <c r="E105" s="875">
        <v>7.5937000000000001</v>
      </c>
      <c r="F105" s="875">
        <v>9.9833999999999996</v>
      </c>
      <c r="G105" s="875">
        <v>7.3636999999999997</v>
      </c>
      <c r="H105" s="875">
        <v>8.1247000000000007</v>
      </c>
      <c r="I105" s="875">
        <v>12.2974</v>
      </c>
      <c r="J105" s="875">
        <v>7.8936000000000002</v>
      </c>
      <c r="K105" s="875">
        <v>6.6467999999999998</v>
      </c>
      <c r="L105" s="875">
        <v>8.3956</v>
      </c>
      <c r="M105" s="875">
        <v>6.6512000000000002</v>
      </c>
      <c r="O105" s="893">
        <f t="shared" si="4"/>
        <v>43276</v>
      </c>
      <c r="P105" s="895">
        <f t="shared" si="5"/>
        <v>8.026883333333334</v>
      </c>
      <c r="Q105" s="895">
        <f t="shared" si="6"/>
        <v>7.7899200000000004</v>
      </c>
      <c r="R105" s="895">
        <f t="shared" si="7"/>
        <v>8.1961428571428581</v>
      </c>
    </row>
    <row r="106" spans="1:18" x14ac:dyDescent="0.25">
      <c r="A106" s="894">
        <v>43273</v>
      </c>
      <c r="B106" s="875">
        <v>6.8037000000000001</v>
      </c>
      <c r="C106" s="875">
        <v>6.7588999999999997</v>
      </c>
      <c r="D106" s="875">
        <v>8.4436</v>
      </c>
      <c r="E106" s="875">
        <v>7.9256000000000002</v>
      </c>
      <c r="F106" s="875">
        <v>10.3156</v>
      </c>
      <c r="G106" s="875">
        <v>7.6071999999999997</v>
      </c>
      <c r="H106" s="875">
        <v>8.2591000000000001</v>
      </c>
      <c r="I106" s="875">
        <v>13.0822</v>
      </c>
      <c r="J106" s="875">
        <v>8.1807999999999996</v>
      </c>
      <c r="K106" s="875">
        <v>6.7611999999999997</v>
      </c>
      <c r="L106" s="875">
        <v>9.0853999999999999</v>
      </c>
      <c r="M106" s="875">
        <v>6.6204999999999998</v>
      </c>
      <c r="O106" s="893">
        <f t="shared" si="4"/>
        <v>43273</v>
      </c>
      <c r="P106" s="895">
        <f t="shared" si="5"/>
        <v>8.320316666666665</v>
      </c>
      <c r="Q106" s="895">
        <f t="shared" si="6"/>
        <v>8.0494799999999991</v>
      </c>
      <c r="R106" s="895">
        <f t="shared" si="7"/>
        <v>8.5137714285714292</v>
      </c>
    </row>
    <row r="107" spans="1:18" x14ac:dyDescent="0.25">
      <c r="A107" s="894">
        <v>43272</v>
      </c>
      <c r="B107" s="875">
        <v>6.9562999999999997</v>
      </c>
      <c r="C107" s="875">
        <v>7.0503</v>
      </c>
      <c r="D107" s="875">
        <v>8.5744000000000007</v>
      </c>
      <c r="E107" s="875">
        <v>8.5654000000000003</v>
      </c>
      <c r="F107" s="875">
        <v>10.533899999999999</v>
      </c>
      <c r="G107" s="875">
        <v>7.5659999999999998</v>
      </c>
      <c r="H107" s="875">
        <v>8.5337999999999994</v>
      </c>
      <c r="I107" s="875">
        <v>13.4415</v>
      </c>
      <c r="J107" s="875">
        <v>8.6201000000000008</v>
      </c>
      <c r="K107" s="875">
        <v>6.8517000000000001</v>
      </c>
      <c r="L107" s="875">
        <v>9.3727</v>
      </c>
      <c r="M107" s="875">
        <v>7.3661000000000003</v>
      </c>
      <c r="O107" s="893">
        <f t="shared" si="4"/>
        <v>43272</v>
      </c>
      <c r="P107" s="895">
        <f t="shared" si="5"/>
        <v>8.619349999999999</v>
      </c>
      <c r="Q107" s="895">
        <f t="shared" si="6"/>
        <v>8.3360599999999998</v>
      </c>
      <c r="R107" s="895">
        <f t="shared" si="7"/>
        <v>8.8217000000000017</v>
      </c>
    </row>
    <row r="108" spans="1:18" x14ac:dyDescent="0.25">
      <c r="A108" s="894">
        <v>43271</v>
      </c>
      <c r="B108" s="875">
        <v>7.0168999999999997</v>
      </c>
      <c r="C108" s="875">
        <v>7.3071000000000002</v>
      </c>
      <c r="D108" s="875">
        <v>8.7584999999999997</v>
      </c>
      <c r="E108" s="875">
        <v>8.7898999999999994</v>
      </c>
      <c r="F108" s="875">
        <v>10.813000000000001</v>
      </c>
      <c r="G108" s="875">
        <v>7.7291999999999996</v>
      </c>
      <c r="H108" s="875">
        <v>8.9474999999999998</v>
      </c>
      <c r="I108" s="875">
        <v>13.5814</v>
      </c>
      <c r="J108" s="875">
        <v>8.8849999999999998</v>
      </c>
      <c r="K108" s="875">
        <v>7.0118</v>
      </c>
      <c r="L108" s="875">
        <v>9.5488</v>
      </c>
      <c r="M108" s="875">
        <v>7.5659000000000001</v>
      </c>
      <c r="O108" s="893">
        <f t="shared" si="4"/>
        <v>43271</v>
      </c>
      <c r="P108" s="895">
        <f t="shared" si="5"/>
        <v>8.8295833333333338</v>
      </c>
      <c r="Q108" s="895">
        <f t="shared" si="6"/>
        <v>8.5370799999999996</v>
      </c>
      <c r="R108" s="895">
        <f t="shared" si="7"/>
        <v>9.0385142857142853</v>
      </c>
    </row>
    <row r="109" spans="1:18" x14ac:dyDescent="0.25">
      <c r="A109" s="894">
        <v>43270</v>
      </c>
      <c r="B109" s="875">
        <v>7.0525000000000002</v>
      </c>
      <c r="C109" s="875">
        <v>7.3249000000000004</v>
      </c>
      <c r="D109" s="875">
        <v>8.8667999999999996</v>
      </c>
      <c r="E109" s="875">
        <v>8.8674999999999997</v>
      </c>
      <c r="F109" s="875">
        <v>10.7546</v>
      </c>
      <c r="G109" s="875">
        <v>7.5758000000000001</v>
      </c>
      <c r="H109" s="875">
        <v>8.9992999999999999</v>
      </c>
      <c r="I109" s="875">
        <v>13.393599999999999</v>
      </c>
      <c r="J109" s="875">
        <v>8.7319999999999993</v>
      </c>
      <c r="K109" s="875">
        <v>6.9047999999999998</v>
      </c>
      <c r="L109" s="875">
        <v>9.3323</v>
      </c>
      <c r="M109" s="875">
        <v>7.1482000000000001</v>
      </c>
      <c r="O109" s="893">
        <f t="shared" si="4"/>
        <v>43270</v>
      </c>
      <c r="P109" s="895">
        <f t="shared" si="5"/>
        <v>8.7460249999999995</v>
      </c>
      <c r="Q109" s="895">
        <f t="shared" si="6"/>
        <v>8.5732599999999994</v>
      </c>
      <c r="R109" s="895">
        <f t="shared" si="7"/>
        <v>8.8694285714285712</v>
      </c>
    </row>
    <row r="110" spans="1:18" x14ac:dyDescent="0.25">
      <c r="A110" s="894">
        <v>43269</v>
      </c>
      <c r="B110" s="875">
        <v>7.0723000000000003</v>
      </c>
      <c r="C110" s="875">
        <v>7.3434999999999997</v>
      </c>
      <c r="D110" s="875">
        <v>8.9891000000000005</v>
      </c>
      <c r="E110" s="875">
        <v>8.9146999999999998</v>
      </c>
      <c r="F110" s="875">
        <v>10.933</v>
      </c>
      <c r="G110" s="875">
        <v>7.7058</v>
      </c>
      <c r="H110" s="875">
        <v>9.2947000000000006</v>
      </c>
      <c r="I110" s="875">
        <v>13.960800000000001</v>
      </c>
      <c r="J110" s="875">
        <v>8.8665000000000003</v>
      </c>
      <c r="K110" s="875">
        <v>7.0155000000000003</v>
      </c>
      <c r="L110" s="875">
        <v>9.4420000000000002</v>
      </c>
      <c r="M110" s="875">
        <v>7.4381000000000004</v>
      </c>
      <c r="O110" s="893">
        <f t="shared" si="4"/>
        <v>43269</v>
      </c>
      <c r="P110" s="895">
        <f t="shared" si="5"/>
        <v>8.9146666666666672</v>
      </c>
      <c r="Q110" s="895">
        <f t="shared" si="6"/>
        <v>8.6505200000000002</v>
      </c>
      <c r="R110" s="895">
        <f t="shared" si="7"/>
        <v>9.1033428571428576</v>
      </c>
    </row>
    <row r="111" spans="1:18" x14ac:dyDescent="0.25">
      <c r="A111" s="894">
        <v>43266</v>
      </c>
      <c r="B111" s="875">
        <v>7.0083000000000002</v>
      </c>
      <c r="C111" s="875">
        <v>7.2436999999999996</v>
      </c>
      <c r="D111" s="875">
        <v>8.7774999999999999</v>
      </c>
      <c r="E111" s="875">
        <v>8.8169000000000004</v>
      </c>
      <c r="F111" s="875">
        <v>10.9458</v>
      </c>
      <c r="G111" s="875">
        <v>7.4757999999999996</v>
      </c>
      <c r="H111" s="875">
        <v>9.0418000000000003</v>
      </c>
      <c r="I111" s="875">
        <v>13.8467</v>
      </c>
      <c r="J111" s="875">
        <v>8.8925999999999998</v>
      </c>
      <c r="K111" s="875">
        <v>7.0777000000000001</v>
      </c>
      <c r="L111" s="875">
        <v>9.2116000000000007</v>
      </c>
      <c r="M111" s="875">
        <v>7.0115999999999996</v>
      </c>
      <c r="O111" s="893">
        <f t="shared" si="4"/>
        <v>43266</v>
      </c>
      <c r="P111" s="895">
        <f t="shared" si="5"/>
        <v>8.7791666666666668</v>
      </c>
      <c r="Q111" s="895">
        <f t="shared" si="6"/>
        <v>8.5584400000000009</v>
      </c>
      <c r="R111" s="895">
        <f t="shared" si="7"/>
        <v>8.9368285714285722</v>
      </c>
    </row>
    <row r="112" spans="1:18" x14ac:dyDescent="0.25">
      <c r="A112" s="894">
        <v>43265</v>
      </c>
      <c r="B112" s="875">
        <v>7.0102000000000002</v>
      </c>
      <c r="C112" s="875">
        <v>7.1600999999999999</v>
      </c>
      <c r="D112" s="875">
        <v>8.7881999999999998</v>
      </c>
      <c r="E112" s="875">
        <v>9.1134000000000004</v>
      </c>
      <c r="F112" s="875">
        <v>10.89</v>
      </c>
      <c r="G112" s="875">
        <v>7.5143000000000004</v>
      </c>
      <c r="H112" s="875">
        <v>8.8937000000000008</v>
      </c>
      <c r="I112" s="875">
        <v>13.472200000000001</v>
      </c>
      <c r="J112" s="875">
        <v>8.9808000000000003</v>
      </c>
      <c r="K112" s="875">
        <v>7.0229999999999997</v>
      </c>
      <c r="L112" s="875">
        <v>9.0569000000000006</v>
      </c>
      <c r="M112" s="875">
        <v>7.2057000000000002</v>
      </c>
      <c r="O112" s="893">
        <f t="shared" si="4"/>
        <v>43265</v>
      </c>
      <c r="P112" s="895">
        <f t="shared" si="5"/>
        <v>8.7590416666666666</v>
      </c>
      <c r="Q112" s="895">
        <f t="shared" si="6"/>
        <v>8.5923800000000004</v>
      </c>
      <c r="R112" s="895">
        <f t="shared" si="7"/>
        <v>8.8780857142857137</v>
      </c>
    </row>
    <row r="113" spans="1:18" x14ac:dyDescent="0.25">
      <c r="A113" s="894">
        <v>43264</v>
      </c>
      <c r="B113" s="875">
        <v>6.9145000000000003</v>
      </c>
      <c r="C113" s="875">
        <v>7.1058000000000003</v>
      </c>
      <c r="D113" s="875">
        <v>8.6659000000000006</v>
      </c>
      <c r="E113" s="875">
        <v>8.9735999999999994</v>
      </c>
      <c r="F113" s="875">
        <v>10.6534</v>
      </c>
      <c r="G113" s="875">
        <v>7.4808000000000003</v>
      </c>
      <c r="H113" s="875">
        <v>8.9901999999999997</v>
      </c>
      <c r="I113" s="875">
        <v>13.4275</v>
      </c>
      <c r="J113" s="875">
        <v>8.8888999999999996</v>
      </c>
      <c r="K113" s="875">
        <v>6.6738999999999997</v>
      </c>
      <c r="L113" s="875">
        <v>8.9237000000000002</v>
      </c>
      <c r="M113" s="875">
        <v>6.7355999999999998</v>
      </c>
      <c r="O113" s="893">
        <f t="shared" si="4"/>
        <v>43264</v>
      </c>
      <c r="P113" s="895">
        <f t="shared" si="5"/>
        <v>8.6194833333333332</v>
      </c>
      <c r="Q113" s="895">
        <f t="shared" si="6"/>
        <v>8.4626399999999986</v>
      </c>
      <c r="R113" s="895">
        <f t="shared" si="7"/>
        <v>8.7315142857142849</v>
      </c>
    </row>
    <row r="114" spans="1:18" x14ac:dyDescent="0.25">
      <c r="A114" s="894">
        <v>43263</v>
      </c>
      <c r="B114" s="875">
        <v>6.9048999999999996</v>
      </c>
      <c r="C114" s="875">
        <v>7.1014999999999997</v>
      </c>
      <c r="D114" s="875">
        <v>8.6850000000000005</v>
      </c>
      <c r="E114" s="875">
        <v>9.0386000000000006</v>
      </c>
      <c r="F114" s="875">
        <v>10.6975</v>
      </c>
      <c r="G114" s="875">
        <v>7.5490000000000004</v>
      </c>
      <c r="H114" s="875">
        <v>9.0630000000000006</v>
      </c>
      <c r="I114" s="875">
        <v>13.536300000000001</v>
      </c>
      <c r="J114" s="875">
        <v>8.8081999999999994</v>
      </c>
      <c r="K114" s="875">
        <v>6.6581000000000001</v>
      </c>
      <c r="L114" s="875">
        <v>8.8291000000000004</v>
      </c>
      <c r="M114" s="875">
        <v>6.5663999999999998</v>
      </c>
      <c r="O114" s="893">
        <f t="shared" si="4"/>
        <v>43263</v>
      </c>
      <c r="P114" s="895">
        <f t="shared" si="5"/>
        <v>8.6197999999999997</v>
      </c>
      <c r="Q114" s="895">
        <f t="shared" si="6"/>
        <v>8.4855</v>
      </c>
      <c r="R114" s="895">
        <f t="shared" si="7"/>
        <v>8.7157285714285724</v>
      </c>
    </row>
    <row r="115" spans="1:18" x14ac:dyDescent="0.25">
      <c r="A115" s="894">
        <v>43262</v>
      </c>
      <c r="B115" s="875">
        <v>6.7896000000000001</v>
      </c>
      <c r="C115" s="875">
        <v>7.0039999999999996</v>
      </c>
      <c r="D115" s="875">
        <v>8.4490999999999996</v>
      </c>
      <c r="E115" s="875">
        <v>8.9389000000000003</v>
      </c>
      <c r="F115" s="875">
        <v>10.602</v>
      </c>
      <c r="G115" s="875">
        <v>7.3875999999999999</v>
      </c>
      <c r="H115" s="875">
        <v>8.7746999999999993</v>
      </c>
      <c r="I115" s="875">
        <v>13.192299999999999</v>
      </c>
      <c r="J115" s="875">
        <v>8.5939999999999994</v>
      </c>
      <c r="K115" s="875">
        <v>6.5961999999999996</v>
      </c>
      <c r="L115" s="875">
        <v>8.7271999999999998</v>
      </c>
      <c r="M115" s="875">
        <v>6.3884999999999996</v>
      </c>
      <c r="O115" s="893">
        <f t="shared" si="4"/>
        <v>43262</v>
      </c>
      <c r="P115" s="895">
        <f t="shared" si="5"/>
        <v>8.4536749999999987</v>
      </c>
      <c r="Q115" s="895">
        <f t="shared" si="6"/>
        <v>8.3567199999999993</v>
      </c>
      <c r="R115" s="895">
        <f t="shared" si="7"/>
        <v>8.5229285714285705</v>
      </c>
    </row>
    <row r="116" spans="1:18" x14ac:dyDescent="0.25">
      <c r="A116" s="894">
        <v>43259</v>
      </c>
      <c r="B116" s="875">
        <v>6.7739000000000003</v>
      </c>
      <c r="C116" s="875">
        <v>6.9208999999999996</v>
      </c>
      <c r="D116" s="875">
        <v>8.5151000000000003</v>
      </c>
      <c r="E116" s="875">
        <v>8.9281000000000006</v>
      </c>
      <c r="F116" s="875">
        <v>10.504200000000001</v>
      </c>
      <c r="G116" s="875">
        <v>7.3811</v>
      </c>
      <c r="H116" s="875">
        <v>8.7763000000000009</v>
      </c>
      <c r="I116" s="875">
        <v>13.1267</v>
      </c>
      <c r="J116" s="875">
        <v>8.5825999999999993</v>
      </c>
      <c r="K116" s="875">
        <v>6.3308</v>
      </c>
      <c r="L116" s="875">
        <v>8.6221999999999994</v>
      </c>
      <c r="M116" s="875">
        <v>6.4279999999999999</v>
      </c>
      <c r="O116" s="893">
        <f t="shared" si="4"/>
        <v>43259</v>
      </c>
      <c r="P116" s="895">
        <f t="shared" si="5"/>
        <v>8.4074916666666653</v>
      </c>
      <c r="Q116" s="895">
        <f t="shared" si="6"/>
        <v>8.3284400000000005</v>
      </c>
      <c r="R116" s="895">
        <f t="shared" si="7"/>
        <v>8.4639571428571436</v>
      </c>
    </row>
    <row r="117" spans="1:18" x14ac:dyDescent="0.25">
      <c r="A117" s="894">
        <v>43258</v>
      </c>
      <c r="B117" s="875">
        <v>6.7427999999999999</v>
      </c>
      <c r="C117" s="875">
        <v>6.8691000000000004</v>
      </c>
      <c r="D117" s="875">
        <v>8.4783000000000008</v>
      </c>
      <c r="E117" s="875">
        <v>8.7594999999999992</v>
      </c>
      <c r="F117" s="875">
        <v>10.464</v>
      </c>
      <c r="G117" s="875">
        <v>7.2050000000000001</v>
      </c>
      <c r="H117" s="875">
        <v>8.5137</v>
      </c>
      <c r="I117" s="875">
        <v>13.008800000000001</v>
      </c>
      <c r="J117" s="875">
        <v>8.3239999999999998</v>
      </c>
      <c r="K117" s="875">
        <v>6.0674000000000001</v>
      </c>
      <c r="L117" s="875">
        <v>8.5335999999999999</v>
      </c>
      <c r="M117" s="875">
        <v>6.6650999999999998</v>
      </c>
      <c r="O117" s="893">
        <f t="shared" si="4"/>
        <v>43258</v>
      </c>
      <c r="P117" s="895">
        <f t="shared" si="5"/>
        <v>8.3026083333333336</v>
      </c>
      <c r="Q117" s="895">
        <f t="shared" si="6"/>
        <v>8.2627400000000009</v>
      </c>
      <c r="R117" s="895">
        <f t="shared" si="7"/>
        <v>8.3310857142857149</v>
      </c>
    </row>
    <row r="118" spans="1:18" x14ac:dyDescent="0.25">
      <c r="A118" s="894">
        <v>43257</v>
      </c>
      <c r="B118" s="875">
        <v>6.8874000000000004</v>
      </c>
      <c r="C118" s="875">
        <v>7.0754000000000001</v>
      </c>
      <c r="D118" s="875">
        <v>8.8505000000000003</v>
      </c>
      <c r="E118" s="875">
        <v>9.0235000000000003</v>
      </c>
      <c r="F118" s="875">
        <v>11.016500000000001</v>
      </c>
      <c r="G118" s="875">
        <v>7.1898999999999997</v>
      </c>
      <c r="H118" s="875">
        <v>8.8923000000000005</v>
      </c>
      <c r="I118" s="875">
        <v>14.0998</v>
      </c>
      <c r="J118" s="875">
        <v>8.7934000000000001</v>
      </c>
      <c r="K118" s="875">
        <v>6.4017999999999997</v>
      </c>
      <c r="L118" s="875">
        <v>8.9791000000000007</v>
      </c>
      <c r="M118" s="875">
        <v>6.7866999999999997</v>
      </c>
      <c r="O118" s="893">
        <f t="shared" si="4"/>
        <v>43257</v>
      </c>
      <c r="P118" s="895">
        <f t="shared" si="5"/>
        <v>8.6663583333333332</v>
      </c>
      <c r="Q118" s="895">
        <f t="shared" si="6"/>
        <v>8.5706600000000002</v>
      </c>
      <c r="R118" s="895">
        <f t="shared" si="7"/>
        <v>8.7347142857142863</v>
      </c>
    </row>
    <row r="119" spans="1:18" x14ac:dyDescent="0.25">
      <c r="A119" s="894">
        <v>43256</v>
      </c>
      <c r="B119" s="875">
        <v>6.8167</v>
      </c>
      <c r="C119" s="875">
        <v>7.0799000000000003</v>
      </c>
      <c r="D119" s="875">
        <v>8.8872</v>
      </c>
      <c r="E119" s="875">
        <v>8.9275000000000002</v>
      </c>
      <c r="F119" s="875">
        <v>11.007400000000001</v>
      </c>
      <c r="G119" s="875">
        <v>7.3406000000000002</v>
      </c>
      <c r="H119" s="875">
        <v>8.7007999999999992</v>
      </c>
      <c r="I119" s="875">
        <v>14.3591</v>
      </c>
      <c r="J119" s="875">
        <v>8.6437000000000008</v>
      </c>
      <c r="K119" s="875">
        <v>6.1694000000000004</v>
      </c>
      <c r="L119" s="875">
        <v>8.923</v>
      </c>
      <c r="M119" s="875">
        <v>6.7019000000000002</v>
      </c>
      <c r="O119" s="893">
        <f t="shared" si="4"/>
        <v>43256</v>
      </c>
      <c r="P119" s="895">
        <f t="shared" si="5"/>
        <v>8.6297666666666668</v>
      </c>
      <c r="Q119" s="895">
        <f t="shared" si="6"/>
        <v>8.5437399999999997</v>
      </c>
      <c r="R119" s="895">
        <f t="shared" si="7"/>
        <v>8.6912142857142864</v>
      </c>
    </row>
    <row r="120" spans="1:18" x14ac:dyDescent="0.25">
      <c r="A120" s="894">
        <v>43255</v>
      </c>
      <c r="B120" s="875">
        <v>6.7436999999999996</v>
      </c>
      <c r="C120" s="875">
        <v>7.0016999999999996</v>
      </c>
      <c r="D120" s="875">
        <v>8.8529</v>
      </c>
      <c r="E120" s="875">
        <v>8.8760999999999992</v>
      </c>
      <c r="F120" s="875">
        <v>10.8614</v>
      </c>
      <c r="G120" s="875">
        <v>6.9367999999999999</v>
      </c>
      <c r="H120" s="875">
        <v>8.7063000000000006</v>
      </c>
      <c r="I120" s="875">
        <v>15.145099999999999</v>
      </c>
      <c r="J120" s="875">
        <v>8.6341000000000001</v>
      </c>
      <c r="K120" s="875">
        <v>6.2805999999999997</v>
      </c>
      <c r="L120" s="875">
        <v>8.7782999999999998</v>
      </c>
      <c r="M120" s="875">
        <v>6.7812000000000001</v>
      </c>
      <c r="O120" s="893">
        <f t="shared" si="4"/>
        <v>43255</v>
      </c>
      <c r="P120" s="895">
        <f t="shared" si="5"/>
        <v>8.6331833333333332</v>
      </c>
      <c r="Q120" s="895">
        <f t="shared" si="6"/>
        <v>8.4671600000000016</v>
      </c>
      <c r="R120" s="895">
        <f t="shared" si="7"/>
        <v>8.7517714285714288</v>
      </c>
    </row>
    <row r="121" spans="1:18" x14ac:dyDescent="0.25">
      <c r="A121" s="894">
        <v>43252</v>
      </c>
      <c r="B121" s="875">
        <v>6.6470000000000002</v>
      </c>
      <c r="C121" s="875">
        <v>6.9217000000000004</v>
      </c>
      <c r="D121" s="875">
        <v>8.7271000000000001</v>
      </c>
      <c r="E121" s="875">
        <v>8.7385999999999999</v>
      </c>
      <c r="F121" s="875">
        <v>10.7576</v>
      </c>
      <c r="G121" s="875">
        <v>7.2462</v>
      </c>
      <c r="H121" s="875">
        <v>8.7192000000000007</v>
      </c>
      <c r="I121" s="875">
        <v>15.170299999999999</v>
      </c>
      <c r="J121" s="875">
        <v>8.6408000000000005</v>
      </c>
      <c r="K121" s="875">
        <v>6.0791000000000004</v>
      </c>
      <c r="L121" s="875">
        <v>8.4957999999999991</v>
      </c>
      <c r="M121" s="875">
        <v>6.6852999999999998</v>
      </c>
      <c r="O121" s="893">
        <f t="shared" si="4"/>
        <v>43252</v>
      </c>
      <c r="P121" s="895">
        <f t="shared" si="5"/>
        <v>8.5690583333333326</v>
      </c>
      <c r="Q121" s="895">
        <f t="shared" si="6"/>
        <v>8.3583999999999996</v>
      </c>
      <c r="R121" s="895">
        <f t="shared" si="7"/>
        <v>8.7195285714285706</v>
      </c>
    </row>
    <row r="122" spans="1:18" x14ac:dyDescent="0.25">
      <c r="A122" s="894">
        <v>43251</v>
      </c>
      <c r="B122" s="875">
        <v>6.5853999999999999</v>
      </c>
      <c r="C122" s="875">
        <v>6.95</v>
      </c>
      <c r="D122" s="875">
        <v>9.0904000000000007</v>
      </c>
      <c r="E122" s="875">
        <v>8.4855999999999998</v>
      </c>
      <c r="F122" s="875">
        <v>10.525499999999999</v>
      </c>
      <c r="G122" s="875">
        <v>7.1524999999999999</v>
      </c>
      <c r="H122" s="875">
        <v>8.1579999999999995</v>
      </c>
      <c r="I122" s="875">
        <v>14.859299999999999</v>
      </c>
      <c r="J122" s="875">
        <v>8.4888999999999992</v>
      </c>
      <c r="K122" s="875">
        <v>5.4412000000000003</v>
      </c>
      <c r="L122" s="875">
        <v>8.1796000000000006</v>
      </c>
      <c r="M122" s="875">
        <v>6.5655999999999999</v>
      </c>
      <c r="O122" s="893">
        <f t="shared" si="4"/>
        <v>43251</v>
      </c>
      <c r="P122" s="895">
        <f t="shared" si="5"/>
        <v>8.3735000000000017</v>
      </c>
      <c r="Q122" s="895">
        <f t="shared" si="6"/>
        <v>8.3273799999999998</v>
      </c>
      <c r="R122" s="895">
        <f t="shared" si="7"/>
        <v>8.4064428571428582</v>
      </c>
    </row>
    <row r="123" spans="1:18" x14ac:dyDescent="0.25">
      <c r="A123" s="894">
        <v>43250</v>
      </c>
      <c r="B123" s="875">
        <v>6.5885999999999996</v>
      </c>
      <c r="C123" s="875">
        <v>6.9922000000000004</v>
      </c>
      <c r="D123" s="875">
        <v>9.1687999999999992</v>
      </c>
      <c r="E123" s="875">
        <v>8.5493000000000006</v>
      </c>
      <c r="F123" s="875">
        <v>10.5808</v>
      </c>
      <c r="G123" s="875">
        <v>7.0730000000000004</v>
      </c>
      <c r="H123" s="875">
        <v>8.1743000000000006</v>
      </c>
      <c r="I123" s="875">
        <v>14.6394</v>
      </c>
      <c r="J123" s="875">
        <v>8.5365000000000002</v>
      </c>
      <c r="K123" s="875">
        <v>5.3592000000000004</v>
      </c>
      <c r="L123" s="875">
        <v>8.1190999999999995</v>
      </c>
      <c r="M123" s="875">
        <v>6.6593</v>
      </c>
      <c r="O123" s="893">
        <f t="shared" si="4"/>
        <v>43250</v>
      </c>
      <c r="P123" s="895">
        <f t="shared" si="5"/>
        <v>8.3700416666666673</v>
      </c>
      <c r="Q123" s="895">
        <f t="shared" si="6"/>
        <v>8.3759399999999999</v>
      </c>
      <c r="R123" s="895">
        <f t="shared" si="7"/>
        <v>8.3658285714285707</v>
      </c>
    </row>
    <row r="124" spans="1:18" x14ac:dyDescent="0.25">
      <c r="A124" s="894">
        <v>43249</v>
      </c>
      <c r="B124" s="875">
        <v>6.6124000000000001</v>
      </c>
      <c r="C124" s="875">
        <v>6.8886000000000003</v>
      </c>
      <c r="D124" s="875">
        <v>9.0731999999999999</v>
      </c>
      <c r="E124" s="875">
        <v>8.3056999999999999</v>
      </c>
      <c r="F124" s="875">
        <v>10.4595</v>
      </c>
      <c r="G124" s="875">
        <v>6.9218999999999999</v>
      </c>
      <c r="H124" s="875">
        <v>8.1714000000000002</v>
      </c>
      <c r="I124" s="875">
        <v>14.182499999999999</v>
      </c>
      <c r="J124" s="875">
        <v>8.5726999999999993</v>
      </c>
      <c r="K124" s="875">
        <v>5.1947000000000001</v>
      </c>
      <c r="L124" s="875">
        <v>8.0372000000000003</v>
      </c>
      <c r="M124" s="875">
        <v>6.5397999999999996</v>
      </c>
      <c r="O124" s="893">
        <f t="shared" si="4"/>
        <v>43249</v>
      </c>
      <c r="P124" s="895">
        <f t="shared" si="5"/>
        <v>8.2466333333333335</v>
      </c>
      <c r="Q124" s="895">
        <f t="shared" si="6"/>
        <v>8.2678799999999999</v>
      </c>
      <c r="R124" s="895">
        <f t="shared" si="7"/>
        <v>8.2314571428571419</v>
      </c>
    </row>
    <row r="125" spans="1:18" x14ac:dyDescent="0.25">
      <c r="A125" s="894">
        <v>43245</v>
      </c>
      <c r="B125" s="875">
        <v>6.7361000000000004</v>
      </c>
      <c r="C125" s="875">
        <v>6.9363999999999999</v>
      </c>
      <c r="D125" s="875">
        <v>9.109</v>
      </c>
      <c r="E125" s="875">
        <v>8.4669000000000008</v>
      </c>
      <c r="F125" s="875">
        <v>10.4955</v>
      </c>
      <c r="G125" s="875">
        <v>6.9135999999999997</v>
      </c>
      <c r="H125" s="875">
        <v>8.0619999999999994</v>
      </c>
      <c r="I125" s="875">
        <v>13.702299999999999</v>
      </c>
      <c r="J125" s="875">
        <v>8.5859000000000005</v>
      </c>
      <c r="K125" s="875">
        <v>5.2546999999999997</v>
      </c>
      <c r="L125" s="875">
        <v>7.9302000000000001</v>
      </c>
      <c r="M125" s="875">
        <v>6.4570999999999996</v>
      </c>
      <c r="O125" s="893">
        <f t="shared" si="4"/>
        <v>43245</v>
      </c>
      <c r="P125" s="895">
        <f t="shared" si="5"/>
        <v>8.2208083333333324</v>
      </c>
      <c r="Q125" s="895">
        <f t="shared" si="6"/>
        <v>8.3487800000000014</v>
      </c>
      <c r="R125" s="895">
        <f t="shared" si="7"/>
        <v>8.1294000000000004</v>
      </c>
    </row>
    <row r="126" spans="1:18" x14ac:dyDescent="0.25">
      <c r="A126" s="894">
        <v>43244</v>
      </c>
      <c r="B126" s="875">
        <v>6.7880000000000003</v>
      </c>
      <c r="C126" s="875">
        <v>6.8501000000000003</v>
      </c>
      <c r="D126" s="875">
        <v>9.1039999999999992</v>
      </c>
      <c r="E126" s="875">
        <v>9.0402000000000005</v>
      </c>
      <c r="F126" s="875">
        <v>10.443300000000001</v>
      </c>
      <c r="G126" s="875">
        <v>6.9641999999999999</v>
      </c>
      <c r="H126" s="875">
        <v>8.0704999999999991</v>
      </c>
      <c r="I126" s="875">
        <v>13.3977</v>
      </c>
      <c r="J126" s="875">
        <v>8.6126000000000005</v>
      </c>
      <c r="K126" s="875">
        <v>5.1925999999999997</v>
      </c>
      <c r="L126" s="875">
        <v>7.8689</v>
      </c>
      <c r="M126" s="875">
        <v>6.5366</v>
      </c>
      <c r="O126" s="893">
        <f t="shared" si="4"/>
        <v>43244</v>
      </c>
      <c r="P126" s="895">
        <f t="shared" si="5"/>
        <v>8.2390583333333325</v>
      </c>
      <c r="Q126" s="895">
        <f t="shared" si="6"/>
        <v>8.4451199999999993</v>
      </c>
      <c r="R126" s="895">
        <f t="shared" si="7"/>
        <v>8.0918714285714284</v>
      </c>
    </row>
    <row r="127" spans="1:18" x14ac:dyDescent="0.25">
      <c r="A127" s="894">
        <v>43243</v>
      </c>
      <c r="B127" s="875">
        <v>6.7601000000000004</v>
      </c>
      <c r="C127" s="875">
        <v>6.7305000000000001</v>
      </c>
      <c r="D127" s="875">
        <v>9.0381999999999998</v>
      </c>
      <c r="E127" s="875">
        <v>9.1042000000000005</v>
      </c>
      <c r="F127" s="875">
        <v>10.358599999999999</v>
      </c>
      <c r="G127" s="875">
        <v>6.9682000000000004</v>
      </c>
      <c r="H127" s="875">
        <v>7.9672999999999998</v>
      </c>
      <c r="I127" s="875">
        <v>13.0884</v>
      </c>
      <c r="J127" s="875">
        <v>8.5091000000000001</v>
      </c>
      <c r="K127" s="875">
        <v>5.2178000000000004</v>
      </c>
      <c r="L127" s="875">
        <v>7.8221999999999996</v>
      </c>
      <c r="M127" s="875">
        <v>6.4794</v>
      </c>
      <c r="O127" s="893">
        <f t="shared" si="4"/>
        <v>43243</v>
      </c>
      <c r="P127" s="895">
        <f t="shared" si="5"/>
        <v>8.1703333333333337</v>
      </c>
      <c r="Q127" s="895">
        <f t="shared" si="6"/>
        <v>8.3983200000000018</v>
      </c>
      <c r="R127" s="895">
        <f t="shared" si="7"/>
        <v>8.0074857142857141</v>
      </c>
    </row>
    <row r="128" spans="1:18" x14ac:dyDescent="0.25">
      <c r="A128" s="894">
        <v>43242</v>
      </c>
      <c r="B128" s="875">
        <v>6.6234000000000002</v>
      </c>
      <c r="C128" s="875">
        <v>6.6115000000000004</v>
      </c>
      <c r="D128" s="875">
        <v>9.1076999999999995</v>
      </c>
      <c r="E128" s="875">
        <v>8.9235000000000007</v>
      </c>
      <c r="F128" s="875">
        <v>10.1431</v>
      </c>
      <c r="G128" s="875">
        <v>6.9108999999999998</v>
      </c>
      <c r="H128" s="875">
        <v>8.1984999999999992</v>
      </c>
      <c r="I128" s="875">
        <v>12.8203</v>
      </c>
      <c r="J128" s="875">
        <v>8.3905999999999992</v>
      </c>
      <c r="K128" s="875">
        <v>5.2469000000000001</v>
      </c>
      <c r="L128" s="875">
        <v>7.7182000000000004</v>
      </c>
      <c r="M128" s="875">
        <v>6.5221</v>
      </c>
      <c r="O128" s="893">
        <f t="shared" si="4"/>
        <v>43242</v>
      </c>
      <c r="P128" s="895">
        <f t="shared" si="5"/>
        <v>8.1013916666666663</v>
      </c>
      <c r="Q128" s="895">
        <f t="shared" si="6"/>
        <v>8.281839999999999</v>
      </c>
      <c r="R128" s="895">
        <f t="shared" si="7"/>
        <v>7.972500000000001</v>
      </c>
    </row>
    <row r="129" spans="1:18" x14ac:dyDescent="0.25">
      <c r="A129" s="894">
        <v>43241</v>
      </c>
      <c r="B129" s="875">
        <v>6.6794000000000002</v>
      </c>
      <c r="C129" s="875">
        <v>6.5770999999999997</v>
      </c>
      <c r="D129" s="875">
        <v>9.2163000000000004</v>
      </c>
      <c r="E129" s="875">
        <v>8.9761000000000006</v>
      </c>
      <c r="F129" s="875">
        <v>10.226000000000001</v>
      </c>
      <c r="G129" s="875">
        <v>6.9813999999999998</v>
      </c>
      <c r="H129" s="875">
        <v>8.4171999999999993</v>
      </c>
      <c r="I129" s="875">
        <v>13.4033</v>
      </c>
      <c r="J129" s="875">
        <v>8.5357000000000003</v>
      </c>
      <c r="K129" s="875">
        <v>5.3464</v>
      </c>
      <c r="L129" s="875">
        <v>7.7176999999999998</v>
      </c>
      <c r="M129" s="875">
        <v>6.6763000000000003</v>
      </c>
      <c r="O129" s="893">
        <f t="shared" si="4"/>
        <v>43241</v>
      </c>
      <c r="P129" s="895">
        <f t="shared" si="5"/>
        <v>8.2294083333333337</v>
      </c>
      <c r="Q129" s="895">
        <f t="shared" si="6"/>
        <v>8.3349799999999998</v>
      </c>
      <c r="R129" s="895">
        <f t="shared" si="7"/>
        <v>8.1539999999999999</v>
      </c>
    </row>
    <row r="130" spans="1:18" x14ac:dyDescent="0.25">
      <c r="A130" s="894">
        <v>43238</v>
      </c>
      <c r="B130" s="875">
        <v>6.7236000000000002</v>
      </c>
      <c r="C130" s="875">
        <v>6.6356000000000002</v>
      </c>
      <c r="D130" s="875">
        <v>9.4376999999999995</v>
      </c>
      <c r="E130" s="875">
        <v>9.1389999999999993</v>
      </c>
      <c r="F130" s="875">
        <v>10.395</v>
      </c>
      <c r="G130" s="875">
        <v>7.2263999999999999</v>
      </c>
      <c r="H130" s="875">
        <v>8.4123000000000001</v>
      </c>
      <c r="I130" s="875">
        <v>13.198700000000001</v>
      </c>
      <c r="J130" s="875">
        <v>8.6433999999999997</v>
      </c>
      <c r="K130" s="875">
        <v>5.4932999999999996</v>
      </c>
      <c r="L130" s="875">
        <v>7.6997</v>
      </c>
      <c r="M130" s="875">
        <v>6.5768000000000004</v>
      </c>
      <c r="O130" s="893">
        <f t="shared" ref="O130:O193" si="8">A130</f>
        <v>43238</v>
      </c>
      <c r="P130" s="895">
        <f t="shared" ref="P130:P193" si="9">AVERAGE(B130:M130)</f>
        <v>8.2984583333333344</v>
      </c>
      <c r="Q130" s="895">
        <f t="shared" ref="Q130:Q193" si="10">AVERAGE(B130:F130)</f>
        <v>8.4661799999999996</v>
      </c>
      <c r="R130" s="895">
        <f t="shared" ref="R130:R193" si="11">AVERAGE(G130:M130)</f>
        <v>8.1786571428571424</v>
      </c>
    </row>
    <row r="131" spans="1:18" x14ac:dyDescent="0.25">
      <c r="A131" s="894">
        <v>43237</v>
      </c>
      <c r="B131" s="875">
        <v>6.6746999999999996</v>
      </c>
      <c r="C131" s="875">
        <v>6.5625</v>
      </c>
      <c r="D131" s="875">
        <v>9.3229000000000006</v>
      </c>
      <c r="E131" s="875">
        <v>8.9886999999999997</v>
      </c>
      <c r="F131" s="875">
        <v>10.2624</v>
      </c>
      <c r="G131" s="875">
        <v>6.7732999999999999</v>
      </c>
      <c r="H131" s="875">
        <v>8.1864000000000008</v>
      </c>
      <c r="I131" s="875">
        <v>13.0654</v>
      </c>
      <c r="J131" s="875">
        <v>8.4490999999999996</v>
      </c>
      <c r="K131" s="875">
        <v>5.4207999999999998</v>
      </c>
      <c r="L131" s="875">
        <v>7.4797000000000002</v>
      </c>
      <c r="M131" s="875">
        <v>6.4901</v>
      </c>
      <c r="O131" s="893">
        <f t="shared" si="8"/>
        <v>43237</v>
      </c>
      <c r="P131" s="895">
        <f t="shared" si="9"/>
        <v>8.1396666666666651</v>
      </c>
      <c r="Q131" s="895">
        <f t="shared" si="10"/>
        <v>8.3622399999999999</v>
      </c>
      <c r="R131" s="895">
        <f t="shared" si="11"/>
        <v>7.9806857142857144</v>
      </c>
    </row>
    <row r="132" spans="1:18" x14ac:dyDescent="0.25">
      <c r="A132" s="894">
        <v>43236</v>
      </c>
      <c r="B132" s="875">
        <v>6.8299000000000003</v>
      </c>
      <c r="C132" s="875">
        <v>6.5080999999999998</v>
      </c>
      <c r="D132" s="875">
        <v>9.4093999999999998</v>
      </c>
      <c r="E132" s="875">
        <v>9.0207999999999995</v>
      </c>
      <c r="F132" s="875">
        <v>10.2384</v>
      </c>
      <c r="G132" s="875">
        <v>6.8070000000000004</v>
      </c>
      <c r="H132" s="875">
        <v>8.1915999999999993</v>
      </c>
      <c r="I132" s="875">
        <v>13.012600000000001</v>
      </c>
      <c r="J132" s="875">
        <v>8.4568999999999992</v>
      </c>
      <c r="K132" s="875">
        <v>5.4621000000000004</v>
      </c>
      <c r="L132" s="875">
        <v>7.4538000000000002</v>
      </c>
      <c r="M132" s="875">
        <v>6.5186000000000002</v>
      </c>
      <c r="O132" s="893">
        <f t="shared" si="8"/>
        <v>43236</v>
      </c>
      <c r="P132" s="895">
        <f t="shared" si="9"/>
        <v>8.1591000000000022</v>
      </c>
      <c r="Q132" s="895">
        <f t="shared" si="10"/>
        <v>8.4013200000000001</v>
      </c>
      <c r="R132" s="895">
        <f t="shared" si="11"/>
        <v>7.9860857142857142</v>
      </c>
    </row>
    <row r="133" spans="1:18" x14ac:dyDescent="0.25">
      <c r="A133" s="894">
        <v>43235</v>
      </c>
      <c r="B133" s="875">
        <v>6.7992999999999997</v>
      </c>
      <c r="C133" s="875">
        <v>6.4901</v>
      </c>
      <c r="D133" s="875">
        <v>9.3765999999999998</v>
      </c>
      <c r="E133" s="875">
        <v>8.8567</v>
      </c>
      <c r="F133" s="875">
        <v>10.388</v>
      </c>
      <c r="G133" s="875">
        <v>6.7667999999999999</v>
      </c>
      <c r="H133" s="875">
        <v>8.1024999999999991</v>
      </c>
      <c r="I133" s="875">
        <v>12.8949</v>
      </c>
      <c r="J133" s="875">
        <v>8.4305000000000003</v>
      </c>
      <c r="K133" s="875">
        <v>5.4093999999999998</v>
      </c>
      <c r="L133" s="875">
        <v>7.5103999999999997</v>
      </c>
      <c r="M133" s="875">
        <v>6.4782999999999999</v>
      </c>
      <c r="O133" s="893">
        <f t="shared" si="8"/>
        <v>43235</v>
      </c>
      <c r="P133" s="895">
        <f t="shared" si="9"/>
        <v>8.1252916666666675</v>
      </c>
      <c r="Q133" s="895">
        <f t="shared" si="10"/>
        <v>8.3821399999999997</v>
      </c>
      <c r="R133" s="895">
        <f t="shared" si="11"/>
        <v>7.9418285714285703</v>
      </c>
    </row>
    <row r="134" spans="1:18" x14ac:dyDescent="0.25">
      <c r="A134" s="894">
        <v>43234</v>
      </c>
      <c r="B134" s="875">
        <v>6.7797000000000001</v>
      </c>
      <c r="C134" s="875">
        <v>6.4610000000000003</v>
      </c>
      <c r="D134" s="875">
        <v>9.4242000000000008</v>
      </c>
      <c r="E134" s="875">
        <v>8.7829999999999995</v>
      </c>
      <c r="F134" s="875">
        <v>10.4186</v>
      </c>
      <c r="G134" s="875">
        <v>6.3066000000000004</v>
      </c>
      <c r="H134" s="875">
        <v>8.0100999999999996</v>
      </c>
      <c r="I134" s="875">
        <v>12.805099999999999</v>
      </c>
      <c r="J134" s="875">
        <v>8.4570000000000007</v>
      </c>
      <c r="K134" s="875">
        <v>5.29</v>
      </c>
      <c r="L134" s="875">
        <v>7.4737999999999998</v>
      </c>
      <c r="M134" s="875">
        <v>6.5412999999999997</v>
      </c>
      <c r="O134" s="893">
        <f t="shared" si="8"/>
        <v>43234</v>
      </c>
      <c r="P134" s="895">
        <f t="shared" si="9"/>
        <v>8.0625333333333344</v>
      </c>
      <c r="Q134" s="895">
        <f t="shared" si="10"/>
        <v>8.3733000000000004</v>
      </c>
      <c r="R134" s="895">
        <f t="shared" si="11"/>
        <v>7.8405571428571426</v>
      </c>
    </row>
    <row r="135" spans="1:18" x14ac:dyDescent="0.25">
      <c r="A135" s="894">
        <v>43231</v>
      </c>
      <c r="B135" s="875">
        <v>6.9516</v>
      </c>
      <c r="C135" s="875">
        <v>6.6984000000000004</v>
      </c>
      <c r="D135" s="875">
        <v>9.5716000000000001</v>
      </c>
      <c r="E135" s="875">
        <v>9.1257000000000001</v>
      </c>
      <c r="F135" s="875">
        <v>10.7521</v>
      </c>
      <c r="G135" s="875">
        <v>6.3773</v>
      </c>
      <c r="H135" s="875">
        <v>8.1935000000000002</v>
      </c>
      <c r="I135" s="875">
        <v>13.4932</v>
      </c>
      <c r="J135" s="875">
        <v>8.6418999999999997</v>
      </c>
      <c r="K135" s="875">
        <v>5.2805999999999997</v>
      </c>
      <c r="L135" s="875">
        <v>7.8186</v>
      </c>
      <c r="M135" s="875">
        <v>6.9416000000000002</v>
      </c>
      <c r="O135" s="893">
        <f t="shared" si="8"/>
        <v>43231</v>
      </c>
      <c r="P135" s="895">
        <f t="shared" si="9"/>
        <v>8.320508333333331</v>
      </c>
      <c r="Q135" s="895">
        <f t="shared" si="10"/>
        <v>8.6198800000000002</v>
      </c>
      <c r="R135" s="895">
        <f t="shared" si="11"/>
        <v>8.1066714285714276</v>
      </c>
    </row>
    <row r="136" spans="1:18" x14ac:dyDescent="0.25">
      <c r="A136" s="894">
        <v>43230</v>
      </c>
      <c r="B136" s="875">
        <v>6.9523000000000001</v>
      </c>
      <c r="C136" s="875">
        <v>6.6989000000000001</v>
      </c>
      <c r="D136" s="875">
        <v>9.7447999999999997</v>
      </c>
      <c r="E136" s="875">
        <v>9.1936999999999998</v>
      </c>
      <c r="F136" s="875">
        <v>10.7628</v>
      </c>
      <c r="G136" s="875">
        <v>4.6262999999999996</v>
      </c>
      <c r="H136" s="875">
        <v>8.4123999999999999</v>
      </c>
      <c r="I136" s="875">
        <v>13.224</v>
      </c>
      <c r="J136" s="875">
        <v>8.7911999999999999</v>
      </c>
      <c r="K136" s="875">
        <v>5.2233000000000001</v>
      </c>
      <c r="L136" s="875">
        <v>8.1021000000000001</v>
      </c>
      <c r="M136" s="875">
        <v>7.1018999999999997</v>
      </c>
      <c r="O136" s="893">
        <f t="shared" si="8"/>
        <v>43230</v>
      </c>
      <c r="P136" s="895">
        <f t="shared" si="9"/>
        <v>8.2361416666666667</v>
      </c>
      <c r="Q136" s="895">
        <f t="shared" si="10"/>
        <v>8.6705000000000005</v>
      </c>
      <c r="R136" s="895">
        <f t="shared" si="11"/>
        <v>7.9258857142857142</v>
      </c>
    </row>
    <row r="137" spans="1:18" x14ac:dyDescent="0.25">
      <c r="A137" s="894">
        <v>43229</v>
      </c>
      <c r="B137" s="875">
        <v>6.9077999999999999</v>
      </c>
      <c r="C137" s="875">
        <v>6.7233999999999998</v>
      </c>
      <c r="D137" s="875">
        <v>9.6389999999999993</v>
      </c>
      <c r="E137" s="875">
        <v>9.0350999999999999</v>
      </c>
      <c r="F137" s="875">
        <v>10.839</v>
      </c>
      <c r="G137" s="875">
        <v>4.6159999999999997</v>
      </c>
      <c r="H137" s="875">
        <v>8.0093999999999994</v>
      </c>
      <c r="I137" s="875">
        <v>12.9277</v>
      </c>
      <c r="J137" s="875">
        <v>8.5853000000000002</v>
      </c>
      <c r="K137" s="875">
        <v>5.1150000000000002</v>
      </c>
      <c r="L137" s="875">
        <v>7.96</v>
      </c>
      <c r="M137" s="875">
        <v>6.9870999999999999</v>
      </c>
      <c r="O137" s="893">
        <f t="shared" si="8"/>
        <v>43229</v>
      </c>
      <c r="P137" s="895">
        <f t="shared" si="9"/>
        <v>8.1120666666666654</v>
      </c>
      <c r="Q137" s="895">
        <f t="shared" si="10"/>
        <v>8.6288599999999995</v>
      </c>
      <c r="R137" s="895">
        <f t="shared" si="11"/>
        <v>7.742928571428572</v>
      </c>
    </row>
    <row r="138" spans="1:18" x14ac:dyDescent="0.25">
      <c r="A138" s="894">
        <v>43228</v>
      </c>
      <c r="B138" s="875">
        <v>6.8582000000000001</v>
      </c>
      <c r="C138" s="875">
        <v>6.5591999999999997</v>
      </c>
      <c r="D138" s="875">
        <v>9.5178999999999991</v>
      </c>
      <c r="E138" s="875">
        <v>8.9010999999999996</v>
      </c>
      <c r="F138" s="875">
        <v>10.602600000000001</v>
      </c>
      <c r="G138" s="875">
        <v>4.5636000000000001</v>
      </c>
      <c r="H138" s="875">
        <v>6.9385000000000003</v>
      </c>
      <c r="I138" s="875">
        <v>12.5168</v>
      </c>
      <c r="J138" s="875">
        <v>8.3539999999999992</v>
      </c>
      <c r="K138" s="875">
        <v>5.0773999999999999</v>
      </c>
      <c r="L138" s="875">
        <v>7.7846000000000002</v>
      </c>
      <c r="M138" s="875">
        <v>6.5236000000000001</v>
      </c>
      <c r="O138" s="893">
        <f t="shared" si="8"/>
        <v>43228</v>
      </c>
      <c r="P138" s="895">
        <f t="shared" si="9"/>
        <v>7.8497916666666656</v>
      </c>
      <c r="Q138" s="895">
        <f t="shared" si="10"/>
        <v>8.4878</v>
      </c>
      <c r="R138" s="895">
        <f t="shared" si="11"/>
        <v>7.3940714285714284</v>
      </c>
    </row>
    <row r="139" spans="1:18" x14ac:dyDescent="0.25">
      <c r="A139" s="894">
        <v>43227</v>
      </c>
      <c r="B139" s="875">
        <v>6.7641999999999998</v>
      </c>
      <c r="C139" s="875">
        <v>6.3940000000000001</v>
      </c>
      <c r="D139" s="875">
        <v>9.4004999999999992</v>
      </c>
      <c r="E139" s="875">
        <v>8.6416000000000004</v>
      </c>
      <c r="F139" s="875">
        <v>10.618499999999999</v>
      </c>
      <c r="G139" s="875">
        <v>4.5628000000000002</v>
      </c>
      <c r="H139" s="875">
        <v>7.0701000000000001</v>
      </c>
      <c r="I139" s="875">
        <v>12.336</v>
      </c>
      <c r="J139" s="875">
        <v>8.3373000000000008</v>
      </c>
      <c r="K139" s="875">
        <v>4.9016999999999999</v>
      </c>
      <c r="L139" s="875">
        <v>7.6890999999999998</v>
      </c>
      <c r="M139" s="875">
        <v>6.6848999999999998</v>
      </c>
      <c r="O139" s="893">
        <f t="shared" si="8"/>
        <v>43227</v>
      </c>
      <c r="P139" s="895">
        <f t="shared" si="9"/>
        <v>7.7833916666666667</v>
      </c>
      <c r="Q139" s="895">
        <f t="shared" si="10"/>
        <v>8.363760000000001</v>
      </c>
      <c r="R139" s="895">
        <f t="shared" si="11"/>
        <v>7.3688428571428561</v>
      </c>
    </row>
    <row r="140" spans="1:18" x14ac:dyDescent="0.25">
      <c r="A140" s="894">
        <v>43224</v>
      </c>
      <c r="B140" s="875">
        <v>6.6692</v>
      </c>
      <c r="C140" s="875">
        <v>6.3982000000000001</v>
      </c>
      <c r="D140" s="875">
        <v>9.1812000000000005</v>
      </c>
      <c r="E140" s="875">
        <v>8.4298999999999999</v>
      </c>
      <c r="F140" s="875">
        <v>10.3392</v>
      </c>
      <c r="G140" s="875">
        <v>4.4291</v>
      </c>
      <c r="H140" s="875">
        <v>6.9775999999999998</v>
      </c>
      <c r="I140" s="875">
        <v>12.000400000000001</v>
      </c>
      <c r="J140" s="875">
        <v>8.2799999999999994</v>
      </c>
      <c r="K140" s="875">
        <v>4.8916000000000004</v>
      </c>
      <c r="L140" s="875">
        <v>7.6087999999999996</v>
      </c>
      <c r="M140" s="875">
        <v>6.6280999999999999</v>
      </c>
      <c r="O140" s="893">
        <f t="shared" si="8"/>
        <v>43224</v>
      </c>
      <c r="P140" s="895">
        <f t="shared" si="9"/>
        <v>7.652775000000001</v>
      </c>
      <c r="Q140" s="895">
        <f t="shared" si="10"/>
        <v>8.2035400000000003</v>
      </c>
      <c r="R140" s="895">
        <f t="shared" si="11"/>
        <v>7.2593714285714288</v>
      </c>
    </row>
    <row r="141" spans="1:18" x14ac:dyDescent="0.25">
      <c r="A141" s="894">
        <v>43223</v>
      </c>
      <c r="B141" s="875">
        <v>6.5462999999999996</v>
      </c>
      <c r="C141" s="875">
        <v>6.3826999999999998</v>
      </c>
      <c r="D141" s="875">
        <v>9.0809999999999995</v>
      </c>
      <c r="E141" s="875">
        <v>8.3129000000000008</v>
      </c>
      <c r="F141" s="875">
        <v>10.188599999999999</v>
      </c>
      <c r="G141" s="875">
        <v>4.4314</v>
      </c>
      <c r="H141" s="875">
        <v>7.016</v>
      </c>
      <c r="I141" s="875">
        <v>11.942500000000001</v>
      </c>
      <c r="J141" s="875">
        <v>7.9958999999999998</v>
      </c>
      <c r="K141" s="875">
        <v>4.7507000000000001</v>
      </c>
      <c r="L141" s="875">
        <v>7.4539</v>
      </c>
      <c r="M141" s="875">
        <v>6.4451999999999998</v>
      </c>
      <c r="O141" s="893">
        <f t="shared" si="8"/>
        <v>43223</v>
      </c>
      <c r="P141" s="895">
        <f t="shared" si="9"/>
        <v>7.5455916666666667</v>
      </c>
      <c r="Q141" s="895">
        <f t="shared" si="10"/>
        <v>8.1022999999999996</v>
      </c>
      <c r="R141" s="895">
        <f t="shared" si="11"/>
        <v>7.1479428571428567</v>
      </c>
    </row>
    <row r="142" spans="1:18" x14ac:dyDescent="0.25">
      <c r="A142" s="894">
        <v>43222</v>
      </c>
      <c r="B142" s="875">
        <v>6.4671000000000003</v>
      </c>
      <c r="C142" s="875">
        <v>5.9885000000000002</v>
      </c>
      <c r="D142" s="875">
        <v>8.9122000000000003</v>
      </c>
      <c r="E142" s="875">
        <v>8.0831999999999997</v>
      </c>
      <c r="F142" s="875">
        <v>9.9987999999999992</v>
      </c>
      <c r="G142" s="875">
        <v>4.4256000000000002</v>
      </c>
      <c r="H142" s="875">
        <v>6.9368999999999996</v>
      </c>
      <c r="I142" s="875">
        <v>11.687799999999999</v>
      </c>
      <c r="J142" s="875">
        <v>8.0105000000000004</v>
      </c>
      <c r="K142" s="875">
        <v>4.6769999999999996</v>
      </c>
      <c r="L142" s="875">
        <v>7.3799000000000001</v>
      </c>
      <c r="M142" s="875">
        <v>6.4941000000000004</v>
      </c>
      <c r="O142" s="893">
        <f t="shared" si="8"/>
        <v>43222</v>
      </c>
      <c r="P142" s="895">
        <f t="shared" si="9"/>
        <v>7.4218000000000011</v>
      </c>
      <c r="Q142" s="895">
        <f t="shared" si="10"/>
        <v>7.8899599999999994</v>
      </c>
      <c r="R142" s="895">
        <f t="shared" si="11"/>
        <v>7.0874000000000006</v>
      </c>
    </row>
    <row r="143" spans="1:18" x14ac:dyDescent="0.25">
      <c r="A143" s="894">
        <v>43221</v>
      </c>
      <c r="B143" s="875">
        <v>6.4852999999999996</v>
      </c>
      <c r="C143" s="875">
        <v>5.9726999999999997</v>
      </c>
      <c r="D143" s="875">
        <v>8.8627000000000002</v>
      </c>
      <c r="E143" s="875">
        <v>8.1062999999999992</v>
      </c>
      <c r="F143" s="875">
        <v>10.0039</v>
      </c>
      <c r="G143" s="875">
        <v>4.4400000000000004</v>
      </c>
      <c r="H143" s="875">
        <v>6.8263999999999996</v>
      </c>
      <c r="I143" s="875">
        <v>11.382199999999999</v>
      </c>
      <c r="J143" s="875">
        <v>7.5025000000000004</v>
      </c>
      <c r="K143" s="875">
        <v>4.6742999999999997</v>
      </c>
      <c r="L143" s="875">
        <v>7.2763999999999998</v>
      </c>
      <c r="M143" s="875">
        <v>7.3692000000000002</v>
      </c>
      <c r="O143" s="893">
        <f t="shared" si="8"/>
        <v>43221</v>
      </c>
      <c r="P143" s="895">
        <f t="shared" si="9"/>
        <v>7.4084916666666665</v>
      </c>
      <c r="Q143" s="895">
        <f t="shared" si="10"/>
        <v>7.8861800000000004</v>
      </c>
      <c r="R143" s="895">
        <f t="shared" si="11"/>
        <v>7.0672857142857151</v>
      </c>
    </row>
    <row r="144" spans="1:18" x14ac:dyDescent="0.25">
      <c r="A144" s="894">
        <v>43220</v>
      </c>
      <c r="B144" s="875">
        <v>6.3707000000000003</v>
      </c>
      <c r="C144" s="875">
        <v>5.9973999999999998</v>
      </c>
      <c r="D144" s="875">
        <v>8.8109999999999999</v>
      </c>
      <c r="E144" s="875">
        <v>8.0683000000000007</v>
      </c>
      <c r="F144" s="875">
        <v>10.059200000000001</v>
      </c>
      <c r="G144" s="875">
        <v>4.6094999999999997</v>
      </c>
      <c r="H144" s="875">
        <v>6.7731000000000003</v>
      </c>
      <c r="I144" s="875">
        <v>11.2187</v>
      </c>
      <c r="J144" s="875">
        <v>7.5749000000000004</v>
      </c>
      <c r="K144" s="875">
        <v>4.7788000000000004</v>
      </c>
      <c r="L144" s="875">
        <v>7.3266999999999998</v>
      </c>
      <c r="M144" s="875">
        <v>7.2563000000000004</v>
      </c>
      <c r="O144" s="893">
        <f t="shared" si="8"/>
        <v>43220</v>
      </c>
      <c r="P144" s="895">
        <f t="shared" si="9"/>
        <v>7.4037166666666669</v>
      </c>
      <c r="Q144" s="895">
        <f t="shared" si="10"/>
        <v>7.861320000000001</v>
      </c>
      <c r="R144" s="895">
        <f t="shared" si="11"/>
        <v>7.0768571428571434</v>
      </c>
    </row>
    <row r="145" spans="1:18" x14ac:dyDescent="0.25">
      <c r="A145" s="894">
        <v>43217</v>
      </c>
      <c r="B145" s="875">
        <v>6.4253999999999998</v>
      </c>
      <c r="C145" s="875">
        <v>5.9248000000000003</v>
      </c>
      <c r="D145" s="875">
        <v>8.8064999999999998</v>
      </c>
      <c r="E145" s="875">
        <v>7.9142999999999999</v>
      </c>
      <c r="F145" s="875">
        <v>9.8917000000000002</v>
      </c>
      <c r="G145" s="875">
        <v>4.6711999999999998</v>
      </c>
      <c r="H145" s="875">
        <v>6.6852</v>
      </c>
      <c r="I145" s="875">
        <v>11.094799999999999</v>
      </c>
      <c r="J145" s="875">
        <v>7.5400999999999998</v>
      </c>
      <c r="K145" s="875">
        <v>4.7724000000000002</v>
      </c>
      <c r="L145" s="875">
        <v>7.4804000000000004</v>
      </c>
      <c r="M145" s="875">
        <v>7.1608000000000001</v>
      </c>
      <c r="O145" s="893">
        <f t="shared" si="8"/>
        <v>43217</v>
      </c>
      <c r="P145" s="895">
        <f t="shared" si="9"/>
        <v>7.3639666666666663</v>
      </c>
      <c r="Q145" s="895">
        <f t="shared" si="10"/>
        <v>7.7925399999999998</v>
      </c>
      <c r="R145" s="895">
        <f t="shared" si="11"/>
        <v>7.057842857142858</v>
      </c>
    </row>
    <row r="146" spans="1:18" x14ac:dyDescent="0.25">
      <c r="A146" s="894">
        <v>43216</v>
      </c>
      <c r="B146" s="875">
        <v>6.4600999999999997</v>
      </c>
      <c r="C146" s="875">
        <v>5.8869999999999996</v>
      </c>
      <c r="D146" s="875">
        <v>8.7975999999999992</v>
      </c>
      <c r="E146" s="875">
        <v>7.8140000000000001</v>
      </c>
      <c r="F146" s="875">
        <v>10.0181</v>
      </c>
      <c r="G146" s="875">
        <v>4.7081999999999997</v>
      </c>
      <c r="H146" s="875">
        <v>6.6992000000000003</v>
      </c>
      <c r="I146" s="875">
        <v>11.389699999999999</v>
      </c>
      <c r="J146" s="875">
        <v>7.5747999999999998</v>
      </c>
      <c r="K146" s="875">
        <v>4.6840999999999999</v>
      </c>
      <c r="L146" s="875">
        <v>7.5998999999999999</v>
      </c>
      <c r="M146" s="875">
        <v>7.3030999999999997</v>
      </c>
      <c r="O146" s="893">
        <f t="shared" si="8"/>
        <v>43216</v>
      </c>
      <c r="P146" s="895">
        <f t="shared" si="9"/>
        <v>7.411316666666667</v>
      </c>
      <c r="Q146" s="895">
        <f t="shared" si="10"/>
        <v>7.7953599999999996</v>
      </c>
      <c r="R146" s="895">
        <f t="shared" si="11"/>
        <v>7.1369999999999996</v>
      </c>
    </row>
    <row r="147" spans="1:18" x14ac:dyDescent="0.25">
      <c r="A147" s="894">
        <v>43215</v>
      </c>
      <c r="B147" s="875">
        <v>6.2708000000000004</v>
      </c>
      <c r="C147" s="875">
        <v>5.7122999999999999</v>
      </c>
      <c r="D147" s="875">
        <v>8.5540000000000003</v>
      </c>
      <c r="E147" s="875">
        <v>7.4908000000000001</v>
      </c>
      <c r="F147" s="875">
        <v>9.5944000000000003</v>
      </c>
      <c r="G147" s="875">
        <v>4.6060999999999996</v>
      </c>
      <c r="H147" s="875">
        <v>6.5145999999999997</v>
      </c>
      <c r="I147" s="875">
        <v>11.1835</v>
      </c>
      <c r="J147" s="875">
        <v>7.2850999999999999</v>
      </c>
      <c r="K147" s="875">
        <v>4.6269999999999998</v>
      </c>
      <c r="L147" s="875">
        <v>7.2131999999999996</v>
      </c>
      <c r="M147" s="875">
        <v>7.0170000000000003</v>
      </c>
      <c r="O147" s="893">
        <f t="shared" si="8"/>
        <v>43215</v>
      </c>
      <c r="P147" s="895">
        <f t="shared" si="9"/>
        <v>7.1723999999999997</v>
      </c>
      <c r="Q147" s="895">
        <f t="shared" si="10"/>
        <v>7.5244600000000004</v>
      </c>
      <c r="R147" s="895">
        <f t="shared" si="11"/>
        <v>6.9209285714285729</v>
      </c>
    </row>
    <row r="148" spans="1:18" x14ac:dyDescent="0.25">
      <c r="A148" s="894">
        <v>43214</v>
      </c>
      <c r="B148" s="875">
        <v>6.3061999999999996</v>
      </c>
      <c r="C148" s="875">
        <v>5.7610999999999999</v>
      </c>
      <c r="D148" s="875">
        <v>8.7844999999999995</v>
      </c>
      <c r="E148" s="875">
        <v>7.7252999999999998</v>
      </c>
      <c r="F148" s="875">
        <v>9.8295999999999992</v>
      </c>
      <c r="G148" s="875">
        <v>4.7541000000000002</v>
      </c>
      <c r="H148" s="875">
        <v>6.4067999999999996</v>
      </c>
      <c r="I148" s="875">
        <v>11.184900000000001</v>
      </c>
      <c r="J148" s="875">
        <v>7.3146000000000004</v>
      </c>
      <c r="K148" s="875">
        <v>4.6205999999999996</v>
      </c>
      <c r="L148" s="875">
        <v>7.2739000000000003</v>
      </c>
      <c r="M148" s="875">
        <v>7.2370999999999999</v>
      </c>
      <c r="O148" s="893">
        <f t="shared" si="8"/>
        <v>43214</v>
      </c>
      <c r="P148" s="895">
        <f t="shared" si="9"/>
        <v>7.2665583333333323</v>
      </c>
      <c r="Q148" s="895">
        <f t="shared" si="10"/>
        <v>7.6813400000000005</v>
      </c>
      <c r="R148" s="895">
        <f t="shared" si="11"/>
        <v>6.9702857142857146</v>
      </c>
    </row>
    <row r="149" spans="1:18" x14ac:dyDescent="0.25">
      <c r="A149" s="894">
        <v>43213</v>
      </c>
      <c r="B149" s="875">
        <v>6.5326000000000004</v>
      </c>
      <c r="C149" s="875">
        <v>5.9973000000000001</v>
      </c>
      <c r="D149" s="875">
        <v>9.1121999999999996</v>
      </c>
      <c r="E149" s="875">
        <v>8.1235999999999997</v>
      </c>
      <c r="F149" s="875">
        <v>10.270300000000001</v>
      </c>
      <c r="G149" s="875">
        <v>4.8761999999999999</v>
      </c>
      <c r="H149" s="875">
        <v>6.5461</v>
      </c>
      <c r="I149" s="875">
        <v>11.5807</v>
      </c>
      <c r="J149" s="875">
        <v>7.6062000000000003</v>
      </c>
      <c r="K149" s="875">
        <v>4.7859999999999996</v>
      </c>
      <c r="L149" s="875">
        <v>7.5567000000000002</v>
      </c>
      <c r="M149" s="875">
        <v>7.1369999999999996</v>
      </c>
      <c r="O149" s="893">
        <f t="shared" si="8"/>
        <v>43213</v>
      </c>
      <c r="P149" s="895">
        <f t="shared" si="9"/>
        <v>7.5104083333333342</v>
      </c>
      <c r="Q149" s="895">
        <f t="shared" si="10"/>
        <v>8.007200000000001</v>
      </c>
      <c r="R149" s="895">
        <f t="shared" si="11"/>
        <v>7.1555571428571429</v>
      </c>
    </row>
    <row r="150" spans="1:18" x14ac:dyDescent="0.25">
      <c r="A150" s="894">
        <v>43210</v>
      </c>
      <c r="B150" s="875">
        <v>6.5926999999999998</v>
      </c>
      <c r="C150" s="875">
        <v>5.9173999999999998</v>
      </c>
      <c r="D150" s="875">
        <v>9.1775000000000002</v>
      </c>
      <c r="E150" s="875">
        <v>8.0924999999999994</v>
      </c>
      <c r="F150" s="875">
        <v>10.3782</v>
      </c>
      <c r="G150" s="875">
        <v>4.9231999999999996</v>
      </c>
      <c r="H150" s="875">
        <v>6.5244999999999997</v>
      </c>
      <c r="I150" s="875">
        <v>11.2233</v>
      </c>
      <c r="J150" s="875">
        <v>7.5765000000000002</v>
      </c>
      <c r="K150" s="875">
        <v>4.8308999999999997</v>
      </c>
      <c r="L150" s="875">
        <v>7.8410000000000002</v>
      </c>
      <c r="M150" s="875">
        <v>7.0928000000000004</v>
      </c>
      <c r="O150" s="893">
        <f t="shared" si="8"/>
        <v>43210</v>
      </c>
      <c r="P150" s="895">
        <f t="shared" si="9"/>
        <v>7.5142083333333325</v>
      </c>
      <c r="Q150" s="895">
        <f t="shared" si="10"/>
        <v>8.0316599999999987</v>
      </c>
      <c r="R150" s="895">
        <f t="shared" si="11"/>
        <v>7.1446000000000014</v>
      </c>
    </row>
    <row r="151" spans="1:18" x14ac:dyDescent="0.25">
      <c r="A151" s="894">
        <v>43209</v>
      </c>
      <c r="B151" s="875">
        <v>6.6531000000000002</v>
      </c>
      <c r="C151" s="875">
        <v>5.9644000000000004</v>
      </c>
      <c r="D151" s="875">
        <v>9.2873000000000001</v>
      </c>
      <c r="E151" s="875">
        <v>8.2133000000000003</v>
      </c>
      <c r="F151" s="875">
        <v>10.637600000000001</v>
      </c>
      <c r="G151" s="875">
        <v>4.9099000000000004</v>
      </c>
      <c r="H151" s="875">
        <v>6.6791999999999998</v>
      </c>
      <c r="I151" s="875">
        <v>10.9749</v>
      </c>
      <c r="J151" s="875">
        <v>7.9234</v>
      </c>
      <c r="K151" s="875">
        <v>4.8281999999999998</v>
      </c>
      <c r="L151" s="875">
        <v>7.9961000000000002</v>
      </c>
      <c r="M151" s="875">
        <v>7.0773999999999999</v>
      </c>
      <c r="O151" s="893">
        <f t="shared" si="8"/>
        <v>43209</v>
      </c>
      <c r="P151" s="895">
        <f t="shared" si="9"/>
        <v>7.5953999999999988</v>
      </c>
      <c r="Q151" s="895">
        <f t="shared" si="10"/>
        <v>8.1511400000000016</v>
      </c>
      <c r="R151" s="895">
        <f t="shared" si="11"/>
        <v>7.1984428571428571</v>
      </c>
    </row>
    <row r="152" spans="1:18" x14ac:dyDescent="0.25">
      <c r="A152" s="894">
        <v>43208</v>
      </c>
      <c r="B152" s="875">
        <v>6.68</v>
      </c>
      <c r="C152" s="875">
        <v>6.0244</v>
      </c>
      <c r="D152" s="875">
        <v>9.3424999999999994</v>
      </c>
      <c r="E152" s="875">
        <v>8.2955000000000005</v>
      </c>
      <c r="F152" s="875">
        <v>10.731</v>
      </c>
      <c r="G152" s="875">
        <v>4.9210000000000003</v>
      </c>
      <c r="H152" s="875">
        <v>6.7244999999999999</v>
      </c>
      <c r="I152" s="875">
        <v>11.1174</v>
      </c>
      <c r="J152" s="875">
        <v>7.9142999999999999</v>
      </c>
      <c r="K152" s="875">
        <v>4.8689999999999998</v>
      </c>
      <c r="L152" s="875">
        <v>8.1014999999999997</v>
      </c>
      <c r="M152" s="875">
        <v>7.0834999999999999</v>
      </c>
      <c r="O152" s="893">
        <f t="shared" si="8"/>
        <v>43208</v>
      </c>
      <c r="P152" s="895">
        <f t="shared" si="9"/>
        <v>7.6503833333333331</v>
      </c>
      <c r="Q152" s="895">
        <f t="shared" si="10"/>
        <v>8.2146799999999995</v>
      </c>
      <c r="R152" s="895">
        <f t="shared" si="11"/>
        <v>7.2473142857142863</v>
      </c>
    </row>
    <row r="153" spans="1:18" x14ac:dyDescent="0.25">
      <c r="A153" s="894">
        <v>43207</v>
      </c>
      <c r="B153" s="875">
        <v>6.6233000000000004</v>
      </c>
      <c r="C153" s="875">
        <v>5.9747000000000003</v>
      </c>
      <c r="D153" s="875">
        <v>9.3481000000000005</v>
      </c>
      <c r="E153" s="875">
        <v>8.3686000000000007</v>
      </c>
      <c r="F153" s="875">
        <v>10.757</v>
      </c>
      <c r="G153" s="875">
        <v>4.9408000000000003</v>
      </c>
      <c r="H153" s="875">
        <v>6.5286</v>
      </c>
      <c r="I153" s="875">
        <v>11.1358</v>
      </c>
      <c r="J153" s="875">
        <v>7.9359999999999999</v>
      </c>
      <c r="K153" s="875">
        <v>4.7961</v>
      </c>
      <c r="L153" s="875">
        <v>8.01</v>
      </c>
      <c r="M153" s="875">
        <v>7.0118</v>
      </c>
      <c r="O153" s="893">
        <f t="shared" si="8"/>
        <v>43207</v>
      </c>
      <c r="P153" s="895">
        <f t="shared" si="9"/>
        <v>7.6192333333333329</v>
      </c>
      <c r="Q153" s="895">
        <f t="shared" si="10"/>
        <v>8.21434</v>
      </c>
      <c r="R153" s="895">
        <f t="shared" si="11"/>
        <v>7.1941571428571427</v>
      </c>
    </row>
    <row r="154" spans="1:18" x14ac:dyDescent="0.25">
      <c r="A154" s="894">
        <v>43206</v>
      </c>
      <c r="B154" s="875">
        <v>6.4157000000000002</v>
      </c>
      <c r="C154" s="875">
        <v>5.7121000000000004</v>
      </c>
      <c r="D154" s="875">
        <v>8.9235000000000007</v>
      </c>
      <c r="E154" s="875">
        <v>8.0630000000000006</v>
      </c>
      <c r="F154" s="875">
        <v>10.446199999999999</v>
      </c>
      <c r="G154" s="875">
        <v>4.7849000000000004</v>
      </c>
      <c r="H154" s="875">
        <v>6.2478999999999996</v>
      </c>
      <c r="I154" s="875">
        <v>10.8767</v>
      </c>
      <c r="J154" s="875">
        <v>7.6326000000000001</v>
      </c>
      <c r="K154" s="875">
        <v>4.5815999999999999</v>
      </c>
      <c r="L154" s="875">
        <v>7.7173999999999996</v>
      </c>
      <c r="M154" s="875">
        <v>6.7869000000000002</v>
      </c>
      <c r="O154" s="893">
        <f t="shared" si="8"/>
        <v>43206</v>
      </c>
      <c r="P154" s="895">
        <f t="shared" si="9"/>
        <v>7.3490416666666656</v>
      </c>
      <c r="Q154" s="895">
        <f t="shared" si="10"/>
        <v>7.9120999999999997</v>
      </c>
      <c r="R154" s="895">
        <f t="shared" si="11"/>
        <v>6.9468571428571426</v>
      </c>
    </row>
    <row r="155" spans="1:18" x14ac:dyDescent="0.25">
      <c r="A155" s="894">
        <v>43203</v>
      </c>
      <c r="B155" s="875">
        <v>6.4017999999999997</v>
      </c>
      <c r="C155" s="875">
        <v>5.6147999999999998</v>
      </c>
      <c r="D155" s="875">
        <v>8.7772000000000006</v>
      </c>
      <c r="E155" s="875">
        <v>8.1006</v>
      </c>
      <c r="F155" s="875">
        <v>10.302899999999999</v>
      </c>
      <c r="G155" s="875">
        <v>4.7657999999999996</v>
      </c>
      <c r="H155" s="875">
        <v>6.2051999999999996</v>
      </c>
      <c r="I155" s="875">
        <v>10.8964</v>
      </c>
      <c r="J155" s="875">
        <v>7.6818999999999997</v>
      </c>
      <c r="K155" s="875">
        <v>4.4493999999999998</v>
      </c>
      <c r="L155" s="875">
        <v>7.6959999999999997</v>
      </c>
      <c r="M155" s="875">
        <v>6.8952999999999998</v>
      </c>
      <c r="O155" s="893">
        <f t="shared" si="8"/>
        <v>43203</v>
      </c>
      <c r="P155" s="895">
        <f t="shared" si="9"/>
        <v>7.3156083333333335</v>
      </c>
      <c r="Q155" s="895">
        <f t="shared" si="10"/>
        <v>7.8394599999999999</v>
      </c>
      <c r="R155" s="895">
        <f t="shared" si="11"/>
        <v>6.9414285714285713</v>
      </c>
    </row>
    <row r="156" spans="1:18" x14ac:dyDescent="0.25">
      <c r="A156" s="894">
        <v>43202</v>
      </c>
      <c r="B156" s="875">
        <v>6.5354999999999999</v>
      </c>
      <c r="C156" s="875">
        <v>5.7160000000000002</v>
      </c>
      <c r="D156" s="875">
        <v>9.0442</v>
      </c>
      <c r="E156" s="875">
        <v>8.2909000000000006</v>
      </c>
      <c r="F156" s="875">
        <v>10.4117</v>
      </c>
      <c r="G156" s="875">
        <v>4.7474999999999996</v>
      </c>
      <c r="H156" s="875">
        <v>6.2912999999999997</v>
      </c>
      <c r="I156" s="875">
        <v>10.9443</v>
      </c>
      <c r="J156" s="875">
        <v>7.6344000000000003</v>
      </c>
      <c r="K156" s="875">
        <v>4.3834</v>
      </c>
      <c r="L156" s="875">
        <v>7.7710999999999997</v>
      </c>
      <c r="M156" s="875">
        <v>6.8566000000000003</v>
      </c>
      <c r="O156" s="893">
        <f t="shared" si="8"/>
        <v>43202</v>
      </c>
      <c r="P156" s="895">
        <f t="shared" si="9"/>
        <v>7.3855750000000002</v>
      </c>
      <c r="Q156" s="895">
        <f t="shared" si="10"/>
        <v>7.9996600000000004</v>
      </c>
      <c r="R156" s="895">
        <f t="shared" si="11"/>
        <v>6.9469428571428571</v>
      </c>
    </row>
    <row r="157" spans="1:18" x14ac:dyDescent="0.25">
      <c r="A157" s="894">
        <v>43201</v>
      </c>
      <c r="B157" s="875">
        <v>6.4162999999999997</v>
      </c>
      <c r="C157" s="875">
        <v>5.5956000000000001</v>
      </c>
      <c r="D157" s="875">
        <v>8.9309999999999992</v>
      </c>
      <c r="E157" s="875">
        <v>7.9398999999999997</v>
      </c>
      <c r="F157" s="875">
        <v>10.291</v>
      </c>
      <c r="G157" s="875">
        <v>4.6318999999999999</v>
      </c>
      <c r="H157" s="875">
        <v>6.1703999999999999</v>
      </c>
      <c r="I157" s="875">
        <v>10.8432</v>
      </c>
      <c r="J157" s="875">
        <v>7.431</v>
      </c>
      <c r="K157" s="875">
        <v>4.3884999999999996</v>
      </c>
      <c r="L157" s="875">
        <v>7.7523</v>
      </c>
      <c r="M157" s="875">
        <v>6.6165000000000003</v>
      </c>
      <c r="O157" s="893">
        <f t="shared" si="8"/>
        <v>43201</v>
      </c>
      <c r="P157" s="895">
        <f t="shared" si="9"/>
        <v>7.250633333333333</v>
      </c>
      <c r="Q157" s="895">
        <f t="shared" si="10"/>
        <v>7.8347600000000002</v>
      </c>
      <c r="R157" s="895">
        <f t="shared" si="11"/>
        <v>6.8333999999999993</v>
      </c>
    </row>
    <row r="158" spans="1:18" x14ac:dyDescent="0.25">
      <c r="A158" s="894">
        <v>43200</v>
      </c>
      <c r="B158" s="875">
        <v>6.4393000000000002</v>
      </c>
      <c r="C158" s="875">
        <v>5.5350000000000001</v>
      </c>
      <c r="D158" s="875">
        <v>8.9286999999999992</v>
      </c>
      <c r="E158" s="875">
        <v>7.9183000000000003</v>
      </c>
      <c r="F158" s="875">
        <v>10.3066</v>
      </c>
      <c r="G158" s="875">
        <v>4.5267999999999997</v>
      </c>
      <c r="H158" s="875">
        <v>6.0442</v>
      </c>
      <c r="I158" s="875">
        <v>10.5342</v>
      </c>
      <c r="J158" s="875">
        <v>7.3063000000000002</v>
      </c>
      <c r="K158" s="875">
        <v>4.4368999999999996</v>
      </c>
      <c r="L158" s="875">
        <v>7.7591000000000001</v>
      </c>
      <c r="M158" s="875">
        <v>6.5556999999999999</v>
      </c>
      <c r="O158" s="893">
        <f t="shared" si="8"/>
        <v>43200</v>
      </c>
      <c r="P158" s="895">
        <f t="shared" si="9"/>
        <v>7.190925</v>
      </c>
      <c r="Q158" s="895">
        <f t="shared" si="10"/>
        <v>7.8255799999999995</v>
      </c>
      <c r="R158" s="895">
        <f t="shared" si="11"/>
        <v>6.7376000000000005</v>
      </c>
    </row>
    <row r="159" spans="1:18" x14ac:dyDescent="0.25">
      <c r="A159" s="894">
        <v>43199</v>
      </c>
      <c r="B159" s="875">
        <v>6.3158000000000003</v>
      </c>
      <c r="C159" s="875">
        <v>5.4535</v>
      </c>
      <c r="D159" s="875">
        <v>8.6933000000000007</v>
      </c>
      <c r="E159" s="875">
        <v>7.6058000000000003</v>
      </c>
      <c r="F159" s="875">
        <v>10.082700000000001</v>
      </c>
      <c r="G159" s="875">
        <v>4.3551000000000002</v>
      </c>
      <c r="H159" s="875">
        <v>5.8188000000000004</v>
      </c>
      <c r="I159" s="875">
        <v>10.386799999999999</v>
      </c>
      <c r="J159" s="875">
        <v>7.0747</v>
      </c>
      <c r="K159" s="875">
        <v>4.4222999999999999</v>
      </c>
      <c r="L159" s="875">
        <v>7.5457000000000001</v>
      </c>
      <c r="M159" s="875">
        <v>6.1467999999999998</v>
      </c>
      <c r="O159" s="893">
        <f t="shared" si="8"/>
        <v>43199</v>
      </c>
      <c r="P159" s="895">
        <f t="shared" si="9"/>
        <v>6.9917750000000014</v>
      </c>
      <c r="Q159" s="895">
        <f t="shared" si="10"/>
        <v>7.6302200000000013</v>
      </c>
      <c r="R159" s="895">
        <f t="shared" si="11"/>
        <v>6.5357428571428562</v>
      </c>
    </row>
    <row r="160" spans="1:18" x14ac:dyDescent="0.25">
      <c r="A160" s="894">
        <v>43196</v>
      </c>
      <c r="B160" s="875">
        <v>6.2638999999999996</v>
      </c>
      <c r="C160" s="875">
        <v>5.5044000000000004</v>
      </c>
      <c r="D160" s="875">
        <v>8.6539999999999999</v>
      </c>
      <c r="E160" s="875">
        <v>7.5720999999999998</v>
      </c>
      <c r="F160" s="875">
        <v>10.1037</v>
      </c>
      <c r="G160" s="875">
        <v>4.3364000000000003</v>
      </c>
      <c r="H160" s="875">
        <v>5.8567999999999998</v>
      </c>
      <c r="I160" s="875">
        <v>10.403</v>
      </c>
      <c r="J160" s="875">
        <v>7.0734000000000004</v>
      </c>
      <c r="K160" s="875">
        <v>4.4077999999999999</v>
      </c>
      <c r="L160" s="875">
        <v>7.5388000000000002</v>
      </c>
      <c r="M160" s="875">
        <v>6.2634999999999996</v>
      </c>
      <c r="O160" s="893">
        <f t="shared" si="8"/>
        <v>43196</v>
      </c>
      <c r="P160" s="895">
        <f t="shared" si="9"/>
        <v>6.998149999999999</v>
      </c>
      <c r="Q160" s="895">
        <f t="shared" si="10"/>
        <v>7.6196200000000003</v>
      </c>
      <c r="R160" s="895">
        <f t="shared" si="11"/>
        <v>6.5542428571428584</v>
      </c>
    </row>
    <row r="161" spans="1:18" x14ac:dyDescent="0.25">
      <c r="A161" s="894">
        <v>43195</v>
      </c>
      <c r="B161" s="875">
        <v>6.4295999999999998</v>
      </c>
      <c r="C161" s="875">
        <v>5.6658999999999997</v>
      </c>
      <c r="D161" s="875">
        <v>8.9145000000000003</v>
      </c>
      <c r="E161" s="875">
        <v>7.7419000000000002</v>
      </c>
      <c r="F161" s="875">
        <v>10.2866</v>
      </c>
      <c r="G161" s="875">
        <v>4.4653999999999998</v>
      </c>
      <c r="H161" s="875">
        <v>6.0403000000000002</v>
      </c>
      <c r="I161" s="875">
        <v>10.5022</v>
      </c>
      <c r="J161" s="875">
        <v>7.2923999999999998</v>
      </c>
      <c r="K161" s="875">
        <v>4.4325000000000001</v>
      </c>
      <c r="L161" s="875">
        <v>7.7464000000000004</v>
      </c>
      <c r="M161" s="875">
        <v>6.0048000000000004</v>
      </c>
      <c r="O161" s="893">
        <f t="shared" si="8"/>
        <v>43195</v>
      </c>
      <c r="P161" s="895">
        <f t="shared" si="9"/>
        <v>7.126875000000001</v>
      </c>
      <c r="Q161" s="895">
        <f t="shared" si="10"/>
        <v>7.8076999999999996</v>
      </c>
      <c r="R161" s="895">
        <f t="shared" si="11"/>
        <v>6.6405714285714286</v>
      </c>
    </row>
    <row r="162" spans="1:18" x14ac:dyDescent="0.25">
      <c r="A162" s="894">
        <v>43194</v>
      </c>
      <c r="B162" s="875">
        <v>6.4596</v>
      </c>
      <c r="C162" s="875">
        <v>5.6304999999999996</v>
      </c>
      <c r="D162" s="875">
        <v>8.9251000000000005</v>
      </c>
      <c r="E162" s="875">
        <v>7.7294</v>
      </c>
      <c r="F162" s="875">
        <v>10.228300000000001</v>
      </c>
      <c r="G162" s="875">
        <v>4.3627000000000002</v>
      </c>
      <c r="H162" s="875">
        <v>6.0800999999999998</v>
      </c>
      <c r="I162" s="875">
        <v>10.680099999999999</v>
      </c>
      <c r="J162" s="875">
        <v>7.3844000000000003</v>
      </c>
      <c r="K162" s="875">
        <v>4.4097999999999997</v>
      </c>
      <c r="L162" s="875">
        <v>7.7201000000000004</v>
      </c>
      <c r="M162" s="875">
        <v>6.0444000000000004</v>
      </c>
      <c r="O162" s="893">
        <f t="shared" si="8"/>
        <v>43194</v>
      </c>
      <c r="P162" s="895">
        <f t="shared" si="9"/>
        <v>7.1378750000000002</v>
      </c>
      <c r="Q162" s="895">
        <f t="shared" si="10"/>
        <v>7.794579999999999</v>
      </c>
      <c r="R162" s="895">
        <f t="shared" si="11"/>
        <v>6.6688000000000001</v>
      </c>
    </row>
    <row r="163" spans="1:18" x14ac:dyDescent="0.25">
      <c r="A163" s="894">
        <v>43193</v>
      </c>
      <c r="B163" s="875">
        <v>6.2971000000000004</v>
      </c>
      <c r="C163" s="875">
        <v>5.5991</v>
      </c>
      <c r="D163" s="875">
        <v>8.8544</v>
      </c>
      <c r="E163" s="875">
        <v>7.6210000000000004</v>
      </c>
      <c r="F163" s="875">
        <v>10.0525</v>
      </c>
      <c r="G163" s="875">
        <v>4.3220000000000001</v>
      </c>
      <c r="H163" s="875">
        <v>5.9168000000000003</v>
      </c>
      <c r="I163" s="875">
        <v>10.529299999999999</v>
      </c>
      <c r="J163" s="875">
        <v>7.1581000000000001</v>
      </c>
      <c r="K163" s="875">
        <v>4.4626000000000001</v>
      </c>
      <c r="L163" s="875">
        <v>7.5942999999999996</v>
      </c>
      <c r="M163" s="875">
        <v>6.6254</v>
      </c>
      <c r="O163" s="893">
        <f t="shared" si="8"/>
        <v>43193</v>
      </c>
      <c r="P163" s="895">
        <f t="shared" si="9"/>
        <v>7.0860500000000002</v>
      </c>
      <c r="Q163" s="895">
        <f t="shared" si="10"/>
        <v>7.6848200000000002</v>
      </c>
      <c r="R163" s="895">
        <f t="shared" si="11"/>
        <v>6.6583571428571426</v>
      </c>
    </row>
    <row r="164" spans="1:18" x14ac:dyDescent="0.25">
      <c r="A164" s="894">
        <v>43192</v>
      </c>
      <c r="B164" s="875">
        <v>6.24</v>
      </c>
      <c r="C164" s="875">
        <v>5.5254000000000003</v>
      </c>
      <c r="D164" s="875">
        <v>8.8793000000000006</v>
      </c>
      <c r="E164" s="875">
        <v>7.5862999999999996</v>
      </c>
      <c r="F164" s="875">
        <v>10.0532</v>
      </c>
      <c r="G164" s="875">
        <v>4.3796999999999997</v>
      </c>
      <c r="H164" s="875">
        <v>5.8052999999999999</v>
      </c>
      <c r="I164" s="875">
        <v>10.5501</v>
      </c>
      <c r="J164" s="875">
        <v>7.1877000000000004</v>
      </c>
      <c r="K164" s="875">
        <v>4.4279999999999999</v>
      </c>
      <c r="L164" s="875">
        <v>7.4829999999999997</v>
      </c>
      <c r="M164" s="875">
        <v>6.6341000000000001</v>
      </c>
      <c r="O164" s="893">
        <f t="shared" si="8"/>
        <v>43192</v>
      </c>
      <c r="P164" s="895">
        <f t="shared" si="9"/>
        <v>7.0626750000000014</v>
      </c>
      <c r="Q164" s="895">
        <f t="shared" si="10"/>
        <v>7.6568399999999999</v>
      </c>
      <c r="R164" s="895">
        <f t="shared" si="11"/>
        <v>6.6382714285714286</v>
      </c>
    </row>
    <row r="165" spans="1:18" x14ac:dyDescent="0.25">
      <c r="A165" s="894">
        <v>43188</v>
      </c>
      <c r="B165" s="875">
        <v>6.3095999999999997</v>
      </c>
      <c r="C165" s="875">
        <v>5.7157</v>
      </c>
      <c r="D165" s="875">
        <v>9.0365000000000002</v>
      </c>
      <c r="E165" s="875">
        <v>7.5377999999999998</v>
      </c>
      <c r="F165" s="875">
        <v>10.311</v>
      </c>
      <c r="G165" s="875">
        <v>4.5444000000000004</v>
      </c>
      <c r="H165" s="875">
        <v>6.0804</v>
      </c>
      <c r="I165" s="875">
        <v>10.811</v>
      </c>
      <c r="J165" s="875">
        <v>7.5217000000000001</v>
      </c>
      <c r="K165" s="875">
        <v>4.5369999999999999</v>
      </c>
      <c r="L165" s="875">
        <v>7.5536000000000003</v>
      </c>
      <c r="M165" s="875">
        <v>7.0635000000000003</v>
      </c>
      <c r="O165" s="893">
        <f t="shared" si="8"/>
        <v>43188</v>
      </c>
      <c r="P165" s="895">
        <f t="shared" si="9"/>
        <v>7.251850000000001</v>
      </c>
      <c r="Q165" s="895">
        <f t="shared" si="10"/>
        <v>7.7821200000000008</v>
      </c>
      <c r="R165" s="895">
        <f t="shared" si="11"/>
        <v>6.8730857142857147</v>
      </c>
    </row>
    <row r="166" spans="1:18" x14ac:dyDescent="0.25">
      <c r="A166" s="894">
        <v>43187</v>
      </c>
      <c r="B166" s="875">
        <v>6.1228999999999996</v>
      </c>
      <c r="C166" s="875">
        <v>5.5982000000000003</v>
      </c>
      <c r="D166" s="875">
        <v>8.7909000000000006</v>
      </c>
      <c r="E166" s="875">
        <v>7.3415999999999997</v>
      </c>
      <c r="F166" s="875">
        <v>10.0007</v>
      </c>
      <c r="G166" s="875">
        <v>4.7045000000000003</v>
      </c>
      <c r="H166" s="875">
        <v>5.9878</v>
      </c>
      <c r="I166" s="875">
        <v>10.3713</v>
      </c>
      <c r="J166" s="875">
        <v>7.3369</v>
      </c>
      <c r="K166" s="875">
        <v>4.5232000000000001</v>
      </c>
      <c r="L166" s="875">
        <v>7.5384000000000002</v>
      </c>
      <c r="M166" s="875">
        <v>6.7967000000000004</v>
      </c>
      <c r="O166" s="893">
        <f t="shared" si="8"/>
        <v>43187</v>
      </c>
      <c r="P166" s="895">
        <f t="shared" si="9"/>
        <v>7.0927583333333333</v>
      </c>
      <c r="Q166" s="895">
        <f t="shared" si="10"/>
        <v>7.5708600000000006</v>
      </c>
      <c r="R166" s="895">
        <f t="shared" si="11"/>
        <v>6.7512571428571437</v>
      </c>
    </row>
    <row r="167" spans="1:18" x14ac:dyDescent="0.25">
      <c r="A167" s="894">
        <v>43186</v>
      </c>
      <c r="B167" s="875">
        <v>6.1788999999999996</v>
      </c>
      <c r="C167" s="875">
        <v>5.7884000000000002</v>
      </c>
      <c r="D167" s="875">
        <v>8.9992999999999999</v>
      </c>
      <c r="E167" s="875">
        <v>7.6708999999999996</v>
      </c>
      <c r="F167" s="875">
        <v>10.212199999999999</v>
      </c>
      <c r="G167" s="875">
        <v>4.8345000000000002</v>
      </c>
      <c r="H167" s="875">
        <v>6.2198000000000002</v>
      </c>
      <c r="I167" s="875">
        <v>10.4381</v>
      </c>
      <c r="J167" s="875">
        <v>7.6066000000000003</v>
      </c>
      <c r="K167" s="875">
        <v>4.6162999999999998</v>
      </c>
      <c r="L167" s="875">
        <v>7.6867000000000001</v>
      </c>
      <c r="M167" s="875">
        <v>7.1336000000000004</v>
      </c>
      <c r="O167" s="893">
        <f t="shared" si="8"/>
        <v>43186</v>
      </c>
      <c r="P167" s="895">
        <f t="shared" si="9"/>
        <v>7.2821083333333334</v>
      </c>
      <c r="Q167" s="895">
        <f t="shared" si="10"/>
        <v>7.7699400000000001</v>
      </c>
      <c r="R167" s="895">
        <f t="shared" si="11"/>
        <v>6.9336571428571441</v>
      </c>
    </row>
    <row r="168" spans="1:18" x14ac:dyDescent="0.25">
      <c r="A168" s="894">
        <v>43185</v>
      </c>
      <c r="B168" s="875">
        <v>6.4733999999999998</v>
      </c>
      <c r="C168" s="875">
        <v>6.0147000000000004</v>
      </c>
      <c r="D168" s="875">
        <v>9.4111999999999991</v>
      </c>
      <c r="E168" s="875">
        <v>8.1052</v>
      </c>
      <c r="F168" s="875">
        <v>10.776400000000001</v>
      </c>
      <c r="G168" s="875">
        <v>5.1319999999999997</v>
      </c>
      <c r="H168" s="875">
        <v>6.8067000000000002</v>
      </c>
      <c r="I168" s="875">
        <v>10.836399999999999</v>
      </c>
      <c r="J168" s="875">
        <v>7.8762999999999996</v>
      </c>
      <c r="K168" s="875">
        <v>4.6696</v>
      </c>
      <c r="L168" s="875">
        <v>8.1372999999999998</v>
      </c>
      <c r="M168" s="875">
        <v>7.6755000000000004</v>
      </c>
      <c r="O168" s="893">
        <f t="shared" si="8"/>
        <v>43185</v>
      </c>
      <c r="P168" s="895">
        <f t="shared" si="9"/>
        <v>7.6595583333333321</v>
      </c>
      <c r="Q168" s="895">
        <f t="shared" si="10"/>
        <v>8.1561799999999991</v>
      </c>
      <c r="R168" s="895">
        <f t="shared" si="11"/>
        <v>7.3048285714285726</v>
      </c>
    </row>
    <row r="169" spans="1:18" x14ac:dyDescent="0.25">
      <c r="A169" s="894">
        <v>43182</v>
      </c>
      <c r="B169" s="875">
        <v>6.2267000000000001</v>
      </c>
      <c r="C169" s="875">
        <v>5.7889999999999997</v>
      </c>
      <c r="D169" s="875">
        <v>9.1128</v>
      </c>
      <c r="E169" s="875">
        <v>7.9147999999999996</v>
      </c>
      <c r="F169" s="875">
        <v>10.3668</v>
      </c>
      <c r="G169" s="875">
        <v>4.9547999999999996</v>
      </c>
      <c r="H169" s="875">
        <v>6.4444999999999997</v>
      </c>
      <c r="I169" s="875">
        <v>10.4499</v>
      </c>
      <c r="J169" s="875">
        <v>7.4866999999999999</v>
      </c>
      <c r="K169" s="875">
        <v>4.5595999999999997</v>
      </c>
      <c r="L169" s="875">
        <v>7.8648999999999996</v>
      </c>
      <c r="M169" s="875">
        <v>7.4798</v>
      </c>
      <c r="O169" s="893">
        <f t="shared" si="8"/>
        <v>43182</v>
      </c>
      <c r="P169" s="895">
        <f t="shared" si="9"/>
        <v>7.3875250000000001</v>
      </c>
      <c r="Q169" s="895">
        <f t="shared" si="10"/>
        <v>7.8820199999999998</v>
      </c>
      <c r="R169" s="895">
        <f t="shared" si="11"/>
        <v>7.0343142857142853</v>
      </c>
    </row>
    <row r="170" spans="1:18" x14ac:dyDescent="0.25">
      <c r="A170" s="894">
        <v>43181</v>
      </c>
      <c r="B170" s="875">
        <v>6.4305000000000003</v>
      </c>
      <c r="C170" s="875">
        <v>5.9031000000000002</v>
      </c>
      <c r="D170" s="875">
        <v>9.3874999999999993</v>
      </c>
      <c r="E170" s="875">
        <v>8.2040000000000006</v>
      </c>
      <c r="F170" s="875">
        <v>10.6257</v>
      </c>
      <c r="G170" s="875">
        <v>5.0488</v>
      </c>
      <c r="H170" s="875">
        <v>6.7465999999999999</v>
      </c>
      <c r="I170" s="875">
        <v>10.6913</v>
      </c>
      <c r="J170" s="875">
        <v>7.7336</v>
      </c>
      <c r="K170" s="875">
        <v>4.5362999999999998</v>
      </c>
      <c r="L170" s="875">
        <v>8.3000000000000007</v>
      </c>
      <c r="M170" s="875">
        <v>7.6860999999999997</v>
      </c>
      <c r="O170" s="893">
        <f t="shared" si="8"/>
        <v>43181</v>
      </c>
      <c r="P170" s="895">
        <f t="shared" si="9"/>
        <v>7.6077916666666665</v>
      </c>
      <c r="Q170" s="895">
        <f t="shared" si="10"/>
        <v>8.1101600000000005</v>
      </c>
      <c r="R170" s="895">
        <f t="shared" si="11"/>
        <v>7.2489571428571429</v>
      </c>
    </row>
    <row r="171" spans="1:18" x14ac:dyDescent="0.25">
      <c r="A171" s="894">
        <v>43180</v>
      </c>
      <c r="B171" s="875">
        <v>6.6402000000000001</v>
      </c>
      <c r="C171" s="875">
        <v>6.0121000000000002</v>
      </c>
      <c r="D171" s="875">
        <v>9.5645000000000007</v>
      </c>
      <c r="E171" s="875">
        <v>8.4638000000000009</v>
      </c>
      <c r="F171" s="875">
        <v>10.921799999999999</v>
      </c>
      <c r="G171" s="875">
        <v>5.2488000000000001</v>
      </c>
      <c r="H171" s="875">
        <v>6.6910999999999996</v>
      </c>
      <c r="I171" s="875">
        <v>10.7906</v>
      </c>
      <c r="J171" s="875">
        <v>7.8746</v>
      </c>
      <c r="K171" s="875">
        <v>4.3449999999999998</v>
      </c>
      <c r="L171" s="875">
        <v>8.5038</v>
      </c>
      <c r="M171" s="875">
        <v>7.8342999999999998</v>
      </c>
      <c r="O171" s="893">
        <f t="shared" si="8"/>
        <v>43180</v>
      </c>
      <c r="P171" s="895">
        <f t="shared" si="9"/>
        <v>7.7408833333333327</v>
      </c>
      <c r="Q171" s="895">
        <f t="shared" si="10"/>
        <v>8.3204799999999999</v>
      </c>
      <c r="R171" s="895">
        <f t="shared" si="11"/>
        <v>7.326885714285714</v>
      </c>
    </row>
    <row r="172" spans="1:18" x14ac:dyDescent="0.25">
      <c r="A172" s="894">
        <v>43179</v>
      </c>
      <c r="B172" s="875">
        <v>6.8318000000000003</v>
      </c>
      <c r="C172" s="875">
        <v>5.9733999999999998</v>
      </c>
      <c r="D172" s="875">
        <v>9.5458999999999996</v>
      </c>
      <c r="E172" s="875">
        <v>8.5667000000000009</v>
      </c>
      <c r="F172" s="875">
        <v>10.8635</v>
      </c>
      <c r="G172" s="875">
        <v>5.3017000000000003</v>
      </c>
      <c r="H172" s="875">
        <v>6.625</v>
      </c>
      <c r="I172" s="875">
        <v>10.652699999999999</v>
      </c>
      <c r="J172" s="875">
        <v>7.6231999999999998</v>
      </c>
      <c r="K172" s="875">
        <v>4.2858999999999998</v>
      </c>
      <c r="L172" s="875">
        <v>8.3851999999999993</v>
      </c>
      <c r="M172" s="875">
        <v>7.7111999999999998</v>
      </c>
      <c r="O172" s="893">
        <f t="shared" si="8"/>
        <v>43179</v>
      </c>
      <c r="P172" s="895">
        <f t="shared" si="9"/>
        <v>7.6971833333333324</v>
      </c>
      <c r="Q172" s="895">
        <f t="shared" si="10"/>
        <v>8.3562600000000007</v>
      </c>
      <c r="R172" s="895">
        <f t="shared" si="11"/>
        <v>7.2264142857142852</v>
      </c>
    </row>
    <row r="173" spans="1:18" x14ac:dyDescent="0.25">
      <c r="A173" s="894">
        <v>43178</v>
      </c>
      <c r="B173" s="875">
        <v>6.83</v>
      </c>
      <c r="C173" s="875">
        <v>5.8921000000000001</v>
      </c>
      <c r="D173" s="875">
        <v>9.4405999999999999</v>
      </c>
      <c r="E173" s="875">
        <v>8.3065999999999995</v>
      </c>
      <c r="F173" s="875">
        <v>10.7264</v>
      </c>
      <c r="G173" s="875">
        <v>5.1685999999999996</v>
      </c>
      <c r="H173" s="875">
        <v>6.5289999999999999</v>
      </c>
      <c r="I173" s="875">
        <v>10.375299999999999</v>
      </c>
      <c r="J173" s="875">
        <v>7.3815999999999997</v>
      </c>
      <c r="K173" s="875">
        <v>4.319</v>
      </c>
      <c r="L173" s="875">
        <v>8.3221000000000007</v>
      </c>
      <c r="M173" s="875">
        <v>7.5877999999999997</v>
      </c>
      <c r="O173" s="893">
        <f t="shared" si="8"/>
        <v>43178</v>
      </c>
      <c r="P173" s="895">
        <f t="shared" si="9"/>
        <v>7.5732583333333343</v>
      </c>
      <c r="Q173" s="895">
        <f t="shared" si="10"/>
        <v>8.2391400000000008</v>
      </c>
      <c r="R173" s="895">
        <f t="shared" si="11"/>
        <v>7.0976285714285714</v>
      </c>
    </row>
    <row r="174" spans="1:18" x14ac:dyDescent="0.25">
      <c r="A174" s="894">
        <v>43175</v>
      </c>
      <c r="B174" s="875">
        <v>6.8983999999999996</v>
      </c>
      <c r="C174" s="875">
        <v>5.9603000000000002</v>
      </c>
      <c r="D174" s="875">
        <v>9.7420000000000009</v>
      </c>
      <c r="E174" s="875">
        <v>8.3201000000000001</v>
      </c>
      <c r="F174" s="875">
        <v>10.757300000000001</v>
      </c>
      <c r="G174" s="875">
        <v>5.4046000000000003</v>
      </c>
      <c r="H174" s="875">
        <v>6.6637000000000004</v>
      </c>
      <c r="I174" s="875">
        <v>10.566800000000001</v>
      </c>
      <c r="J174" s="875">
        <v>7.5635000000000003</v>
      </c>
      <c r="K174" s="875">
        <v>4.4292999999999996</v>
      </c>
      <c r="L174" s="875">
        <v>8.3241999999999994</v>
      </c>
      <c r="M174" s="875">
        <v>7.7824</v>
      </c>
      <c r="O174" s="893">
        <f t="shared" si="8"/>
        <v>43175</v>
      </c>
      <c r="P174" s="895">
        <f t="shared" si="9"/>
        <v>7.7010499999999995</v>
      </c>
      <c r="Q174" s="895">
        <f t="shared" si="10"/>
        <v>8.3356200000000005</v>
      </c>
      <c r="R174" s="895">
        <f t="shared" si="11"/>
        <v>7.2477857142857145</v>
      </c>
    </row>
    <row r="175" spans="1:18" x14ac:dyDescent="0.25">
      <c r="A175" s="894">
        <v>43174</v>
      </c>
      <c r="B175" s="875">
        <v>6.9741</v>
      </c>
      <c r="C175" s="875">
        <v>6.0598999999999998</v>
      </c>
      <c r="D175" s="875">
        <v>9.8265999999999991</v>
      </c>
      <c r="E175" s="875">
        <v>8.4239999999999995</v>
      </c>
      <c r="F175" s="875">
        <v>11.0084</v>
      </c>
      <c r="G175" s="875">
        <v>5.4528999999999996</v>
      </c>
      <c r="H175" s="875">
        <v>6.6227999999999998</v>
      </c>
      <c r="I175" s="875">
        <v>10.617599999999999</v>
      </c>
      <c r="J175" s="875">
        <v>7.6832000000000003</v>
      </c>
      <c r="K175" s="875">
        <v>4.4558</v>
      </c>
      <c r="L175" s="875">
        <v>8.2623999999999995</v>
      </c>
      <c r="M175" s="875">
        <v>7.7808999999999999</v>
      </c>
      <c r="O175" s="893">
        <f t="shared" si="8"/>
        <v>43174</v>
      </c>
      <c r="P175" s="895">
        <f t="shared" si="9"/>
        <v>7.7640500000000001</v>
      </c>
      <c r="Q175" s="895">
        <f t="shared" si="10"/>
        <v>8.4586000000000006</v>
      </c>
      <c r="R175" s="895">
        <f t="shared" si="11"/>
        <v>7.2679428571428577</v>
      </c>
    </row>
    <row r="176" spans="1:18" x14ac:dyDescent="0.25">
      <c r="A176" s="894">
        <v>43173</v>
      </c>
      <c r="B176" s="875">
        <v>7.0225</v>
      </c>
      <c r="C176" s="875">
        <v>6.0735999999999999</v>
      </c>
      <c r="D176" s="875">
        <v>10.017099999999999</v>
      </c>
      <c r="E176" s="875">
        <v>8.4849999999999994</v>
      </c>
      <c r="F176" s="875">
        <v>11.1175</v>
      </c>
      <c r="G176" s="875">
        <v>5.4756</v>
      </c>
      <c r="H176" s="875">
        <v>6.6302000000000003</v>
      </c>
      <c r="I176" s="875">
        <v>10.9094</v>
      </c>
      <c r="J176" s="875">
        <v>7.8874000000000004</v>
      </c>
      <c r="K176" s="875">
        <v>4.4730999999999996</v>
      </c>
      <c r="L176" s="875">
        <v>8.4001999999999999</v>
      </c>
      <c r="M176" s="875">
        <v>7.9473000000000003</v>
      </c>
      <c r="O176" s="893">
        <f t="shared" si="8"/>
        <v>43173</v>
      </c>
      <c r="P176" s="895">
        <f t="shared" si="9"/>
        <v>7.8699083333333339</v>
      </c>
      <c r="Q176" s="895">
        <f t="shared" si="10"/>
        <v>8.5431399999999993</v>
      </c>
      <c r="R176" s="895">
        <f t="shared" si="11"/>
        <v>7.3890285714285708</v>
      </c>
    </row>
    <row r="177" spans="1:18" x14ac:dyDescent="0.25">
      <c r="A177" s="894">
        <v>43172</v>
      </c>
      <c r="B177" s="875">
        <v>6.9561000000000002</v>
      </c>
      <c r="C177" s="875">
        <v>6.0396999999999998</v>
      </c>
      <c r="D177" s="875">
        <v>9.8146000000000004</v>
      </c>
      <c r="E177" s="875">
        <v>8.3033000000000001</v>
      </c>
      <c r="F177" s="875">
        <v>11.0397</v>
      </c>
      <c r="G177" s="875">
        <v>5.4192</v>
      </c>
      <c r="H177" s="875">
        <v>6.4211999999999998</v>
      </c>
      <c r="I177" s="875">
        <v>11.155200000000001</v>
      </c>
      <c r="J177" s="875">
        <v>7.4276999999999997</v>
      </c>
      <c r="K177" s="875">
        <v>4.4097999999999997</v>
      </c>
      <c r="L177" s="875">
        <v>8.2249999999999996</v>
      </c>
      <c r="M177" s="875">
        <v>7.7714999999999996</v>
      </c>
      <c r="O177" s="893">
        <f t="shared" si="8"/>
        <v>43172</v>
      </c>
      <c r="P177" s="895">
        <f t="shared" si="9"/>
        <v>7.7485833333333334</v>
      </c>
      <c r="Q177" s="895">
        <f t="shared" si="10"/>
        <v>8.4306800000000006</v>
      </c>
      <c r="R177" s="895">
        <f t="shared" si="11"/>
        <v>7.2613714285714286</v>
      </c>
    </row>
    <row r="178" spans="1:18" x14ac:dyDescent="0.25">
      <c r="A178" s="894">
        <v>43171</v>
      </c>
      <c r="B178" s="875">
        <v>6.9598000000000004</v>
      </c>
      <c r="C178" s="875">
        <v>6.2221000000000002</v>
      </c>
      <c r="D178" s="875">
        <v>9.9548000000000005</v>
      </c>
      <c r="E178" s="875">
        <v>8.4353999999999996</v>
      </c>
      <c r="F178" s="875">
        <v>11.0817</v>
      </c>
      <c r="G178" s="875">
        <v>5.5803000000000003</v>
      </c>
      <c r="H178" s="875">
        <v>6.6803999999999997</v>
      </c>
      <c r="I178" s="875">
        <v>10.9322</v>
      </c>
      <c r="J178" s="875">
        <v>7.7382999999999997</v>
      </c>
      <c r="K178" s="875">
        <v>4.5199999999999996</v>
      </c>
      <c r="L178" s="875">
        <v>8.2733000000000008</v>
      </c>
      <c r="M178" s="875">
        <v>7.6999000000000004</v>
      </c>
      <c r="O178" s="893">
        <f t="shared" si="8"/>
        <v>43171</v>
      </c>
      <c r="P178" s="895">
        <f t="shared" si="9"/>
        <v>7.8398499999999993</v>
      </c>
      <c r="Q178" s="895">
        <f t="shared" si="10"/>
        <v>8.530759999999999</v>
      </c>
      <c r="R178" s="895">
        <f t="shared" si="11"/>
        <v>7.3463428571428571</v>
      </c>
    </row>
    <row r="179" spans="1:18" x14ac:dyDescent="0.25">
      <c r="A179" s="894">
        <v>43168</v>
      </c>
      <c r="B179" s="875">
        <v>7.0050999999999997</v>
      </c>
      <c r="C179" s="875">
        <v>6.2465999999999999</v>
      </c>
      <c r="D179" s="875">
        <v>9.8603000000000005</v>
      </c>
      <c r="E179" s="875">
        <v>8.3917000000000002</v>
      </c>
      <c r="F179" s="875">
        <v>10.994199999999999</v>
      </c>
      <c r="G179" s="875">
        <v>5.5229999999999997</v>
      </c>
      <c r="H179" s="875">
        <v>6.4261999999999997</v>
      </c>
      <c r="I179" s="875">
        <v>10.659599999999999</v>
      </c>
      <c r="J179" s="875">
        <v>7.444</v>
      </c>
      <c r="K179" s="875">
        <v>4.5462999999999996</v>
      </c>
      <c r="L179" s="875">
        <v>8.6006999999999998</v>
      </c>
      <c r="M179" s="875">
        <v>7.9539</v>
      </c>
      <c r="O179" s="893">
        <f t="shared" si="8"/>
        <v>43168</v>
      </c>
      <c r="P179" s="895">
        <f t="shared" si="9"/>
        <v>7.8043000000000013</v>
      </c>
      <c r="Q179" s="895">
        <f t="shared" si="10"/>
        <v>8.4995799999999999</v>
      </c>
      <c r="R179" s="895">
        <f t="shared" si="11"/>
        <v>7.3076714285714273</v>
      </c>
    </row>
    <row r="180" spans="1:18" x14ac:dyDescent="0.25">
      <c r="A180" s="894">
        <v>43167</v>
      </c>
      <c r="B180" s="875">
        <v>6.8559999999999999</v>
      </c>
      <c r="C180" s="875">
        <v>6.1725000000000003</v>
      </c>
      <c r="D180" s="875">
        <v>9.8093000000000004</v>
      </c>
      <c r="E180" s="875">
        <v>8.3289000000000009</v>
      </c>
      <c r="F180" s="875">
        <v>11.0113</v>
      </c>
      <c r="G180" s="875">
        <v>5.4309000000000003</v>
      </c>
      <c r="H180" s="875">
        <v>6.3108000000000004</v>
      </c>
      <c r="I180" s="875">
        <v>11.4834</v>
      </c>
      <c r="J180" s="875">
        <v>7.5380000000000003</v>
      </c>
      <c r="K180" s="875">
        <v>4.7842000000000002</v>
      </c>
      <c r="L180" s="875">
        <v>8.5086999999999993</v>
      </c>
      <c r="M180" s="875">
        <v>7.8068</v>
      </c>
      <c r="O180" s="893">
        <f t="shared" si="8"/>
        <v>43167</v>
      </c>
      <c r="P180" s="895">
        <f t="shared" si="9"/>
        <v>7.836733333333334</v>
      </c>
      <c r="Q180" s="895">
        <f t="shared" si="10"/>
        <v>8.4356000000000009</v>
      </c>
      <c r="R180" s="895">
        <f t="shared" si="11"/>
        <v>7.4089714285714283</v>
      </c>
    </row>
    <row r="181" spans="1:18" x14ac:dyDescent="0.25">
      <c r="A181" s="894">
        <v>43166</v>
      </c>
      <c r="B181" s="875">
        <v>6.8033000000000001</v>
      </c>
      <c r="C181" s="875">
        <v>6.0671999999999997</v>
      </c>
      <c r="D181" s="875">
        <v>9.8666</v>
      </c>
      <c r="E181" s="875">
        <v>8.2677999999999994</v>
      </c>
      <c r="F181" s="875">
        <v>11.0273</v>
      </c>
      <c r="G181" s="875">
        <v>5.5121000000000002</v>
      </c>
      <c r="H181" s="875">
        <v>6.3833000000000002</v>
      </c>
      <c r="I181" s="875">
        <v>10.537100000000001</v>
      </c>
      <c r="J181" s="875">
        <v>7.3411</v>
      </c>
      <c r="K181" s="875">
        <v>4.5899000000000001</v>
      </c>
      <c r="L181" s="875">
        <v>8.5724</v>
      </c>
      <c r="M181" s="875">
        <v>7.6650999999999998</v>
      </c>
      <c r="O181" s="893">
        <f t="shared" si="8"/>
        <v>43166</v>
      </c>
      <c r="P181" s="895">
        <f t="shared" si="9"/>
        <v>7.7194333333333338</v>
      </c>
      <c r="Q181" s="895">
        <f t="shared" si="10"/>
        <v>8.4064399999999999</v>
      </c>
      <c r="R181" s="895">
        <f t="shared" si="11"/>
        <v>7.228714285714287</v>
      </c>
    </row>
    <row r="182" spans="1:18" x14ac:dyDescent="0.25">
      <c r="A182" s="894">
        <v>43165</v>
      </c>
      <c r="B182" s="875">
        <v>6.7606000000000002</v>
      </c>
      <c r="C182" s="875">
        <v>6.0660999999999996</v>
      </c>
      <c r="D182" s="875">
        <v>9.7504000000000008</v>
      </c>
      <c r="E182" s="875">
        <v>8.1258999999999997</v>
      </c>
      <c r="F182" s="875">
        <v>10.9093</v>
      </c>
      <c r="G182" s="875">
        <v>5.4476000000000004</v>
      </c>
      <c r="H182" s="875">
        <v>6.2279999999999998</v>
      </c>
      <c r="I182" s="875">
        <v>10.345499999999999</v>
      </c>
      <c r="J182" s="875">
        <v>7.1946000000000003</v>
      </c>
      <c r="K182" s="875">
        <v>4.5719000000000003</v>
      </c>
      <c r="L182" s="875">
        <v>8.4565000000000001</v>
      </c>
      <c r="M182" s="875">
        <v>7.2695999999999996</v>
      </c>
      <c r="O182" s="893">
        <f t="shared" si="8"/>
        <v>43165</v>
      </c>
      <c r="P182" s="895">
        <f t="shared" si="9"/>
        <v>7.5938333333333334</v>
      </c>
      <c r="Q182" s="895">
        <f t="shared" si="10"/>
        <v>8.3224600000000013</v>
      </c>
      <c r="R182" s="895">
        <f t="shared" si="11"/>
        <v>7.0733857142857133</v>
      </c>
    </row>
    <row r="183" spans="1:18" x14ac:dyDescent="0.25">
      <c r="A183" s="894">
        <v>43164</v>
      </c>
      <c r="B183" s="875">
        <v>6.6543999999999999</v>
      </c>
      <c r="C183" s="875">
        <v>6.1874000000000002</v>
      </c>
      <c r="D183" s="875">
        <v>9.5267999999999997</v>
      </c>
      <c r="E183" s="875">
        <v>7.9192</v>
      </c>
      <c r="F183" s="875">
        <v>10.7402</v>
      </c>
      <c r="G183" s="875">
        <v>5.4772999999999996</v>
      </c>
      <c r="H183" s="875">
        <v>6.2175000000000002</v>
      </c>
      <c r="I183" s="875">
        <v>10.5367</v>
      </c>
      <c r="J183" s="875">
        <v>7.3124000000000002</v>
      </c>
      <c r="K183" s="875">
        <v>4.601</v>
      </c>
      <c r="L183" s="875">
        <v>8.3478999999999992</v>
      </c>
      <c r="M183" s="875">
        <v>6.8646000000000003</v>
      </c>
      <c r="O183" s="893">
        <f t="shared" si="8"/>
        <v>43164</v>
      </c>
      <c r="P183" s="895">
        <f t="shared" si="9"/>
        <v>7.5321166666666661</v>
      </c>
      <c r="Q183" s="895">
        <f t="shared" si="10"/>
        <v>8.2056000000000004</v>
      </c>
      <c r="R183" s="895">
        <f t="shared" si="11"/>
        <v>7.051057142857144</v>
      </c>
    </row>
    <row r="184" spans="1:18" x14ac:dyDescent="0.25">
      <c r="A184" s="894">
        <v>43161</v>
      </c>
      <c r="B184" s="875">
        <v>6.6311</v>
      </c>
      <c r="C184" s="875">
        <v>5.9644000000000004</v>
      </c>
      <c r="D184" s="875">
        <v>9.4168000000000003</v>
      </c>
      <c r="E184" s="875">
        <v>8.0326000000000004</v>
      </c>
      <c r="F184" s="875">
        <v>10.654400000000001</v>
      </c>
      <c r="G184" s="875">
        <v>5.3540999999999999</v>
      </c>
      <c r="H184" s="875">
        <v>6.0678999999999998</v>
      </c>
      <c r="I184" s="875">
        <v>10.169</v>
      </c>
      <c r="J184" s="875">
        <v>7.2489999999999997</v>
      </c>
      <c r="K184" s="875">
        <v>4.5132000000000003</v>
      </c>
      <c r="L184" s="875">
        <v>8.3787000000000003</v>
      </c>
      <c r="M184" s="875">
        <v>6.867</v>
      </c>
      <c r="O184" s="893">
        <f t="shared" si="8"/>
        <v>43161</v>
      </c>
      <c r="P184" s="895">
        <f t="shared" si="9"/>
        <v>7.4415166666666677</v>
      </c>
      <c r="Q184" s="895">
        <f t="shared" si="10"/>
        <v>8.1398600000000023</v>
      </c>
      <c r="R184" s="895">
        <f t="shared" si="11"/>
        <v>6.9427000000000003</v>
      </c>
    </row>
    <row r="185" spans="1:18" x14ac:dyDescent="0.25">
      <c r="A185" s="894">
        <v>43160</v>
      </c>
      <c r="B185" s="875">
        <v>6.4901</v>
      </c>
      <c r="C185" s="875">
        <v>5.8383000000000003</v>
      </c>
      <c r="D185" s="875">
        <v>8.8553999999999995</v>
      </c>
      <c r="E185" s="875">
        <v>7.5298999999999996</v>
      </c>
      <c r="F185" s="875">
        <v>10.1927</v>
      </c>
      <c r="G185" s="875">
        <v>5.0972</v>
      </c>
      <c r="H185" s="875">
        <v>5.6486999999999998</v>
      </c>
      <c r="I185" s="875">
        <v>9.8582000000000001</v>
      </c>
      <c r="J185" s="875">
        <v>6.9112999999999998</v>
      </c>
      <c r="K185" s="875">
        <v>4.4150999999999998</v>
      </c>
      <c r="L185" s="875">
        <v>8.0264000000000006</v>
      </c>
      <c r="M185" s="875">
        <v>6.9001999999999999</v>
      </c>
      <c r="O185" s="893">
        <f t="shared" si="8"/>
        <v>43160</v>
      </c>
      <c r="P185" s="895">
        <f t="shared" si="9"/>
        <v>7.1469583333333313</v>
      </c>
      <c r="Q185" s="895">
        <f t="shared" si="10"/>
        <v>7.7812799999999998</v>
      </c>
      <c r="R185" s="895">
        <f t="shared" si="11"/>
        <v>6.6938714285714278</v>
      </c>
    </row>
    <row r="186" spans="1:18" x14ac:dyDescent="0.25">
      <c r="A186" s="894">
        <v>43159</v>
      </c>
      <c r="B186" s="875">
        <v>6.3571999999999997</v>
      </c>
      <c r="C186" s="875">
        <v>5.8567999999999998</v>
      </c>
      <c r="D186" s="875">
        <v>9.0717999999999996</v>
      </c>
      <c r="E186" s="875">
        <v>7.5631000000000004</v>
      </c>
      <c r="F186" s="875">
        <v>10.177099999999999</v>
      </c>
      <c r="G186" s="875">
        <v>5.2949999999999999</v>
      </c>
      <c r="H186" s="875">
        <v>5.4429999999999996</v>
      </c>
      <c r="I186" s="875">
        <v>10.503399999999999</v>
      </c>
      <c r="J186" s="875">
        <v>7.0063000000000004</v>
      </c>
      <c r="K186" s="875">
        <v>4.4992999999999999</v>
      </c>
      <c r="L186" s="875">
        <v>7.9508000000000001</v>
      </c>
      <c r="M186" s="875">
        <v>6.5582000000000003</v>
      </c>
      <c r="O186" s="893">
        <f t="shared" si="8"/>
        <v>43159</v>
      </c>
      <c r="P186" s="895">
        <f t="shared" si="9"/>
        <v>7.1901666666666664</v>
      </c>
      <c r="Q186" s="895">
        <f t="shared" si="10"/>
        <v>7.8051999999999992</v>
      </c>
      <c r="R186" s="895">
        <f t="shared" si="11"/>
        <v>6.7508571428571429</v>
      </c>
    </row>
    <row r="187" spans="1:18" x14ac:dyDescent="0.25">
      <c r="A187" s="894">
        <v>43158</v>
      </c>
      <c r="B187" s="875">
        <v>6.3971</v>
      </c>
      <c r="C187" s="875">
        <v>5.8670999999999998</v>
      </c>
      <c r="D187" s="875">
        <v>9.2589000000000006</v>
      </c>
      <c r="E187" s="875">
        <v>7.6191000000000004</v>
      </c>
      <c r="F187" s="875">
        <v>10.3385</v>
      </c>
      <c r="G187" s="875">
        <v>5.1273999999999997</v>
      </c>
      <c r="H187" s="875">
        <v>5.4969000000000001</v>
      </c>
      <c r="I187" s="875">
        <v>10.2704</v>
      </c>
      <c r="J187" s="875">
        <v>7.0716999999999999</v>
      </c>
      <c r="K187" s="875">
        <v>4.5324999999999998</v>
      </c>
      <c r="L187" s="875">
        <v>8.0332000000000008</v>
      </c>
      <c r="M187" s="875">
        <v>6.6050000000000004</v>
      </c>
      <c r="O187" s="893">
        <f t="shared" si="8"/>
        <v>43158</v>
      </c>
      <c r="P187" s="895">
        <f t="shared" si="9"/>
        <v>7.2181500000000005</v>
      </c>
      <c r="Q187" s="895">
        <f t="shared" si="10"/>
        <v>7.8961399999999999</v>
      </c>
      <c r="R187" s="895">
        <f t="shared" si="11"/>
        <v>6.7338714285714287</v>
      </c>
    </row>
    <row r="188" spans="1:18" x14ac:dyDescent="0.25">
      <c r="A188" s="894">
        <v>43157</v>
      </c>
      <c r="B188" s="875">
        <v>6.4119000000000002</v>
      </c>
      <c r="C188" s="875">
        <v>6.0091999999999999</v>
      </c>
      <c r="D188" s="875">
        <v>9.2608999999999995</v>
      </c>
      <c r="E188" s="875">
        <v>7.7130999999999998</v>
      </c>
      <c r="F188" s="875">
        <v>10.17</v>
      </c>
      <c r="G188" s="875">
        <v>5.3091999999999997</v>
      </c>
      <c r="H188" s="875">
        <v>5.4032</v>
      </c>
      <c r="I188" s="875">
        <v>10.2715</v>
      </c>
      <c r="J188" s="875">
        <v>7.0244</v>
      </c>
      <c r="K188" s="875">
        <v>4.5221999999999998</v>
      </c>
      <c r="L188" s="875">
        <v>8.0328999999999997</v>
      </c>
      <c r="M188" s="875">
        <v>6.6003999999999996</v>
      </c>
      <c r="O188" s="893">
        <f t="shared" si="8"/>
        <v>43157</v>
      </c>
      <c r="P188" s="895">
        <f t="shared" si="9"/>
        <v>7.2274083333333321</v>
      </c>
      <c r="Q188" s="895">
        <f t="shared" si="10"/>
        <v>7.9130200000000004</v>
      </c>
      <c r="R188" s="895">
        <f t="shared" si="11"/>
        <v>6.7376857142857132</v>
      </c>
    </row>
    <row r="189" spans="1:18" x14ac:dyDescent="0.25">
      <c r="A189" s="894">
        <v>43154</v>
      </c>
      <c r="B189" s="875">
        <v>6.3246000000000002</v>
      </c>
      <c r="C189" s="875">
        <v>5.8497000000000003</v>
      </c>
      <c r="D189" s="875">
        <v>9.2355999999999998</v>
      </c>
      <c r="E189" s="875">
        <v>7.7671999999999999</v>
      </c>
      <c r="F189" s="875">
        <v>10.178800000000001</v>
      </c>
      <c r="G189" s="875">
        <v>5.5701999999999998</v>
      </c>
      <c r="H189" s="875">
        <v>5.3484999999999996</v>
      </c>
      <c r="I189" s="875">
        <v>9.9446999999999992</v>
      </c>
      <c r="J189" s="875">
        <v>6.9230999999999998</v>
      </c>
      <c r="K189" s="875">
        <v>4.3781999999999996</v>
      </c>
      <c r="L189" s="875">
        <v>7.9932999999999996</v>
      </c>
      <c r="M189" s="875">
        <v>6.3521000000000001</v>
      </c>
      <c r="O189" s="893">
        <f t="shared" si="8"/>
        <v>43154</v>
      </c>
      <c r="P189" s="895">
        <f t="shared" si="9"/>
        <v>7.1555000000000009</v>
      </c>
      <c r="Q189" s="895">
        <f t="shared" si="10"/>
        <v>7.8711799999999998</v>
      </c>
      <c r="R189" s="895">
        <f t="shared" si="11"/>
        <v>6.6442999999999994</v>
      </c>
    </row>
    <row r="190" spans="1:18" x14ac:dyDescent="0.25">
      <c r="A190" s="894">
        <v>43153</v>
      </c>
      <c r="B190" s="875">
        <v>6.2133000000000003</v>
      </c>
      <c r="C190" s="875">
        <v>5.7435</v>
      </c>
      <c r="D190" s="875">
        <v>9.0053000000000001</v>
      </c>
      <c r="E190" s="875">
        <v>7.5972</v>
      </c>
      <c r="F190" s="875">
        <v>9.8980999999999995</v>
      </c>
      <c r="G190" s="875">
        <v>4.5339999999999998</v>
      </c>
      <c r="H190" s="875">
        <v>5.1592000000000002</v>
      </c>
      <c r="I190" s="875">
        <v>9.7736000000000001</v>
      </c>
      <c r="J190" s="875">
        <v>6.9947999999999997</v>
      </c>
      <c r="K190" s="875">
        <v>4.3032000000000004</v>
      </c>
      <c r="L190" s="875">
        <v>7.9528999999999996</v>
      </c>
      <c r="M190" s="875">
        <v>6.1871999999999998</v>
      </c>
      <c r="O190" s="893">
        <f t="shared" si="8"/>
        <v>43153</v>
      </c>
      <c r="P190" s="895">
        <f t="shared" si="9"/>
        <v>6.946858333333334</v>
      </c>
      <c r="Q190" s="895">
        <f t="shared" si="10"/>
        <v>7.6914800000000003</v>
      </c>
      <c r="R190" s="895">
        <f t="shared" si="11"/>
        <v>6.414985714285713</v>
      </c>
    </row>
    <row r="191" spans="1:18" x14ac:dyDescent="0.25">
      <c r="A191" s="894">
        <v>43152</v>
      </c>
      <c r="B191" s="875">
        <v>6.3021000000000003</v>
      </c>
      <c r="C191" s="875">
        <v>5.7641</v>
      </c>
      <c r="D191" s="875">
        <v>9.1207999999999991</v>
      </c>
      <c r="E191" s="875">
        <v>7.5728</v>
      </c>
      <c r="F191" s="875">
        <v>10.007899999999999</v>
      </c>
      <c r="G191" s="875">
        <v>4.7432999999999996</v>
      </c>
      <c r="H191" s="875">
        <v>5.2728000000000002</v>
      </c>
      <c r="I191" s="875">
        <v>9.7620000000000005</v>
      </c>
      <c r="J191" s="875">
        <v>6.8593000000000002</v>
      </c>
      <c r="K191" s="875">
        <v>4.3045</v>
      </c>
      <c r="L191" s="875">
        <v>7.9146000000000001</v>
      </c>
      <c r="M191" s="875">
        <v>6.3350999999999997</v>
      </c>
      <c r="O191" s="893">
        <f t="shared" si="8"/>
        <v>43152</v>
      </c>
      <c r="P191" s="895">
        <f t="shared" si="9"/>
        <v>6.9966083333333335</v>
      </c>
      <c r="Q191" s="895">
        <f t="shared" si="10"/>
        <v>7.7535399999999992</v>
      </c>
      <c r="R191" s="895">
        <f t="shared" si="11"/>
        <v>6.4559428571428574</v>
      </c>
    </row>
    <row r="192" spans="1:18" x14ac:dyDescent="0.25">
      <c r="A192" s="894">
        <v>43151</v>
      </c>
      <c r="B192" s="875">
        <v>6.3002000000000002</v>
      </c>
      <c r="C192" s="875">
        <v>5.8072999999999997</v>
      </c>
      <c r="D192" s="875">
        <v>9.1530000000000005</v>
      </c>
      <c r="E192" s="875">
        <v>7.6551</v>
      </c>
      <c r="F192" s="875">
        <v>9.9651999999999994</v>
      </c>
      <c r="G192" s="875">
        <v>4.7870999999999997</v>
      </c>
      <c r="H192" s="875">
        <v>5.2686000000000002</v>
      </c>
      <c r="I192" s="875">
        <v>10.0403</v>
      </c>
      <c r="J192" s="875">
        <v>6.8769</v>
      </c>
      <c r="K192" s="875">
        <v>4.3136999999999999</v>
      </c>
      <c r="L192" s="875">
        <v>7.8308999999999997</v>
      </c>
      <c r="M192" s="875">
        <v>6.1482999999999999</v>
      </c>
      <c r="O192" s="893">
        <f t="shared" si="8"/>
        <v>43151</v>
      </c>
      <c r="P192" s="895">
        <f t="shared" si="9"/>
        <v>7.0122166666666672</v>
      </c>
      <c r="Q192" s="895">
        <f t="shared" si="10"/>
        <v>7.77616</v>
      </c>
      <c r="R192" s="895">
        <f t="shared" si="11"/>
        <v>6.4665428571428567</v>
      </c>
    </row>
    <row r="193" spans="1:18" x14ac:dyDescent="0.25">
      <c r="A193" s="894">
        <v>43147</v>
      </c>
      <c r="B193" s="875">
        <v>6.2196999999999996</v>
      </c>
      <c r="C193" s="875">
        <v>5.7690000000000001</v>
      </c>
      <c r="D193" s="875">
        <v>9.0038</v>
      </c>
      <c r="E193" s="875">
        <v>7.5697999999999999</v>
      </c>
      <c r="F193" s="875">
        <v>9.798</v>
      </c>
      <c r="G193" s="875">
        <v>4.6090999999999998</v>
      </c>
      <c r="H193" s="875">
        <v>5.2873000000000001</v>
      </c>
      <c r="I193" s="875">
        <v>9.7263000000000002</v>
      </c>
      <c r="J193" s="875">
        <v>6.7797000000000001</v>
      </c>
      <c r="K193" s="875">
        <v>4.3071000000000002</v>
      </c>
      <c r="L193" s="875">
        <v>7.5993000000000004</v>
      </c>
      <c r="M193" s="875">
        <v>6.2667999999999999</v>
      </c>
      <c r="O193" s="893">
        <f t="shared" si="8"/>
        <v>43147</v>
      </c>
      <c r="P193" s="895">
        <f t="shared" si="9"/>
        <v>6.9113250000000015</v>
      </c>
      <c r="Q193" s="895">
        <f t="shared" si="10"/>
        <v>7.6720600000000001</v>
      </c>
      <c r="R193" s="895">
        <f t="shared" si="11"/>
        <v>6.3679428571428565</v>
      </c>
    </row>
    <row r="194" spans="1:18" x14ac:dyDescent="0.25">
      <c r="A194" s="894">
        <v>43146</v>
      </c>
      <c r="B194" s="875">
        <v>6.2435</v>
      </c>
      <c r="C194" s="875">
        <v>5.8693</v>
      </c>
      <c r="D194" s="875">
        <v>9.0449999999999999</v>
      </c>
      <c r="E194" s="875">
        <v>7.9189999999999996</v>
      </c>
      <c r="F194" s="875">
        <v>9.7216000000000005</v>
      </c>
      <c r="G194" s="875">
        <v>4.6070000000000002</v>
      </c>
      <c r="H194" s="875">
        <v>5.1268000000000002</v>
      </c>
      <c r="I194" s="875">
        <v>9.3331999999999997</v>
      </c>
      <c r="J194" s="875">
        <v>6.8164999999999996</v>
      </c>
      <c r="K194" s="875">
        <v>4.1220999999999997</v>
      </c>
      <c r="L194" s="875">
        <v>7.3662999999999998</v>
      </c>
      <c r="M194" s="875">
        <v>5.9424000000000001</v>
      </c>
      <c r="O194" s="893">
        <f t="shared" ref="O194:O238" si="12">A194</f>
        <v>43146</v>
      </c>
      <c r="P194" s="895">
        <f t="shared" ref="P194:P238" si="13">AVERAGE(B194:M194)</f>
        <v>6.8427250000000006</v>
      </c>
      <c r="Q194" s="895">
        <f t="shared" ref="Q194:Q238" si="14">AVERAGE(B194:F194)</f>
        <v>7.7596800000000004</v>
      </c>
      <c r="R194" s="895">
        <f t="shared" ref="R194:R238" si="15">AVERAGE(G194:M194)</f>
        <v>6.1877571428571425</v>
      </c>
    </row>
    <row r="195" spans="1:18" x14ac:dyDescent="0.25">
      <c r="A195" s="894">
        <v>43145</v>
      </c>
      <c r="B195" s="875">
        <v>6.0145999999999997</v>
      </c>
      <c r="C195" s="875">
        <v>5.7484999999999999</v>
      </c>
      <c r="D195" s="875">
        <v>8.7710000000000008</v>
      </c>
      <c r="E195" s="875">
        <v>7.5674000000000001</v>
      </c>
      <c r="F195" s="875">
        <v>9.4184000000000001</v>
      </c>
      <c r="G195" s="875">
        <v>4.4988000000000001</v>
      </c>
      <c r="H195" s="875">
        <v>4.8818000000000001</v>
      </c>
      <c r="I195" s="875">
        <v>9.5129000000000001</v>
      </c>
      <c r="J195" s="875">
        <v>6.8392999999999997</v>
      </c>
      <c r="K195" s="875">
        <v>4.0991999999999997</v>
      </c>
      <c r="L195" s="875">
        <v>7.4108999999999998</v>
      </c>
      <c r="M195" s="875">
        <v>5.9569000000000001</v>
      </c>
      <c r="O195" s="893">
        <f t="shared" si="12"/>
        <v>43145</v>
      </c>
      <c r="P195" s="895">
        <f t="shared" si="13"/>
        <v>6.7266416666666666</v>
      </c>
      <c r="Q195" s="895">
        <f t="shared" si="14"/>
        <v>7.5039800000000003</v>
      </c>
      <c r="R195" s="895">
        <f t="shared" si="15"/>
        <v>6.1714000000000002</v>
      </c>
    </row>
    <row r="196" spans="1:18" x14ac:dyDescent="0.25">
      <c r="A196" s="894">
        <v>43144</v>
      </c>
      <c r="B196" s="875">
        <v>5.9428000000000001</v>
      </c>
      <c r="C196" s="875">
        <v>5.5903</v>
      </c>
      <c r="D196" s="875">
        <v>8.4591999999999992</v>
      </c>
      <c r="E196" s="875">
        <v>7.2544000000000004</v>
      </c>
      <c r="F196" s="875">
        <v>9.4187999999999992</v>
      </c>
      <c r="G196" s="875">
        <v>4.2994000000000003</v>
      </c>
      <c r="H196" s="875">
        <v>4.2891000000000004</v>
      </c>
      <c r="I196" s="875">
        <v>8.8171999999999997</v>
      </c>
      <c r="J196" s="875">
        <v>6.5984999999999996</v>
      </c>
      <c r="K196" s="875">
        <v>3.8563000000000001</v>
      </c>
      <c r="L196" s="875">
        <v>7.0551000000000004</v>
      </c>
      <c r="M196" s="875">
        <v>5.5125999999999999</v>
      </c>
      <c r="O196" s="893">
        <f t="shared" si="12"/>
        <v>43144</v>
      </c>
      <c r="P196" s="895">
        <f t="shared" si="13"/>
        <v>6.4244750000000002</v>
      </c>
      <c r="Q196" s="895">
        <f t="shared" si="14"/>
        <v>7.3331</v>
      </c>
      <c r="R196" s="895">
        <f t="shared" si="15"/>
        <v>5.7754571428571424</v>
      </c>
    </row>
    <row r="197" spans="1:18" x14ac:dyDescent="0.25">
      <c r="A197" s="894">
        <v>43143</v>
      </c>
      <c r="B197" s="875">
        <v>5.9962999999999997</v>
      </c>
      <c r="C197" s="875">
        <v>5.5266999999999999</v>
      </c>
      <c r="D197" s="875">
        <v>8.3879000000000001</v>
      </c>
      <c r="E197" s="875">
        <v>7.2530000000000001</v>
      </c>
      <c r="F197" s="875">
        <v>9.4083000000000006</v>
      </c>
      <c r="G197" s="875">
        <v>4.1661999999999999</v>
      </c>
      <c r="H197" s="875">
        <v>4.26</v>
      </c>
      <c r="I197" s="875">
        <v>8.5450999999999997</v>
      </c>
      <c r="J197" s="875">
        <v>6.4545000000000003</v>
      </c>
      <c r="K197" s="875">
        <v>3.8331</v>
      </c>
      <c r="L197" s="875">
        <v>7.0016999999999996</v>
      </c>
      <c r="M197" s="875">
        <v>5.4848999999999997</v>
      </c>
      <c r="O197" s="893">
        <f t="shared" si="12"/>
        <v>43143</v>
      </c>
      <c r="P197" s="895">
        <f t="shared" si="13"/>
        <v>6.3598083333333326</v>
      </c>
      <c r="Q197" s="895">
        <f t="shared" si="14"/>
        <v>7.3144399999999994</v>
      </c>
      <c r="R197" s="895">
        <f t="shared" si="15"/>
        <v>5.6779285714285708</v>
      </c>
    </row>
    <row r="198" spans="1:18" x14ac:dyDescent="0.25">
      <c r="A198" s="894">
        <v>43140</v>
      </c>
      <c r="B198" s="875">
        <v>5.915</v>
      </c>
      <c r="C198" s="875">
        <v>5.3998999999999997</v>
      </c>
      <c r="D198" s="875">
        <v>8.1918000000000006</v>
      </c>
      <c r="E198" s="875">
        <v>7.1009000000000002</v>
      </c>
      <c r="F198" s="875">
        <v>9.2906999999999993</v>
      </c>
      <c r="G198" s="875">
        <v>4.0625</v>
      </c>
      <c r="H198" s="875">
        <v>4.0282</v>
      </c>
      <c r="I198" s="875">
        <v>7.7483000000000004</v>
      </c>
      <c r="J198" s="875">
        <v>6.2601000000000004</v>
      </c>
      <c r="K198" s="875">
        <v>3.8424</v>
      </c>
      <c r="L198" s="875">
        <v>6.5791000000000004</v>
      </c>
      <c r="M198" s="875">
        <v>5.2975000000000003</v>
      </c>
      <c r="O198" s="893">
        <f t="shared" si="12"/>
        <v>43140</v>
      </c>
      <c r="P198" s="895">
        <f t="shared" si="13"/>
        <v>6.1430333333333325</v>
      </c>
      <c r="Q198" s="895">
        <f t="shared" si="14"/>
        <v>7.1796600000000002</v>
      </c>
      <c r="R198" s="895">
        <f t="shared" si="15"/>
        <v>5.4025857142857143</v>
      </c>
    </row>
    <row r="199" spans="1:18" x14ac:dyDescent="0.25">
      <c r="A199" s="894">
        <v>43139</v>
      </c>
      <c r="B199" s="875">
        <v>5.7458999999999998</v>
      </c>
      <c r="C199" s="875">
        <v>5.3029000000000002</v>
      </c>
      <c r="D199" s="875">
        <v>8.0358999999999998</v>
      </c>
      <c r="E199" s="875">
        <v>7.0206999999999997</v>
      </c>
      <c r="F199" s="875">
        <v>8.9597999999999995</v>
      </c>
      <c r="G199" s="875">
        <v>4.1181999999999999</v>
      </c>
      <c r="H199" s="875">
        <v>3.9137</v>
      </c>
      <c r="I199" s="875">
        <v>7.6582999999999997</v>
      </c>
      <c r="J199" s="875">
        <v>6.1555999999999997</v>
      </c>
      <c r="K199" s="875">
        <v>3.8304999999999998</v>
      </c>
      <c r="L199" s="875">
        <v>6.4413</v>
      </c>
      <c r="M199" s="875">
        <v>5.298</v>
      </c>
      <c r="O199" s="893">
        <f t="shared" si="12"/>
        <v>43139</v>
      </c>
      <c r="P199" s="895">
        <f t="shared" si="13"/>
        <v>6.0400666666666671</v>
      </c>
      <c r="Q199" s="895">
        <f t="shared" si="14"/>
        <v>7.0130399999999993</v>
      </c>
      <c r="R199" s="895">
        <f t="shared" si="15"/>
        <v>5.3450857142857151</v>
      </c>
    </row>
    <row r="200" spans="1:18" x14ac:dyDescent="0.25">
      <c r="A200" s="894">
        <v>43138</v>
      </c>
      <c r="B200" s="875">
        <v>6.0956000000000001</v>
      </c>
      <c r="C200" s="875">
        <v>5.4417999999999997</v>
      </c>
      <c r="D200" s="875">
        <v>8.5760000000000005</v>
      </c>
      <c r="E200" s="875">
        <v>7.3147000000000002</v>
      </c>
      <c r="F200" s="875">
        <v>9.8276000000000003</v>
      </c>
      <c r="G200" s="875">
        <v>4.2100999999999997</v>
      </c>
      <c r="H200" s="875">
        <v>4.0021000000000004</v>
      </c>
      <c r="I200" s="875">
        <v>7.9112</v>
      </c>
      <c r="J200" s="875">
        <v>6.51</v>
      </c>
      <c r="K200" s="875">
        <v>4</v>
      </c>
      <c r="L200" s="875">
        <v>6.9474999999999998</v>
      </c>
      <c r="M200" s="875">
        <v>5.6947000000000001</v>
      </c>
      <c r="O200" s="893">
        <f t="shared" si="12"/>
        <v>43138</v>
      </c>
      <c r="P200" s="895">
        <f t="shared" si="13"/>
        <v>6.3776083333333338</v>
      </c>
      <c r="Q200" s="895">
        <f t="shared" si="14"/>
        <v>7.4511400000000005</v>
      </c>
      <c r="R200" s="895">
        <f t="shared" si="15"/>
        <v>5.6107999999999993</v>
      </c>
    </row>
    <row r="201" spans="1:18" x14ac:dyDescent="0.25">
      <c r="A201" s="894">
        <v>43137</v>
      </c>
      <c r="B201" s="875">
        <v>6.0724999999999998</v>
      </c>
      <c r="C201" s="875">
        <v>5.5636999999999999</v>
      </c>
      <c r="D201" s="875">
        <v>8.4495000000000005</v>
      </c>
      <c r="E201" s="875">
        <v>7.3052000000000001</v>
      </c>
      <c r="F201" s="875">
        <v>9.5652000000000008</v>
      </c>
      <c r="G201" s="875">
        <v>4.3441000000000001</v>
      </c>
      <c r="H201" s="875">
        <v>4.0585000000000004</v>
      </c>
      <c r="I201" s="875">
        <v>7.7561999999999998</v>
      </c>
      <c r="J201" s="875">
        <v>6.2298</v>
      </c>
      <c r="K201" s="875">
        <v>4.0090000000000003</v>
      </c>
      <c r="L201" s="875">
        <v>6.8727999999999998</v>
      </c>
      <c r="M201" s="875">
        <v>5.5084999999999997</v>
      </c>
      <c r="O201" s="893">
        <f t="shared" si="12"/>
        <v>43137</v>
      </c>
      <c r="P201" s="895">
        <f t="shared" si="13"/>
        <v>6.3112500000000002</v>
      </c>
      <c r="Q201" s="895">
        <f t="shared" si="14"/>
        <v>7.3912199999999997</v>
      </c>
      <c r="R201" s="895">
        <f t="shared" si="15"/>
        <v>5.5398428571428573</v>
      </c>
    </row>
    <row r="202" spans="1:18" x14ac:dyDescent="0.25">
      <c r="A202" s="894">
        <v>43136</v>
      </c>
      <c r="B202" s="875">
        <v>5.9664999999999999</v>
      </c>
      <c r="C202" s="875">
        <v>5.6330999999999998</v>
      </c>
      <c r="D202" s="875">
        <v>8.3527000000000005</v>
      </c>
      <c r="E202" s="875">
        <v>7.3735999999999997</v>
      </c>
      <c r="F202" s="875">
        <v>9.468</v>
      </c>
      <c r="G202" s="875">
        <v>4.3099999999999996</v>
      </c>
      <c r="H202" s="875">
        <v>4.0244</v>
      </c>
      <c r="I202" s="875">
        <v>7.6738999999999997</v>
      </c>
      <c r="J202" s="875">
        <v>5.9972000000000003</v>
      </c>
      <c r="K202" s="875">
        <v>3.9495</v>
      </c>
      <c r="L202" s="875">
        <v>6.7213000000000003</v>
      </c>
      <c r="M202" s="875">
        <v>5.2679999999999998</v>
      </c>
      <c r="O202" s="893">
        <f t="shared" si="12"/>
        <v>43136</v>
      </c>
      <c r="P202" s="895">
        <f t="shared" si="13"/>
        <v>6.2281833333333338</v>
      </c>
      <c r="Q202" s="895">
        <f t="shared" si="14"/>
        <v>7.3587800000000003</v>
      </c>
      <c r="R202" s="895">
        <f t="shared" si="15"/>
        <v>5.4206142857142856</v>
      </c>
    </row>
    <row r="203" spans="1:18" x14ac:dyDescent="0.25">
      <c r="A203" s="894">
        <v>43133</v>
      </c>
      <c r="B203" s="875">
        <v>6.1553000000000004</v>
      </c>
      <c r="C203" s="875">
        <v>5.9766000000000004</v>
      </c>
      <c r="D203" s="875">
        <v>8.5821000000000005</v>
      </c>
      <c r="E203" s="875">
        <v>7.5381</v>
      </c>
      <c r="F203" s="875">
        <v>9.6434999999999995</v>
      </c>
      <c r="G203" s="875">
        <v>4.4881000000000002</v>
      </c>
      <c r="H203" s="875">
        <v>4.2412999999999998</v>
      </c>
      <c r="I203" s="875">
        <v>7.9154999999999998</v>
      </c>
      <c r="J203" s="875">
        <v>6.1736000000000004</v>
      </c>
      <c r="K203" s="875">
        <v>4.1772999999999998</v>
      </c>
      <c r="L203" s="875">
        <v>6.9104999999999999</v>
      </c>
      <c r="M203" s="875">
        <v>5.4305000000000003</v>
      </c>
      <c r="O203" s="893">
        <f t="shared" si="12"/>
        <v>43133</v>
      </c>
      <c r="P203" s="895">
        <f t="shared" si="13"/>
        <v>6.4360333333333335</v>
      </c>
      <c r="Q203" s="895">
        <f t="shared" si="14"/>
        <v>7.5791200000000005</v>
      </c>
      <c r="R203" s="895">
        <f t="shared" si="15"/>
        <v>5.6195428571428581</v>
      </c>
    </row>
    <row r="204" spans="1:18" x14ac:dyDescent="0.25">
      <c r="A204" s="894">
        <v>43132</v>
      </c>
      <c r="B204" s="875">
        <v>6.2682000000000002</v>
      </c>
      <c r="C204" s="875">
        <v>5.4782000000000002</v>
      </c>
      <c r="D204" s="875">
        <v>8.7034000000000002</v>
      </c>
      <c r="E204" s="875">
        <v>7.6398999999999999</v>
      </c>
      <c r="F204" s="875">
        <v>9.8454999999999995</v>
      </c>
      <c r="G204" s="875">
        <v>4.3859000000000004</v>
      </c>
      <c r="H204" s="875">
        <v>4.3380999999999998</v>
      </c>
      <c r="I204" s="875">
        <v>8.0793999999999997</v>
      </c>
      <c r="J204" s="875">
        <v>6.3333000000000004</v>
      </c>
      <c r="K204" s="875">
        <v>4.3026</v>
      </c>
      <c r="L204" s="875">
        <v>7.0193000000000003</v>
      </c>
      <c r="M204" s="875">
        <v>5.6771000000000003</v>
      </c>
      <c r="O204" s="893">
        <f t="shared" si="12"/>
        <v>43132</v>
      </c>
      <c r="P204" s="895">
        <f t="shared" si="13"/>
        <v>6.5059083333333332</v>
      </c>
      <c r="Q204" s="895">
        <f t="shared" si="14"/>
        <v>7.58704</v>
      </c>
      <c r="R204" s="895">
        <f t="shared" si="15"/>
        <v>5.7336714285714292</v>
      </c>
    </row>
    <row r="205" spans="1:18" x14ac:dyDescent="0.25">
      <c r="A205" s="894">
        <v>43131</v>
      </c>
      <c r="B205" s="875">
        <v>6.3402000000000003</v>
      </c>
      <c r="C205" s="875">
        <v>5.5288000000000004</v>
      </c>
      <c r="D205" s="875">
        <v>8.7782999999999998</v>
      </c>
      <c r="E205" s="875">
        <v>7.6497999999999999</v>
      </c>
      <c r="F205" s="875">
        <v>9.7041000000000004</v>
      </c>
      <c r="G205" s="875">
        <v>4.6626000000000003</v>
      </c>
      <c r="H205" s="875">
        <v>4.3761999999999999</v>
      </c>
      <c r="I205" s="875">
        <v>7.9679000000000002</v>
      </c>
      <c r="J205" s="875">
        <v>6.2845000000000004</v>
      </c>
      <c r="K205" s="875">
        <v>4.3483999999999998</v>
      </c>
      <c r="L205" s="875">
        <v>7.0796999999999999</v>
      </c>
      <c r="M205" s="875">
        <v>5.6193999999999997</v>
      </c>
      <c r="O205" s="893">
        <f t="shared" si="12"/>
        <v>43131</v>
      </c>
      <c r="P205" s="895">
        <f t="shared" si="13"/>
        <v>6.5283249999999997</v>
      </c>
      <c r="Q205" s="895">
        <f t="shared" si="14"/>
        <v>7.6002399999999994</v>
      </c>
      <c r="R205" s="895">
        <f t="shared" si="15"/>
        <v>5.7626714285714291</v>
      </c>
    </row>
    <row r="206" spans="1:18" x14ac:dyDescent="0.25">
      <c r="A206" s="894">
        <v>43130</v>
      </c>
      <c r="B206" s="875">
        <v>6.3284000000000002</v>
      </c>
      <c r="C206" s="875">
        <v>5.4687000000000001</v>
      </c>
      <c r="D206" s="875">
        <v>8.8286999999999995</v>
      </c>
      <c r="E206" s="875">
        <v>7.5805999999999996</v>
      </c>
      <c r="F206" s="875">
        <v>9.5863999999999994</v>
      </c>
      <c r="G206" s="875">
        <v>4.6886999999999999</v>
      </c>
      <c r="H206" s="875">
        <v>4.3536000000000001</v>
      </c>
      <c r="I206" s="875">
        <v>8.0953999999999997</v>
      </c>
      <c r="J206" s="875">
        <v>6.2587999999999999</v>
      </c>
      <c r="K206" s="875">
        <v>4.2446000000000002</v>
      </c>
      <c r="L206" s="875">
        <v>6.9661</v>
      </c>
      <c r="M206" s="875">
        <v>5.7450000000000001</v>
      </c>
      <c r="O206" s="893">
        <f t="shared" si="12"/>
        <v>43130</v>
      </c>
      <c r="P206" s="895">
        <f t="shared" si="13"/>
        <v>6.512083333333333</v>
      </c>
      <c r="Q206" s="895">
        <f t="shared" si="14"/>
        <v>7.5585599999999999</v>
      </c>
      <c r="R206" s="895">
        <f t="shared" si="15"/>
        <v>5.7645999999999997</v>
      </c>
    </row>
    <row r="207" spans="1:18" x14ac:dyDescent="0.25">
      <c r="A207" s="894">
        <v>43129</v>
      </c>
      <c r="B207" s="875">
        <v>6.3941999999999997</v>
      </c>
      <c r="C207" s="875">
        <v>5.5614999999999997</v>
      </c>
      <c r="D207" s="875">
        <v>8.5462000000000007</v>
      </c>
      <c r="E207" s="875">
        <v>7.6520000000000001</v>
      </c>
      <c r="F207" s="875">
        <v>9.6257999999999999</v>
      </c>
      <c r="G207" s="875">
        <v>4.8848000000000003</v>
      </c>
      <c r="H207" s="875">
        <v>4.4126000000000003</v>
      </c>
      <c r="I207" s="875">
        <v>8.2819000000000003</v>
      </c>
      <c r="J207" s="875">
        <v>6.3047000000000004</v>
      </c>
      <c r="K207" s="875">
        <v>4.3579999999999997</v>
      </c>
      <c r="L207" s="875">
        <v>7.3249000000000004</v>
      </c>
      <c r="M207" s="875">
        <v>5.9942000000000002</v>
      </c>
      <c r="O207" s="893">
        <f t="shared" si="12"/>
        <v>43129</v>
      </c>
      <c r="P207" s="895">
        <f t="shared" si="13"/>
        <v>6.6117333333333335</v>
      </c>
      <c r="Q207" s="895">
        <f t="shared" si="14"/>
        <v>7.5559399999999997</v>
      </c>
      <c r="R207" s="895">
        <f t="shared" si="15"/>
        <v>5.9373000000000005</v>
      </c>
    </row>
    <row r="208" spans="1:18" x14ac:dyDescent="0.25">
      <c r="A208" s="894">
        <v>43126</v>
      </c>
      <c r="B208" s="875">
        <v>6.4214000000000002</v>
      </c>
      <c r="C208" s="875">
        <v>5.5388999999999999</v>
      </c>
      <c r="D208" s="875">
        <v>8.7337000000000007</v>
      </c>
      <c r="E208" s="875">
        <v>7.7469000000000001</v>
      </c>
      <c r="F208" s="875">
        <v>9.8269000000000002</v>
      </c>
      <c r="G208" s="875">
        <v>4.9649999999999999</v>
      </c>
      <c r="H208" s="875">
        <v>4.4469000000000003</v>
      </c>
      <c r="I208" s="875">
        <v>8.7800999999999991</v>
      </c>
      <c r="J208" s="875">
        <v>6.4090999999999996</v>
      </c>
      <c r="K208" s="875">
        <v>4.423</v>
      </c>
      <c r="L208" s="875">
        <v>7.4698000000000002</v>
      </c>
      <c r="M208" s="875">
        <v>5.6974999999999998</v>
      </c>
      <c r="O208" s="893">
        <f t="shared" si="12"/>
        <v>43126</v>
      </c>
      <c r="P208" s="895">
        <f t="shared" si="13"/>
        <v>6.7049333333333339</v>
      </c>
      <c r="Q208" s="895">
        <f t="shared" si="14"/>
        <v>7.6535600000000006</v>
      </c>
      <c r="R208" s="895">
        <f t="shared" si="15"/>
        <v>6.0273428571428562</v>
      </c>
    </row>
    <row r="209" spans="1:18" x14ac:dyDescent="0.25">
      <c r="A209" s="894">
        <v>43125</v>
      </c>
      <c r="B209" s="875">
        <v>6.3250000000000002</v>
      </c>
      <c r="C209" s="875">
        <v>5.3823999999999996</v>
      </c>
      <c r="D209" s="875">
        <v>8.4643999999999995</v>
      </c>
      <c r="E209" s="875">
        <v>7.6962000000000002</v>
      </c>
      <c r="F209" s="875">
        <v>9.5454000000000008</v>
      </c>
      <c r="G209" s="875">
        <v>4.7836999999999996</v>
      </c>
      <c r="H209" s="875">
        <v>4.4452999999999996</v>
      </c>
      <c r="I209" s="875">
        <v>8.6478999999999999</v>
      </c>
      <c r="J209" s="875">
        <v>6.1185999999999998</v>
      </c>
      <c r="K209" s="875">
        <v>4.4271000000000003</v>
      </c>
      <c r="L209" s="875">
        <v>7.1946000000000003</v>
      </c>
      <c r="M209" s="875">
        <v>5.6497000000000002</v>
      </c>
      <c r="O209" s="893">
        <f t="shared" si="12"/>
        <v>43125</v>
      </c>
      <c r="P209" s="895">
        <f t="shared" si="13"/>
        <v>6.5566916666666657</v>
      </c>
      <c r="Q209" s="895">
        <f t="shared" si="14"/>
        <v>7.4826799999999993</v>
      </c>
      <c r="R209" s="895">
        <f t="shared" si="15"/>
        <v>5.8952714285714283</v>
      </c>
    </row>
    <row r="210" spans="1:18" x14ac:dyDescent="0.25">
      <c r="A210" s="894">
        <v>43124</v>
      </c>
      <c r="B210" s="875">
        <v>6.3804999999999996</v>
      </c>
      <c r="C210" s="875">
        <v>5.2474999999999996</v>
      </c>
      <c r="D210" s="875">
        <v>8.5143000000000004</v>
      </c>
      <c r="E210" s="875">
        <v>7.7305000000000001</v>
      </c>
      <c r="F210" s="875">
        <v>9.5487000000000002</v>
      </c>
      <c r="G210" s="875">
        <v>4.718</v>
      </c>
      <c r="H210" s="875">
        <v>4.5236000000000001</v>
      </c>
      <c r="I210" s="875">
        <v>8.7385000000000002</v>
      </c>
      <c r="J210" s="875">
        <v>6.2077999999999998</v>
      </c>
      <c r="K210" s="875">
        <v>4.4679000000000002</v>
      </c>
      <c r="L210" s="875">
        <v>7.1308999999999996</v>
      </c>
      <c r="M210" s="875">
        <v>5.7847999999999997</v>
      </c>
      <c r="O210" s="893">
        <f t="shared" si="12"/>
        <v>43124</v>
      </c>
      <c r="P210" s="895">
        <f t="shared" si="13"/>
        <v>6.5827500000000008</v>
      </c>
      <c r="Q210" s="895">
        <f t="shared" si="14"/>
        <v>7.4842999999999993</v>
      </c>
      <c r="R210" s="895">
        <f t="shared" si="15"/>
        <v>5.9387857142857134</v>
      </c>
    </row>
    <row r="211" spans="1:18" x14ac:dyDescent="0.25">
      <c r="A211" s="894">
        <v>43123</v>
      </c>
      <c r="B211" s="875">
        <v>6.4070999999999998</v>
      </c>
      <c r="C211" s="875">
        <v>5.2619999999999996</v>
      </c>
      <c r="D211" s="875">
        <v>8.6270000000000007</v>
      </c>
      <c r="E211" s="875">
        <v>7.7603</v>
      </c>
      <c r="F211" s="875">
        <v>9.4908000000000001</v>
      </c>
      <c r="G211" s="875">
        <v>4.7804000000000002</v>
      </c>
      <c r="H211" s="875">
        <v>4.4744000000000002</v>
      </c>
      <c r="I211" s="875">
        <v>8.6213999999999995</v>
      </c>
      <c r="J211" s="875">
        <v>6.2827999999999999</v>
      </c>
      <c r="K211" s="875">
        <v>4.5860000000000003</v>
      </c>
      <c r="L211" s="875">
        <v>7.4095000000000004</v>
      </c>
      <c r="M211" s="875">
        <v>5.9988000000000001</v>
      </c>
      <c r="O211" s="893">
        <f t="shared" si="12"/>
        <v>43123</v>
      </c>
      <c r="P211" s="895">
        <f t="shared" si="13"/>
        <v>6.6417083333333338</v>
      </c>
      <c r="Q211" s="895">
        <f t="shared" si="14"/>
        <v>7.5094400000000006</v>
      </c>
      <c r="R211" s="895">
        <f t="shared" si="15"/>
        <v>6.0219000000000005</v>
      </c>
    </row>
    <row r="212" spans="1:18" x14ac:dyDescent="0.25">
      <c r="A212" s="894">
        <v>43122</v>
      </c>
      <c r="B212" s="875">
        <v>6.391</v>
      </c>
      <c r="C212" s="875">
        <v>5.3357999999999999</v>
      </c>
      <c r="D212" s="875">
        <v>8.4822000000000006</v>
      </c>
      <c r="E212" s="875">
        <v>7.6740000000000004</v>
      </c>
      <c r="F212" s="875">
        <v>9.4650999999999996</v>
      </c>
      <c r="G212" s="875">
        <v>4.7074999999999996</v>
      </c>
      <c r="H212" s="875">
        <v>4.4042000000000003</v>
      </c>
      <c r="I212" s="875">
        <v>8.4519000000000002</v>
      </c>
      <c r="J212" s="875">
        <v>6.1002000000000001</v>
      </c>
      <c r="K212" s="875">
        <v>4.6555</v>
      </c>
      <c r="L212" s="875">
        <v>7.4276</v>
      </c>
      <c r="M212" s="875">
        <v>5.8895</v>
      </c>
      <c r="O212" s="893">
        <f t="shared" si="12"/>
        <v>43122</v>
      </c>
      <c r="P212" s="895">
        <f t="shared" si="13"/>
        <v>6.5820416666666661</v>
      </c>
      <c r="Q212" s="895">
        <f t="shared" si="14"/>
        <v>7.4696200000000008</v>
      </c>
      <c r="R212" s="895">
        <f t="shared" si="15"/>
        <v>5.9480571428571434</v>
      </c>
    </row>
    <row r="213" spans="1:18" x14ac:dyDescent="0.25">
      <c r="A213" s="894">
        <v>43119</v>
      </c>
      <c r="B213" s="875">
        <v>6.3400999999999996</v>
      </c>
      <c r="C213" s="875">
        <v>5.3014000000000001</v>
      </c>
      <c r="D213" s="875">
        <v>8.4342000000000006</v>
      </c>
      <c r="E213" s="875">
        <v>7.5454999999999997</v>
      </c>
      <c r="F213" s="875">
        <v>9.3816000000000006</v>
      </c>
      <c r="G213" s="875">
        <v>4.5826000000000002</v>
      </c>
      <c r="H213" s="875">
        <v>4.3108000000000004</v>
      </c>
      <c r="I213" s="875">
        <v>8.2698</v>
      </c>
      <c r="J213" s="875">
        <v>6.0843999999999996</v>
      </c>
      <c r="K213" s="875">
        <v>4.7049000000000003</v>
      </c>
      <c r="L213" s="875">
        <v>7.2976000000000001</v>
      </c>
      <c r="M213" s="875">
        <v>5.7736000000000001</v>
      </c>
      <c r="O213" s="893">
        <f t="shared" si="12"/>
        <v>43119</v>
      </c>
      <c r="P213" s="895">
        <f t="shared" si="13"/>
        <v>6.5022083333333329</v>
      </c>
      <c r="Q213" s="895">
        <f t="shared" si="14"/>
        <v>7.4005600000000005</v>
      </c>
      <c r="R213" s="895">
        <f t="shared" si="15"/>
        <v>5.8605285714285724</v>
      </c>
    </row>
    <row r="214" spans="1:18" x14ac:dyDescent="0.25">
      <c r="A214" s="894">
        <v>43118</v>
      </c>
      <c r="B214" s="875">
        <v>6.3348000000000004</v>
      </c>
      <c r="C214" s="875">
        <v>5.2252000000000001</v>
      </c>
      <c r="D214" s="875">
        <v>8.3741000000000003</v>
      </c>
      <c r="E214" s="875">
        <v>7.6875999999999998</v>
      </c>
      <c r="F214" s="875">
        <v>9.3050999999999995</v>
      </c>
      <c r="G214" s="875">
        <v>4.6864999999999997</v>
      </c>
      <c r="H214" s="875">
        <v>4.3052999999999999</v>
      </c>
      <c r="I214" s="875">
        <v>7.6086999999999998</v>
      </c>
      <c r="J214" s="875">
        <v>5.9600999999999997</v>
      </c>
      <c r="K214" s="875">
        <v>4.7419000000000002</v>
      </c>
      <c r="L214" s="875">
        <v>7.0834000000000001</v>
      </c>
      <c r="M214" s="875">
        <v>5.7163000000000004</v>
      </c>
      <c r="O214" s="893">
        <f t="shared" si="12"/>
        <v>43118</v>
      </c>
      <c r="P214" s="895">
        <f t="shared" si="13"/>
        <v>6.419083333333333</v>
      </c>
      <c r="Q214" s="895">
        <f t="shared" si="14"/>
        <v>7.3853600000000004</v>
      </c>
      <c r="R214" s="895">
        <f t="shared" si="15"/>
        <v>5.7288857142857141</v>
      </c>
    </row>
    <row r="215" spans="1:18" x14ac:dyDescent="0.25">
      <c r="A215" s="894">
        <v>43117</v>
      </c>
      <c r="B215" s="875">
        <v>6.2385999999999999</v>
      </c>
      <c r="C215" s="875">
        <v>5.3124000000000002</v>
      </c>
      <c r="D215" s="875">
        <v>8.2989999999999995</v>
      </c>
      <c r="E215" s="875">
        <v>7.6159999999999997</v>
      </c>
      <c r="F215" s="875">
        <v>9.2890999999999995</v>
      </c>
      <c r="G215" s="875">
        <v>4.8085000000000004</v>
      </c>
      <c r="H215" s="875">
        <v>4.2557999999999998</v>
      </c>
      <c r="I215" s="875">
        <v>7.5484</v>
      </c>
      <c r="J215" s="875">
        <v>5.9863</v>
      </c>
      <c r="K215" s="875">
        <v>4.7178000000000004</v>
      </c>
      <c r="L215" s="875">
        <v>6.9256000000000002</v>
      </c>
      <c r="M215" s="875">
        <v>6.0709999999999997</v>
      </c>
      <c r="O215" s="893">
        <f t="shared" si="12"/>
        <v>43117</v>
      </c>
      <c r="P215" s="895">
        <f t="shared" si="13"/>
        <v>6.4223749999999997</v>
      </c>
      <c r="Q215" s="895">
        <f t="shared" si="14"/>
        <v>7.3510200000000001</v>
      </c>
      <c r="R215" s="895">
        <f t="shared" si="15"/>
        <v>5.7590571428571433</v>
      </c>
    </row>
    <row r="216" spans="1:18" x14ac:dyDescent="0.25">
      <c r="A216" s="894">
        <v>43116</v>
      </c>
      <c r="B216" s="875">
        <v>6.1757999999999997</v>
      </c>
      <c r="C216" s="875">
        <v>5.2420999999999998</v>
      </c>
      <c r="D216" s="875">
        <v>8.1319999999999997</v>
      </c>
      <c r="E216" s="875">
        <v>7.3063000000000002</v>
      </c>
      <c r="F216" s="875">
        <v>9.2311999999999994</v>
      </c>
      <c r="G216" s="875">
        <v>4.6936999999999998</v>
      </c>
      <c r="H216" s="875">
        <v>4.2462999999999997</v>
      </c>
      <c r="I216" s="875">
        <v>7.4234</v>
      </c>
      <c r="J216" s="875">
        <v>5.9817999999999998</v>
      </c>
      <c r="K216" s="875">
        <v>4.6283000000000003</v>
      </c>
      <c r="L216" s="875">
        <v>6.8608000000000002</v>
      </c>
      <c r="M216" s="875">
        <v>6.4446000000000003</v>
      </c>
      <c r="O216" s="893">
        <f t="shared" si="12"/>
        <v>43116</v>
      </c>
      <c r="P216" s="895">
        <f t="shared" si="13"/>
        <v>6.363858333333333</v>
      </c>
      <c r="Q216" s="895">
        <f t="shared" si="14"/>
        <v>7.2174800000000001</v>
      </c>
      <c r="R216" s="895">
        <f t="shared" si="15"/>
        <v>5.7541285714285717</v>
      </c>
    </row>
    <row r="217" spans="1:18" x14ac:dyDescent="0.25">
      <c r="A217" s="894">
        <v>43112</v>
      </c>
      <c r="B217" s="875">
        <v>6.2582000000000004</v>
      </c>
      <c r="C217" s="875">
        <v>5.3548999999999998</v>
      </c>
      <c r="D217" s="875">
        <v>8.3627000000000002</v>
      </c>
      <c r="E217" s="875">
        <v>7.5425000000000004</v>
      </c>
      <c r="F217" s="875">
        <v>9.1326000000000001</v>
      </c>
      <c r="G217" s="875">
        <v>4.7813999999999997</v>
      </c>
      <c r="H217" s="875">
        <v>4.4089999999999998</v>
      </c>
      <c r="I217" s="875">
        <v>7.6303999999999998</v>
      </c>
      <c r="J217" s="875">
        <v>6.1821000000000002</v>
      </c>
      <c r="K217" s="875">
        <v>4.4241000000000001</v>
      </c>
      <c r="L217" s="875">
        <v>6.8198999999999996</v>
      </c>
      <c r="M217" s="875">
        <v>6.6666999999999996</v>
      </c>
      <c r="O217" s="893">
        <f t="shared" si="12"/>
        <v>43112</v>
      </c>
      <c r="P217" s="895">
        <f t="shared" si="13"/>
        <v>6.4637083333333338</v>
      </c>
      <c r="Q217" s="895">
        <f t="shared" si="14"/>
        <v>7.3301800000000004</v>
      </c>
      <c r="R217" s="895">
        <f t="shared" si="15"/>
        <v>5.8447999999999993</v>
      </c>
    </row>
    <row r="218" spans="1:18" x14ac:dyDescent="0.25">
      <c r="A218" s="894">
        <v>43111</v>
      </c>
      <c r="B218" s="875">
        <v>6.2</v>
      </c>
      <c r="C218" s="875">
        <v>5.2915000000000001</v>
      </c>
      <c r="D218" s="875">
        <v>8.4825999999999997</v>
      </c>
      <c r="E218" s="875">
        <v>7.5368000000000004</v>
      </c>
      <c r="F218" s="875">
        <v>9.1105999999999998</v>
      </c>
      <c r="G218" s="875">
        <v>4.7728999999999999</v>
      </c>
      <c r="H218" s="875">
        <v>4.3921999999999999</v>
      </c>
      <c r="I218" s="875">
        <v>7.5124000000000004</v>
      </c>
      <c r="J218" s="875">
        <v>5.9265999999999996</v>
      </c>
      <c r="K218" s="875">
        <v>4.4325999999999999</v>
      </c>
      <c r="L218" s="875">
        <v>6.6947000000000001</v>
      </c>
      <c r="M218" s="875">
        <v>6.7252999999999998</v>
      </c>
      <c r="O218" s="893">
        <f t="shared" si="12"/>
        <v>43111</v>
      </c>
      <c r="P218" s="895">
        <f t="shared" si="13"/>
        <v>6.4231833333333341</v>
      </c>
      <c r="Q218" s="895">
        <f t="shared" si="14"/>
        <v>7.3242999999999991</v>
      </c>
      <c r="R218" s="895">
        <f t="shared" si="15"/>
        <v>5.7795285714285711</v>
      </c>
    </row>
    <row r="219" spans="1:18" x14ac:dyDescent="0.25">
      <c r="A219" s="894">
        <v>43110</v>
      </c>
      <c r="B219" s="875">
        <v>6.1866000000000003</v>
      </c>
      <c r="C219" s="875">
        <v>5.2093999999999996</v>
      </c>
      <c r="D219" s="875">
        <v>8.4809999999999999</v>
      </c>
      <c r="E219" s="875">
        <v>7.4927999999999999</v>
      </c>
      <c r="F219" s="875">
        <v>9.0284999999999993</v>
      </c>
      <c r="G219" s="875">
        <v>4.6669999999999998</v>
      </c>
      <c r="H219" s="875">
        <v>4.3213999999999997</v>
      </c>
      <c r="I219" s="875">
        <v>7.5011000000000001</v>
      </c>
      <c r="J219" s="875">
        <v>5.8055000000000003</v>
      </c>
      <c r="K219" s="875">
        <v>4.4573</v>
      </c>
      <c r="L219" s="875">
        <v>6.5632999999999999</v>
      </c>
      <c r="M219" s="875">
        <v>6.6798000000000002</v>
      </c>
      <c r="O219" s="893">
        <f t="shared" si="12"/>
        <v>43110</v>
      </c>
      <c r="P219" s="895">
        <f t="shared" si="13"/>
        <v>6.3661416666666666</v>
      </c>
      <c r="Q219" s="895">
        <f t="shared" si="14"/>
        <v>7.2796599999999998</v>
      </c>
      <c r="R219" s="895">
        <f t="shared" si="15"/>
        <v>5.7136285714285719</v>
      </c>
    </row>
    <row r="220" spans="1:18" x14ac:dyDescent="0.25">
      <c r="A220" s="894">
        <v>43109</v>
      </c>
      <c r="B220" s="875">
        <v>6.2110000000000003</v>
      </c>
      <c r="C220" s="875">
        <v>5.0530999999999997</v>
      </c>
      <c r="D220" s="875">
        <v>8.1373999999999995</v>
      </c>
      <c r="E220" s="875">
        <v>7.5446999999999997</v>
      </c>
      <c r="F220" s="875">
        <v>8.9844000000000008</v>
      </c>
      <c r="G220" s="875">
        <v>4.6214000000000004</v>
      </c>
      <c r="H220" s="875">
        <v>4.3464999999999998</v>
      </c>
      <c r="I220" s="875">
        <v>7.4804000000000004</v>
      </c>
      <c r="J220" s="875">
        <v>5.8388999999999998</v>
      </c>
      <c r="K220" s="875">
        <v>4.1741999999999999</v>
      </c>
      <c r="L220" s="875">
        <v>6.6710000000000003</v>
      </c>
      <c r="M220" s="875">
        <v>6.6863000000000001</v>
      </c>
      <c r="O220" s="893">
        <f t="shared" si="12"/>
        <v>43109</v>
      </c>
      <c r="P220" s="895">
        <f t="shared" si="13"/>
        <v>6.3124416666666674</v>
      </c>
      <c r="Q220" s="895">
        <f t="shared" si="14"/>
        <v>7.1861199999999998</v>
      </c>
      <c r="R220" s="895">
        <f t="shared" si="15"/>
        <v>5.6883857142857144</v>
      </c>
    </row>
    <row r="221" spans="1:18" x14ac:dyDescent="0.25">
      <c r="A221" s="894">
        <v>43108</v>
      </c>
      <c r="B221" s="875">
        <v>6.1981000000000002</v>
      </c>
      <c r="C221" s="875">
        <v>5.0414000000000003</v>
      </c>
      <c r="D221" s="875">
        <v>8.1628000000000007</v>
      </c>
      <c r="E221" s="875">
        <v>7.5975999999999999</v>
      </c>
      <c r="F221" s="875">
        <v>8.9839000000000002</v>
      </c>
      <c r="G221" s="875">
        <v>4.6729000000000003</v>
      </c>
      <c r="H221" s="875">
        <v>4.4314</v>
      </c>
      <c r="I221" s="875">
        <v>7.4782999999999999</v>
      </c>
      <c r="J221" s="875">
        <v>5.7995999999999999</v>
      </c>
      <c r="K221" s="875">
        <v>4.1947000000000001</v>
      </c>
      <c r="L221" s="875">
        <v>6.6925999999999997</v>
      </c>
      <c r="M221" s="875">
        <v>6.8731</v>
      </c>
      <c r="O221" s="893">
        <f t="shared" si="12"/>
        <v>43108</v>
      </c>
      <c r="P221" s="895">
        <f t="shared" si="13"/>
        <v>6.3438666666666661</v>
      </c>
      <c r="Q221" s="895">
        <f t="shared" si="14"/>
        <v>7.1967600000000003</v>
      </c>
      <c r="R221" s="895">
        <f t="shared" si="15"/>
        <v>5.7346571428571433</v>
      </c>
    </row>
    <row r="222" spans="1:18" x14ac:dyDescent="0.25">
      <c r="A222" s="894">
        <v>43105</v>
      </c>
      <c r="B222" s="875">
        <v>6.1589</v>
      </c>
      <c r="C222" s="875">
        <v>5.0171000000000001</v>
      </c>
      <c r="D222" s="875">
        <v>8.1196000000000002</v>
      </c>
      <c r="E222" s="875">
        <v>7.4104000000000001</v>
      </c>
      <c r="F222" s="875">
        <v>8.9833999999999996</v>
      </c>
      <c r="G222" s="875">
        <v>4.7321999999999997</v>
      </c>
      <c r="H222" s="875">
        <v>4.3605</v>
      </c>
      <c r="I222" s="875">
        <v>7.5323000000000002</v>
      </c>
      <c r="J222" s="875">
        <v>5.7663000000000002</v>
      </c>
      <c r="K222" s="875">
        <v>4.2565999999999997</v>
      </c>
      <c r="L222" s="875">
        <v>6.6963999999999997</v>
      </c>
      <c r="M222" s="875">
        <v>6.8800999999999997</v>
      </c>
      <c r="O222" s="893">
        <f t="shared" si="12"/>
        <v>43105</v>
      </c>
      <c r="P222" s="895">
        <f t="shared" si="13"/>
        <v>6.3261499999999993</v>
      </c>
      <c r="Q222" s="895">
        <f t="shared" si="14"/>
        <v>7.13788</v>
      </c>
      <c r="R222" s="895">
        <f t="shared" si="15"/>
        <v>5.7463428571428565</v>
      </c>
    </row>
    <row r="223" spans="1:18" x14ac:dyDescent="0.25">
      <c r="A223" s="894">
        <v>43104</v>
      </c>
      <c r="B223" s="875">
        <v>6.0796999999999999</v>
      </c>
      <c r="C223" s="875">
        <v>5.0171999999999999</v>
      </c>
      <c r="D223" s="875">
        <v>8.1196999999999999</v>
      </c>
      <c r="E223" s="875">
        <v>7.4222999999999999</v>
      </c>
      <c r="F223" s="875">
        <v>8.9091000000000005</v>
      </c>
      <c r="G223" s="875">
        <v>4.6589999999999998</v>
      </c>
      <c r="H223" s="875">
        <v>4.3451000000000004</v>
      </c>
      <c r="I223" s="875">
        <v>7.5483000000000002</v>
      </c>
      <c r="J223" s="875">
        <v>5.7445000000000004</v>
      </c>
      <c r="K223" s="875">
        <v>4.3056999999999999</v>
      </c>
      <c r="L223" s="875">
        <v>6.7202000000000002</v>
      </c>
      <c r="M223" s="875">
        <v>6.5156999999999998</v>
      </c>
      <c r="O223" s="893">
        <f t="shared" si="12"/>
        <v>43104</v>
      </c>
      <c r="P223" s="895">
        <f t="shared" si="13"/>
        <v>6.2822083333333332</v>
      </c>
      <c r="Q223" s="895">
        <f t="shared" si="14"/>
        <v>7.1096000000000004</v>
      </c>
      <c r="R223" s="895">
        <f t="shared" si="15"/>
        <v>5.6912142857142864</v>
      </c>
    </row>
    <row r="224" spans="1:18" x14ac:dyDescent="0.25">
      <c r="A224" s="894">
        <v>43103</v>
      </c>
      <c r="B224" s="875">
        <v>6.0025000000000004</v>
      </c>
      <c r="C224" s="875">
        <v>5.1318000000000001</v>
      </c>
      <c r="D224" s="875">
        <v>7.7618999999999998</v>
      </c>
      <c r="E224" s="875">
        <v>7.4474999999999998</v>
      </c>
      <c r="F224" s="875">
        <v>8.8544</v>
      </c>
      <c r="G224" s="875">
        <v>4.6908000000000003</v>
      </c>
      <c r="H224" s="875">
        <v>4.3510999999999997</v>
      </c>
      <c r="I224" s="875">
        <v>7.5308000000000002</v>
      </c>
      <c r="J224" s="875">
        <v>5.7085999999999997</v>
      </c>
      <c r="K224" s="875">
        <v>4.3304</v>
      </c>
      <c r="L224" s="875">
        <v>6.5960000000000001</v>
      </c>
      <c r="M224" s="875">
        <v>6.2369000000000003</v>
      </c>
      <c r="O224" s="893">
        <f t="shared" si="12"/>
        <v>43103</v>
      </c>
      <c r="P224" s="895">
        <f t="shared" si="13"/>
        <v>6.2202250000000001</v>
      </c>
      <c r="Q224" s="895">
        <f t="shared" si="14"/>
        <v>7.0396199999999993</v>
      </c>
      <c r="R224" s="895">
        <f t="shared" si="15"/>
        <v>5.6349428571428577</v>
      </c>
    </row>
    <row r="225" spans="1:18" x14ac:dyDescent="0.25">
      <c r="A225" s="894">
        <v>43102</v>
      </c>
      <c r="B225" s="875">
        <v>5.9558999999999997</v>
      </c>
      <c r="C225" s="875">
        <v>5.0190000000000001</v>
      </c>
      <c r="D225" s="875">
        <v>7.6269999999999998</v>
      </c>
      <c r="E225" s="875">
        <v>7.3121999999999998</v>
      </c>
      <c r="F225" s="875">
        <v>8.7832000000000008</v>
      </c>
      <c r="G225" s="875">
        <v>4.5380000000000003</v>
      </c>
      <c r="H225" s="875">
        <v>4.2442000000000002</v>
      </c>
      <c r="I225" s="875">
        <v>7.5286999999999997</v>
      </c>
      <c r="J225" s="875">
        <v>5.6123000000000003</v>
      </c>
      <c r="K225" s="875">
        <v>4.3757999999999999</v>
      </c>
      <c r="L225" s="875">
        <v>6.6254999999999997</v>
      </c>
      <c r="M225" s="875">
        <v>6.4516</v>
      </c>
      <c r="O225" s="893">
        <f t="shared" si="12"/>
        <v>43102</v>
      </c>
      <c r="P225" s="895">
        <f t="shared" si="13"/>
        <v>6.1727833333333324</v>
      </c>
      <c r="Q225" s="895">
        <f t="shared" si="14"/>
        <v>6.9394599999999995</v>
      </c>
      <c r="R225" s="895">
        <f t="shared" si="15"/>
        <v>5.6251571428571427</v>
      </c>
    </row>
    <row r="226" spans="1:18" x14ac:dyDescent="0.25">
      <c r="A226" s="894">
        <v>43098</v>
      </c>
      <c r="B226" s="875">
        <v>5.8323</v>
      </c>
      <c r="C226" s="875">
        <v>4.9363000000000001</v>
      </c>
      <c r="D226" s="875">
        <v>7.4996999999999998</v>
      </c>
      <c r="E226" s="875">
        <v>6.9676</v>
      </c>
      <c r="F226" s="875">
        <v>8.7009000000000007</v>
      </c>
      <c r="G226" s="875">
        <v>4.4622000000000002</v>
      </c>
      <c r="H226" s="875">
        <v>3.9581</v>
      </c>
      <c r="I226" s="875">
        <v>7.2718999999999996</v>
      </c>
      <c r="J226" s="875">
        <v>5.5780000000000003</v>
      </c>
      <c r="K226" s="875">
        <v>4.4543999999999997</v>
      </c>
      <c r="L226" s="875">
        <v>6.5484</v>
      </c>
      <c r="M226" s="875">
        <v>6.2058999999999997</v>
      </c>
      <c r="O226" s="893">
        <f t="shared" si="12"/>
        <v>43098</v>
      </c>
      <c r="P226" s="895">
        <f t="shared" si="13"/>
        <v>6.0346416666666682</v>
      </c>
      <c r="Q226" s="895">
        <f t="shared" si="14"/>
        <v>6.7873600000000014</v>
      </c>
      <c r="R226" s="895">
        <f t="shared" si="15"/>
        <v>5.4969857142857137</v>
      </c>
    </row>
    <row r="227" spans="1:18" x14ac:dyDescent="0.25">
      <c r="A227" s="894">
        <v>43097</v>
      </c>
      <c r="B227" s="875">
        <v>5.8727</v>
      </c>
      <c r="C227" s="875">
        <v>4.9443999999999999</v>
      </c>
      <c r="D227" s="875">
        <v>7.5481999999999996</v>
      </c>
      <c r="E227" s="875">
        <v>6.9276999999999997</v>
      </c>
      <c r="F227" s="875">
        <v>8.7750000000000004</v>
      </c>
      <c r="G227" s="875">
        <v>4.6017999999999999</v>
      </c>
      <c r="H227" s="875">
        <v>4.1303000000000001</v>
      </c>
      <c r="I227" s="875">
        <v>7.3326000000000002</v>
      </c>
      <c r="J227" s="875">
        <v>5.6570999999999998</v>
      </c>
      <c r="K227" s="875">
        <v>4.4630000000000001</v>
      </c>
      <c r="L227" s="875">
        <v>6.0095000000000001</v>
      </c>
      <c r="M227" s="875">
        <v>6.9553000000000003</v>
      </c>
      <c r="O227" s="893">
        <f t="shared" si="12"/>
        <v>43097</v>
      </c>
      <c r="P227" s="895">
        <f t="shared" si="13"/>
        <v>6.1014666666666661</v>
      </c>
      <c r="Q227" s="895">
        <f t="shared" si="14"/>
        <v>6.8135999999999992</v>
      </c>
      <c r="R227" s="895">
        <f t="shared" si="15"/>
        <v>5.5927999999999995</v>
      </c>
    </row>
    <row r="228" spans="1:18" x14ac:dyDescent="0.25">
      <c r="A228" s="894">
        <v>43096</v>
      </c>
      <c r="B228" s="875">
        <v>5.8682999999999996</v>
      </c>
      <c r="C228" s="875">
        <v>4.9635999999999996</v>
      </c>
      <c r="D228" s="875">
        <v>7.6233000000000004</v>
      </c>
      <c r="E228" s="875">
        <v>6.9608999999999996</v>
      </c>
      <c r="F228" s="875">
        <v>8.7532999999999994</v>
      </c>
      <c r="G228" s="875">
        <v>4.6676000000000002</v>
      </c>
      <c r="H228" s="875">
        <v>4.1585999999999999</v>
      </c>
      <c r="I228" s="875">
        <v>7.4175000000000004</v>
      </c>
      <c r="J228" s="875">
        <v>5.6326999999999998</v>
      </c>
      <c r="K228" s="875">
        <v>4.4549000000000003</v>
      </c>
      <c r="L228" s="875">
        <v>5.9985999999999997</v>
      </c>
      <c r="M228" s="875">
        <v>7.0590999999999999</v>
      </c>
      <c r="O228" s="893">
        <f t="shared" si="12"/>
        <v>43096</v>
      </c>
      <c r="P228" s="895">
        <f t="shared" si="13"/>
        <v>6.1298666666666675</v>
      </c>
      <c r="Q228" s="895">
        <f t="shared" si="14"/>
        <v>6.8338799999999988</v>
      </c>
      <c r="R228" s="895">
        <f t="shared" si="15"/>
        <v>5.6269999999999998</v>
      </c>
    </row>
    <row r="229" spans="1:18" x14ac:dyDescent="0.25">
      <c r="A229" s="894">
        <v>43095</v>
      </c>
      <c r="B229" s="875">
        <v>5.8655999999999997</v>
      </c>
      <c r="C229" s="875">
        <v>4.9768999999999997</v>
      </c>
      <c r="D229" s="875">
        <v>7.6186999999999996</v>
      </c>
      <c r="E229" s="875">
        <v>6.9367999999999999</v>
      </c>
      <c r="F229" s="875">
        <v>8.6966000000000001</v>
      </c>
      <c r="G229" s="875">
        <v>4.6157000000000004</v>
      </c>
      <c r="H229" s="875">
        <v>4.2024999999999997</v>
      </c>
      <c r="I229" s="875">
        <v>7.4432999999999998</v>
      </c>
      <c r="J229" s="875">
        <v>5.6432000000000002</v>
      </c>
      <c r="K229" s="875">
        <v>4.4550999999999998</v>
      </c>
      <c r="L229" s="875">
        <v>5.9242999999999997</v>
      </c>
      <c r="M229" s="875">
        <v>7.1383999999999999</v>
      </c>
      <c r="O229" s="893">
        <f t="shared" si="12"/>
        <v>43095</v>
      </c>
      <c r="P229" s="895">
        <f t="shared" si="13"/>
        <v>6.1264250000000011</v>
      </c>
      <c r="Q229" s="895">
        <f t="shared" si="14"/>
        <v>6.8189200000000003</v>
      </c>
      <c r="R229" s="895">
        <f t="shared" si="15"/>
        <v>5.631785714285714</v>
      </c>
    </row>
    <row r="230" spans="1:18" x14ac:dyDescent="0.25">
      <c r="A230" s="894">
        <v>43091</v>
      </c>
      <c r="B230" s="875">
        <v>5.8746999999999998</v>
      </c>
      <c r="C230" s="875">
        <v>4.9344000000000001</v>
      </c>
      <c r="D230" s="875">
        <v>7.5754999999999999</v>
      </c>
      <c r="E230" s="875">
        <v>6.9867999999999997</v>
      </c>
      <c r="F230" s="875">
        <v>8.6954999999999991</v>
      </c>
      <c r="G230" s="875">
        <v>4.5922000000000001</v>
      </c>
      <c r="H230" s="875">
        <v>4.2230999999999996</v>
      </c>
      <c r="I230" s="875">
        <v>7.2789000000000001</v>
      </c>
      <c r="J230" s="875">
        <v>5.6223999999999998</v>
      </c>
      <c r="K230" s="875">
        <v>4.6170999999999998</v>
      </c>
      <c r="L230" s="875">
        <v>5.8974000000000002</v>
      </c>
      <c r="M230" s="875">
        <v>7.3689</v>
      </c>
      <c r="O230" s="893">
        <f t="shared" si="12"/>
        <v>43091</v>
      </c>
      <c r="P230" s="895">
        <f t="shared" si="13"/>
        <v>6.1389083333333332</v>
      </c>
      <c r="Q230" s="895">
        <f t="shared" si="14"/>
        <v>6.8133799999999995</v>
      </c>
      <c r="R230" s="895">
        <f t="shared" si="15"/>
        <v>5.6571428571428566</v>
      </c>
    </row>
    <row r="231" spans="1:18" x14ac:dyDescent="0.25">
      <c r="A231" s="894">
        <v>43090</v>
      </c>
      <c r="B231" s="875">
        <v>5.9405000000000001</v>
      </c>
      <c r="C231" s="875">
        <v>4.9846000000000004</v>
      </c>
      <c r="D231" s="875">
        <v>7.6332000000000004</v>
      </c>
      <c r="E231" s="875">
        <v>7.1058000000000003</v>
      </c>
      <c r="F231" s="875">
        <v>8.6961999999999993</v>
      </c>
      <c r="G231" s="875">
        <v>4.5933999999999999</v>
      </c>
      <c r="H231" s="875">
        <v>4.1363000000000003</v>
      </c>
      <c r="I231" s="875">
        <v>7.3429000000000002</v>
      </c>
      <c r="J231" s="875">
        <v>5.6656000000000004</v>
      </c>
      <c r="K231" s="875">
        <v>4.6676000000000002</v>
      </c>
      <c r="L231" s="875">
        <v>6.0502000000000002</v>
      </c>
      <c r="M231" s="875">
        <v>7.4789000000000003</v>
      </c>
      <c r="O231" s="893">
        <f t="shared" si="12"/>
        <v>43090</v>
      </c>
      <c r="P231" s="895">
        <f t="shared" si="13"/>
        <v>6.1912666666666665</v>
      </c>
      <c r="Q231" s="895">
        <f t="shared" si="14"/>
        <v>6.8720600000000003</v>
      </c>
      <c r="R231" s="895">
        <f t="shared" si="15"/>
        <v>5.7049857142857148</v>
      </c>
    </row>
    <row r="232" spans="1:18" x14ac:dyDescent="0.25">
      <c r="A232" s="894">
        <v>43089</v>
      </c>
      <c r="B232" s="875">
        <v>5.9309000000000003</v>
      </c>
      <c r="C232" s="875">
        <v>4.9276999999999997</v>
      </c>
      <c r="D232" s="875">
        <v>7.5673000000000004</v>
      </c>
      <c r="E232" s="875">
        <v>7.0843999999999996</v>
      </c>
      <c r="F232" s="875">
        <v>8.7062000000000008</v>
      </c>
      <c r="G232" s="875">
        <v>4.9589999999999996</v>
      </c>
      <c r="H232" s="875">
        <v>4.2873000000000001</v>
      </c>
      <c r="I232" s="875">
        <v>7.2624000000000004</v>
      </c>
      <c r="J232" s="875">
        <v>5.6226000000000003</v>
      </c>
      <c r="K232" s="875">
        <v>4.6304999999999996</v>
      </c>
      <c r="L232" s="875">
        <v>6.1387999999999998</v>
      </c>
      <c r="M232" s="875">
        <v>7.6546000000000003</v>
      </c>
      <c r="O232" s="893">
        <f t="shared" si="12"/>
        <v>43089</v>
      </c>
      <c r="P232" s="895">
        <f t="shared" si="13"/>
        <v>6.2309749999999999</v>
      </c>
      <c r="Q232" s="895">
        <f t="shared" si="14"/>
        <v>6.8432999999999993</v>
      </c>
      <c r="R232" s="895">
        <f t="shared" si="15"/>
        <v>5.7935999999999996</v>
      </c>
    </row>
    <row r="233" spans="1:18" x14ac:dyDescent="0.25">
      <c r="A233" s="894">
        <v>43088</v>
      </c>
      <c r="B233" s="875">
        <v>5.9859</v>
      </c>
      <c r="C233" s="875">
        <v>4.9816000000000003</v>
      </c>
      <c r="D233" s="875">
        <v>7.6482999999999999</v>
      </c>
      <c r="E233" s="875">
        <v>7.1449999999999996</v>
      </c>
      <c r="F233" s="875">
        <v>8.7805</v>
      </c>
      <c r="G233" s="875">
        <v>4.9057000000000004</v>
      </c>
      <c r="H233" s="875">
        <v>4.2748999999999997</v>
      </c>
      <c r="I233" s="875">
        <v>7.2945000000000002</v>
      </c>
      <c r="J233" s="875">
        <v>5.7180999999999997</v>
      </c>
      <c r="K233" s="875">
        <v>4.6642000000000001</v>
      </c>
      <c r="L233" s="875">
        <v>6.3388999999999998</v>
      </c>
      <c r="M233" s="875">
        <v>7.5087999999999999</v>
      </c>
      <c r="O233" s="893">
        <f t="shared" si="12"/>
        <v>43088</v>
      </c>
      <c r="P233" s="895">
        <f t="shared" si="13"/>
        <v>6.2705333333333328</v>
      </c>
      <c r="Q233" s="895">
        <f t="shared" si="14"/>
        <v>6.9082600000000003</v>
      </c>
      <c r="R233" s="895">
        <f t="shared" si="15"/>
        <v>5.8150142857142857</v>
      </c>
    </row>
    <row r="234" spans="1:18" x14ac:dyDescent="0.25">
      <c r="A234" s="894">
        <v>43087</v>
      </c>
      <c r="B234" s="875">
        <v>6.0381</v>
      </c>
      <c r="C234" s="875">
        <v>5.0152000000000001</v>
      </c>
      <c r="D234" s="875">
        <v>7.7125000000000004</v>
      </c>
      <c r="E234" s="875">
        <v>7.0881999999999996</v>
      </c>
      <c r="F234" s="875">
        <v>8.8390000000000004</v>
      </c>
      <c r="G234" s="875">
        <v>5.0007999999999999</v>
      </c>
      <c r="H234" s="875">
        <v>4.3541999999999996</v>
      </c>
      <c r="I234" s="875">
        <v>7.2232000000000003</v>
      </c>
      <c r="J234" s="875">
        <v>5.7842000000000002</v>
      </c>
      <c r="K234" s="875">
        <v>4.7062999999999997</v>
      </c>
      <c r="L234" s="875">
        <v>6.3560999999999996</v>
      </c>
      <c r="M234" s="875">
        <v>7.5918999999999999</v>
      </c>
      <c r="O234" s="893">
        <f t="shared" si="12"/>
        <v>43087</v>
      </c>
      <c r="P234" s="895">
        <f t="shared" si="13"/>
        <v>6.3091416666666653</v>
      </c>
      <c r="Q234" s="895">
        <f t="shared" si="14"/>
        <v>6.9385999999999992</v>
      </c>
      <c r="R234" s="895">
        <f t="shared" si="15"/>
        <v>5.8595285714285712</v>
      </c>
    </row>
    <row r="235" spans="1:18" x14ac:dyDescent="0.25">
      <c r="A235" s="894">
        <v>43084</v>
      </c>
      <c r="B235" s="875">
        <v>6.0660999999999996</v>
      </c>
      <c r="C235" s="875">
        <v>4.9802999999999997</v>
      </c>
      <c r="D235" s="875">
        <v>7.7046999999999999</v>
      </c>
      <c r="E235" s="875">
        <v>6.9938000000000002</v>
      </c>
      <c r="F235" s="875">
        <v>8.7650000000000006</v>
      </c>
      <c r="G235" s="875">
        <v>4.9467999999999996</v>
      </c>
      <c r="H235" s="875">
        <v>4.3536999999999999</v>
      </c>
      <c r="I235" s="875">
        <v>7.4569999999999999</v>
      </c>
      <c r="J235" s="875">
        <v>5.758</v>
      </c>
      <c r="K235" s="875">
        <v>4.6154000000000002</v>
      </c>
      <c r="L235" s="875">
        <v>6.1940999999999997</v>
      </c>
      <c r="M235" s="875">
        <v>6.7488999999999999</v>
      </c>
      <c r="O235" s="893">
        <f t="shared" si="12"/>
        <v>43084</v>
      </c>
      <c r="P235" s="895">
        <f t="shared" si="13"/>
        <v>6.2153166666666673</v>
      </c>
      <c r="Q235" s="895">
        <f t="shared" si="14"/>
        <v>6.90198</v>
      </c>
      <c r="R235" s="895">
        <f t="shared" si="15"/>
        <v>5.7248428571428578</v>
      </c>
    </row>
    <row r="236" spans="1:18" x14ac:dyDescent="0.25">
      <c r="A236" s="894">
        <v>43083</v>
      </c>
      <c r="B236" s="875">
        <v>5.9968000000000004</v>
      </c>
      <c r="C236" s="875">
        <v>4.8776000000000002</v>
      </c>
      <c r="D236" s="875">
        <v>7.7007000000000003</v>
      </c>
      <c r="E236" s="875">
        <v>6.8804999999999996</v>
      </c>
      <c r="F236" s="875">
        <v>8.5418000000000003</v>
      </c>
      <c r="G236" s="875">
        <v>4.9210000000000003</v>
      </c>
      <c r="H236" s="875">
        <v>4.3159999999999998</v>
      </c>
      <c r="I236" s="875">
        <v>7.4978999999999996</v>
      </c>
      <c r="J236" s="875">
        <v>5.6870000000000003</v>
      </c>
      <c r="K236" s="875">
        <v>4.5442</v>
      </c>
      <c r="L236" s="875">
        <v>5.9318</v>
      </c>
      <c r="M236" s="875">
        <v>6.4004000000000003</v>
      </c>
      <c r="O236" s="893">
        <f t="shared" si="12"/>
        <v>43083</v>
      </c>
      <c r="P236" s="895">
        <f t="shared" si="13"/>
        <v>6.1079750000000006</v>
      </c>
      <c r="Q236" s="895">
        <f t="shared" si="14"/>
        <v>6.7994800000000009</v>
      </c>
      <c r="R236" s="895">
        <f t="shared" si="15"/>
        <v>5.6140428571428567</v>
      </c>
    </row>
    <row r="237" spans="1:18" x14ac:dyDescent="0.25">
      <c r="A237" s="894">
        <v>43082</v>
      </c>
      <c r="B237" s="875">
        <v>5.9829999999999997</v>
      </c>
      <c r="C237" s="875">
        <v>4.9393000000000002</v>
      </c>
      <c r="D237" s="875">
        <v>7.5544000000000002</v>
      </c>
      <c r="E237" s="875">
        <v>6.8159999999999998</v>
      </c>
      <c r="F237" s="875">
        <v>8.3552999999999997</v>
      </c>
      <c r="G237" s="875">
        <v>4.9283000000000001</v>
      </c>
      <c r="H237" s="875">
        <v>4.3505000000000003</v>
      </c>
      <c r="I237" s="875">
        <v>7.5021000000000004</v>
      </c>
      <c r="J237" s="875">
        <v>5.7569999999999997</v>
      </c>
      <c r="K237" s="875">
        <v>4.5610999999999997</v>
      </c>
      <c r="L237" s="875">
        <v>5.7649999999999997</v>
      </c>
      <c r="M237" s="875">
        <v>6.6039000000000003</v>
      </c>
      <c r="O237" s="893">
        <f t="shared" si="12"/>
        <v>43082</v>
      </c>
      <c r="P237" s="895">
        <f t="shared" si="13"/>
        <v>6.0929916666666664</v>
      </c>
      <c r="Q237" s="895">
        <f t="shared" si="14"/>
        <v>6.7295999999999996</v>
      </c>
      <c r="R237" s="895">
        <f t="shared" si="15"/>
        <v>5.6382714285714286</v>
      </c>
    </row>
    <row r="238" spans="1:18" x14ac:dyDescent="0.25">
      <c r="A238" s="894">
        <v>43081</v>
      </c>
      <c r="B238" s="875">
        <v>5.9710000000000001</v>
      </c>
      <c r="C238" s="875">
        <v>4.9889999999999999</v>
      </c>
      <c r="D238" s="875">
        <v>7.6429999999999998</v>
      </c>
      <c r="E238" s="875">
        <v>6.7961999999999998</v>
      </c>
      <c r="F238" s="875">
        <v>8.1989999999999998</v>
      </c>
      <c r="G238" s="875">
        <v>4.7050000000000001</v>
      </c>
      <c r="H238" s="875">
        <v>4.3167</v>
      </c>
      <c r="I238" s="875">
        <v>7.3551000000000002</v>
      </c>
      <c r="J238" s="875">
        <v>5.7176</v>
      </c>
      <c r="K238" s="875">
        <v>4.5739999999999998</v>
      </c>
      <c r="L238" s="875">
        <v>5.5579999999999998</v>
      </c>
      <c r="M238" s="875">
        <v>6.5156999999999998</v>
      </c>
      <c r="O238" s="893">
        <f t="shared" si="12"/>
        <v>43081</v>
      </c>
      <c r="P238" s="895">
        <f t="shared" si="13"/>
        <v>6.0283583333333324</v>
      </c>
      <c r="Q238" s="895">
        <f t="shared" si="14"/>
        <v>6.7196400000000001</v>
      </c>
      <c r="R238" s="895">
        <f t="shared" si="15"/>
        <v>5.534585714285714</v>
      </c>
    </row>
    <row r="239" spans="1:18" x14ac:dyDescent="0.25">
      <c r="A239" s="894">
        <v>43080</v>
      </c>
      <c r="B239" s="875">
        <v>6.0266000000000002</v>
      </c>
      <c r="C239" s="875">
        <v>5.0346000000000002</v>
      </c>
      <c r="D239" s="875">
        <v>7.8372999999999999</v>
      </c>
      <c r="E239" s="875">
        <v>6.9157000000000002</v>
      </c>
      <c r="F239" s="875">
        <v>8.3511000000000006</v>
      </c>
      <c r="G239" s="875">
        <v>4.8620000000000001</v>
      </c>
      <c r="H239" s="875">
        <v>4.2573999999999996</v>
      </c>
      <c r="I239" s="875">
        <v>7.6553000000000004</v>
      </c>
      <c r="J239" s="875">
        <v>5.7337999999999996</v>
      </c>
      <c r="K239" s="875">
        <v>4.5533000000000001</v>
      </c>
      <c r="L239" s="875">
        <v>5.6185999999999998</v>
      </c>
      <c r="M239" s="875">
        <v>6.7039999999999997</v>
      </c>
      <c r="O239" s="893">
        <f>A239</f>
        <v>43080</v>
      </c>
      <c r="P239" s="895">
        <f>AVERAGE(B239:M239)</f>
        <v>6.1291416666666656</v>
      </c>
      <c r="Q239" s="895">
        <f>AVERAGE(B239:F239)</f>
        <v>6.8330600000000006</v>
      </c>
      <c r="R239" s="895">
        <f>AVERAGE(G239:M239)</f>
        <v>5.6263428571428573</v>
      </c>
    </row>
    <row r="240" spans="1:18" x14ac:dyDescent="0.25">
      <c r="A240" s="894">
        <v>43077</v>
      </c>
      <c r="B240" s="875">
        <v>5.9657</v>
      </c>
      <c r="C240" s="875">
        <v>5.0701000000000001</v>
      </c>
      <c r="D240" s="875">
        <v>7.8475999999999999</v>
      </c>
      <c r="E240" s="875">
        <v>6.8311999999999999</v>
      </c>
      <c r="F240" s="875">
        <v>8.2730999999999995</v>
      </c>
      <c r="G240" s="875">
        <v>4.5250000000000004</v>
      </c>
      <c r="H240" s="875">
        <v>4.2451999999999996</v>
      </c>
      <c r="I240" s="875">
        <v>7.8752000000000004</v>
      </c>
      <c r="J240" s="875">
        <v>5.6883999999999997</v>
      </c>
      <c r="K240" s="875">
        <v>4.8017000000000003</v>
      </c>
      <c r="L240" s="875">
        <v>5.5796000000000001</v>
      </c>
      <c r="M240" s="875"/>
    </row>
    <row r="241" spans="1:13" x14ac:dyDescent="0.25">
      <c r="A241" s="894">
        <v>43076</v>
      </c>
      <c r="B241" s="875">
        <v>6.0063000000000004</v>
      </c>
      <c r="C241" s="875">
        <v>5.0731999999999999</v>
      </c>
      <c r="D241" s="875">
        <v>7.8</v>
      </c>
      <c r="E241" s="875">
        <v>6.8480999999999996</v>
      </c>
      <c r="F241" s="875">
        <v>8.2238000000000007</v>
      </c>
      <c r="G241" s="875">
        <v>4.5381999999999998</v>
      </c>
      <c r="H241" s="875">
        <v>4.26</v>
      </c>
      <c r="I241" s="875">
        <v>8.5162999999999993</v>
      </c>
      <c r="J241" s="875">
        <v>5.7565</v>
      </c>
      <c r="K241" s="875">
        <v>4.8224999999999998</v>
      </c>
      <c r="L241" s="875">
        <v>5.5719000000000003</v>
      </c>
      <c r="M241" s="875"/>
    </row>
    <row r="242" spans="1:13" x14ac:dyDescent="0.25">
      <c r="A242" s="894">
        <v>43075</v>
      </c>
      <c r="B242" s="875">
        <v>5.9421999999999997</v>
      </c>
      <c r="C242" s="875">
        <v>5.0025000000000004</v>
      </c>
      <c r="D242" s="875">
        <v>7.6555</v>
      </c>
      <c r="E242" s="875">
        <v>6.8441999999999998</v>
      </c>
      <c r="F242" s="875">
        <v>8.0053999999999998</v>
      </c>
      <c r="G242" s="875">
        <v>4.4188000000000001</v>
      </c>
      <c r="H242" s="875">
        <v>4.1201999999999996</v>
      </c>
      <c r="I242" s="875">
        <v>7.7855999999999996</v>
      </c>
      <c r="J242" s="875">
        <v>5.6125999999999996</v>
      </c>
      <c r="K242" s="875">
        <v>4.8021000000000003</v>
      </c>
      <c r="L242" s="875">
        <v>5.4001999999999999</v>
      </c>
      <c r="M242" s="875"/>
    </row>
    <row r="243" spans="1:13" x14ac:dyDescent="0.25">
      <c r="A243" s="894">
        <v>43074</v>
      </c>
      <c r="B243" s="875">
        <v>5.8140999999999998</v>
      </c>
      <c r="C243" s="875">
        <v>4.9283999999999999</v>
      </c>
      <c r="D243" s="875">
        <v>7.4050000000000002</v>
      </c>
      <c r="E243" s="875">
        <v>6.5446</v>
      </c>
      <c r="F243" s="875">
        <v>7.9039000000000001</v>
      </c>
      <c r="G243" s="875">
        <v>4.5171000000000001</v>
      </c>
      <c r="H243" s="875">
        <v>4.3037999999999998</v>
      </c>
      <c r="I243" s="875">
        <v>7.8220999999999998</v>
      </c>
      <c r="J243" s="875">
        <v>5.4927000000000001</v>
      </c>
      <c r="K243" s="875">
        <v>4.8235999999999999</v>
      </c>
      <c r="L243" s="875">
        <v>5.1599000000000004</v>
      </c>
      <c r="M243" s="875"/>
    </row>
    <row r="244" spans="1:13" x14ac:dyDescent="0.25">
      <c r="A244" s="894">
        <v>43073</v>
      </c>
      <c r="B244" s="875">
        <v>5.7682000000000002</v>
      </c>
      <c r="C244" s="875">
        <v>4.8364000000000003</v>
      </c>
      <c r="D244" s="875">
        <v>7.1973000000000003</v>
      </c>
      <c r="E244" s="875">
        <v>6.5191999999999997</v>
      </c>
      <c r="F244" s="875">
        <v>7.7309000000000001</v>
      </c>
      <c r="G244" s="875">
        <v>4.5400999999999998</v>
      </c>
      <c r="H244" s="875">
        <v>4.4485000000000001</v>
      </c>
      <c r="I244" s="875">
        <v>7.8152999999999997</v>
      </c>
      <c r="J244" s="875">
        <v>5.4154</v>
      </c>
      <c r="K244" s="875">
        <v>4.8662000000000001</v>
      </c>
      <c r="L244" s="875">
        <v>5.1562000000000001</v>
      </c>
      <c r="M244" s="875"/>
    </row>
    <row r="245" spans="1:13" x14ac:dyDescent="0.25">
      <c r="A245" s="894">
        <v>43070</v>
      </c>
      <c r="B245" s="875">
        <v>6.0084999999999997</v>
      </c>
      <c r="C245" s="875">
        <v>4.9695999999999998</v>
      </c>
      <c r="D245" s="875">
        <v>7.5255999999999998</v>
      </c>
      <c r="E245" s="875">
        <v>6.7134999999999998</v>
      </c>
      <c r="F245" s="875">
        <v>8.3707999999999991</v>
      </c>
      <c r="G245" s="875">
        <v>4.8369999999999997</v>
      </c>
      <c r="H245" s="875">
        <v>4.5228999999999999</v>
      </c>
      <c r="I245" s="875">
        <v>8.1797000000000004</v>
      </c>
      <c r="J245" s="875">
        <v>5.6542000000000003</v>
      </c>
      <c r="K245" s="875">
        <v>5.1627000000000001</v>
      </c>
      <c r="L245" s="875">
        <v>5.4703999999999997</v>
      </c>
      <c r="M245" s="875"/>
    </row>
    <row r="246" spans="1:13" x14ac:dyDescent="0.25">
      <c r="A246" s="894">
        <v>43069</v>
      </c>
      <c r="B246" s="875">
        <v>6.0408999999999997</v>
      </c>
      <c r="C246" s="875">
        <v>4.9699</v>
      </c>
      <c r="D246" s="875">
        <v>7.7325999999999997</v>
      </c>
      <c r="E246" s="875">
        <v>6.7541000000000002</v>
      </c>
      <c r="F246" s="875">
        <v>8.4008000000000003</v>
      </c>
      <c r="G246" s="875">
        <v>4.9622999999999999</v>
      </c>
      <c r="H246" s="875">
        <v>4.6407999999999996</v>
      </c>
      <c r="I246" s="875">
        <v>8.3383000000000003</v>
      </c>
      <c r="J246" s="875">
        <v>5.6997</v>
      </c>
      <c r="K246" s="875">
        <v>5.4470999999999998</v>
      </c>
      <c r="L246" s="875">
        <v>5.4545000000000003</v>
      </c>
      <c r="M246" s="875"/>
    </row>
    <row r="247" spans="1:13" x14ac:dyDescent="0.25">
      <c r="A247" s="894">
        <v>43068</v>
      </c>
      <c r="B247" s="875">
        <v>5.9980000000000002</v>
      </c>
      <c r="C247" s="875">
        <v>4.8574000000000002</v>
      </c>
      <c r="D247" s="875">
        <v>7.9954000000000001</v>
      </c>
      <c r="E247" s="875">
        <v>6.7035999999999998</v>
      </c>
      <c r="F247" s="875">
        <v>8.2396999999999991</v>
      </c>
      <c r="G247" s="875">
        <v>4.8886000000000003</v>
      </c>
      <c r="H247" s="875">
        <v>4.5598000000000001</v>
      </c>
      <c r="I247" s="875">
        <v>8.4083000000000006</v>
      </c>
      <c r="J247" s="875">
        <v>5.7965</v>
      </c>
      <c r="K247" s="875">
        <v>5.3315000000000001</v>
      </c>
      <c r="L247" s="875">
        <v>5.4389000000000003</v>
      </c>
      <c r="M247" s="875"/>
    </row>
    <row r="248" spans="1:13" x14ac:dyDescent="0.25">
      <c r="A248" s="894">
        <v>43067</v>
      </c>
      <c r="B248" s="875">
        <v>6.1759000000000004</v>
      </c>
      <c r="C248" s="875">
        <v>5.0271999999999997</v>
      </c>
      <c r="D248" s="875">
        <v>8.7022999999999993</v>
      </c>
      <c r="E248" s="875">
        <v>6.8890000000000002</v>
      </c>
      <c r="F248" s="875">
        <v>8.6708999999999996</v>
      </c>
      <c r="G248" s="875">
        <v>5.0773999999999999</v>
      </c>
      <c r="H248" s="875">
        <v>4.6006</v>
      </c>
      <c r="I248" s="875">
        <v>8.9789999999999992</v>
      </c>
      <c r="J248" s="875">
        <v>5.9739000000000004</v>
      </c>
      <c r="K248" s="875">
        <v>5.5789999999999997</v>
      </c>
      <c r="L248" s="875">
        <v>5.6047000000000002</v>
      </c>
      <c r="M248" s="875"/>
    </row>
    <row r="249" spans="1:13" x14ac:dyDescent="0.25">
      <c r="A249" s="894">
        <v>43066</v>
      </c>
      <c r="B249" s="875">
        <v>6.1898999999999997</v>
      </c>
      <c r="C249" s="875">
        <v>4.9819000000000004</v>
      </c>
      <c r="D249" s="875">
        <v>8.7241</v>
      </c>
      <c r="E249" s="875">
        <v>6.9570999999999996</v>
      </c>
      <c r="F249" s="875">
        <v>8.7042000000000002</v>
      </c>
      <c r="G249" s="875">
        <v>5.0549999999999997</v>
      </c>
      <c r="H249" s="875">
        <v>4.4859</v>
      </c>
      <c r="I249" s="875">
        <v>8.8661999999999992</v>
      </c>
      <c r="J249" s="875">
        <v>5.9287000000000001</v>
      </c>
      <c r="K249" s="875">
        <v>5.2919999999999998</v>
      </c>
      <c r="L249" s="875">
        <v>5.4318999999999997</v>
      </c>
      <c r="M249" s="875"/>
    </row>
    <row r="250" spans="1:13" x14ac:dyDescent="0.25">
      <c r="A250" s="894">
        <v>43063</v>
      </c>
      <c r="B250" s="875">
        <v>6.2286000000000001</v>
      </c>
      <c r="C250" s="875">
        <v>4.9562999999999997</v>
      </c>
      <c r="D250" s="875">
        <v>8.8329000000000004</v>
      </c>
      <c r="E250" s="875">
        <v>7.1515000000000004</v>
      </c>
      <c r="F250" s="875">
        <v>8.8050999999999995</v>
      </c>
      <c r="G250" s="875">
        <v>5.1986999999999997</v>
      </c>
      <c r="H250" s="875">
        <v>4.5823</v>
      </c>
      <c r="I250" s="875">
        <v>9.0164000000000009</v>
      </c>
      <c r="J250" s="875">
        <v>6.0921000000000003</v>
      </c>
      <c r="K250" s="875">
        <v>5.2271000000000001</v>
      </c>
      <c r="L250" s="875">
        <v>5.5579999999999998</v>
      </c>
      <c r="M250" s="875"/>
    </row>
    <row r="251" spans="1:13" x14ac:dyDescent="0.25">
      <c r="A251" s="894">
        <v>43061</v>
      </c>
      <c r="B251" s="875">
        <v>6.2129000000000003</v>
      </c>
      <c r="C251" s="875">
        <v>4.9031000000000002</v>
      </c>
      <c r="D251" s="875">
        <v>8.7576000000000001</v>
      </c>
      <c r="E251" s="875">
        <v>7.1029</v>
      </c>
      <c r="F251" s="875">
        <v>8.7527000000000008</v>
      </c>
      <c r="G251" s="875">
        <v>5.1951000000000001</v>
      </c>
      <c r="H251" s="875">
        <v>4.5538999999999996</v>
      </c>
      <c r="I251" s="875">
        <v>8.6212</v>
      </c>
      <c r="J251" s="875">
        <v>6.0182000000000002</v>
      </c>
      <c r="K251" s="875">
        <v>4.9382000000000001</v>
      </c>
      <c r="L251" s="875">
        <v>5.5098000000000003</v>
      </c>
      <c r="M251" s="875"/>
    </row>
    <row r="252" spans="1:13" x14ac:dyDescent="0.25">
      <c r="A252" s="894">
        <v>43060</v>
      </c>
      <c r="B252" s="875">
        <v>6.3288000000000002</v>
      </c>
      <c r="C252" s="875">
        <v>4.9272999999999998</v>
      </c>
      <c r="D252" s="875">
        <v>8.7833000000000006</v>
      </c>
      <c r="E252" s="875">
        <v>7.1378000000000004</v>
      </c>
      <c r="F252" s="875">
        <v>8.8125999999999998</v>
      </c>
      <c r="G252" s="875">
        <v>5.2896999999999998</v>
      </c>
      <c r="H252" s="875">
        <v>4.5172999999999996</v>
      </c>
      <c r="I252" s="875">
        <v>8.6344999999999992</v>
      </c>
      <c r="J252" s="875">
        <v>5.9367999999999999</v>
      </c>
      <c r="K252" s="875">
        <v>4.9061000000000003</v>
      </c>
      <c r="L252" s="875">
        <v>5.3773999999999997</v>
      </c>
      <c r="M252" s="875"/>
    </row>
    <row r="253" spans="1:13" x14ac:dyDescent="0.25">
      <c r="A253" s="894">
        <v>43059</v>
      </c>
      <c r="B253" s="875">
        <v>6.2522000000000002</v>
      </c>
      <c r="C253" s="875">
        <v>4.9645000000000001</v>
      </c>
      <c r="D253" s="875">
        <v>8.6678999999999995</v>
      </c>
      <c r="E253" s="875">
        <v>6.9157999999999999</v>
      </c>
      <c r="F253" s="875">
        <v>8.7926000000000002</v>
      </c>
      <c r="G253" s="875">
        <v>5.1311</v>
      </c>
      <c r="H253" s="875">
        <v>4.5523999999999996</v>
      </c>
      <c r="I253" s="875">
        <v>8.5052000000000003</v>
      </c>
      <c r="J253" s="875">
        <v>5.9326999999999996</v>
      </c>
      <c r="K253" s="875">
        <v>4.9236000000000004</v>
      </c>
      <c r="L253" s="875">
        <v>5.3981000000000003</v>
      </c>
      <c r="M253" s="875"/>
    </row>
    <row r="254" spans="1:13" x14ac:dyDescent="0.25">
      <c r="A254" s="894">
        <v>43056</v>
      </c>
      <c r="B254" s="875">
        <v>6.2933000000000003</v>
      </c>
      <c r="C254" s="875">
        <v>4.9737999999999998</v>
      </c>
      <c r="D254" s="875">
        <v>8.5018999999999991</v>
      </c>
      <c r="E254" s="875">
        <v>6.9554</v>
      </c>
      <c r="F254" s="875">
        <v>8.7925000000000004</v>
      </c>
      <c r="G254" s="875">
        <v>5.0941000000000001</v>
      </c>
      <c r="H254" s="875">
        <v>4.4790000000000001</v>
      </c>
      <c r="I254" s="875">
        <v>8.4210999999999991</v>
      </c>
      <c r="J254" s="875">
        <v>5.9005000000000001</v>
      </c>
      <c r="K254" s="875">
        <v>4.9043000000000001</v>
      </c>
      <c r="L254" s="875">
        <v>5.4276</v>
      </c>
      <c r="M254" s="875"/>
    </row>
    <row r="255" spans="1:13" x14ac:dyDescent="0.25">
      <c r="A255" s="894">
        <v>43055</v>
      </c>
      <c r="B255" s="875">
        <v>6.2641999999999998</v>
      </c>
      <c r="C255" s="875">
        <v>4.9852999999999996</v>
      </c>
      <c r="D255" s="875">
        <v>8.3149999999999995</v>
      </c>
      <c r="E255" s="875">
        <v>5.8578000000000001</v>
      </c>
      <c r="F255" s="875">
        <v>8.6712000000000007</v>
      </c>
      <c r="G255" s="875">
        <v>4.9786000000000001</v>
      </c>
      <c r="H255" s="875">
        <v>4.5671999999999997</v>
      </c>
      <c r="I255" s="875">
        <v>8.5685000000000002</v>
      </c>
      <c r="J255" s="875">
        <v>5.8956999999999997</v>
      </c>
      <c r="K255" s="875">
        <v>4.9207999999999998</v>
      </c>
      <c r="L255" s="875">
        <v>5.3301999999999996</v>
      </c>
      <c r="M255" s="875"/>
    </row>
    <row r="256" spans="1:13" x14ac:dyDescent="0.25">
      <c r="A256" s="894">
        <v>43054</v>
      </c>
      <c r="B256" s="875">
        <v>6.1729000000000003</v>
      </c>
      <c r="C256" s="875">
        <v>4.9901999999999997</v>
      </c>
      <c r="D256" s="875">
        <v>8.0968</v>
      </c>
      <c r="E256" s="875">
        <v>5.7718999999999996</v>
      </c>
      <c r="F256" s="875">
        <v>8.5094999999999992</v>
      </c>
      <c r="G256" s="875">
        <v>4.9119000000000002</v>
      </c>
      <c r="H256" s="875">
        <v>4.4081999999999999</v>
      </c>
      <c r="I256" s="875">
        <v>8.2410999999999994</v>
      </c>
      <c r="J256" s="875">
        <v>5.8689999999999998</v>
      </c>
      <c r="K256" s="875">
        <v>4.8246000000000002</v>
      </c>
      <c r="L256" s="875">
        <v>5.2251000000000003</v>
      </c>
      <c r="M256" s="875"/>
    </row>
    <row r="257" spans="1:13" x14ac:dyDescent="0.25">
      <c r="A257" s="894">
        <v>43053</v>
      </c>
      <c r="B257" s="875">
        <v>6.2248999999999999</v>
      </c>
      <c r="C257" s="875">
        <v>5.0625</v>
      </c>
      <c r="D257" s="875">
        <v>8.1743000000000006</v>
      </c>
      <c r="E257" s="875">
        <v>5.8361000000000001</v>
      </c>
      <c r="F257" s="875">
        <v>8.5996000000000006</v>
      </c>
      <c r="G257" s="875">
        <v>4.7878999999999996</v>
      </c>
      <c r="H257" s="875">
        <v>4.5167000000000002</v>
      </c>
      <c r="I257" s="875">
        <v>8.4154</v>
      </c>
      <c r="J257" s="875">
        <v>6.0084</v>
      </c>
      <c r="K257" s="875">
        <v>4.8421000000000003</v>
      </c>
      <c r="L257" s="875">
        <v>5.3879999999999999</v>
      </c>
      <c r="M257" s="875"/>
    </row>
    <row r="258" spans="1:13" x14ac:dyDescent="0.25">
      <c r="A258" s="894">
        <v>43052</v>
      </c>
      <c r="B258" s="875">
        <v>6.2019000000000002</v>
      </c>
      <c r="C258" s="875">
        <v>5.0690999999999997</v>
      </c>
      <c r="D258" s="875">
        <v>8.0736000000000008</v>
      </c>
      <c r="E258" s="875">
        <v>5.7821999999999996</v>
      </c>
      <c r="F258" s="875">
        <v>8.6464999999999996</v>
      </c>
      <c r="G258" s="875">
        <v>4.9379999999999997</v>
      </c>
      <c r="H258" s="875">
        <v>4.5728</v>
      </c>
      <c r="I258" s="875">
        <v>8.4251000000000005</v>
      </c>
      <c r="J258" s="875">
        <v>6.0270999999999999</v>
      </c>
      <c r="K258" s="875">
        <v>4.7583000000000002</v>
      </c>
      <c r="L258" s="875">
        <v>5.4332000000000003</v>
      </c>
      <c r="M258" s="875"/>
    </row>
    <row r="259" spans="1:13" x14ac:dyDescent="0.25">
      <c r="A259" s="894">
        <v>43049</v>
      </c>
      <c r="B259" s="875">
        <v>6.1742999999999997</v>
      </c>
      <c r="C259" s="875">
        <v>5.1483999999999996</v>
      </c>
      <c r="D259" s="875">
        <v>8.1759000000000004</v>
      </c>
      <c r="E259" s="875">
        <v>5.9802999999999997</v>
      </c>
      <c r="F259" s="875">
        <v>8.7225000000000001</v>
      </c>
      <c r="G259" s="875">
        <v>5.1828000000000003</v>
      </c>
      <c r="H259" s="875">
        <v>4.4097999999999997</v>
      </c>
      <c r="I259" s="875">
        <v>8.4459999999999997</v>
      </c>
      <c r="J259" s="875">
        <v>6.0862999999999996</v>
      </c>
      <c r="K259" s="875">
        <v>4.7262000000000004</v>
      </c>
      <c r="L259" s="875">
        <v>5.4751000000000003</v>
      </c>
      <c r="M259" s="875"/>
    </row>
    <row r="260" spans="1:13" x14ac:dyDescent="0.25">
      <c r="A260" s="894">
        <v>43048</v>
      </c>
      <c r="B260" s="875">
        <v>6.0793999999999997</v>
      </c>
      <c r="C260" s="875">
        <v>5.1082999999999998</v>
      </c>
      <c r="D260" s="875">
        <v>8.0852000000000004</v>
      </c>
      <c r="E260" s="875">
        <v>6.0842000000000001</v>
      </c>
      <c r="F260" s="875">
        <v>8.7036999999999995</v>
      </c>
      <c r="G260" s="875">
        <v>6.0971000000000002</v>
      </c>
      <c r="H260" s="875">
        <v>4.4874000000000001</v>
      </c>
      <c r="I260" s="875">
        <v>8.3925000000000001</v>
      </c>
      <c r="J260" s="875">
        <v>6.1007999999999996</v>
      </c>
      <c r="K260" s="875">
        <v>4.6749000000000001</v>
      </c>
      <c r="L260" s="875">
        <v>5.4335000000000004</v>
      </c>
      <c r="M260" s="875"/>
    </row>
    <row r="261" spans="1:13" x14ac:dyDescent="0.25">
      <c r="A261" s="894">
        <v>43047</v>
      </c>
      <c r="B261" s="875">
        <v>6.1694000000000004</v>
      </c>
      <c r="C261" s="875">
        <v>5.0696000000000003</v>
      </c>
      <c r="D261" s="875">
        <v>8.4832000000000001</v>
      </c>
      <c r="E261" s="875">
        <v>6.1257000000000001</v>
      </c>
      <c r="F261" s="875">
        <v>8.8589000000000002</v>
      </c>
      <c r="G261" s="875">
        <v>6.4095000000000004</v>
      </c>
      <c r="H261" s="875">
        <v>4.9135999999999997</v>
      </c>
      <c r="I261" s="875">
        <v>8.4510000000000005</v>
      </c>
      <c r="J261" s="875">
        <v>6.1688999999999998</v>
      </c>
      <c r="K261" s="875">
        <v>4.7007000000000003</v>
      </c>
      <c r="L261" s="875">
        <v>5.8353000000000002</v>
      </c>
      <c r="M261" s="875"/>
    </row>
    <row r="262" spans="1:13" x14ac:dyDescent="0.25">
      <c r="A262" s="894">
        <v>43046</v>
      </c>
      <c r="B262" s="875">
        <v>6.0415000000000001</v>
      </c>
      <c r="C262" s="875">
        <v>4.9874000000000001</v>
      </c>
      <c r="D262" s="875">
        <v>8.2955000000000005</v>
      </c>
      <c r="E262" s="875">
        <v>5.8261000000000003</v>
      </c>
      <c r="F262" s="875">
        <v>8.7185000000000006</v>
      </c>
      <c r="G262" s="875">
        <v>6.7417999999999996</v>
      </c>
      <c r="H262" s="875">
        <v>5.1291000000000002</v>
      </c>
      <c r="I262" s="875">
        <v>8.2604000000000006</v>
      </c>
      <c r="J262" s="875">
        <v>5.9085999999999999</v>
      </c>
      <c r="K262" s="875">
        <v>4.5571000000000002</v>
      </c>
      <c r="L262" s="875">
        <v>5.7049000000000003</v>
      </c>
      <c r="M262" s="875"/>
    </row>
    <row r="263" spans="1:13" x14ac:dyDescent="0.25">
      <c r="A263" s="894">
        <v>43045</v>
      </c>
      <c r="B263" s="875">
        <v>6.0270000000000001</v>
      </c>
      <c r="C263" s="875">
        <v>5.0358000000000001</v>
      </c>
      <c r="D263" s="875">
        <v>8.2932000000000006</v>
      </c>
      <c r="E263" s="875">
        <v>5.8704000000000001</v>
      </c>
      <c r="F263" s="875">
        <v>8.6697000000000006</v>
      </c>
      <c r="G263" s="875">
        <v>6.8258000000000001</v>
      </c>
      <c r="H263" s="875">
        <v>5.4375999999999998</v>
      </c>
      <c r="I263" s="875">
        <v>8.3978000000000002</v>
      </c>
      <c r="J263" s="875">
        <v>5.9729000000000001</v>
      </c>
      <c r="K263" s="875">
        <v>4.5575000000000001</v>
      </c>
      <c r="L263" s="875">
        <v>5.7671000000000001</v>
      </c>
      <c r="M263" s="875"/>
    </row>
    <row r="264" spans="1:13" x14ac:dyDescent="0.25">
      <c r="A264" s="894">
        <v>43042</v>
      </c>
      <c r="B264" s="875">
        <v>6.0274999999999999</v>
      </c>
      <c r="C264" s="875">
        <v>5.3117000000000001</v>
      </c>
      <c r="D264" s="875">
        <v>8.4128000000000007</v>
      </c>
      <c r="E264" s="875">
        <v>5.8010999999999999</v>
      </c>
      <c r="F264" s="875">
        <v>8.5888000000000009</v>
      </c>
      <c r="G264" s="875">
        <v>6.7497999999999996</v>
      </c>
      <c r="H264" s="875">
        <v>5.5156999999999998</v>
      </c>
      <c r="I264" s="875">
        <v>8.2688000000000006</v>
      </c>
      <c r="J264" s="875">
        <v>5.8670999999999998</v>
      </c>
      <c r="K264" s="875">
        <v>4.5674999999999999</v>
      </c>
      <c r="L264" s="875">
        <v>5.7850000000000001</v>
      </c>
      <c r="M264" s="875"/>
    </row>
    <row r="265" spans="1:13" x14ac:dyDescent="0.25">
      <c r="A265" s="894">
        <v>43041</v>
      </c>
      <c r="B265" s="875">
        <v>6.0239000000000003</v>
      </c>
      <c r="C265" s="875">
        <v>5.8933999999999997</v>
      </c>
      <c r="D265" s="875">
        <v>8.4878</v>
      </c>
      <c r="E265" s="875">
        <v>5.7003000000000004</v>
      </c>
      <c r="F265" s="875">
        <v>8.5554000000000006</v>
      </c>
      <c r="G265" s="875">
        <v>6.6936999999999998</v>
      </c>
      <c r="H265" s="875">
        <v>5.5396999999999998</v>
      </c>
      <c r="I265" s="875">
        <v>8.2653999999999996</v>
      </c>
      <c r="J265" s="875">
        <v>5.8789999999999996</v>
      </c>
      <c r="K265" s="875">
        <v>4.5029000000000003</v>
      </c>
      <c r="L265" s="875">
        <v>6.0068999999999999</v>
      </c>
      <c r="M265" s="875"/>
    </row>
    <row r="266" spans="1:13" x14ac:dyDescent="0.25">
      <c r="A266" s="894">
        <v>43040</v>
      </c>
      <c r="B266" s="875">
        <v>5.9892000000000003</v>
      </c>
      <c r="C266" s="875">
        <v>5.7346000000000004</v>
      </c>
      <c r="D266" s="875">
        <v>8.4672999999999998</v>
      </c>
      <c r="E266" s="875">
        <v>5.7474999999999996</v>
      </c>
      <c r="F266" s="875">
        <v>8.5754999999999999</v>
      </c>
      <c r="G266" s="875">
        <v>6.7763999999999998</v>
      </c>
      <c r="H266" s="875">
        <v>5.7820999999999998</v>
      </c>
      <c r="I266" s="875">
        <v>8.4316999999999993</v>
      </c>
      <c r="J266" s="875">
        <v>5.2192999999999996</v>
      </c>
      <c r="K266" s="875">
        <v>4.4223999999999997</v>
      </c>
      <c r="L266" s="875">
        <v>6.0164999999999997</v>
      </c>
      <c r="M266" s="875"/>
    </row>
    <row r="267" spans="1:13" x14ac:dyDescent="0.25">
      <c r="A267" s="894">
        <v>43039</v>
      </c>
      <c r="B267" s="875">
        <v>6.0167000000000002</v>
      </c>
      <c r="C267" s="875">
        <v>5.7640000000000002</v>
      </c>
      <c r="D267" s="875">
        <v>8.5341000000000005</v>
      </c>
      <c r="E267" s="875">
        <v>5.7821999999999996</v>
      </c>
      <c r="F267" s="875">
        <v>8.7149000000000001</v>
      </c>
      <c r="G267" s="875">
        <v>6.8745000000000003</v>
      </c>
      <c r="H267" s="875">
        <v>5.8761999999999999</v>
      </c>
      <c r="I267" s="875">
        <v>8.4239999999999995</v>
      </c>
      <c r="J267" s="875">
        <v>5.3093000000000004</v>
      </c>
      <c r="K267" s="875">
        <v>4.3544</v>
      </c>
      <c r="L267" s="875">
        <v>6.0457000000000001</v>
      </c>
      <c r="M267" s="875"/>
    </row>
    <row r="268" spans="1:13" x14ac:dyDescent="0.25">
      <c r="A268" s="894">
        <v>43038</v>
      </c>
      <c r="B268" s="875">
        <v>5.9309000000000003</v>
      </c>
      <c r="C268" s="875">
        <v>5.63</v>
      </c>
      <c r="D268" s="875">
        <v>8.4025999999999996</v>
      </c>
      <c r="E268" s="875">
        <v>5.6764999999999999</v>
      </c>
      <c r="F268" s="875">
        <v>8.6297999999999995</v>
      </c>
      <c r="G268" s="875">
        <v>6.6936</v>
      </c>
      <c r="H268" s="875">
        <v>5.8666</v>
      </c>
      <c r="I268" s="875">
        <v>8.0638000000000005</v>
      </c>
      <c r="J268" s="875">
        <v>5.1748000000000003</v>
      </c>
      <c r="K268" s="875">
        <v>4.2595999999999998</v>
      </c>
      <c r="L268" s="875">
        <v>5.9619</v>
      </c>
      <c r="M268" s="875"/>
    </row>
    <row r="269" spans="1:13" x14ac:dyDescent="0.25">
      <c r="A269" s="894">
        <v>43035</v>
      </c>
      <c r="B269" s="875">
        <v>5.9379999999999997</v>
      </c>
      <c r="C269" s="875">
        <v>5.6163999999999996</v>
      </c>
      <c r="D269" s="875">
        <v>8.4177999999999997</v>
      </c>
      <c r="E269" s="875">
        <v>5.7126000000000001</v>
      </c>
      <c r="F269" s="875">
        <v>8.6875</v>
      </c>
      <c r="G269" s="875">
        <v>6.6753999999999998</v>
      </c>
      <c r="H269" s="875">
        <v>5.8944000000000001</v>
      </c>
      <c r="I269" s="875">
        <v>8.3835999999999995</v>
      </c>
      <c r="J269" s="875">
        <v>5.1841999999999997</v>
      </c>
      <c r="K269" s="875">
        <v>4.4272</v>
      </c>
      <c r="L269" s="875">
        <v>6.0545</v>
      </c>
      <c r="M269" s="875"/>
    </row>
    <row r="270" spans="1:13" x14ac:dyDescent="0.25">
      <c r="A270" s="894">
        <v>43034</v>
      </c>
      <c r="B270" s="875">
        <v>5.9016000000000002</v>
      </c>
      <c r="C270" s="875">
        <v>5.6212</v>
      </c>
      <c r="D270" s="875">
        <v>8.3071000000000002</v>
      </c>
      <c r="E270" s="875">
        <v>5.718</v>
      </c>
      <c r="F270" s="875">
        <v>8.7233000000000001</v>
      </c>
      <c r="G270" s="875">
        <v>6.5397999999999996</v>
      </c>
      <c r="H270" s="875">
        <v>5.7758000000000003</v>
      </c>
      <c r="I270" s="875">
        <v>8.0922999999999998</v>
      </c>
      <c r="J270" s="875">
        <v>5.1670999999999996</v>
      </c>
      <c r="K270" s="875">
        <v>4.375</v>
      </c>
      <c r="L270" s="875">
        <v>5.8491</v>
      </c>
      <c r="M270" s="875"/>
    </row>
    <row r="271" spans="1:13" x14ac:dyDescent="0.25">
      <c r="A271" s="894">
        <v>43033</v>
      </c>
      <c r="B271" s="875">
        <v>5.8776999999999999</v>
      </c>
      <c r="C271" s="875">
        <v>5.5330000000000004</v>
      </c>
      <c r="D271" s="875">
        <v>8.2037999999999993</v>
      </c>
      <c r="E271" s="875">
        <v>5.5740999999999996</v>
      </c>
      <c r="F271" s="875">
        <v>8.6998999999999995</v>
      </c>
      <c r="G271" s="875">
        <v>6.5335000000000001</v>
      </c>
      <c r="H271" s="875">
        <v>5.7558999999999996</v>
      </c>
      <c r="I271" s="875">
        <v>8.0871999999999993</v>
      </c>
      <c r="J271" s="875">
        <v>5.1627999999999998</v>
      </c>
      <c r="K271" s="875">
        <v>4.4051</v>
      </c>
      <c r="L271" s="875">
        <v>5.7460000000000004</v>
      </c>
      <c r="M271" s="875"/>
    </row>
    <row r="272" spans="1:13" x14ac:dyDescent="0.25">
      <c r="A272" s="894">
        <v>43032</v>
      </c>
      <c r="B272" s="875">
        <v>5.8254000000000001</v>
      </c>
      <c r="C272" s="875">
        <v>5.5815000000000001</v>
      </c>
      <c r="D272" s="875">
        <v>8.3257999999999992</v>
      </c>
      <c r="E272" s="875">
        <v>5.6048999999999998</v>
      </c>
      <c r="F272" s="875">
        <v>8.8193999999999999</v>
      </c>
      <c r="G272" s="875">
        <v>6.6199000000000003</v>
      </c>
      <c r="H272" s="875">
        <v>5.8891999999999998</v>
      </c>
      <c r="I272" s="875">
        <v>8.1270000000000007</v>
      </c>
      <c r="J272" s="875">
        <v>5.1962999999999999</v>
      </c>
      <c r="K272" s="875">
        <v>4.5167000000000002</v>
      </c>
      <c r="L272" s="875">
        <v>5.9417</v>
      </c>
      <c r="M272" s="875"/>
    </row>
    <row r="273" spans="1:13" x14ac:dyDescent="0.25">
      <c r="A273" s="894">
        <v>43031</v>
      </c>
      <c r="B273" s="875">
        <v>5.8159000000000001</v>
      </c>
      <c r="C273" s="875">
        <v>5.6074999999999999</v>
      </c>
      <c r="D273" s="875">
        <v>8.3803000000000001</v>
      </c>
      <c r="E273" s="875">
        <v>5.4946999999999999</v>
      </c>
      <c r="F273" s="875">
        <v>8.6911000000000005</v>
      </c>
      <c r="G273" s="875">
        <v>6.6420000000000003</v>
      </c>
      <c r="H273" s="875">
        <v>5.8836000000000004</v>
      </c>
      <c r="I273" s="875">
        <v>8.2179000000000002</v>
      </c>
      <c r="J273" s="875">
        <v>5.1684000000000001</v>
      </c>
      <c r="K273" s="875">
        <v>4.4226999999999999</v>
      </c>
      <c r="L273" s="875">
        <v>5.9132999999999996</v>
      </c>
      <c r="M273" s="875"/>
    </row>
    <row r="274" spans="1:13" x14ac:dyDescent="0.25">
      <c r="A274" s="894">
        <v>43028</v>
      </c>
      <c r="B274" s="875">
        <v>5.8487</v>
      </c>
      <c r="C274" s="875">
        <v>5.5793999999999997</v>
      </c>
      <c r="D274" s="875">
        <v>8.4572000000000003</v>
      </c>
      <c r="E274" s="875">
        <v>5.4875999999999996</v>
      </c>
      <c r="F274" s="875">
        <v>8.7624999999999993</v>
      </c>
      <c r="G274" s="875">
        <v>6.6664000000000003</v>
      </c>
      <c r="H274" s="875">
        <v>6.0465999999999998</v>
      </c>
      <c r="I274" s="875">
        <v>8.4490999999999996</v>
      </c>
      <c r="J274" s="875">
        <v>5.4005000000000001</v>
      </c>
      <c r="K274" s="875">
        <v>4.4970999999999997</v>
      </c>
      <c r="L274" s="875">
        <v>5.9774000000000003</v>
      </c>
      <c r="M274" s="875"/>
    </row>
    <row r="275" spans="1:13" x14ac:dyDescent="0.25">
      <c r="A275" s="894">
        <v>43027</v>
      </c>
      <c r="B275" s="875">
        <v>5.7478999999999996</v>
      </c>
      <c r="C275" s="875">
        <v>5.5674999999999999</v>
      </c>
      <c r="D275" s="875">
        <v>8.3124000000000002</v>
      </c>
      <c r="E275" s="875">
        <v>5.4412000000000003</v>
      </c>
      <c r="F275" s="875">
        <v>8.4803999999999995</v>
      </c>
      <c r="G275" s="875">
        <v>6.6295999999999999</v>
      </c>
      <c r="H275" s="875">
        <v>5.8087</v>
      </c>
      <c r="I275" s="875">
        <v>8.2690000000000001</v>
      </c>
      <c r="J275" s="875">
        <v>5.2240000000000002</v>
      </c>
      <c r="K275" s="875">
        <v>4.5734000000000004</v>
      </c>
      <c r="L275" s="875">
        <v>5.9646999999999997</v>
      </c>
      <c r="M275" s="875"/>
    </row>
    <row r="276" spans="1:13" x14ac:dyDescent="0.25">
      <c r="A276" s="894">
        <v>43026</v>
      </c>
      <c r="B276" s="875">
        <v>5.7061999999999999</v>
      </c>
      <c r="C276" s="875">
        <v>5.5708000000000002</v>
      </c>
      <c r="D276" s="875">
        <v>8.3536000000000001</v>
      </c>
      <c r="E276" s="875">
        <v>5.4164000000000003</v>
      </c>
      <c r="F276" s="875">
        <v>8.4854000000000003</v>
      </c>
      <c r="G276" s="875">
        <v>6.7262000000000004</v>
      </c>
      <c r="H276" s="875">
        <v>5.8482000000000003</v>
      </c>
      <c r="I276" s="875">
        <v>8.1870999999999992</v>
      </c>
      <c r="J276" s="875">
        <v>5.2191999999999998</v>
      </c>
      <c r="K276" s="875">
        <v>4.5867000000000004</v>
      </c>
      <c r="L276" s="875">
        <v>5.8632</v>
      </c>
      <c r="M276" s="875"/>
    </row>
    <row r="277" spans="1:13" x14ac:dyDescent="0.25">
      <c r="A277" s="894">
        <v>43025</v>
      </c>
      <c r="B277" s="875">
        <v>5.7270000000000003</v>
      </c>
      <c r="C277" s="875">
        <v>5.6021999999999998</v>
      </c>
      <c r="D277" s="875">
        <v>8.3973999999999993</v>
      </c>
      <c r="E277" s="875">
        <v>5.4882</v>
      </c>
      <c r="F277" s="875">
        <v>8.6366999999999994</v>
      </c>
      <c r="G277" s="875">
        <v>6.7122999999999999</v>
      </c>
      <c r="H277" s="875">
        <v>5.8795000000000002</v>
      </c>
      <c r="I277" s="875">
        <v>7.8833000000000002</v>
      </c>
      <c r="J277" s="875">
        <v>5.1374000000000004</v>
      </c>
      <c r="K277" s="875">
        <v>4.6128999999999998</v>
      </c>
      <c r="L277" s="875">
        <v>5.8319000000000001</v>
      </c>
      <c r="M277" s="875"/>
    </row>
    <row r="278" spans="1:13" x14ac:dyDescent="0.25">
      <c r="A278" s="894">
        <v>43024</v>
      </c>
      <c r="B278" s="875">
        <v>5.7568999999999999</v>
      </c>
      <c r="C278" s="875">
        <v>5.5537999999999998</v>
      </c>
      <c r="D278" s="875">
        <v>8.3716000000000008</v>
      </c>
      <c r="E278" s="875">
        <v>5.5221</v>
      </c>
      <c r="F278" s="875">
        <v>8.5454000000000008</v>
      </c>
      <c r="G278" s="875">
        <v>6.7884000000000002</v>
      </c>
      <c r="H278" s="875">
        <v>5.9252000000000002</v>
      </c>
      <c r="I278" s="875">
        <v>7.8297999999999996</v>
      </c>
      <c r="J278" s="875">
        <v>5.1308999999999996</v>
      </c>
      <c r="K278" s="875">
        <v>4.7469000000000001</v>
      </c>
      <c r="L278" s="875">
        <v>5.7168999999999999</v>
      </c>
      <c r="M278" s="875"/>
    </row>
    <row r="279" spans="1:13" x14ac:dyDescent="0.25">
      <c r="A279" s="894">
        <v>43021</v>
      </c>
      <c r="B279" s="875">
        <v>5.7491000000000003</v>
      </c>
      <c r="C279" s="875">
        <v>5.5007999999999999</v>
      </c>
      <c r="D279" s="875">
        <v>8.5591000000000008</v>
      </c>
      <c r="E279" s="875">
        <v>5.4576000000000002</v>
      </c>
      <c r="F279" s="875">
        <v>8.6194000000000006</v>
      </c>
      <c r="G279" s="875">
        <v>7.0128000000000004</v>
      </c>
      <c r="H279" s="875">
        <v>6.0625</v>
      </c>
      <c r="I279" s="875">
        <v>8.1776999999999997</v>
      </c>
      <c r="J279" s="875">
        <v>5.1578999999999997</v>
      </c>
      <c r="K279" s="875">
        <v>4.7682000000000002</v>
      </c>
      <c r="L279" s="875">
        <v>5.7727000000000004</v>
      </c>
      <c r="M279" s="875"/>
    </row>
    <row r="280" spans="1:13" x14ac:dyDescent="0.25">
      <c r="A280" s="894">
        <v>43020</v>
      </c>
      <c r="B280" s="875">
        <v>5.7396000000000003</v>
      </c>
      <c r="C280" s="875">
        <v>5.4663000000000004</v>
      </c>
      <c r="D280" s="875">
        <v>8.5036000000000005</v>
      </c>
      <c r="E280" s="875">
        <v>5.4549000000000003</v>
      </c>
      <c r="F280" s="875">
        <v>8.6026000000000007</v>
      </c>
      <c r="G280" s="875">
        <v>6.8859000000000004</v>
      </c>
      <c r="H280" s="875">
        <v>5.9717000000000002</v>
      </c>
      <c r="I280" s="875">
        <v>8.4667999999999992</v>
      </c>
      <c r="J280" s="875">
        <v>5.2001999999999997</v>
      </c>
      <c r="K280" s="875">
        <v>4.6852</v>
      </c>
      <c r="L280" s="875">
        <v>6.0355999999999996</v>
      </c>
      <c r="M280" s="875"/>
    </row>
    <row r="281" spans="1:13" x14ac:dyDescent="0.25">
      <c r="A281" s="894">
        <v>43019</v>
      </c>
      <c r="B281" s="875">
        <v>5.6989999999999998</v>
      </c>
      <c r="C281" s="875">
        <v>5.4447000000000001</v>
      </c>
      <c r="D281" s="875">
        <v>8.4997000000000007</v>
      </c>
      <c r="E281" s="875">
        <v>5.4584000000000001</v>
      </c>
      <c r="F281" s="875">
        <v>8.5173000000000005</v>
      </c>
      <c r="G281" s="875">
        <v>6.8667999999999996</v>
      </c>
      <c r="H281" s="875">
        <v>6.0895999999999999</v>
      </c>
      <c r="I281" s="875">
        <v>8.4943000000000008</v>
      </c>
      <c r="J281" s="875">
        <v>5.0486000000000004</v>
      </c>
      <c r="K281" s="875">
        <v>4.6379999999999999</v>
      </c>
      <c r="L281" s="875">
        <v>5.8994999999999997</v>
      </c>
      <c r="M281" s="875"/>
    </row>
    <row r="282" spans="1:13" x14ac:dyDescent="0.25">
      <c r="A282" s="894">
        <v>43018</v>
      </c>
      <c r="B282" s="875">
        <v>5.665</v>
      </c>
      <c r="C282" s="875">
        <v>5.3868999999999998</v>
      </c>
      <c r="D282" s="875">
        <v>8.4907000000000004</v>
      </c>
      <c r="E282" s="875">
        <v>5.4953000000000003</v>
      </c>
      <c r="F282" s="875">
        <v>8.5455000000000005</v>
      </c>
      <c r="G282" s="875">
        <v>6.7910000000000004</v>
      </c>
      <c r="H282" s="875">
        <v>5.9832000000000001</v>
      </c>
      <c r="I282" s="875">
        <v>8.4992999999999999</v>
      </c>
      <c r="J282" s="875">
        <v>5.0763999999999996</v>
      </c>
      <c r="K282" s="875">
        <v>4.6167999999999996</v>
      </c>
      <c r="L282" s="875">
        <v>5.9337</v>
      </c>
      <c r="M282" s="875"/>
    </row>
    <row r="283" spans="1:13" x14ac:dyDescent="0.25">
      <c r="A283" s="894">
        <v>43017</v>
      </c>
      <c r="B283" s="875">
        <v>5.7224000000000004</v>
      </c>
      <c r="C283" s="875">
        <v>5.5075000000000003</v>
      </c>
      <c r="D283" s="875">
        <v>8.5297999999999998</v>
      </c>
      <c r="E283" s="875">
        <v>5.6685999999999996</v>
      </c>
      <c r="F283" s="875">
        <v>8.5803999999999991</v>
      </c>
      <c r="G283" s="875">
        <v>6.8034999999999997</v>
      </c>
      <c r="H283" s="875">
        <v>6.0086000000000004</v>
      </c>
      <c r="I283" s="875">
        <v>8.3265999999999991</v>
      </c>
      <c r="J283" s="875">
        <v>5.1024000000000003</v>
      </c>
      <c r="K283" s="875">
        <v>4.7645999999999997</v>
      </c>
      <c r="L283" s="875">
        <v>5.9470000000000001</v>
      </c>
      <c r="M283" s="875"/>
    </row>
    <row r="284" spans="1:13" x14ac:dyDescent="0.25">
      <c r="A284" s="894">
        <v>43014</v>
      </c>
      <c r="B284" s="875">
        <v>5.7305000000000001</v>
      </c>
      <c r="C284" s="875">
        <v>5.4870000000000001</v>
      </c>
      <c r="D284" s="875">
        <v>8.6691000000000003</v>
      </c>
      <c r="E284" s="875">
        <v>5.8042999999999996</v>
      </c>
      <c r="F284" s="875">
        <v>8.6207999999999991</v>
      </c>
      <c r="G284" s="875">
        <v>6.8217999999999996</v>
      </c>
      <c r="H284" s="875">
        <v>6.0392999999999999</v>
      </c>
      <c r="I284" s="875">
        <v>8.3836999999999993</v>
      </c>
      <c r="J284" s="875">
        <v>5.4141000000000004</v>
      </c>
      <c r="K284" s="875">
        <v>5.0967000000000002</v>
      </c>
      <c r="L284" s="875">
        <v>6.0895999999999999</v>
      </c>
      <c r="M284" s="875"/>
    </row>
    <row r="285" spans="1:13" x14ac:dyDescent="0.25">
      <c r="A285" s="894">
        <v>43013</v>
      </c>
      <c r="B285" s="875">
        <v>5.6973000000000003</v>
      </c>
      <c r="C285" s="875">
        <v>5.4481999999999999</v>
      </c>
      <c r="D285" s="875">
        <v>8.4039999999999999</v>
      </c>
      <c r="E285" s="875">
        <v>5.7664</v>
      </c>
      <c r="F285" s="875">
        <v>8.4548000000000005</v>
      </c>
      <c r="G285" s="875">
        <v>6.4589999999999996</v>
      </c>
      <c r="H285" s="875">
        <v>6.0038</v>
      </c>
      <c r="I285" s="875">
        <v>8.3109000000000002</v>
      </c>
      <c r="J285" s="875">
        <v>5.2900999999999998</v>
      </c>
      <c r="K285" s="875">
        <v>5.274</v>
      </c>
      <c r="L285" s="875">
        <v>6.0179</v>
      </c>
      <c r="M285" s="875"/>
    </row>
    <row r="286" spans="1:13" x14ac:dyDescent="0.25">
      <c r="A286" s="894">
        <v>43012</v>
      </c>
      <c r="B286" s="875">
        <v>5.6882000000000001</v>
      </c>
      <c r="C286" s="875">
        <v>5.3845000000000001</v>
      </c>
      <c r="D286" s="875">
        <v>8.2614999999999998</v>
      </c>
      <c r="E286" s="875">
        <v>5.7240000000000002</v>
      </c>
      <c r="F286" s="875">
        <v>8.3667999999999996</v>
      </c>
      <c r="G286" s="875">
        <v>6.3929999999999998</v>
      </c>
      <c r="H286" s="875">
        <v>5.8452999999999999</v>
      </c>
      <c r="I286" s="875">
        <v>7.8292000000000002</v>
      </c>
      <c r="J286" s="875">
        <v>5.2386999999999997</v>
      </c>
      <c r="K286" s="875">
        <v>5.4055</v>
      </c>
      <c r="L286" s="875">
        <v>6.0312999999999999</v>
      </c>
      <c r="M286" s="875"/>
    </row>
    <row r="287" spans="1:13" x14ac:dyDescent="0.25">
      <c r="A287" s="894">
        <v>43011</v>
      </c>
      <c r="B287" s="875">
        <v>5.6822999999999997</v>
      </c>
      <c r="C287" s="875">
        <v>5.3745000000000003</v>
      </c>
      <c r="D287" s="875">
        <v>8.2058999999999997</v>
      </c>
      <c r="E287" s="875">
        <v>5.6863999999999999</v>
      </c>
      <c r="F287" s="875">
        <v>8.3579000000000008</v>
      </c>
      <c r="G287" s="875">
        <v>6.4419000000000004</v>
      </c>
      <c r="H287" s="875">
        <v>5.8913000000000002</v>
      </c>
      <c r="I287" s="875">
        <v>8.1394000000000002</v>
      </c>
      <c r="J287" s="875">
        <v>5.1891999999999996</v>
      </c>
      <c r="K287" s="875">
        <v>5.3414000000000001</v>
      </c>
      <c r="L287" s="875">
        <v>6.0068999999999999</v>
      </c>
      <c r="M287" s="875"/>
    </row>
    <row r="288" spans="1:13" x14ac:dyDescent="0.25">
      <c r="A288" s="894">
        <v>43010</v>
      </c>
      <c r="B288" s="875">
        <v>5.5993000000000004</v>
      </c>
      <c r="C288" s="875">
        <v>5.3266999999999998</v>
      </c>
      <c r="D288" s="875">
        <v>8.1087000000000007</v>
      </c>
      <c r="E288" s="875">
        <v>5.7778</v>
      </c>
      <c r="F288" s="875">
        <v>8.2906999999999993</v>
      </c>
      <c r="G288" s="875">
        <v>6.3395000000000001</v>
      </c>
      <c r="H288" s="875">
        <v>5.7511000000000001</v>
      </c>
      <c r="I288" s="875">
        <v>8.0344999999999995</v>
      </c>
      <c r="J288" s="875">
        <v>5.1124000000000001</v>
      </c>
      <c r="K288" s="875">
        <v>5.2466999999999997</v>
      </c>
      <c r="L288" s="875">
        <v>5.9950000000000001</v>
      </c>
      <c r="M288" s="875"/>
    </row>
    <row r="289" spans="1:13" x14ac:dyDescent="0.25">
      <c r="A289" s="894">
        <v>43007</v>
      </c>
      <c r="B289" s="875">
        <v>5.5724999999999998</v>
      </c>
      <c r="C289" s="875">
        <v>5.2869000000000002</v>
      </c>
      <c r="D289" s="875">
        <v>8.2957000000000001</v>
      </c>
      <c r="E289" s="875">
        <v>5.7872000000000003</v>
      </c>
      <c r="F289" s="875">
        <v>8.3537999999999997</v>
      </c>
      <c r="G289" s="875">
        <v>6.5781000000000001</v>
      </c>
      <c r="H289" s="875">
        <v>5.5454999999999997</v>
      </c>
      <c r="I289" s="875">
        <v>8.2235999999999994</v>
      </c>
      <c r="J289" s="875">
        <v>5.0502000000000002</v>
      </c>
      <c r="K289" s="875">
        <v>5.1797000000000004</v>
      </c>
      <c r="L289" s="875">
        <v>5.9675000000000002</v>
      </c>
      <c r="M289" s="875"/>
    </row>
    <row r="290" spans="1:13" x14ac:dyDescent="0.25">
      <c r="A290" s="894">
        <v>43006</v>
      </c>
      <c r="B290" s="875">
        <v>5.5247000000000002</v>
      </c>
      <c r="C290" s="875">
        <v>5.2085999999999997</v>
      </c>
      <c r="D290" s="875">
        <v>8.0002999999999993</v>
      </c>
      <c r="E290" s="875">
        <v>5.8533999999999997</v>
      </c>
      <c r="F290" s="875">
        <v>8.2797000000000001</v>
      </c>
      <c r="G290" s="875">
        <v>6.2723000000000004</v>
      </c>
      <c r="H290" s="875">
        <v>5.4848999999999997</v>
      </c>
      <c r="I290" s="875">
        <v>8.4765999999999995</v>
      </c>
      <c r="J290" s="875">
        <v>4.9485999999999999</v>
      </c>
      <c r="K290" s="875">
        <v>5.1482999999999999</v>
      </c>
      <c r="L290" s="875">
        <v>6.4534000000000002</v>
      </c>
      <c r="M290" s="875"/>
    </row>
    <row r="291" spans="1:13" x14ac:dyDescent="0.25">
      <c r="A291" s="894">
        <v>43005</v>
      </c>
      <c r="B291" s="875">
        <v>5.5658000000000003</v>
      </c>
      <c r="C291" s="875">
        <v>5.3010000000000002</v>
      </c>
      <c r="D291" s="875">
        <v>7.9111000000000002</v>
      </c>
      <c r="E291" s="875">
        <v>5.8741000000000003</v>
      </c>
      <c r="F291" s="875">
        <v>8.2035</v>
      </c>
      <c r="G291" s="875">
        <v>6.2183999999999999</v>
      </c>
      <c r="H291" s="875">
        <v>5.3772000000000002</v>
      </c>
      <c r="I291" s="875">
        <v>8.5303000000000004</v>
      </c>
      <c r="J291" s="875">
        <v>4.8772000000000002</v>
      </c>
      <c r="K291" s="875">
        <v>5.1798999999999999</v>
      </c>
      <c r="L291" s="875">
        <v>6.3174999999999999</v>
      </c>
      <c r="M291" s="875"/>
    </row>
    <row r="292" spans="1:13" x14ac:dyDescent="0.25">
      <c r="A292" s="894">
        <v>43004</v>
      </c>
      <c r="B292" s="875">
        <v>5.5162000000000004</v>
      </c>
      <c r="C292" s="875">
        <v>5.1497999999999999</v>
      </c>
      <c r="D292" s="875">
        <v>7.8396999999999997</v>
      </c>
      <c r="E292" s="875">
        <v>5.8552999999999997</v>
      </c>
      <c r="F292" s="875">
        <v>7.9398999999999997</v>
      </c>
      <c r="G292" s="875">
        <v>6.0244999999999997</v>
      </c>
      <c r="H292" s="875">
        <v>5.0488</v>
      </c>
      <c r="I292" s="875">
        <v>8.6752000000000002</v>
      </c>
      <c r="J292" s="875">
        <v>4.7237</v>
      </c>
      <c r="K292" s="875">
        <v>5.0495999999999999</v>
      </c>
      <c r="L292" s="875">
        <v>5.6645000000000003</v>
      </c>
      <c r="M292" s="875"/>
    </row>
    <row r="293" spans="1:13" x14ac:dyDescent="0.25">
      <c r="A293" s="894">
        <v>43003</v>
      </c>
      <c r="B293" s="875">
        <v>5.5278999999999998</v>
      </c>
      <c r="C293" s="875">
        <v>5.1565000000000003</v>
      </c>
      <c r="D293" s="875">
        <v>7.8861999999999997</v>
      </c>
      <c r="E293" s="875">
        <v>5.9522000000000004</v>
      </c>
      <c r="F293" s="875">
        <v>7.9511000000000003</v>
      </c>
      <c r="G293" s="875">
        <v>6.0689000000000002</v>
      </c>
      <c r="H293" s="875">
        <v>5.4584999999999999</v>
      </c>
      <c r="I293" s="875">
        <v>8.4442000000000004</v>
      </c>
      <c r="J293" s="875">
        <v>4.7359999999999998</v>
      </c>
      <c r="K293" s="875">
        <v>5.0898000000000003</v>
      </c>
      <c r="L293" s="875">
        <v>5.8451000000000004</v>
      </c>
      <c r="M293" s="875"/>
    </row>
    <row r="294" spans="1:13" x14ac:dyDescent="0.25">
      <c r="A294" s="894">
        <v>43000</v>
      </c>
      <c r="B294" s="875">
        <v>5.6845999999999997</v>
      </c>
      <c r="C294" s="875">
        <v>5.3007999999999997</v>
      </c>
      <c r="D294" s="875">
        <v>8.2032000000000007</v>
      </c>
      <c r="E294" s="875">
        <v>6.1204999999999998</v>
      </c>
      <c r="F294" s="875">
        <v>8.2515999999999998</v>
      </c>
      <c r="G294" s="875">
        <v>6.4611999999999998</v>
      </c>
      <c r="H294" s="875">
        <v>5.7473000000000001</v>
      </c>
      <c r="I294" s="875">
        <v>8.5841999999999992</v>
      </c>
      <c r="J294" s="875">
        <v>4.8841999999999999</v>
      </c>
      <c r="K294" s="875">
        <v>5.04</v>
      </c>
      <c r="L294" s="875">
        <v>5.9024999999999999</v>
      </c>
      <c r="M294" s="875"/>
    </row>
    <row r="295" spans="1:13" x14ac:dyDescent="0.25">
      <c r="A295" s="894">
        <v>42999</v>
      </c>
      <c r="B295" s="875">
        <v>5.6820000000000004</v>
      </c>
      <c r="C295" s="875">
        <v>5.2919</v>
      </c>
      <c r="D295" s="875">
        <v>8.1975999999999996</v>
      </c>
      <c r="E295" s="875">
        <v>6.0235000000000003</v>
      </c>
      <c r="F295" s="875">
        <v>8.1994000000000007</v>
      </c>
      <c r="G295" s="875">
        <v>6.4360999999999997</v>
      </c>
      <c r="H295" s="875">
        <v>5.6820000000000004</v>
      </c>
      <c r="I295" s="875">
        <v>8.6539999999999999</v>
      </c>
      <c r="J295" s="875">
        <v>4.9207999999999998</v>
      </c>
      <c r="K295" s="875">
        <v>5.0697000000000001</v>
      </c>
      <c r="L295" s="875">
        <v>5.8634000000000004</v>
      </c>
      <c r="M295" s="875"/>
    </row>
    <row r="296" spans="1:13" x14ac:dyDescent="0.25">
      <c r="A296" s="894">
        <v>42998</v>
      </c>
      <c r="B296" s="875">
        <v>5.7073999999999998</v>
      </c>
      <c r="C296" s="875">
        <v>5.2785000000000002</v>
      </c>
      <c r="D296" s="875">
        <v>8.3041</v>
      </c>
      <c r="E296" s="875">
        <v>6.0731999999999999</v>
      </c>
      <c r="F296" s="875">
        <v>8.2350999999999992</v>
      </c>
      <c r="G296" s="875">
        <v>6.4718999999999998</v>
      </c>
      <c r="H296" s="875">
        <v>5.6886999999999999</v>
      </c>
      <c r="I296" s="875">
        <v>8.5869999999999997</v>
      </c>
      <c r="J296" s="875">
        <v>5.0037000000000003</v>
      </c>
      <c r="K296" s="875">
        <v>5.0133999999999999</v>
      </c>
      <c r="L296" s="875">
        <v>5.9153000000000002</v>
      </c>
      <c r="M296" s="875"/>
    </row>
    <row r="297" spans="1:13" x14ac:dyDescent="0.25">
      <c r="A297" s="894">
        <v>42997</v>
      </c>
      <c r="B297" s="875">
        <v>5.7198000000000002</v>
      </c>
      <c r="C297" s="875">
        <v>5.3109999999999999</v>
      </c>
      <c r="D297" s="875">
        <v>8.4201999999999995</v>
      </c>
      <c r="E297" s="875">
        <v>6.0098000000000003</v>
      </c>
      <c r="F297" s="875">
        <v>8.3369999999999997</v>
      </c>
      <c r="G297" s="875">
        <v>6.6921999999999997</v>
      </c>
      <c r="H297" s="875">
        <v>5.8040000000000003</v>
      </c>
      <c r="I297" s="875">
        <v>8.6922999999999995</v>
      </c>
      <c r="J297" s="875">
        <v>5.0711000000000004</v>
      </c>
      <c r="K297" s="875">
        <v>5.0933999999999999</v>
      </c>
      <c r="L297" s="875">
        <v>6.1603000000000003</v>
      </c>
      <c r="M297" s="875"/>
    </row>
    <row r="298" spans="1:13" x14ac:dyDescent="0.25">
      <c r="A298" s="894">
        <v>42996</v>
      </c>
      <c r="B298" s="875">
        <v>5.7477</v>
      </c>
      <c r="C298" s="875">
        <v>5.3464</v>
      </c>
      <c r="D298" s="875">
        <v>8.4511000000000003</v>
      </c>
      <c r="E298" s="875">
        <v>6.0385999999999997</v>
      </c>
      <c r="F298" s="875">
        <v>8.3323999999999998</v>
      </c>
      <c r="G298" s="875">
        <v>6.5145999999999997</v>
      </c>
      <c r="H298" s="875">
        <v>5.8296000000000001</v>
      </c>
      <c r="I298" s="875">
        <v>8.6348000000000003</v>
      </c>
      <c r="J298" s="875">
        <v>5.1071999999999997</v>
      </c>
      <c r="K298" s="875">
        <v>5.2176</v>
      </c>
      <c r="L298" s="875">
        <v>6.0453000000000001</v>
      </c>
      <c r="M298" s="875"/>
    </row>
    <row r="299" spans="1:13" x14ac:dyDescent="0.25">
      <c r="A299" s="894">
        <v>42993</v>
      </c>
      <c r="B299" s="875">
        <v>5.7027999999999999</v>
      </c>
      <c r="C299" s="875">
        <v>5.2685000000000004</v>
      </c>
      <c r="D299" s="875">
        <v>8.3312000000000008</v>
      </c>
      <c r="E299" s="875">
        <v>5.9192</v>
      </c>
      <c r="F299" s="875">
        <v>8.3155000000000001</v>
      </c>
      <c r="G299" s="875">
        <v>6.4981</v>
      </c>
      <c r="H299" s="875">
        <v>5.7766999999999999</v>
      </c>
      <c r="I299" s="875">
        <v>8.4463000000000008</v>
      </c>
      <c r="J299" s="875">
        <v>5.0250000000000004</v>
      </c>
      <c r="K299" s="875">
        <v>5.2868000000000004</v>
      </c>
      <c r="L299" s="875">
        <v>5.8028000000000004</v>
      </c>
      <c r="M299" s="875"/>
    </row>
    <row r="300" spans="1:13" x14ac:dyDescent="0.25">
      <c r="A300" s="894">
        <v>42992</v>
      </c>
      <c r="B300" s="875">
        <v>5.7465999999999999</v>
      </c>
      <c r="C300" s="875">
        <v>5.2873999999999999</v>
      </c>
      <c r="D300" s="875">
        <v>8.3790999999999993</v>
      </c>
      <c r="E300" s="875">
        <v>5.9950000000000001</v>
      </c>
      <c r="F300" s="875">
        <v>8.3094000000000001</v>
      </c>
      <c r="G300" s="875">
        <v>6.4817999999999998</v>
      </c>
      <c r="H300" s="875">
        <v>5.8133999999999997</v>
      </c>
      <c r="I300" s="875">
        <v>8.5642999999999994</v>
      </c>
      <c r="J300" s="875">
        <v>5.1050000000000004</v>
      </c>
      <c r="K300" s="875">
        <v>5.4667000000000003</v>
      </c>
      <c r="L300" s="875">
        <v>5.8364000000000003</v>
      </c>
      <c r="M300" s="875"/>
    </row>
    <row r="301" spans="1:13" x14ac:dyDescent="0.25">
      <c r="A301" s="894">
        <v>42991</v>
      </c>
      <c r="B301" s="875">
        <v>5.7694999999999999</v>
      </c>
      <c r="C301" s="875">
        <v>5.3042999999999996</v>
      </c>
      <c r="D301" s="875">
        <v>8.5119000000000007</v>
      </c>
      <c r="E301" s="875">
        <v>5.9432999999999998</v>
      </c>
      <c r="F301" s="875">
        <v>8.3239999999999998</v>
      </c>
      <c r="G301" s="875">
        <v>6.5347999999999997</v>
      </c>
      <c r="H301" s="875">
        <v>5.7302999999999997</v>
      </c>
      <c r="I301" s="875">
        <v>8.7629999999999999</v>
      </c>
      <c r="J301" s="875">
        <v>5.1608999999999998</v>
      </c>
      <c r="K301" s="875">
        <v>5.7683</v>
      </c>
      <c r="L301" s="875">
        <v>5.7811000000000003</v>
      </c>
      <c r="M301" s="875"/>
    </row>
    <row r="302" spans="1:13" x14ac:dyDescent="0.25">
      <c r="A302" s="894">
        <v>42990</v>
      </c>
      <c r="B302" s="875">
        <v>5.85</v>
      </c>
      <c r="C302" s="875">
        <v>5.3246000000000002</v>
      </c>
      <c r="D302" s="875">
        <v>8.5198</v>
      </c>
      <c r="E302" s="875">
        <v>6.0080999999999998</v>
      </c>
      <c r="F302" s="875">
        <v>8.3475000000000001</v>
      </c>
      <c r="G302" s="875">
        <v>6.7164999999999999</v>
      </c>
      <c r="H302" s="875">
        <v>5.6532</v>
      </c>
      <c r="I302" s="875">
        <v>8.7212999999999994</v>
      </c>
      <c r="J302" s="875">
        <v>5.1479999999999997</v>
      </c>
      <c r="K302" s="875">
        <v>5.2790999999999997</v>
      </c>
      <c r="L302" s="875">
        <v>5.73</v>
      </c>
      <c r="M302" s="875"/>
    </row>
    <row r="303" spans="1:13" x14ac:dyDescent="0.25">
      <c r="A303" s="894">
        <v>42989</v>
      </c>
      <c r="B303" s="875">
        <v>5.8882000000000003</v>
      </c>
      <c r="C303" s="875">
        <v>5.2561999999999998</v>
      </c>
      <c r="D303" s="875">
        <v>8.6374999999999993</v>
      </c>
      <c r="E303" s="875">
        <v>6.0335000000000001</v>
      </c>
      <c r="F303" s="875">
        <v>8.4518000000000004</v>
      </c>
      <c r="G303" s="875">
        <v>6.5968999999999998</v>
      </c>
      <c r="H303" s="875">
        <v>5.7458</v>
      </c>
      <c r="I303" s="875">
        <v>8.9848999999999997</v>
      </c>
      <c r="J303" s="875">
        <v>5.1882999999999999</v>
      </c>
      <c r="K303" s="875">
        <v>5.0589000000000004</v>
      </c>
      <c r="L303" s="875">
        <v>5.8122999999999996</v>
      </c>
      <c r="M303" s="875"/>
    </row>
    <row r="304" spans="1:13" x14ac:dyDescent="0.25">
      <c r="A304" s="894">
        <v>42986</v>
      </c>
      <c r="B304" s="875">
        <v>5.8147000000000002</v>
      </c>
      <c r="C304" s="875">
        <v>5.0940000000000003</v>
      </c>
      <c r="D304" s="875">
        <v>8.6118000000000006</v>
      </c>
      <c r="E304" s="875">
        <v>5.9379</v>
      </c>
      <c r="F304" s="875">
        <v>8.3684999999999992</v>
      </c>
      <c r="G304" s="875">
        <v>6.1135000000000002</v>
      </c>
      <c r="H304" s="875">
        <v>5.5673000000000004</v>
      </c>
      <c r="I304" s="875">
        <v>9.0343</v>
      </c>
      <c r="J304" s="875">
        <v>4.9382000000000001</v>
      </c>
      <c r="K304" s="875">
        <v>4.8224999999999998</v>
      </c>
      <c r="L304" s="875">
        <v>5.7108999999999996</v>
      </c>
      <c r="M304" s="875"/>
    </row>
    <row r="305" spans="1:13" x14ac:dyDescent="0.25">
      <c r="A305" s="894">
        <v>42985</v>
      </c>
      <c r="B305" s="875">
        <v>5.8356000000000003</v>
      </c>
      <c r="C305" s="875">
        <v>5.0435999999999996</v>
      </c>
      <c r="D305" s="875">
        <v>8.7809000000000008</v>
      </c>
      <c r="E305" s="875">
        <v>6.0648</v>
      </c>
      <c r="F305" s="875">
        <v>8.4762000000000004</v>
      </c>
      <c r="G305" s="875">
        <v>6.2133000000000003</v>
      </c>
      <c r="H305" s="875">
        <v>5.5624000000000002</v>
      </c>
      <c r="I305" s="875">
        <v>8.0805000000000007</v>
      </c>
      <c r="J305" s="875">
        <v>4.9454000000000002</v>
      </c>
      <c r="K305" s="875">
        <v>5.0864000000000003</v>
      </c>
      <c r="L305" s="875">
        <v>5.6624999999999996</v>
      </c>
      <c r="M305" s="875"/>
    </row>
    <row r="306" spans="1:13" x14ac:dyDescent="0.25">
      <c r="A306" s="894">
        <v>42984</v>
      </c>
      <c r="B306" s="875">
        <v>5.7832999999999997</v>
      </c>
      <c r="C306" s="875">
        <v>5.0350000000000001</v>
      </c>
      <c r="D306" s="875">
        <v>8.6750000000000007</v>
      </c>
      <c r="E306" s="875">
        <v>6.0269000000000004</v>
      </c>
      <c r="F306" s="875">
        <v>8.2547999999999995</v>
      </c>
      <c r="G306" s="875">
        <v>5.9661</v>
      </c>
      <c r="H306" s="875">
        <v>5.5983999999999998</v>
      </c>
      <c r="I306" s="875">
        <v>8.2380999999999993</v>
      </c>
      <c r="J306" s="875">
        <v>4.8106999999999998</v>
      </c>
      <c r="K306" s="875">
        <v>5.5861999999999998</v>
      </c>
      <c r="L306" s="875">
        <v>5.7229000000000001</v>
      </c>
      <c r="M306" s="875"/>
    </row>
    <row r="307" spans="1:13" x14ac:dyDescent="0.25">
      <c r="A307" s="894">
        <v>42983</v>
      </c>
      <c r="B307" s="875">
        <v>5.8094999999999999</v>
      </c>
      <c r="C307" s="875">
        <v>5.0247999999999999</v>
      </c>
      <c r="D307" s="875">
        <v>8.6531000000000002</v>
      </c>
      <c r="E307" s="875">
        <v>5.8879999999999999</v>
      </c>
      <c r="F307" s="875">
        <v>8.3717000000000006</v>
      </c>
      <c r="G307" s="875">
        <v>5.8193000000000001</v>
      </c>
      <c r="H307" s="875">
        <v>5.4915000000000003</v>
      </c>
      <c r="I307" s="875">
        <v>8.0245999999999995</v>
      </c>
      <c r="J307" s="875">
        <v>4.8943000000000003</v>
      </c>
      <c r="K307" s="875">
        <v>5.3167999999999997</v>
      </c>
      <c r="L307" s="875">
        <v>5.8141999999999996</v>
      </c>
      <c r="M307" s="875"/>
    </row>
    <row r="308" spans="1:13" x14ac:dyDescent="0.25">
      <c r="A308" s="894">
        <v>42979</v>
      </c>
      <c r="B308" s="875">
        <v>5.8029000000000002</v>
      </c>
      <c r="C308" s="875">
        <v>5.0839999999999996</v>
      </c>
      <c r="D308" s="875">
        <v>8.7270000000000003</v>
      </c>
      <c r="E308" s="875">
        <v>5.8998999999999997</v>
      </c>
      <c r="F308" s="875">
        <v>8.3310999999999993</v>
      </c>
      <c r="G308" s="875">
        <v>5.8448000000000002</v>
      </c>
      <c r="H308" s="875">
        <v>5.4038000000000004</v>
      </c>
      <c r="I308" s="875">
        <v>8.1136999999999997</v>
      </c>
      <c r="J308" s="875">
        <v>4.8315999999999999</v>
      </c>
      <c r="K308" s="875">
        <v>5.2645999999999997</v>
      </c>
      <c r="L308" s="875">
        <v>5.8579999999999997</v>
      </c>
      <c r="M308" s="875"/>
    </row>
    <row r="309" spans="1:13" x14ac:dyDescent="0.25">
      <c r="A309" s="894">
        <v>42978</v>
      </c>
      <c r="B309" s="875">
        <v>5.7785000000000002</v>
      </c>
      <c r="C309" s="875">
        <v>5.0720000000000001</v>
      </c>
      <c r="D309" s="875">
        <v>8.8152000000000008</v>
      </c>
      <c r="E309" s="875">
        <v>5.8792</v>
      </c>
      <c r="F309" s="875">
        <v>8.3993000000000002</v>
      </c>
      <c r="G309" s="875">
        <v>5.7731000000000003</v>
      </c>
      <c r="H309" s="875">
        <v>5.48</v>
      </c>
      <c r="I309" s="875">
        <v>8.2659000000000002</v>
      </c>
      <c r="J309" s="875">
        <v>4.8249000000000004</v>
      </c>
      <c r="K309" s="875">
        <v>5.1688000000000001</v>
      </c>
      <c r="L309" s="875">
        <v>5.8852000000000002</v>
      </c>
      <c r="M309" s="875"/>
    </row>
    <row r="310" spans="1:13" x14ac:dyDescent="0.25">
      <c r="A310" s="894">
        <v>42977</v>
      </c>
      <c r="B310" s="875">
        <v>5.7432999999999996</v>
      </c>
      <c r="C310" s="875">
        <v>5.0330000000000004</v>
      </c>
      <c r="D310" s="875">
        <v>8.7257999999999996</v>
      </c>
      <c r="E310" s="875">
        <v>5.7362000000000002</v>
      </c>
      <c r="F310" s="875">
        <v>8.2645</v>
      </c>
      <c r="G310" s="875">
        <v>5.7815000000000003</v>
      </c>
      <c r="H310" s="875">
        <v>5.4740000000000002</v>
      </c>
      <c r="I310" s="875">
        <v>8.048</v>
      </c>
      <c r="J310" s="875">
        <v>4.8194999999999997</v>
      </c>
      <c r="K310" s="875">
        <v>5.2636000000000003</v>
      </c>
      <c r="L310" s="875">
        <v>5.7686999999999999</v>
      </c>
      <c r="M310" s="875"/>
    </row>
    <row r="311" spans="1:13" x14ac:dyDescent="0.25">
      <c r="A311" s="894">
        <v>42976</v>
      </c>
      <c r="B311" s="875">
        <v>5.6832000000000003</v>
      </c>
      <c r="C311" s="875">
        <v>4.9939999999999998</v>
      </c>
      <c r="D311" s="875">
        <v>8.4869000000000003</v>
      </c>
      <c r="E311" s="875">
        <v>5.6199000000000003</v>
      </c>
      <c r="F311" s="875">
        <v>8.0847999999999995</v>
      </c>
      <c r="G311" s="875">
        <v>5.6441999999999997</v>
      </c>
      <c r="H311" s="875">
        <v>5.4279999999999999</v>
      </c>
      <c r="I311" s="875">
        <v>7.7225000000000001</v>
      </c>
      <c r="J311" s="875">
        <v>4.8121999999999998</v>
      </c>
      <c r="K311" s="875">
        <v>5.2691999999999997</v>
      </c>
      <c r="L311" s="875">
        <v>5.4695999999999998</v>
      </c>
      <c r="M311" s="875"/>
    </row>
    <row r="312" spans="1:13" x14ac:dyDescent="0.25">
      <c r="A312" s="894">
        <v>42975</v>
      </c>
      <c r="B312" s="875">
        <v>5.6764999999999999</v>
      </c>
      <c r="C312" s="875">
        <v>5.0091000000000001</v>
      </c>
      <c r="D312" s="875">
        <v>8.4143000000000008</v>
      </c>
      <c r="E312" s="875">
        <v>5.6345999999999998</v>
      </c>
      <c r="F312" s="875">
        <v>8.1044999999999998</v>
      </c>
      <c r="G312" s="875">
        <v>5.6093000000000002</v>
      </c>
      <c r="H312" s="875">
        <v>5.3480999999999996</v>
      </c>
      <c r="I312" s="875">
        <v>7.4466000000000001</v>
      </c>
      <c r="J312" s="875">
        <v>4.8108000000000004</v>
      </c>
      <c r="K312" s="875">
        <v>5.1048999999999998</v>
      </c>
      <c r="L312" s="875">
        <v>5.4871999999999996</v>
      </c>
      <c r="M312" s="875"/>
    </row>
    <row r="313" spans="1:13" x14ac:dyDescent="0.25">
      <c r="A313" s="894">
        <v>42972</v>
      </c>
      <c r="B313" s="875">
        <v>5.7107000000000001</v>
      </c>
      <c r="C313" s="875">
        <v>5.0220000000000002</v>
      </c>
      <c r="D313" s="875">
        <v>8.4306000000000001</v>
      </c>
      <c r="E313" s="875">
        <v>5.7321</v>
      </c>
      <c r="F313" s="875">
        <v>8.0165000000000006</v>
      </c>
      <c r="G313" s="875">
        <v>5.5747999999999998</v>
      </c>
      <c r="H313" s="875">
        <v>5.4257999999999997</v>
      </c>
      <c r="I313" s="875">
        <v>7.6166999999999998</v>
      </c>
      <c r="J313" s="875">
        <v>4.7930000000000001</v>
      </c>
      <c r="K313" s="875">
        <v>5.0812999999999997</v>
      </c>
      <c r="L313" s="875">
        <v>5.5152000000000001</v>
      </c>
      <c r="M313" s="875"/>
    </row>
    <row r="314" spans="1:13" x14ac:dyDescent="0.25">
      <c r="A314" s="894">
        <v>42971</v>
      </c>
      <c r="B314" s="875">
        <v>5.6630000000000003</v>
      </c>
      <c r="C314" s="875">
        <v>5.0416999999999996</v>
      </c>
      <c r="D314" s="875">
        <v>8.5048999999999992</v>
      </c>
      <c r="E314" s="875">
        <v>5.2838000000000003</v>
      </c>
      <c r="F314" s="875">
        <v>8.0275999999999996</v>
      </c>
      <c r="G314" s="875">
        <v>5.5734000000000004</v>
      </c>
      <c r="H314" s="875">
        <v>5.5110999999999999</v>
      </c>
      <c r="I314" s="875">
        <v>7.7828999999999997</v>
      </c>
      <c r="J314" s="875">
        <v>4.8757000000000001</v>
      </c>
      <c r="K314" s="875">
        <v>5.1246999999999998</v>
      </c>
      <c r="L314" s="875">
        <v>5.6576000000000004</v>
      </c>
      <c r="M314" s="875"/>
    </row>
    <row r="315" spans="1:13" x14ac:dyDescent="0.25">
      <c r="A315" s="894">
        <v>42970</v>
      </c>
      <c r="B315" s="875">
        <v>5.6002000000000001</v>
      </c>
      <c r="C315" s="875">
        <v>5.0010000000000003</v>
      </c>
      <c r="D315" s="875">
        <v>8.4611000000000001</v>
      </c>
      <c r="E315" s="875">
        <v>5.2972999999999999</v>
      </c>
      <c r="F315" s="875">
        <v>7.9733000000000001</v>
      </c>
      <c r="G315" s="875">
        <v>5.4629000000000003</v>
      </c>
      <c r="H315" s="875">
        <v>5.4438000000000004</v>
      </c>
      <c r="I315" s="875">
        <v>7.8019999999999996</v>
      </c>
      <c r="J315" s="875">
        <v>4.7647000000000004</v>
      </c>
      <c r="K315" s="875">
        <v>5.1032999999999999</v>
      </c>
      <c r="L315" s="875">
        <v>5.5709</v>
      </c>
      <c r="M315" s="875"/>
    </row>
    <row r="316" spans="1:13" x14ac:dyDescent="0.25">
      <c r="A316" s="894">
        <v>42969</v>
      </c>
      <c r="B316" s="875">
        <v>5.6555999999999997</v>
      </c>
      <c r="C316" s="875">
        <v>5.0118999999999998</v>
      </c>
      <c r="D316" s="875">
        <v>8.5649999999999995</v>
      </c>
      <c r="E316" s="875">
        <v>5.3026999999999997</v>
      </c>
      <c r="F316" s="875">
        <v>8.0236999999999998</v>
      </c>
      <c r="G316" s="875">
        <v>5.5007999999999999</v>
      </c>
      <c r="H316" s="875">
        <v>5.4630999999999998</v>
      </c>
      <c r="I316" s="875">
        <v>7.8985000000000003</v>
      </c>
      <c r="J316" s="875">
        <v>4.7991999999999999</v>
      </c>
      <c r="K316" s="875">
        <v>5.1177000000000001</v>
      </c>
      <c r="L316" s="875">
        <v>5.5625</v>
      </c>
      <c r="M316" s="875"/>
    </row>
    <row r="317" spans="1:13" x14ac:dyDescent="0.25">
      <c r="A317" s="894">
        <v>42968</v>
      </c>
      <c r="B317" s="875">
        <v>5.5861999999999998</v>
      </c>
      <c r="C317" s="875">
        <v>4.8973000000000004</v>
      </c>
      <c r="D317" s="875">
        <v>8.2579999999999991</v>
      </c>
      <c r="E317" s="875">
        <v>5.2626999999999997</v>
      </c>
      <c r="F317" s="875">
        <v>7.9116999999999997</v>
      </c>
      <c r="G317" s="875">
        <v>5.4757999999999996</v>
      </c>
      <c r="H317" s="875">
        <v>5.5015000000000001</v>
      </c>
      <c r="I317" s="875">
        <v>7.6952999999999996</v>
      </c>
      <c r="J317" s="875">
        <v>4.7458</v>
      </c>
      <c r="K317" s="875">
        <v>5.0872999999999999</v>
      </c>
      <c r="L317" s="875">
        <v>5.4668000000000001</v>
      </c>
      <c r="M317" s="875"/>
    </row>
    <row r="318" spans="1:13" x14ac:dyDescent="0.25">
      <c r="A318" s="894">
        <v>42965</v>
      </c>
      <c r="B318" s="875">
        <v>5.5290999999999997</v>
      </c>
      <c r="C318" s="875">
        <v>4.8545999999999996</v>
      </c>
      <c r="D318" s="875">
        <v>8.2757000000000005</v>
      </c>
      <c r="E318" s="875">
        <v>5.2114000000000003</v>
      </c>
      <c r="F318" s="875">
        <v>7.8036000000000003</v>
      </c>
      <c r="G318" s="875">
        <v>5.4238999999999997</v>
      </c>
      <c r="H318" s="875">
        <v>5.6561000000000003</v>
      </c>
      <c r="I318" s="875">
        <v>7.6374000000000004</v>
      </c>
      <c r="J318" s="875">
        <v>4.7119999999999997</v>
      </c>
      <c r="K318" s="875">
        <v>5.2527999999999997</v>
      </c>
      <c r="L318" s="875">
        <v>5.4819000000000004</v>
      </c>
      <c r="M318" s="875"/>
    </row>
    <row r="319" spans="1:13" x14ac:dyDescent="0.25">
      <c r="A319" s="894">
        <v>42964</v>
      </c>
      <c r="B319" s="875">
        <v>5.5415000000000001</v>
      </c>
      <c r="C319" s="875">
        <v>4.82</v>
      </c>
      <c r="D319" s="875">
        <v>8.4117999999999995</v>
      </c>
      <c r="E319" s="875">
        <v>5.1840999999999999</v>
      </c>
      <c r="F319" s="875">
        <v>7.7807000000000004</v>
      </c>
      <c r="G319" s="875">
        <v>5.2961999999999998</v>
      </c>
      <c r="H319" s="875">
        <v>5.7461000000000002</v>
      </c>
      <c r="I319" s="875">
        <v>7.4362000000000004</v>
      </c>
      <c r="J319" s="875">
        <v>4.7308000000000003</v>
      </c>
      <c r="K319" s="875">
        <v>5.2423999999999999</v>
      </c>
      <c r="L319" s="875">
        <v>5.4717000000000002</v>
      </c>
      <c r="M319" s="875"/>
    </row>
    <row r="320" spans="1:13" x14ac:dyDescent="0.25">
      <c r="A320" s="894">
        <v>42963</v>
      </c>
      <c r="B320" s="875">
        <v>5.6303999999999998</v>
      </c>
      <c r="C320" s="875">
        <v>4.9489000000000001</v>
      </c>
      <c r="D320" s="875">
        <v>8.7103000000000002</v>
      </c>
      <c r="E320" s="875">
        <v>5.35</v>
      </c>
      <c r="F320" s="875">
        <v>7.9866999999999999</v>
      </c>
      <c r="G320" s="875">
        <v>5.5533999999999999</v>
      </c>
      <c r="H320" s="875">
        <v>5.9078999999999997</v>
      </c>
      <c r="I320" s="875">
        <v>7.8202999999999996</v>
      </c>
      <c r="J320" s="875">
        <v>4.8456000000000001</v>
      </c>
      <c r="K320" s="875">
        <v>5.3651999999999997</v>
      </c>
      <c r="L320" s="875">
        <v>5.7039</v>
      </c>
      <c r="M320" s="875"/>
    </row>
    <row r="321" spans="1:13" x14ac:dyDescent="0.25">
      <c r="A321" s="894">
        <v>42962</v>
      </c>
      <c r="B321" s="875">
        <v>5.5381999999999998</v>
      </c>
      <c r="C321" s="875">
        <v>4.9062999999999999</v>
      </c>
      <c r="D321" s="875">
        <v>8.3383000000000003</v>
      </c>
      <c r="E321" s="875">
        <v>5.1014999999999997</v>
      </c>
      <c r="F321" s="875">
        <v>7.8296999999999999</v>
      </c>
      <c r="G321" s="875">
        <v>5.6098999999999997</v>
      </c>
      <c r="H321" s="875">
        <v>5.9001000000000001</v>
      </c>
      <c r="I321" s="875">
        <v>7.4878999999999998</v>
      </c>
      <c r="J321" s="875">
        <v>4.8261000000000003</v>
      </c>
      <c r="K321" s="875">
        <v>5.2762000000000002</v>
      </c>
      <c r="L321" s="875">
        <v>5.6079999999999997</v>
      </c>
      <c r="M321" s="875"/>
    </row>
    <row r="322" spans="1:13" x14ac:dyDescent="0.25">
      <c r="A322" s="894">
        <v>42961</v>
      </c>
      <c r="B322" s="875">
        <v>5.5137</v>
      </c>
      <c r="C322" s="875">
        <v>4.9130000000000003</v>
      </c>
      <c r="D322" s="875">
        <v>8.3896999999999995</v>
      </c>
      <c r="E322" s="875">
        <v>5.1401000000000003</v>
      </c>
      <c r="F322" s="875">
        <v>7.8818000000000001</v>
      </c>
      <c r="G322" s="875">
        <v>5.9490999999999996</v>
      </c>
      <c r="H322" s="875">
        <v>5.9922000000000004</v>
      </c>
      <c r="I322" s="875">
        <v>7.6424000000000003</v>
      </c>
      <c r="J322" s="875">
        <v>4.8186999999999998</v>
      </c>
      <c r="K322" s="875">
        <v>5.6840999999999999</v>
      </c>
      <c r="L322" s="875">
        <v>5.6478999999999999</v>
      </c>
      <c r="M322" s="875"/>
    </row>
    <row r="323" spans="1:13" x14ac:dyDescent="0.25">
      <c r="A323" s="894">
        <v>42958</v>
      </c>
      <c r="B323" s="875">
        <v>5.3960999999999997</v>
      </c>
      <c r="C323" s="875">
        <v>4.7725</v>
      </c>
      <c r="D323" s="875">
        <v>8.1353000000000009</v>
      </c>
      <c r="E323" s="875">
        <v>5.1176000000000004</v>
      </c>
      <c r="F323" s="875">
        <v>7.7530000000000001</v>
      </c>
      <c r="G323" s="875">
        <v>6.05</v>
      </c>
      <c r="H323" s="875">
        <v>5.9927000000000001</v>
      </c>
      <c r="I323" s="875">
        <v>7.3181000000000003</v>
      </c>
      <c r="J323" s="875">
        <v>4.6699000000000002</v>
      </c>
      <c r="K323" s="875">
        <v>5.4759000000000002</v>
      </c>
      <c r="L323" s="875">
        <v>5.4351000000000003</v>
      </c>
      <c r="M323" s="875"/>
    </row>
    <row r="324" spans="1:13" x14ac:dyDescent="0.25">
      <c r="A324" s="894">
        <v>42957</v>
      </c>
      <c r="B324" s="875">
        <v>5.3566000000000003</v>
      </c>
      <c r="C324" s="875">
        <v>4.7138999999999998</v>
      </c>
      <c r="D324" s="875">
        <v>8.0290999999999997</v>
      </c>
      <c r="E324" s="875">
        <v>4.9805999999999999</v>
      </c>
      <c r="F324" s="875">
        <v>7.6346999999999996</v>
      </c>
      <c r="G324" s="875">
        <v>5.5945999999999998</v>
      </c>
      <c r="H324" s="875">
        <v>5.6605999999999996</v>
      </c>
      <c r="I324" s="875">
        <v>7.0438000000000001</v>
      </c>
      <c r="J324" s="875">
        <v>4.5095999999999998</v>
      </c>
      <c r="K324" s="875">
        <v>5.3975</v>
      </c>
      <c r="L324" s="875">
        <v>5.3105000000000002</v>
      </c>
      <c r="M324" s="875"/>
    </row>
    <row r="325" spans="1:13" x14ac:dyDescent="0.25">
      <c r="A325" s="894">
        <v>42956</v>
      </c>
      <c r="B325" s="875">
        <v>5.5167999999999999</v>
      </c>
      <c r="C325" s="875">
        <v>4.8762999999999996</v>
      </c>
      <c r="D325" s="875">
        <v>8.3038000000000007</v>
      </c>
      <c r="E325" s="875">
        <v>5.1871999999999998</v>
      </c>
      <c r="F325" s="875">
        <v>7.8620000000000001</v>
      </c>
      <c r="G325" s="875">
        <v>6.1532</v>
      </c>
      <c r="H325" s="875">
        <v>6.2466999999999997</v>
      </c>
      <c r="I325" s="875">
        <v>7.2937000000000003</v>
      </c>
      <c r="J325" s="875">
        <v>4.6013999999999999</v>
      </c>
      <c r="K325" s="875">
        <v>5.5212000000000003</v>
      </c>
      <c r="L325" s="875">
        <v>5.6140999999999996</v>
      </c>
      <c r="M325" s="875"/>
    </row>
    <row r="326" spans="1:13" x14ac:dyDescent="0.25">
      <c r="A326" s="894">
        <v>42955</v>
      </c>
      <c r="B326" s="875">
        <v>5.5293000000000001</v>
      </c>
      <c r="C326" s="875">
        <v>4.8013000000000003</v>
      </c>
      <c r="D326" s="875">
        <v>8.3064</v>
      </c>
      <c r="E326" s="875">
        <v>5.1986999999999997</v>
      </c>
      <c r="F326" s="875">
        <v>7.8570000000000002</v>
      </c>
      <c r="G326" s="875">
        <v>6.2214</v>
      </c>
      <c r="H326" s="875">
        <v>6.3738999999999999</v>
      </c>
      <c r="I326" s="875">
        <v>7.2647000000000004</v>
      </c>
      <c r="J326" s="875">
        <v>4.6119000000000003</v>
      </c>
      <c r="K326" s="875">
        <v>5.5635000000000003</v>
      </c>
      <c r="L326" s="875">
        <v>5.6233000000000004</v>
      </c>
      <c r="M326" s="875"/>
    </row>
    <row r="327" spans="1:13" x14ac:dyDescent="0.25">
      <c r="A327" s="894">
        <v>42954</v>
      </c>
      <c r="B327" s="875">
        <v>5.5481999999999996</v>
      </c>
      <c r="C327" s="875">
        <v>4.8600000000000003</v>
      </c>
      <c r="D327" s="875">
        <v>8.2858999999999998</v>
      </c>
      <c r="E327" s="875">
        <v>5.2131999999999996</v>
      </c>
      <c r="F327" s="875">
        <v>7.9461000000000004</v>
      </c>
      <c r="G327" s="875">
        <v>6.3444000000000003</v>
      </c>
      <c r="H327" s="875">
        <v>5.8414999999999999</v>
      </c>
      <c r="I327" s="875">
        <v>7.2323000000000004</v>
      </c>
      <c r="J327" s="875">
        <v>5.0213000000000001</v>
      </c>
      <c r="K327" s="875">
        <v>5.6558000000000002</v>
      </c>
      <c r="L327" s="875">
        <v>5.7557999999999998</v>
      </c>
      <c r="M327" s="875"/>
    </row>
    <row r="328" spans="1:13" x14ac:dyDescent="0.25">
      <c r="A328" s="894">
        <v>42951</v>
      </c>
      <c r="B328" s="875">
        <v>5.5507</v>
      </c>
      <c r="C328" s="875">
        <v>4.9253999999999998</v>
      </c>
      <c r="D328" s="875">
        <v>8.3293999999999997</v>
      </c>
      <c r="E328" s="875">
        <v>5.2972999999999999</v>
      </c>
      <c r="F328" s="875">
        <v>8.0287000000000006</v>
      </c>
      <c r="G328" s="875">
        <v>6.0993000000000004</v>
      </c>
      <c r="H328" s="875">
        <v>5.65</v>
      </c>
      <c r="I328" s="875">
        <v>7.0979999999999999</v>
      </c>
      <c r="J328" s="875">
        <v>5.1863000000000001</v>
      </c>
      <c r="K328" s="875">
        <v>5.1779999999999999</v>
      </c>
      <c r="L328" s="875">
        <v>5.8554000000000004</v>
      </c>
      <c r="M328" s="875"/>
    </row>
    <row r="329" spans="1:13" x14ac:dyDescent="0.25">
      <c r="A329" s="894">
        <v>42950</v>
      </c>
      <c r="B329" s="875">
        <v>5.5462999999999996</v>
      </c>
      <c r="C329" s="875">
        <v>4.7994000000000003</v>
      </c>
      <c r="D329" s="875">
        <v>8.3099000000000007</v>
      </c>
      <c r="E329" s="875">
        <v>5.2637999999999998</v>
      </c>
      <c r="F329" s="875">
        <v>7.8380000000000001</v>
      </c>
      <c r="G329" s="875">
        <v>6.2323000000000004</v>
      </c>
      <c r="H329" s="875">
        <v>5.5743999999999998</v>
      </c>
      <c r="I329" s="875">
        <v>7.0372000000000003</v>
      </c>
      <c r="J329" s="875">
        <v>5.0153999999999996</v>
      </c>
      <c r="K329" s="875">
        <v>5.1763000000000003</v>
      </c>
      <c r="L329" s="875">
        <v>5.8803999999999998</v>
      </c>
      <c r="M329" s="875"/>
    </row>
    <row r="330" spans="1:13" x14ac:dyDescent="0.25">
      <c r="A330" s="894">
        <v>42949</v>
      </c>
      <c r="B330" s="875">
        <v>5.5210999999999997</v>
      </c>
      <c r="C330" s="875">
        <v>4.3254999999999999</v>
      </c>
      <c r="D330" s="875">
        <v>8.2430000000000003</v>
      </c>
      <c r="E330" s="875">
        <v>5.1835000000000004</v>
      </c>
      <c r="F330" s="875">
        <v>7.8494999999999999</v>
      </c>
      <c r="G330" s="875">
        <v>6.0621</v>
      </c>
      <c r="H330" s="875">
        <v>5.4809999999999999</v>
      </c>
      <c r="I330" s="875">
        <v>6.8297999999999996</v>
      </c>
      <c r="J330" s="875">
        <v>4.9805000000000001</v>
      </c>
      <c r="K330" s="875">
        <v>5.1864999999999997</v>
      </c>
      <c r="L330" s="875">
        <v>5.7634999999999996</v>
      </c>
      <c r="M330" s="875"/>
    </row>
    <row r="331" spans="1:13" x14ac:dyDescent="0.25">
      <c r="A331" s="894">
        <v>42948</v>
      </c>
      <c r="B331" s="875">
        <v>5.6087999999999996</v>
      </c>
      <c r="C331" s="875">
        <v>4.4608999999999996</v>
      </c>
      <c r="D331" s="875">
        <v>8.5557999999999996</v>
      </c>
      <c r="E331" s="875">
        <v>5.3535000000000004</v>
      </c>
      <c r="F331" s="875">
        <v>8.1279000000000003</v>
      </c>
      <c r="G331" s="875">
        <v>6.1161000000000003</v>
      </c>
      <c r="H331" s="875">
        <v>5.6146000000000003</v>
      </c>
      <c r="I331" s="875">
        <v>7.0091999999999999</v>
      </c>
      <c r="J331" s="875">
        <v>5.1817000000000002</v>
      </c>
      <c r="K331" s="875">
        <v>5.2058</v>
      </c>
      <c r="L331" s="875">
        <v>6.0251000000000001</v>
      </c>
      <c r="M331" s="875"/>
    </row>
    <row r="332" spans="1:13" x14ac:dyDescent="0.25">
      <c r="A332" s="894">
        <v>42947</v>
      </c>
      <c r="B332" s="875">
        <v>5.5861000000000001</v>
      </c>
      <c r="C332" s="875">
        <v>4.3800999999999997</v>
      </c>
      <c r="D332" s="875">
        <v>8.4382999999999999</v>
      </c>
      <c r="E332" s="875">
        <v>5.3395999999999999</v>
      </c>
      <c r="F332" s="875">
        <v>8.1109000000000009</v>
      </c>
      <c r="G332" s="875">
        <v>6.1081000000000003</v>
      </c>
      <c r="H332" s="875">
        <v>5.6588000000000003</v>
      </c>
      <c r="I332" s="875">
        <v>6.7634999999999996</v>
      </c>
      <c r="J332" s="875">
        <v>5.2539999999999996</v>
      </c>
      <c r="K332" s="875">
        <v>5.2937000000000003</v>
      </c>
      <c r="L332" s="875">
        <v>5.9143999999999997</v>
      </c>
      <c r="M332" s="875"/>
    </row>
    <row r="333" spans="1:13" x14ac:dyDescent="0.25">
      <c r="A333" s="894">
        <v>42944</v>
      </c>
      <c r="B333" s="875">
        <v>5.6048</v>
      </c>
      <c r="C333" s="875">
        <v>4.4160000000000004</v>
      </c>
      <c r="D333" s="875">
        <v>8.5402000000000005</v>
      </c>
      <c r="E333" s="875">
        <v>5.3487999999999998</v>
      </c>
      <c r="F333" s="875">
        <v>8.2132000000000005</v>
      </c>
      <c r="G333" s="875">
        <v>6.1273999999999997</v>
      </c>
      <c r="H333" s="875">
        <v>5.8276000000000003</v>
      </c>
      <c r="I333" s="875">
        <v>6.8802000000000003</v>
      </c>
      <c r="J333" s="875">
        <v>5.3997999999999999</v>
      </c>
      <c r="K333" s="875">
        <v>5.3219000000000003</v>
      </c>
      <c r="L333" s="875">
        <v>5.9397000000000002</v>
      </c>
      <c r="M333" s="875"/>
    </row>
    <row r="334" spans="1:13" x14ac:dyDescent="0.25">
      <c r="A334" s="894">
        <v>42943</v>
      </c>
      <c r="B334" s="875">
        <v>5.5997000000000003</v>
      </c>
      <c r="C334" s="875">
        <v>4.4184999999999999</v>
      </c>
      <c r="D334" s="875">
        <v>8.4928000000000008</v>
      </c>
      <c r="E334" s="875">
        <v>5.3787000000000003</v>
      </c>
      <c r="F334" s="875">
        <v>8.1338000000000008</v>
      </c>
      <c r="G334" s="875">
        <v>6.0933000000000002</v>
      </c>
      <c r="H334" s="875">
        <v>5.8830999999999998</v>
      </c>
      <c r="I334" s="875">
        <v>6.9943</v>
      </c>
      <c r="J334" s="875">
        <v>5.5092999999999996</v>
      </c>
      <c r="K334" s="875">
        <v>5.3201999999999998</v>
      </c>
      <c r="L334" s="875">
        <v>5.9781000000000004</v>
      </c>
      <c r="M334" s="875"/>
    </row>
    <row r="335" spans="1:13" x14ac:dyDescent="0.25">
      <c r="A335" s="894">
        <v>42942</v>
      </c>
      <c r="B335" s="875">
        <v>5.6390000000000002</v>
      </c>
      <c r="C335" s="875">
        <v>4.4291999999999998</v>
      </c>
      <c r="D335" s="875">
        <v>8.7255000000000003</v>
      </c>
      <c r="E335" s="875">
        <v>5.5606999999999998</v>
      </c>
      <c r="F335" s="875">
        <v>8.2027999999999999</v>
      </c>
      <c r="G335" s="875">
        <v>6.3224999999999998</v>
      </c>
      <c r="H335" s="875">
        <v>6.1840000000000002</v>
      </c>
      <c r="I335" s="875">
        <v>7.2882999999999996</v>
      </c>
      <c r="J335" s="875">
        <v>5.5629999999999997</v>
      </c>
      <c r="K335" s="875">
        <v>5.5552000000000001</v>
      </c>
      <c r="L335" s="875">
        <v>6.1875</v>
      </c>
      <c r="M335" s="875"/>
    </row>
    <row r="336" spans="1:13" x14ac:dyDescent="0.25">
      <c r="A336" s="894">
        <v>42941</v>
      </c>
      <c r="B336" s="875">
        <v>5.6150000000000002</v>
      </c>
      <c r="C336" s="875">
        <v>4.4264000000000001</v>
      </c>
      <c r="D336" s="875">
        <v>8.6104000000000003</v>
      </c>
      <c r="E336" s="875">
        <v>5.5058999999999996</v>
      </c>
      <c r="F336" s="875">
        <v>8.1042000000000005</v>
      </c>
      <c r="G336" s="875">
        <v>6.4128999999999996</v>
      </c>
      <c r="H336" s="875">
        <v>6.1673999999999998</v>
      </c>
      <c r="I336" s="875">
        <v>7.3521000000000001</v>
      </c>
      <c r="J336" s="875">
        <v>5.4255000000000004</v>
      </c>
      <c r="K336" s="875">
        <v>5.5704000000000002</v>
      </c>
      <c r="L336" s="875">
        <v>6.1528999999999998</v>
      </c>
      <c r="M336" s="875"/>
    </row>
    <row r="337" spans="1:13" x14ac:dyDescent="0.25">
      <c r="A337" s="894">
        <v>42940</v>
      </c>
      <c r="B337" s="875">
        <v>5.5579999999999998</v>
      </c>
      <c r="C337" s="875">
        <v>4.3918999999999997</v>
      </c>
      <c r="D337" s="875">
        <v>8.6015999999999995</v>
      </c>
      <c r="E337" s="875">
        <v>5.492</v>
      </c>
      <c r="F337" s="875">
        <v>8.1252999999999993</v>
      </c>
      <c r="G337" s="875">
        <v>6.2298999999999998</v>
      </c>
      <c r="H337" s="875">
        <v>6.0827</v>
      </c>
      <c r="I337" s="875">
        <v>7.3537999999999997</v>
      </c>
      <c r="J337" s="875">
        <v>5.4408000000000003</v>
      </c>
      <c r="K337" s="875">
        <v>5.6546000000000003</v>
      </c>
      <c r="L337" s="875">
        <v>6.2160000000000002</v>
      </c>
      <c r="M337" s="875"/>
    </row>
    <row r="338" spans="1:13" x14ac:dyDescent="0.25">
      <c r="A338" s="894">
        <v>42937</v>
      </c>
      <c r="B338" s="875">
        <v>5.5651000000000002</v>
      </c>
      <c r="C338" s="875">
        <v>4.3361000000000001</v>
      </c>
      <c r="D338" s="875">
        <v>8.5222999999999995</v>
      </c>
      <c r="E338" s="875">
        <v>5.4744999999999999</v>
      </c>
      <c r="F338" s="875">
        <v>8.1553000000000004</v>
      </c>
      <c r="G338" s="875">
        <v>6.0236000000000001</v>
      </c>
      <c r="H338" s="875">
        <v>6.0770999999999997</v>
      </c>
      <c r="I338" s="875">
        <v>7.5781000000000001</v>
      </c>
      <c r="J338" s="875">
        <v>5.2548000000000004</v>
      </c>
      <c r="K338" s="875">
        <v>5.6227</v>
      </c>
      <c r="L338" s="875">
        <v>6.0789</v>
      </c>
      <c r="M338" s="875"/>
    </row>
    <row r="339" spans="1:13" x14ac:dyDescent="0.25">
      <c r="A339" s="894">
        <v>42936</v>
      </c>
      <c r="B339" s="875">
        <v>5.6208</v>
      </c>
      <c r="C339" s="875">
        <v>4.3929999999999998</v>
      </c>
      <c r="D339" s="875">
        <v>8.5698000000000008</v>
      </c>
      <c r="E339" s="875">
        <v>5.5281000000000002</v>
      </c>
      <c r="F339" s="875">
        <v>8.2880000000000003</v>
      </c>
      <c r="G339" s="875">
        <v>6.2896999999999998</v>
      </c>
      <c r="H339" s="875">
        <v>6.1086</v>
      </c>
      <c r="I339" s="875">
        <v>7.4992999999999999</v>
      </c>
      <c r="J339" s="875">
        <v>5.2656999999999998</v>
      </c>
      <c r="K339" s="875">
        <v>5.7039</v>
      </c>
      <c r="L339" s="875">
        <v>6.1132</v>
      </c>
      <c r="M339" s="875"/>
    </row>
    <row r="340" spans="1:13" x14ac:dyDescent="0.25">
      <c r="A340" s="894">
        <v>42935</v>
      </c>
      <c r="B340" s="875">
        <v>5.5624000000000002</v>
      </c>
      <c r="C340" s="875">
        <v>4.3968999999999996</v>
      </c>
      <c r="D340" s="875">
        <v>8.5385000000000009</v>
      </c>
      <c r="E340" s="875">
        <v>5.5730000000000004</v>
      </c>
      <c r="F340" s="875">
        <v>8.3178999999999998</v>
      </c>
      <c r="G340" s="875">
        <v>6.3155000000000001</v>
      </c>
      <c r="H340" s="875">
        <v>6.2085999999999997</v>
      </c>
      <c r="I340" s="875">
        <v>7.5496999999999996</v>
      </c>
      <c r="J340" s="875">
        <v>5.2607999999999997</v>
      </c>
      <c r="K340" s="875">
        <v>5.9774000000000003</v>
      </c>
      <c r="L340" s="875">
        <v>6.1318999999999999</v>
      </c>
      <c r="M340" s="875"/>
    </row>
    <row r="341" spans="1:13" x14ac:dyDescent="0.25">
      <c r="A341" s="894">
        <v>42934</v>
      </c>
      <c r="B341" s="875">
        <v>5.5477999999999996</v>
      </c>
      <c r="C341" s="875">
        <v>4.3388</v>
      </c>
      <c r="D341" s="875">
        <v>8.5314999999999994</v>
      </c>
      <c r="E341" s="875">
        <v>5.4622000000000002</v>
      </c>
      <c r="F341" s="875">
        <v>8.3773999999999997</v>
      </c>
      <c r="G341" s="875">
        <v>5.7427999999999999</v>
      </c>
      <c r="H341" s="875">
        <v>5.9760999999999997</v>
      </c>
      <c r="I341" s="875">
        <v>7.42</v>
      </c>
      <c r="J341" s="875">
        <v>5.1081000000000003</v>
      </c>
      <c r="K341" s="875">
        <v>5.8270999999999997</v>
      </c>
      <c r="L341" s="875">
        <v>5.9672000000000001</v>
      </c>
      <c r="M341" s="875"/>
    </row>
    <row r="342" spans="1:13" x14ac:dyDescent="0.25">
      <c r="A342" s="894">
        <v>42933</v>
      </c>
      <c r="B342" s="875">
        <v>5.5529000000000002</v>
      </c>
      <c r="C342" s="875">
        <v>4.3631000000000002</v>
      </c>
      <c r="D342" s="875">
        <v>8.5703999999999994</v>
      </c>
      <c r="E342" s="875">
        <v>5.3883999999999999</v>
      </c>
      <c r="F342" s="875">
        <v>8.3247</v>
      </c>
      <c r="G342" s="875">
        <v>5.8079000000000001</v>
      </c>
      <c r="H342" s="875">
        <v>5.9901</v>
      </c>
      <c r="I342" s="875">
        <v>7.4322999999999997</v>
      </c>
      <c r="J342" s="875">
        <v>5.0523999999999996</v>
      </c>
      <c r="K342" s="875">
        <v>5.7088000000000001</v>
      </c>
      <c r="L342" s="875">
        <v>5.9813000000000001</v>
      </c>
      <c r="M342" s="875"/>
    </row>
    <row r="343" spans="1:13" x14ac:dyDescent="0.25">
      <c r="A343" s="894">
        <v>42930</v>
      </c>
      <c r="B343" s="875">
        <v>5.6040000000000001</v>
      </c>
      <c r="C343" s="875">
        <v>4.2680999999999996</v>
      </c>
      <c r="D343" s="875">
        <v>8.6620000000000008</v>
      </c>
      <c r="E343" s="875">
        <v>5.3718000000000004</v>
      </c>
      <c r="F343" s="875">
        <v>8.3663000000000007</v>
      </c>
      <c r="G343" s="875">
        <v>5.89</v>
      </c>
      <c r="H343" s="875">
        <v>5.7283999999999997</v>
      </c>
      <c r="I343" s="875">
        <v>7.2304000000000004</v>
      </c>
      <c r="J343" s="875">
        <v>5.1387</v>
      </c>
      <c r="K343" s="875">
        <v>5.6862000000000004</v>
      </c>
      <c r="L343" s="875">
        <v>5.9531000000000001</v>
      </c>
      <c r="M343" s="875"/>
    </row>
    <row r="344" spans="1:13" x14ac:dyDescent="0.25">
      <c r="A344" s="894">
        <v>42929</v>
      </c>
      <c r="B344" s="875">
        <v>5.5754999999999999</v>
      </c>
      <c r="C344" s="875">
        <v>4.3361999999999998</v>
      </c>
      <c r="D344" s="875">
        <v>8.5248000000000008</v>
      </c>
      <c r="E344" s="875">
        <v>5.4459</v>
      </c>
      <c r="F344" s="875">
        <v>8.4358000000000004</v>
      </c>
      <c r="G344" s="875">
        <v>5.8673000000000002</v>
      </c>
      <c r="H344" s="875">
        <v>5.7862999999999998</v>
      </c>
      <c r="I344" s="875">
        <v>7.2516999999999996</v>
      </c>
      <c r="J344" s="875">
        <v>5.0060000000000002</v>
      </c>
      <c r="K344" s="875">
        <v>5.5732999999999997</v>
      </c>
      <c r="L344" s="875">
        <v>5.9032</v>
      </c>
      <c r="M344" s="875"/>
    </row>
    <row r="345" spans="1:13" x14ac:dyDescent="0.25">
      <c r="A345" s="894">
        <v>42928</v>
      </c>
      <c r="B345" s="875">
        <v>5.6322000000000001</v>
      </c>
      <c r="C345" s="875">
        <v>4.4092000000000002</v>
      </c>
      <c r="D345" s="875">
        <v>8.5980000000000008</v>
      </c>
      <c r="E345" s="875">
        <v>5.4880000000000004</v>
      </c>
      <c r="F345" s="875">
        <v>8.5245999999999995</v>
      </c>
      <c r="G345" s="875">
        <v>5.9581</v>
      </c>
      <c r="H345" s="875">
        <v>5.7869000000000002</v>
      </c>
      <c r="I345" s="875">
        <v>7.3056000000000001</v>
      </c>
      <c r="J345" s="875">
        <v>5.0324999999999998</v>
      </c>
      <c r="K345" s="875">
        <v>5.4821</v>
      </c>
      <c r="L345" s="875">
        <v>5.7538999999999998</v>
      </c>
      <c r="M345" s="875"/>
    </row>
    <row r="346" spans="1:13" x14ac:dyDescent="0.25">
      <c r="A346" s="894">
        <v>42927</v>
      </c>
      <c r="B346" s="875">
        <v>5.5053999999999998</v>
      </c>
      <c r="C346" s="875">
        <v>4.2784000000000004</v>
      </c>
      <c r="D346" s="875">
        <v>8.2830999999999992</v>
      </c>
      <c r="E346" s="875">
        <v>5.2601000000000004</v>
      </c>
      <c r="F346" s="875">
        <v>8.2934000000000001</v>
      </c>
      <c r="G346" s="875">
        <v>5.9219999999999997</v>
      </c>
      <c r="H346" s="875">
        <v>5.7610000000000001</v>
      </c>
      <c r="I346" s="875">
        <v>7.2096999999999998</v>
      </c>
      <c r="J346" s="875">
        <v>5.0435999999999996</v>
      </c>
      <c r="K346" s="875">
        <v>5.3628999999999998</v>
      </c>
      <c r="L346" s="875">
        <v>5.5743999999999998</v>
      </c>
      <c r="M346" s="875"/>
    </row>
    <row r="347" spans="1:13" x14ac:dyDescent="0.25">
      <c r="A347" s="894">
        <v>42926</v>
      </c>
      <c r="B347" s="875">
        <v>5.5187999999999997</v>
      </c>
      <c r="C347" s="875">
        <v>4.2243000000000004</v>
      </c>
      <c r="D347" s="875">
        <v>8.2026000000000003</v>
      </c>
      <c r="E347" s="875">
        <v>5.1733000000000002</v>
      </c>
      <c r="F347" s="875">
        <v>8.2224000000000004</v>
      </c>
      <c r="G347" s="875">
        <v>5.8036000000000003</v>
      </c>
      <c r="H347" s="875">
        <v>5.6398000000000001</v>
      </c>
      <c r="I347" s="875">
        <v>7.2847</v>
      </c>
      <c r="J347" s="875">
        <v>5.0343</v>
      </c>
      <c r="K347" s="875">
        <v>5.3410000000000002</v>
      </c>
      <c r="L347" s="875">
        <v>5.4439000000000002</v>
      </c>
      <c r="M347" s="875"/>
    </row>
    <row r="348" spans="1:13" x14ac:dyDescent="0.25">
      <c r="A348" s="894">
        <v>42923</v>
      </c>
      <c r="B348" s="875">
        <v>5.4877000000000002</v>
      </c>
      <c r="C348" s="875">
        <v>4.2492999999999999</v>
      </c>
      <c r="D348" s="875">
        <v>8.0952000000000002</v>
      </c>
      <c r="E348" s="875">
        <v>5.1418999999999997</v>
      </c>
      <c r="F348" s="875">
        <v>8.0853000000000002</v>
      </c>
      <c r="G348" s="875">
        <v>5.7805999999999997</v>
      </c>
      <c r="H348" s="875">
        <v>5.5686</v>
      </c>
      <c r="I348" s="875">
        <v>7.3648999999999996</v>
      </c>
      <c r="J348" s="875">
        <v>5.0723000000000003</v>
      </c>
      <c r="K348" s="875">
        <v>5.4386999999999999</v>
      </c>
      <c r="L348" s="875">
        <v>5.3788</v>
      </c>
      <c r="M348" s="875"/>
    </row>
    <row r="349" spans="1:13" x14ac:dyDescent="0.25">
      <c r="A349" s="894">
        <v>42922</v>
      </c>
      <c r="B349" s="875">
        <v>5.4212999999999996</v>
      </c>
      <c r="C349" s="875">
        <v>4.1451000000000002</v>
      </c>
      <c r="D349" s="875">
        <v>7.9664999999999999</v>
      </c>
      <c r="E349" s="875">
        <v>5.0418000000000003</v>
      </c>
      <c r="F349" s="875">
        <v>7.9499000000000004</v>
      </c>
      <c r="G349" s="875">
        <v>5.6303999999999998</v>
      </c>
      <c r="H349" s="875">
        <v>5.5446</v>
      </c>
      <c r="I349" s="875">
        <v>7.1516000000000002</v>
      </c>
      <c r="J349" s="875">
        <v>4.9404000000000003</v>
      </c>
      <c r="K349" s="875">
        <v>5.3574999999999999</v>
      </c>
      <c r="L349" s="875">
        <v>5.2369000000000003</v>
      </c>
      <c r="M349" s="875"/>
    </row>
    <row r="350" spans="1:13" x14ac:dyDescent="0.25">
      <c r="A350" s="894">
        <v>42921</v>
      </c>
      <c r="B350" s="875">
        <v>5.4665999999999997</v>
      </c>
      <c r="C350" s="875">
        <v>4.2130000000000001</v>
      </c>
      <c r="D350" s="875">
        <v>8.0921000000000003</v>
      </c>
      <c r="E350" s="875">
        <v>5.0681000000000003</v>
      </c>
      <c r="F350" s="875">
        <v>8.0024999999999995</v>
      </c>
      <c r="G350" s="875">
        <v>5.7857000000000003</v>
      </c>
      <c r="H350" s="875">
        <v>5.7225000000000001</v>
      </c>
      <c r="I350" s="875">
        <v>7.2164000000000001</v>
      </c>
      <c r="J350" s="875">
        <v>4.9663000000000004</v>
      </c>
      <c r="K350" s="875">
        <v>5.4565999999999999</v>
      </c>
      <c r="L350" s="875">
        <v>5.3047000000000004</v>
      </c>
      <c r="M350" s="875"/>
    </row>
    <row r="351" spans="1:13" x14ac:dyDescent="0.25">
      <c r="A351" s="894">
        <v>42919</v>
      </c>
      <c r="B351" s="875">
        <v>5.3807999999999998</v>
      </c>
      <c r="C351" s="875">
        <v>4.1383000000000001</v>
      </c>
      <c r="D351" s="875">
        <v>7.9703999999999997</v>
      </c>
      <c r="E351" s="875">
        <v>5.0644</v>
      </c>
      <c r="F351" s="875">
        <v>7.8901000000000003</v>
      </c>
      <c r="G351" s="875">
        <v>5.7712000000000003</v>
      </c>
      <c r="H351" s="875">
        <v>5.7054</v>
      </c>
      <c r="I351" s="875">
        <v>7.0682999999999998</v>
      </c>
      <c r="J351" s="875">
        <v>4.9263000000000003</v>
      </c>
      <c r="K351" s="875">
        <v>5.3787000000000003</v>
      </c>
      <c r="L351" s="875">
        <v>5.2506000000000004</v>
      </c>
      <c r="M351" s="875"/>
    </row>
    <row r="352" spans="1:13" x14ac:dyDescent="0.25">
      <c r="A352" s="894">
        <v>42916</v>
      </c>
      <c r="B352" s="875">
        <v>5.4225000000000003</v>
      </c>
      <c r="C352" s="875">
        <v>4.1508000000000003</v>
      </c>
      <c r="D352" s="875">
        <v>8.1213999999999995</v>
      </c>
      <c r="E352" s="875">
        <v>5.1272000000000002</v>
      </c>
      <c r="F352" s="875">
        <v>8.1003000000000007</v>
      </c>
      <c r="G352" s="875">
        <v>5.8310000000000004</v>
      </c>
      <c r="H352" s="875">
        <v>5.7491000000000003</v>
      </c>
      <c r="I352" s="875">
        <v>7.1959999999999997</v>
      </c>
      <c r="J352" s="875">
        <v>5.0511999999999997</v>
      </c>
      <c r="K352" s="875">
        <v>5.5392999999999999</v>
      </c>
      <c r="L352" s="875">
        <v>5.4523000000000001</v>
      </c>
      <c r="M352" s="875"/>
    </row>
    <row r="353" spans="1:13" x14ac:dyDescent="0.25">
      <c r="A353" s="894">
        <v>42915</v>
      </c>
      <c r="B353" s="875">
        <v>5.4368999999999996</v>
      </c>
      <c r="C353" s="875">
        <v>4.2362000000000002</v>
      </c>
      <c r="D353" s="875">
        <v>8.0742999999999991</v>
      </c>
      <c r="E353" s="875">
        <v>5.2222</v>
      </c>
      <c r="F353" s="875">
        <v>8.1334</v>
      </c>
      <c r="G353" s="875">
        <v>5.9470000000000001</v>
      </c>
      <c r="H353" s="875">
        <v>5.7470999999999997</v>
      </c>
      <c r="I353" s="875">
        <v>7.3720999999999997</v>
      </c>
      <c r="J353" s="875">
        <v>5.01</v>
      </c>
      <c r="K353" s="875">
        <v>5.4295</v>
      </c>
      <c r="L353" s="875">
        <v>5.6142000000000003</v>
      </c>
      <c r="M353" s="875"/>
    </row>
    <row r="354" spans="1:13" x14ac:dyDescent="0.25">
      <c r="A354" s="894">
        <v>42914</v>
      </c>
      <c r="B354" s="875">
        <v>5.5233999999999996</v>
      </c>
      <c r="C354" s="875">
        <v>4.4394</v>
      </c>
      <c r="D354" s="875">
        <v>8.3079000000000001</v>
      </c>
      <c r="E354" s="875">
        <v>5.1513999999999998</v>
      </c>
      <c r="F354" s="875">
        <v>8.3774999999999995</v>
      </c>
      <c r="G354" s="875">
        <v>6.1592000000000002</v>
      </c>
      <c r="H354" s="875">
        <v>5.8635999999999999</v>
      </c>
      <c r="I354" s="875">
        <v>7.6277999999999997</v>
      </c>
      <c r="J354" s="875">
        <v>5.0663</v>
      </c>
      <c r="K354" s="875">
        <v>5.5057999999999998</v>
      </c>
      <c r="L354" s="875">
        <v>5.8548999999999998</v>
      </c>
      <c r="M354" s="875"/>
    </row>
    <row r="355" spans="1:13" x14ac:dyDescent="0.25">
      <c r="A355" s="894">
        <v>42913</v>
      </c>
      <c r="B355" s="875">
        <v>5.5008999999999997</v>
      </c>
      <c r="C355" s="875">
        <v>4.4698000000000002</v>
      </c>
      <c r="D355" s="875">
        <v>8.2623999999999995</v>
      </c>
      <c r="E355" s="875">
        <v>5.0542999999999996</v>
      </c>
      <c r="F355" s="875">
        <v>8.2246000000000006</v>
      </c>
      <c r="G355" s="875">
        <v>5.9169</v>
      </c>
      <c r="H355" s="875">
        <v>5.6680999999999999</v>
      </c>
      <c r="I355" s="875">
        <v>7.6547000000000001</v>
      </c>
      <c r="J355" s="875">
        <v>5.0548999999999999</v>
      </c>
      <c r="K355" s="875">
        <v>5.4040999999999997</v>
      </c>
      <c r="L355" s="875">
        <v>5.6558999999999999</v>
      </c>
      <c r="M355" s="875"/>
    </row>
    <row r="356" spans="1:13" x14ac:dyDescent="0.25">
      <c r="A356" s="894">
        <v>42912</v>
      </c>
      <c r="B356" s="875">
        <v>5.5323000000000002</v>
      </c>
      <c r="C356" s="875">
        <v>4.6064999999999996</v>
      </c>
      <c r="D356" s="875">
        <v>8.6224000000000007</v>
      </c>
      <c r="E356" s="875">
        <v>5.2403000000000004</v>
      </c>
      <c r="F356" s="875">
        <v>8.3576999999999995</v>
      </c>
      <c r="G356" s="875">
        <v>6.2356999999999996</v>
      </c>
      <c r="H356" s="875">
        <v>5.7489999999999997</v>
      </c>
      <c r="I356" s="875">
        <v>8.1021999999999998</v>
      </c>
      <c r="J356" s="875">
        <v>5.2346000000000004</v>
      </c>
      <c r="K356" s="875">
        <v>5.4993999999999996</v>
      </c>
      <c r="L356" s="875">
        <v>5.8925000000000001</v>
      </c>
      <c r="M356" s="875"/>
    </row>
    <row r="357" spans="1:13" x14ac:dyDescent="0.25">
      <c r="A357" s="894">
        <v>42909</v>
      </c>
      <c r="B357" s="875">
        <v>5.5724</v>
      </c>
      <c r="C357" s="875">
        <v>4.6471999999999998</v>
      </c>
      <c r="D357" s="875">
        <v>8.7349999999999994</v>
      </c>
      <c r="E357" s="875">
        <v>5.3117999999999999</v>
      </c>
      <c r="F357" s="875">
        <v>8.3259000000000007</v>
      </c>
      <c r="G357" s="875">
        <v>6.3819999999999997</v>
      </c>
      <c r="H357" s="875">
        <v>5.9287999999999998</v>
      </c>
      <c r="I357" s="875">
        <v>8.2065999999999999</v>
      </c>
      <c r="J357" s="875">
        <v>5.4340000000000002</v>
      </c>
      <c r="K357" s="875">
        <v>5.5233999999999996</v>
      </c>
      <c r="L357" s="875">
        <v>5.9671000000000003</v>
      </c>
      <c r="M357" s="875"/>
    </row>
    <row r="358" spans="1:13" x14ac:dyDescent="0.25">
      <c r="A358" s="894">
        <v>42908</v>
      </c>
      <c r="B358" s="875">
        <v>5.5641999999999996</v>
      </c>
      <c r="C358" s="875">
        <v>4.5810000000000004</v>
      </c>
      <c r="D358" s="875">
        <v>8.6922999999999995</v>
      </c>
      <c r="E358" s="875">
        <v>5.3556999999999997</v>
      </c>
      <c r="F358" s="875">
        <v>8.2628000000000004</v>
      </c>
      <c r="G358" s="875">
        <v>6.0110000000000001</v>
      </c>
      <c r="H358" s="875">
        <v>5.7167000000000003</v>
      </c>
      <c r="I358" s="875">
        <v>8.4832999999999998</v>
      </c>
      <c r="J358" s="875">
        <v>5.1936</v>
      </c>
      <c r="K358" s="875">
        <v>5.5305</v>
      </c>
      <c r="L358" s="875">
        <v>5.8695000000000004</v>
      </c>
      <c r="M358" s="875"/>
    </row>
    <row r="359" spans="1:13" x14ac:dyDescent="0.25">
      <c r="A359" s="894">
        <v>42907</v>
      </c>
      <c r="B359" s="875">
        <v>5.5110999999999999</v>
      </c>
      <c r="C359" s="875">
        <v>4.5156000000000001</v>
      </c>
      <c r="D359" s="875">
        <v>8.6460000000000008</v>
      </c>
      <c r="E359" s="875">
        <v>5.1825999999999999</v>
      </c>
      <c r="F359" s="875">
        <v>8.1670999999999996</v>
      </c>
      <c r="G359" s="875">
        <v>6.0766</v>
      </c>
      <c r="H359" s="875">
        <v>5.6254999999999997</v>
      </c>
      <c r="I359" s="875">
        <v>8.3658999999999999</v>
      </c>
      <c r="J359" s="875">
        <v>5.1246</v>
      </c>
      <c r="K359" s="875">
        <v>5.4614000000000003</v>
      </c>
      <c r="L359" s="875">
        <v>5.7926000000000002</v>
      </c>
      <c r="M359" s="875"/>
    </row>
    <row r="360" spans="1:13" x14ac:dyDescent="0.25">
      <c r="A360" s="894">
        <v>42906</v>
      </c>
      <c r="B360" s="875">
        <v>5.4737</v>
      </c>
      <c r="C360" s="875">
        <v>4.3413000000000004</v>
      </c>
      <c r="D360" s="875">
        <v>8.3518000000000008</v>
      </c>
      <c r="E360" s="875">
        <v>5.1650999999999998</v>
      </c>
      <c r="F360" s="875">
        <v>7.9679000000000002</v>
      </c>
      <c r="G360" s="875">
        <v>5.9054000000000002</v>
      </c>
      <c r="H360" s="875">
        <v>5.4893000000000001</v>
      </c>
      <c r="I360" s="875">
        <v>8.6141000000000005</v>
      </c>
      <c r="J360" s="875">
        <v>5.0925000000000002</v>
      </c>
      <c r="K360" s="875">
        <v>5.4863999999999997</v>
      </c>
      <c r="L360" s="875">
        <v>5.8113999999999999</v>
      </c>
      <c r="M360" s="875"/>
    </row>
    <row r="361" spans="1:13" x14ac:dyDescent="0.25">
      <c r="A361" s="894">
        <v>42905</v>
      </c>
      <c r="B361" s="875">
        <v>5.5174000000000003</v>
      </c>
      <c r="C361" s="875">
        <v>4.4188999999999998</v>
      </c>
      <c r="D361" s="875">
        <v>8.4754000000000005</v>
      </c>
      <c r="E361" s="875">
        <v>5.2603</v>
      </c>
      <c r="F361" s="875">
        <v>8.0227000000000004</v>
      </c>
      <c r="G361" s="875">
        <v>6.0532000000000004</v>
      </c>
      <c r="H361" s="875">
        <v>5.6467000000000001</v>
      </c>
      <c r="I361" s="875">
        <v>8.8734999999999999</v>
      </c>
      <c r="J361" s="875">
        <v>5.0852000000000004</v>
      </c>
      <c r="K361" s="875">
        <v>5.6767000000000003</v>
      </c>
      <c r="L361" s="875">
        <v>5.9534000000000002</v>
      </c>
      <c r="M361" s="875"/>
    </row>
    <row r="362" spans="1:13" x14ac:dyDescent="0.25">
      <c r="A362" s="894">
        <v>42902</v>
      </c>
      <c r="B362" s="875">
        <v>5.4242999999999997</v>
      </c>
      <c r="C362" s="875">
        <v>4.2725999999999997</v>
      </c>
      <c r="D362" s="875">
        <v>8.3207000000000004</v>
      </c>
      <c r="E362" s="875">
        <v>5.2382999999999997</v>
      </c>
      <c r="F362" s="875">
        <v>7.8437999999999999</v>
      </c>
      <c r="G362" s="875">
        <v>5.8019999999999996</v>
      </c>
      <c r="H362" s="875">
        <v>5.3223000000000003</v>
      </c>
      <c r="I362" s="875">
        <v>8.5953999999999997</v>
      </c>
      <c r="J362" s="875">
        <v>4.9545000000000003</v>
      </c>
      <c r="K362" s="875">
        <v>5.6208999999999998</v>
      </c>
      <c r="L362" s="875">
        <v>5.8472999999999997</v>
      </c>
      <c r="M362" s="875"/>
    </row>
    <row r="363" spans="1:13" x14ac:dyDescent="0.25">
      <c r="A363" s="894">
        <v>42901</v>
      </c>
      <c r="B363" s="875">
        <v>5.4431000000000003</v>
      </c>
      <c r="C363" s="875">
        <v>4.2516999999999996</v>
      </c>
      <c r="D363" s="875">
        <v>8.3124000000000002</v>
      </c>
      <c r="E363" s="875">
        <v>5.2653999999999996</v>
      </c>
      <c r="F363" s="875">
        <v>7.8521999999999998</v>
      </c>
      <c r="G363" s="875">
        <v>5.6492000000000004</v>
      </c>
      <c r="H363" s="875">
        <v>5.0951000000000004</v>
      </c>
      <c r="I363" s="875">
        <v>8.3000000000000007</v>
      </c>
      <c r="J363" s="875">
        <v>4.8780999999999999</v>
      </c>
      <c r="K363" s="875">
        <v>5.4528999999999996</v>
      </c>
      <c r="L363" s="875">
        <v>5.6668000000000003</v>
      </c>
      <c r="M363" s="875"/>
    </row>
    <row r="364" spans="1:13" x14ac:dyDescent="0.25">
      <c r="A364" s="894">
        <v>42900</v>
      </c>
      <c r="B364" s="875">
        <v>5.5049999999999999</v>
      </c>
      <c r="C364" s="875">
        <v>4.2805</v>
      </c>
      <c r="D364" s="875">
        <v>8.3482000000000003</v>
      </c>
      <c r="E364" s="875">
        <v>5.2553000000000001</v>
      </c>
      <c r="F364" s="875">
        <v>7.9318</v>
      </c>
      <c r="G364" s="875">
        <v>5.7256999999999998</v>
      </c>
      <c r="H364" s="875">
        <v>5.0682</v>
      </c>
      <c r="I364" s="875">
        <v>8.6349</v>
      </c>
      <c r="J364" s="875">
        <v>4.883</v>
      </c>
      <c r="K364" s="875">
        <v>5.4401000000000002</v>
      </c>
      <c r="L364" s="875">
        <v>5.8593999999999999</v>
      </c>
      <c r="M364" s="875"/>
    </row>
    <row r="365" spans="1:13" x14ac:dyDescent="0.25">
      <c r="A365" s="894">
        <v>42899</v>
      </c>
      <c r="B365" s="875">
        <v>5.5152999999999999</v>
      </c>
      <c r="C365" s="875">
        <v>4.2843999999999998</v>
      </c>
      <c r="D365" s="875">
        <v>8.3637999999999995</v>
      </c>
      <c r="E365" s="875">
        <v>5.3117999999999999</v>
      </c>
      <c r="F365" s="875">
        <v>7.9444999999999997</v>
      </c>
      <c r="G365" s="875">
        <v>5.8411</v>
      </c>
      <c r="H365" s="875">
        <v>5.0231000000000003</v>
      </c>
      <c r="I365" s="875">
        <v>8.2810000000000006</v>
      </c>
      <c r="J365" s="875">
        <v>4.8630000000000004</v>
      </c>
      <c r="K365" s="875">
        <v>5.2564000000000002</v>
      </c>
      <c r="L365" s="875">
        <v>6.1577000000000002</v>
      </c>
      <c r="M365" s="875"/>
    </row>
    <row r="366" spans="1:13" x14ac:dyDescent="0.25">
      <c r="A366" s="894">
        <v>42898</v>
      </c>
      <c r="B366" s="875">
        <v>5.4485999999999999</v>
      </c>
      <c r="C366" s="875">
        <v>4.1208</v>
      </c>
      <c r="D366" s="875">
        <v>8.2498000000000005</v>
      </c>
      <c r="E366" s="875">
        <v>5.2869000000000002</v>
      </c>
      <c r="F366" s="875">
        <v>7.9603999999999999</v>
      </c>
      <c r="G366" s="875">
        <v>5.8339999999999996</v>
      </c>
      <c r="H366" s="875">
        <v>4.8653000000000004</v>
      </c>
      <c r="I366" s="875">
        <v>7.6759000000000004</v>
      </c>
      <c r="J366" s="875">
        <v>4.76</v>
      </c>
      <c r="K366" s="875">
        <v>5.1388999999999996</v>
      </c>
      <c r="L366" s="875">
        <v>6.0622999999999996</v>
      </c>
      <c r="M366" s="875"/>
    </row>
    <row r="367" spans="1:13" x14ac:dyDescent="0.25">
      <c r="A367" s="894">
        <v>42895</v>
      </c>
      <c r="B367" s="875">
        <v>5.5255000000000001</v>
      </c>
      <c r="C367" s="875">
        <v>4.1295999999999999</v>
      </c>
      <c r="D367" s="875">
        <v>8.3188999999999993</v>
      </c>
      <c r="E367" s="875">
        <v>5.3434999999999997</v>
      </c>
      <c r="F367" s="875">
        <v>8.0864999999999991</v>
      </c>
      <c r="G367" s="875">
        <v>6.0011999999999999</v>
      </c>
      <c r="H367" s="875">
        <v>4.8426999999999998</v>
      </c>
      <c r="I367" s="875">
        <v>8.1502999999999997</v>
      </c>
      <c r="J367" s="875">
        <v>4.7674000000000003</v>
      </c>
      <c r="K367" s="875">
        <v>5.1009000000000002</v>
      </c>
      <c r="L367" s="875">
        <v>6.2150999999999996</v>
      </c>
      <c r="M367" s="875"/>
    </row>
    <row r="368" spans="1:13" x14ac:dyDescent="0.25">
      <c r="A368" s="894">
        <v>42894</v>
      </c>
      <c r="B368" s="875">
        <v>5.7847</v>
      </c>
      <c r="C368" s="875">
        <v>4.3784999999999998</v>
      </c>
      <c r="D368" s="875">
        <v>8.7702000000000009</v>
      </c>
      <c r="E368" s="875">
        <v>5.6791</v>
      </c>
      <c r="F368" s="875">
        <v>8.5656999999999996</v>
      </c>
      <c r="G368" s="875">
        <v>6.5000999999999998</v>
      </c>
      <c r="H368" s="875">
        <v>5.0366</v>
      </c>
      <c r="I368" s="875">
        <v>8.8925999999999998</v>
      </c>
      <c r="J368" s="875">
        <v>5.0254000000000003</v>
      </c>
      <c r="K368" s="875">
        <v>5.2790999999999997</v>
      </c>
      <c r="L368" s="875">
        <v>6.8505000000000003</v>
      </c>
      <c r="M368" s="875"/>
    </row>
    <row r="369" spans="1:13" x14ac:dyDescent="0.25">
      <c r="A369" s="894">
        <v>42893</v>
      </c>
      <c r="B369" s="875">
        <v>5.7977999999999996</v>
      </c>
      <c r="C369" s="875">
        <v>4.2706999999999997</v>
      </c>
      <c r="D369" s="875">
        <v>8.7466000000000008</v>
      </c>
      <c r="E369" s="875">
        <v>5.6943999999999999</v>
      </c>
      <c r="F369" s="875">
        <v>8.4548000000000005</v>
      </c>
      <c r="G369" s="875">
        <v>6.3765999999999998</v>
      </c>
      <c r="H369" s="875">
        <v>4.9867999999999997</v>
      </c>
      <c r="I369" s="875">
        <v>8.1583000000000006</v>
      </c>
      <c r="J369" s="875">
        <v>5.0533999999999999</v>
      </c>
      <c r="K369" s="875">
        <v>5.3136999999999999</v>
      </c>
      <c r="L369" s="875">
        <v>6.6913999999999998</v>
      </c>
      <c r="M369" s="875"/>
    </row>
    <row r="370" spans="1:13" x14ac:dyDescent="0.25">
      <c r="A370" s="894">
        <v>42892</v>
      </c>
      <c r="B370" s="875">
        <v>5.7830000000000004</v>
      </c>
      <c r="C370" s="875">
        <v>4.2763</v>
      </c>
      <c r="D370" s="875">
        <v>8.7714999999999996</v>
      </c>
      <c r="E370" s="875">
        <v>5.8418000000000001</v>
      </c>
      <c r="F370" s="875">
        <v>8.4375999999999998</v>
      </c>
      <c r="G370" s="875">
        <v>6.5601000000000003</v>
      </c>
      <c r="H370" s="875">
        <v>5.0568999999999997</v>
      </c>
      <c r="I370" s="875">
        <v>8.0518000000000001</v>
      </c>
      <c r="J370" s="875">
        <v>5.0377000000000001</v>
      </c>
      <c r="K370" s="875">
        <v>5.4532999999999996</v>
      </c>
      <c r="L370" s="875">
        <v>6.6101000000000001</v>
      </c>
      <c r="M370" s="875"/>
    </row>
    <row r="371" spans="1:13" x14ac:dyDescent="0.25">
      <c r="A371" s="894">
        <v>42891</v>
      </c>
      <c r="B371" s="875">
        <v>5.8052000000000001</v>
      </c>
      <c r="C371" s="875">
        <v>4.3102999999999998</v>
      </c>
      <c r="D371" s="875">
        <v>8.7987000000000002</v>
      </c>
      <c r="E371" s="875">
        <v>5.8114999999999997</v>
      </c>
      <c r="F371" s="875">
        <v>8.4108000000000001</v>
      </c>
      <c r="G371" s="875">
        <v>6.5475000000000003</v>
      </c>
      <c r="H371" s="875">
        <v>4.9278000000000004</v>
      </c>
      <c r="I371" s="875">
        <v>7.9760999999999997</v>
      </c>
      <c r="J371" s="875">
        <v>5.0823999999999998</v>
      </c>
      <c r="K371" s="875">
        <v>5.3067000000000002</v>
      </c>
      <c r="L371" s="875">
        <v>6.6113999999999997</v>
      </c>
      <c r="M371" s="875"/>
    </row>
    <row r="372" spans="1:13" x14ac:dyDescent="0.25">
      <c r="A372" s="894">
        <v>42888</v>
      </c>
      <c r="B372" s="875">
        <v>5.7782</v>
      </c>
      <c r="C372" s="875">
        <v>4.3407</v>
      </c>
      <c r="D372" s="875">
        <v>8.9575999999999993</v>
      </c>
      <c r="E372" s="875">
        <v>5.8166000000000002</v>
      </c>
      <c r="F372" s="875">
        <v>8.4136000000000006</v>
      </c>
      <c r="G372" s="875">
        <v>6.7073</v>
      </c>
      <c r="H372" s="875">
        <v>4.9120999999999997</v>
      </c>
      <c r="I372" s="875">
        <v>8.109</v>
      </c>
      <c r="J372" s="875">
        <v>5.0696000000000003</v>
      </c>
      <c r="K372" s="875">
        <v>5.5225</v>
      </c>
      <c r="L372" s="875">
        <v>6.5609000000000002</v>
      </c>
      <c r="M372" s="875"/>
    </row>
    <row r="373" spans="1:13" x14ac:dyDescent="0.25">
      <c r="A373" s="894">
        <v>42887</v>
      </c>
      <c r="B373" s="875">
        <v>5.7268999999999997</v>
      </c>
      <c r="C373" s="875">
        <v>4.3197000000000001</v>
      </c>
      <c r="D373" s="875">
        <v>8.7977000000000007</v>
      </c>
      <c r="E373" s="875">
        <v>5.7214999999999998</v>
      </c>
      <c r="F373" s="875">
        <v>8.3536000000000001</v>
      </c>
      <c r="G373" s="875">
        <v>6.4654999999999996</v>
      </c>
      <c r="H373" s="875">
        <v>4.7550999999999997</v>
      </c>
      <c r="I373" s="875">
        <v>8.2460000000000004</v>
      </c>
      <c r="J373" s="875">
        <v>4.9882</v>
      </c>
      <c r="K373" s="875">
        <v>6.4408000000000003</v>
      </c>
      <c r="L373" s="875">
        <v>6.4988999999999999</v>
      </c>
      <c r="M373" s="875"/>
    </row>
    <row r="374" spans="1:13" x14ac:dyDescent="0.25">
      <c r="A374" s="894">
        <v>42886</v>
      </c>
      <c r="B374" s="875">
        <v>5.7042000000000002</v>
      </c>
      <c r="C374" s="875">
        <v>4.2849000000000004</v>
      </c>
      <c r="D374" s="875">
        <v>8.6831999999999994</v>
      </c>
      <c r="E374" s="875">
        <v>5.6882999999999999</v>
      </c>
      <c r="F374" s="875">
        <v>8.2121999999999993</v>
      </c>
      <c r="G374" s="875">
        <v>6.4760999999999997</v>
      </c>
      <c r="H374" s="875">
        <v>4.7957000000000001</v>
      </c>
      <c r="I374" s="875">
        <v>8.5457000000000001</v>
      </c>
      <c r="J374" s="875">
        <v>4.7693000000000003</v>
      </c>
      <c r="K374" s="875">
        <v>6.4557000000000002</v>
      </c>
      <c r="L374" s="875">
        <v>6.3433000000000002</v>
      </c>
      <c r="M374" s="875"/>
    </row>
    <row r="375" spans="1:13" x14ac:dyDescent="0.25">
      <c r="A375" s="894">
        <v>42885</v>
      </c>
      <c r="B375" s="875">
        <v>5.7876000000000003</v>
      </c>
      <c r="C375" s="875">
        <v>4.3300999999999998</v>
      </c>
      <c r="D375" s="875">
        <v>8.6278000000000006</v>
      </c>
      <c r="E375" s="875">
        <v>5.7317999999999998</v>
      </c>
      <c r="F375" s="875">
        <v>8.2776999999999994</v>
      </c>
      <c r="G375" s="875">
        <v>6.2969999999999997</v>
      </c>
      <c r="H375" s="875">
        <v>4.8432000000000004</v>
      </c>
      <c r="I375" s="875">
        <v>8.5173000000000005</v>
      </c>
      <c r="J375" s="875">
        <v>4.8578999999999999</v>
      </c>
      <c r="K375" s="875">
        <v>6.1342999999999996</v>
      </c>
      <c r="L375" s="875">
        <v>6.2567000000000004</v>
      </c>
      <c r="M375" s="875"/>
    </row>
    <row r="376" spans="1:13" x14ac:dyDescent="0.25">
      <c r="A376" s="894">
        <v>42881</v>
      </c>
      <c r="B376" s="875">
        <v>5.7896999999999998</v>
      </c>
      <c r="C376" s="875">
        <v>4.4210000000000003</v>
      </c>
      <c r="D376" s="875">
        <v>8.6996000000000002</v>
      </c>
      <c r="E376" s="875">
        <v>5.8235000000000001</v>
      </c>
      <c r="F376" s="875">
        <v>8.3401999999999994</v>
      </c>
      <c r="G376" s="875">
        <v>6.1494</v>
      </c>
      <c r="H376" s="875">
        <v>4.9635999999999996</v>
      </c>
      <c r="I376" s="875">
        <v>8.5286000000000008</v>
      </c>
      <c r="J376" s="875">
        <v>4.9383999999999997</v>
      </c>
      <c r="K376" s="875">
        <v>5.9794999999999998</v>
      </c>
      <c r="L376" s="875">
        <v>6.2484999999999999</v>
      </c>
      <c r="M376" s="875"/>
    </row>
    <row r="377" spans="1:13" x14ac:dyDescent="0.25">
      <c r="A377" s="894">
        <v>42880</v>
      </c>
      <c r="B377" s="875">
        <v>5.8266</v>
      </c>
      <c r="C377" s="875">
        <v>4.4602000000000004</v>
      </c>
      <c r="D377" s="875">
        <v>8.7634000000000007</v>
      </c>
      <c r="E377" s="875">
        <v>6.3545999999999996</v>
      </c>
      <c r="F377" s="875">
        <v>8.2348999999999997</v>
      </c>
      <c r="G377" s="875">
        <v>6.1295999999999999</v>
      </c>
      <c r="H377" s="875">
        <v>4.9702000000000002</v>
      </c>
      <c r="I377" s="875">
        <v>8.2138000000000009</v>
      </c>
      <c r="J377" s="875">
        <v>4.7298999999999998</v>
      </c>
      <c r="K377" s="875">
        <v>5.6980000000000004</v>
      </c>
      <c r="L377" s="875">
        <v>6.2228000000000003</v>
      </c>
      <c r="M377" s="875"/>
    </row>
    <row r="378" spans="1:13" x14ac:dyDescent="0.25">
      <c r="A378" s="894">
        <v>42879</v>
      </c>
      <c r="B378" s="875">
        <v>5.7215999999999996</v>
      </c>
      <c r="C378" s="875">
        <v>4.2732999999999999</v>
      </c>
      <c r="D378" s="875">
        <v>8.6692</v>
      </c>
      <c r="E378" s="875">
        <v>6.2672999999999996</v>
      </c>
      <c r="F378" s="875">
        <v>8.1202000000000005</v>
      </c>
      <c r="G378" s="875">
        <v>6.0747999999999998</v>
      </c>
      <c r="H378" s="875">
        <v>5.2141999999999999</v>
      </c>
      <c r="I378" s="875">
        <v>7.9268000000000001</v>
      </c>
      <c r="J378" s="875">
        <v>4.7641999999999998</v>
      </c>
      <c r="K378" s="875">
        <v>5.7340999999999998</v>
      </c>
      <c r="L378" s="875">
        <v>6.1356999999999999</v>
      </c>
      <c r="M378" s="875"/>
    </row>
    <row r="379" spans="1:13" x14ac:dyDescent="0.25">
      <c r="A379" s="894">
        <v>42878</v>
      </c>
      <c r="B379" s="875">
        <v>5.6531000000000002</v>
      </c>
      <c r="C379" s="875">
        <v>4.1289999999999996</v>
      </c>
      <c r="D379" s="875">
        <v>8.5843000000000007</v>
      </c>
      <c r="E379" s="875">
        <v>6.3010000000000002</v>
      </c>
      <c r="F379" s="875">
        <v>8.0228000000000002</v>
      </c>
      <c r="G379" s="875">
        <v>6.3235000000000001</v>
      </c>
      <c r="H379" s="875">
        <v>5.1070000000000002</v>
      </c>
      <c r="I379" s="875">
        <v>8.0393000000000008</v>
      </c>
      <c r="J379" s="875">
        <v>4.7648000000000001</v>
      </c>
      <c r="K379" s="875">
        <v>5.7850000000000001</v>
      </c>
      <c r="L379" s="875">
        <v>6.1923000000000004</v>
      </c>
      <c r="M379" s="875"/>
    </row>
    <row r="380" spans="1:13" x14ac:dyDescent="0.25">
      <c r="A380" s="894">
        <v>42877</v>
      </c>
      <c r="B380" s="875">
        <v>5.6886999999999999</v>
      </c>
      <c r="C380" s="875">
        <v>4.1516000000000002</v>
      </c>
      <c r="D380" s="875">
        <v>8.6918000000000006</v>
      </c>
      <c r="E380" s="875">
        <v>6.3132999999999999</v>
      </c>
      <c r="F380" s="875">
        <v>8.0385000000000009</v>
      </c>
      <c r="G380" s="875">
        <v>6.2369000000000003</v>
      </c>
      <c r="H380" s="875">
        <v>4.9744999999999999</v>
      </c>
      <c r="I380" s="875">
        <v>8.2286000000000001</v>
      </c>
      <c r="J380" s="875">
        <v>4.5589000000000004</v>
      </c>
      <c r="K380" s="875">
        <v>5.7868000000000004</v>
      </c>
      <c r="L380" s="875">
        <v>6.1375999999999999</v>
      </c>
      <c r="M380" s="875"/>
    </row>
    <row r="381" spans="1:13" x14ac:dyDescent="0.25">
      <c r="A381" s="894">
        <v>42874</v>
      </c>
      <c r="B381" s="875">
        <v>5.5960999999999999</v>
      </c>
      <c r="C381" s="875">
        <v>4.1445999999999996</v>
      </c>
      <c r="D381" s="875">
        <v>8.5466999999999995</v>
      </c>
      <c r="E381" s="875">
        <v>6.2629000000000001</v>
      </c>
      <c r="F381" s="875">
        <v>7.8563999999999998</v>
      </c>
      <c r="G381" s="875">
        <v>5.944</v>
      </c>
      <c r="H381" s="875">
        <v>5.0275999999999996</v>
      </c>
      <c r="I381" s="875">
        <v>7.9661999999999997</v>
      </c>
      <c r="J381" s="875">
        <v>4.5815000000000001</v>
      </c>
      <c r="K381" s="875">
        <v>5.7881999999999998</v>
      </c>
      <c r="L381" s="875">
        <v>6.0461</v>
      </c>
      <c r="M381" s="875"/>
    </row>
    <row r="382" spans="1:13" x14ac:dyDescent="0.25">
      <c r="A382" s="894">
        <v>42873</v>
      </c>
      <c r="B382" s="875">
        <v>5.6534000000000004</v>
      </c>
      <c r="C382" s="875">
        <v>4.0891000000000002</v>
      </c>
      <c r="D382" s="875">
        <v>8.3233999999999995</v>
      </c>
      <c r="E382" s="875">
        <v>6.1978</v>
      </c>
      <c r="F382" s="875">
        <v>7.8326000000000002</v>
      </c>
      <c r="G382" s="875">
        <v>6.1081000000000003</v>
      </c>
      <c r="H382" s="875">
        <v>4.8484999999999996</v>
      </c>
      <c r="I382" s="875">
        <v>7.5126999999999997</v>
      </c>
      <c r="J382" s="875">
        <v>4.6677999999999997</v>
      </c>
      <c r="K382" s="875">
        <v>5.7655000000000003</v>
      </c>
      <c r="L382" s="875">
        <v>5.8993000000000002</v>
      </c>
      <c r="M382" s="875"/>
    </row>
    <row r="383" spans="1:13" x14ac:dyDescent="0.25">
      <c r="A383" s="894">
        <v>42872</v>
      </c>
      <c r="B383" s="875">
        <v>5.6769999999999996</v>
      </c>
      <c r="C383" s="875">
        <v>4.1368999999999998</v>
      </c>
      <c r="D383" s="875">
        <v>8.1704000000000008</v>
      </c>
      <c r="E383" s="875">
        <v>6.2975000000000003</v>
      </c>
      <c r="F383" s="875">
        <v>7.8063000000000002</v>
      </c>
      <c r="G383" s="875">
        <v>5.6673</v>
      </c>
      <c r="H383" s="875">
        <v>4.9537000000000004</v>
      </c>
      <c r="I383" s="875">
        <v>7.4935</v>
      </c>
      <c r="J383" s="875">
        <v>4.6303000000000001</v>
      </c>
      <c r="K383" s="875">
        <v>5.7891000000000004</v>
      </c>
      <c r="L383" s="875">
        <v>5.8441000000000001</v>
      </c>
      <c r="M383" s="875"/>
    </row>
    <row r="384" spans="1:13" x14ac:dyDescent="0.25">
      <c r="A384" s="894">
        <v>42871</v>
      </c>
      <c r="B384" s="875">
        <v>5.8074000000000003</v>
      </c>
      <c r="C384" s="875">
        <v>4.2891000000000004</v>
      </c>
      <c r="D384" s="875">
        <v>8.4418000000000006</v>
      </c>
      <c r="E384" s="875">
        <v>6.5896999999999997</v>
      </c>
      <c r="F384" s="875">
        <v>7.9470999999999998</v>
      </c>
      <c r="G384" s="875">
        <v>6.2241999999999997</v>
      </c>
      <c r="H384" s="875">
        <v>4.9741999999999997</v>
      </c>
      <c r="I384" s="875">
        <v>7.6318000000000001</v>
      </c>
      <c r="J384" s="875">
        <v>5.1113</v>
      </c>
      <c r="K384" s="875">
        <v>5.7512999999999996</v>
      </c>
      <c r="L384" s="875">
        <v>6.2877000000000001</v>
      </c>
      <c r="M384" s="875"/>
    </row>
    <row r="385" spans="1:13" x14ac:dyDescent="0.25">
      <c r="A385" s="894">
        <v>42870</v>
      </c>
      <c r="B385" s="875">
        <v>5.8148</v>
      </c>
      <c r="C385" s="875">
        <v>4.2862</v>
      </c>
      <c r="D385" s="875">
        <v>8.3724000000000007</v>
      </c>
      <c r="E385" s="875">
        <v>6.5385</v>
      </c>
      <c r="F385" s="875">
        <v>7.7732000000000001</v>
      </c>
      <c r="G385" s="875">
        <v>6.3997999999999999</v>
      </c>
      <c r="H385" s="875">
        <v>4.8456000000000001</v>
      </c>
      <c r="I385" s="875">
        <v>7.8182</v>
      </c>
      <c r="J385" s="875">
        <v>5.1132999999999997</v>
      </c>
      <c r="K385" s="875">
        <v>5.9812000000000003</v>
      </c>
      <c r="L385" s="875">
        <v>6.3167999999999997</v>
      </c>
      <c r="M385" s="875"/>
    </row>
    <row r="386" spans="1:13" x14ac:dyDescent="0.25">
      <c r="A386" s="894">
        <v>42867</v>
      </c>
      <c r="B386" s="875">
        <v>5.7725999999999997</v>
      </c>
      <c r="C386" s="875">
        <v>4.1840000000000002</v>
      </c>
      <c r="D386" s="875">
        <v>7.9253999999999998</v>
      </c>
      <c r="E386" s="875">
        <v>6.4493999999999998</v>
      </c>
      <c r="F386" s="875">
        <v>7.7001999999999997</v>
      </c>
      <c r="G386" s="875">
        <v>6.2013999999999996</v>
      </c>
      <c r="H386" s="875">
        <v>4.7838000000000003</v>
      </c>
      <c r="I386" s="875">
        <v>7.8216999999999999</v>
      </c>
      <c r="J386" s="875">
        <v>5.1155999999999997</v>
      </c>
      <c r="K386" s="875">
        <v>6.0430000000000001</v>
      </c>
      <c r="L386" s="875">
        <v>6.1813000000000002</v>
      </c>
      <c r="M386" s="875"/>
    </row>
    <row r="387" spans="1:13" x14ac:dyDescent="0.25">
      <c r="A387" s="894">
        <v>42866</v>
      </c>
      <c r="B387" s="875">
        <v>5.6856</v>
      </c>
      <c r="C387" s="875">
        <v>4.1490999999999998</v>
      </c>
      <c r="D387" s="875">
        <v>7.7541000000000002</v>
      </c>
      <c r="E387" s="875">
        <v>6.4348000000000001</v>
      </c>
      <c r="F387" s="875">
        <v>7.6916000000000002</v>
      </c>
      <c r="G387" s="875">
        <v>4.9653</v>
      </c>
      <c r="H387" s="875">
        <v>4.6245000000000003</v>
      </c>
      <c r="I387" s="875">
        <v>7.6921999999999997</v>
      </c>
      <c r="J387" s="875">
        <v>4.9093999999999998</v>
      </c>
      <c r="K387" s="875">
        <v>6.1395</v>
      </c>
      <c r="L387" s="875">
        <v>6.1459000000000001</v>
      </c>
      <c r="M387" s="875"/>
    </row>
    <row r="388" spans="1:13" x14ac:dyDescent="0.25">
      <c r="A388" s="894">
        <v>42865</v>
      </c>
      <c r="B388" s="875">
        <v>5.6623000000000001</v>
      </c>
      <c r="C388" s="875">
        <v>4.165</v>
      </c>
      <c r="D388" s="875">
        <v>7.8647999999999998</v>
      </c>
      <c r="E388" s="875">
        <v>6.4809000000000001</v>
      </c>
      <c r="F388" s="875">
        <v>7.6757</v>
      </c>
      <c r="G388" s="875">
        <v>5.1352000000000002</v>
      </c>
      <c r="H388" s="875">
        <v>4.6631999999999998</v>
      </c>
      <c r="I388" s="875">
        <v>7.7431000000000001</v>
      </c>
      <c r="J388" s="875">
        <v>4.9676</v>
      </c>
      <c r="K388" s="875">
        <v>6.2013999999999996</v>
      </c>
      <c r="L388" s="875">
        <v>6.2263999999999999</v>
      </c>
      <c r="M388" s="875"/>
    </row>
    <row r="389" spans="1:13" x14ac:dyDescent="0.25">
      <c r="A389" s="894">
        <v>42864</v>
      </c>
      <c r="B389" s="875">
        <v>5.6543000000000001</v>
      </c>
      <c r="C389" s="875">
        <v>4.1318000000000001</v>
      </c>
      <c r="D389" s="875">
        <v>7.8346999999999998</v>
      </c>
      <c r="E389" s="875">
        <v>6.3967999999999998</v>
      </c>
      <c r="F389" s="875">
        <v>7.7539999999999996</v>
      </c>
      <c r="G389" s="875">
        <v>5.2464000000000004</v>
      </c>
      <c r="H389" s="875">
        <v>4.5883000000000003</v>
      </c>
      <c r="I389" s="875">
        <v>7.9047999999999998</v>
      </c>
      <c r="J389" s="875">
        <v>5.077</v>
      </c>
      <c r="K389" s="875">
        <v>6.1440000000000001</v>
      </c>
      <c r="L389" s="875">
        <v>6.2321</v>
      </c>
      <c r="M389" s="875"/>
    </row>
    <row r="390" spans="1:13" x14ac:dyDescent="0.25">
      <c r="A390" s="894">
        <v>42863</v>
      </c>
      <c r="B390" s="875">
        <v>5.6403999999999996</v>
      </c>
      <c r="C390" s="875">
        <v>4.1304999999999996</v>
      </c>
      <c r="D390" s="875">
        <v>7.8875000000000002</v>
      </c>
      <c r="E390" s="875">
        <v>6.3571999999999997</v>
      </c>
      <c r="F390" s="875">
        <v>7.8113999999999999</v>
      </c>
      <c r="G390" s="875">
        <v>5.1864999999999997</v>
      </c>
      <c r="H390" s="875">
        <v>4.7465999999999999</v>
      </c>
      <c r="I390" s="875">
        <v>7.8674999999999997</v>
      </c>
      <c r="J390" s="875">
        <v>4.9455999999999998</v>
      </c>
      <c r="K390" s="875">
        <v>6.1512000000000002</v>
      </c>
      <c r="L390" s="875">
        <v>6.2096999999999998</v>
      </c>
      <c r="M390" s="875"/>
    </row>
    <row r="391" spans="1:13" x14ac:dyDescent="0.25">
      <c r="A391" s="894">
        <v>42860</v>
      </c>
      <c r="B391" s="875">
        <v>5.6547000000000001</v>
      </c>
      <c r="C391" s="875">
        <v>4.1642999999999999</v>
      </c>
      <c r="D391" s="875">
        <v>8.0528999999999993</v>
      </c>
      <c r="E391" s="875">
        <v>6.4318</v>
      </c>
      <c r="F391" s="875">
        <v>7.8384</v>
      </c>
      <c r="G391" s="875">
        <v>5.1490999999999998</v>
      </c>
      <c r="H391" s="875">
        <v>4.7836999999999996</v>
      </c>
      <c r="I391" s="875">
        <v>8.4117999999999995</v>
      </c>
      <c r="J391" s="875">
        <v>5.1725000000000003</v>
      </c>
      <c r="K391" s="875"/>
      <c r="L391" s="875">
        <v>6.3037999999999998</v>
      </c>
      <c r="M391" s="875"/>
    </row>
    <row r="392" spans="1:13" x14ac:dyDescent="0.25">
      <c r="A392" s="894">
        <v>42859</v>
      </c>
      <c r="B392" s="875">
        <v>5.6254</v>
      </c>
      <c r="C392" s="875">
        <v>3.9584999999999999</v>
      </c>
      <c r="D392" s="875">
        <v>7.9344000000000001</v>
      </c>
      <c r="E392" s="875">
        <v>6.3272000000000004</v>
      </c>
      <c r="F392" s="875">
        <v>7.6746999999999996</v>
      </c>
      <c r="G392" s="875">
        <v>5.1204999999999998</v>
      </c>
      <c r="H392" s="875">
        <v>5.0132000000000003</v>
      </c>
      <c r="I392" s="875">
        <v>8.3481000000000005</v>
      </c>
      <c r="J392" s="875">
        <v>5.6269</v>
      </c>
      <c r="K392" s="875"/>
      <c r="L392" s="875">
        <v>6.2691999999999997</v>
      </c>
      <c r="M392" s="875"/>
    </row>
    <row r="393" spans="1:13" x14ac:dyDescent="0.25">
      <c r="A393" s="894">
        <v>42858</v>
      </c>
      <c r="B393" s="875">
        <v>5.6314000000000002</v>
      </c>
      <c r="C393" s="875">
        <v>3.6610999999999998</v>
      </c>
      <c r="D393" s="875">
        <v>7.8095999999999997</v>
      </c>
      <c r="E393" s="875">
        <v>6.2198000000000002</v>
      </c>
      <c r="F393" s="875">
        <v>7.5251999999999999</v>
      </c>
      <c r="G393" s="875">
        <v>4.8814000000000002</v>
      </c>
      <c r="H393" s="875">
        <v>5.0293000000000001</v>
      </c>
      <c r="I393" s="875">
        <v>8.3613</v>
      </c>
      <c r="J393" s="875">
        <v>5.5397999999999996</v>
      </c>
      <c r="K393" s="875"/>
      <c r="L393" s="875">
        <v>6.4297000000000004</v>
      </c>
      <c r="M393" s="875"/>
    </row>
    <row r="394" spans="1:13" x14ac:dyDescent="0.25">
      <c r="A394" s="894">
        <v>42857</v>
      </c>
      <c r="B394" s="875">
        <v>5.6712999999999996</v>
      </c>
      <c r="C394" s="875">
        <v>3.6595</v>
      </c>
      <c r="D394" s="875">
        <v>7.8243</v>
      </c>
      <c r="E394" s="875">
        <v>6.2790999999999997</v>
      </c>
      <c r="F394" s="875">
        <v>7.6054000000000004</v>
      </c>
      <c r="G394" s="875">
        <v>4.9146000000000001</v>
      </c>
      <c r="H394" s="875">
        <v>6.9272</v>
      </c>
      <c r="I394" s="875">
        <v>8.2928999999999995</v>
      </c>
      <c r="J394" s="875">
        <v>5.5243000000000002</v>
      </c>
      <c r="K394" s="875"/>
      <c r="L394" s="875">
        <v>6.0189000000000004</v>
      </c>
      <c r="M394" s="875"/>
    </row>
    <row r="395" spans="1:13" x14ac:dyDescent="0.25">
      <c r="A395" s="894">
        <v>42856</v>
      </c>
      <c r="B395" s="875">
        <v>5.6467000000000001</v>
      </c>
      <c r="C395" s="875">
        <v>3.6029</v>
      </c>
      <c r="D395" s="875">
        <v>7.7643000000000004</v>
      </c>
      <c r="E395" s="875">
        <v>6.2621000000000002</v>
      </c>
      <c r="F395" s="875">
        <v>7.6105999999999998</v>
      </c>
      <c r="G395" s="875">
        <v>4.8243999999999998</v>
      </c>
      <c r="H395" s="875">
        <v>6.8909000000000002</v>
      </c>
      <c r="I395" s="875">
        <v>8.6546000000000003</v>
      </c>
      <c r="J395" s="875">
        <v>5.5214999999999996</v>
      </c>
      <c r="K395" s="875"/>
      <c r="L395" s="875">
        <v>6.0888</v>
      </c>
      <c r="M395" s="875"/>
    </row>
    <row r="396" spans="1:13" x14ac:dyDescent="0.25">
      <c r="A396" s="894">
        <v>42853</v>
      </c>
      <c r="B396" s="875">
        <v>5.6177000000000001</v>
      </c>
      <c r="C396" s="875">
        <v>3.5676999999999999</v>
      </c>
      <c r="D396" s="875">
        <v>7.5407999999999999</v>
      </c>
      <c r="E396" s="875">
        <v>6.1740000000000004</v>
      </c>
      <c r="F396" s="875">
        <v>7.4999000000000002</v>
      </c>
      <c r="G396" s="875">
        <v>4.7973999999999997</v>
      </c>
      <c r="H396" s="875">
        <v>6.6082999999999998</v>
      </c>
      <c r="I396" s="875"/>
      <c r="J396" s="875">
        <v>5.4520999999999997</v>
      </c>
      <c r="K396" s="875"/>
      <c r="L396" s="875">
        <v>6.0933000000000002</v>
      </c>
      <c r="M396" s="875"/>
    </row>
    <row r="397" spans="1:13" x14ac:dyDescent="0.25">
      <c r="A397" s="894">
        <v>42852</v>
      </c>
      <c r="B397" s="875">
        <v>5.7133000000000003</v>
      </c>
      <c r="C397" s="875">
        <v>3.5508999999999999</v>
      </c>
      <c r="D397" s="875">
        <v>7.5407000000000002</v>
      </c>
      <c r="E397" s="875">
        <v>6.2100999999999997</v>
      </c>
      <c r="F397" s="875">
        <v>7.4901</v>
      </c>
      <c r="G397" s="875">
        <v>4.8446999999999996</v>
      </c>
      <c r="H397" s="875">
        <v>6.5641999999999996</v>
      </c>
      <c r="I397" s="875"/>
      <c r="J397" s="875">
        <v>5.4112999999999998</v>
      </c>
      <c r="K397" s="875"/>
      <c r="L397" s="875">
        <v>6.0425000000000004</v>
      </c>
      <c r="M397" s="875"/>
    </row>
    <row r="398" spans="1:13" x14ac:dyDescent="0.25">
      <c r="A398" s="894">
        <v>42851</v>
      </c>
      <c r="B398" s="875">
        <v>5.6573000000000002</v>
      </c>
      <c r="C398" s="875">
        <v>3.5666000000000002</v>
      </c>
      <c r="D398" s="875">
        <v>7.5278999999999998</v>
      </c>
      <c r="E398" s="875">
        <v>6.1196000000000002</v>
      </c>
      <c r="F398" s="875">
        <v>7.3537999999999997</v>
      </c>
      <c r="G398" s="875">
        <v>4.6630000000000003</v>
      </c>
      <c r="H398" s="875">
        <v>6.4382999999999999</v>
      </c>
      <c r="I398" s="875"/>
      <c r="J398" s="875">
        <v>5.3848000000000003</v>
      </c>
      <c r="K398" s="875"/>
      <c r="L398" s="875">
        <v>5.8948</v>
      </c>
      <c r="M398" s="875"/>
    </row>
    <row r="399" spans="1:13" x14ac:dyDescent="0.25">
      <c r="A399" s="894">
        <v>42850</v>
      </c>
      <c r="B399" s="875">
        <v>5.6173999999999999</v>
      </c>
      <c r="C399" s="875">
        <v>3.5649999999999999</v>
      </c>
      <c r="D399" s="875">
        <v>7.5583999999999998</v>
      </c>
      <c r="E399" s="875">
        <v>6.1349</v>
      </c>
      <c r="F399" s="875">
        <v>7.3457999999999997</v>
      </c>
      <c r="G399" s="875">
        <v>4.6486000000000001</v>
      </c>
      <c r="H399" s="875">
        <v>6.3765000000000001</v>
      </c>
      <c r="I399" s="875"/>
      <c r="J399" s="875">
        <v>5.4504000000000001</v>
      </c>
      <c r="K399" s="875"/>
      <c r="L399" s="875">
        <v>5.9903000000000004</v>
      </c>
      <c r="M399" s="875"/>
    </row>
    <row r="400" spans="1:13" x14ac:dyDescent="0.25">
      <c r="A400" s="894">
        <v>42849</v>
      </c>
      <c r="B400" s="875">
        <v>5.5827999999999998</v>
      </c>
      <c r="C400" s="875">
        <v>3.5962999999999998</v>
      </c>
      <c r="D400" s="875">
        <v>7.5662000000000003</v>
      </c>
      <c r="E400" s="875">
        <v>6.1001000000000003</v>
      </c>
      <c r="F400" s="875">
        <v>7.2847999999999997</v>
      </c>
      <c r="G400" s="875">
        <v>4.6886000000000001</v>
      </c>
      <c r="H400" s="875">
        <v>6.1612999999999998</v>
      </c>
      <c r="I400" s="875"/>
      <c r="J400" s="875">
        <v>5.4474999999999998</v>
      </c>
      <c r="K400" s="875"/>
      <c r="L400" s="875">
        <v>5.7953999999999999</v>
      </c>
      <c r="M400" s="875"/>
    </row>
    <row r="401" spans="1:13" x14ac:dyDescent="0.25">
      <c r="A401" s="894">
        <v>42846</v>
      </c>
      <c r="B401" s="875">
        <v>5.5646000000000004</v>
      </c>
      <c r="C401" s="875">
        <v>3.6082000000000001</v>
      </c>
      <c r="D401" s="875">
        <v>7.3997000000000002</v>
      </c>
      <c r="E401" s="875">
        <v>5.9962</v>
      </c>
      <c r="F401" s="875">
        <v>7.2043999999999997</v>
      </c>
      <c r="G401" s="875">
        <v>4.6273999999999997</v>
      </c>
      <c r="H401" s="875">
        <v>5.9428999999999998</v>
      </c>
      <c r="I401" s="875"/>
      <c r="J401" s="875">
        <v>5.3906000000000001</v>
      </c>
      <c r="K401" s="875"/>
      <c r="L401" s="875">
        <v>5.7710999999999997</v>
      </c>
      <c r="M401" s="875"/>
    </row>
    <row r="402" spans="1:13" x14ac:dyDescent="0.25">
      <c r="A402" s="894">
        <v>42845</v>
      </c>
      <c r="B402" s="875">
        <v>5.5827999999999998</v>
      </c>
      <c r="C402" s="875">
        <v>3.5990000000000002</v>
      </c>
      <c r="D402" s="875">
        <v>7.4687000000000001</v>
      </c>
      <c r="E402" s="875">
        <v>5.9523999999999999</v>
      </c>
      <c r="F402" s="875">
        <v>7.2016</v>
      </c>
      <c r="G402" s="875">
        <v>4.6643999999999997</v>
      </c>
      <c r="H402" s="875">
        <v>6.1199000000000003</v>
      </c>
      <c r="I402" s="875"/>
      <c r="J402" s="875">
        <v>5.4009</v>
      </c>
      <c r="K402" s="875"/>
      <c r="L402" s="875">
        <v>5.8155000000000001</v>
      </c>
      <c r="M402" s="875"/>
    </row>
    <row r="403" spans="1:13" x14ac:dyDescent="0.25">
      <c r="A403" s="894">
        <v>42844</v>
      </c>
      <c r="B403" s="875">
        <v>5.5500999999999996</v>
      </c>
      <c r="C403" s="875">
        <v>3.5377000000000001</v>
      </c>
      <c r="D403" s="875">
        <v>7.3460000000000001</v>
      </c>
      <c r="E403" s="875">
        <v>5.9141000000000004</v>
      </c>
      <c r="F403" s="875">
        <v>7.1994999999999996</v>
      </c>
      <c r="G403" s="875">
        <v>4.6170999999999998</v>
      </c>
      <c r="H403" s="875">
        <v>6.1547000000000001</v>
      </c>
      <c r="I403" s="875"/>
      <c r="J403" s="875">
        <v>5.3486000000000002</v>
      </c>
      <c r="K403" s="875"/>
      <c r="L403" s="875">
        <v>5.7495000000000003</v>
      </c>
      <c r="M403" s="875"/>
    </row>
    <row r="404" spans="1:13" x14ac:dyDescent="0.25">
      <c r="A404" s="894">
        <v>42843</v>
      </c>
      <c r="B404" s="875">
        <v>5.5681000000000003</v>
      </c>
      <c r="C404" s="875">
        <v>3.4741</v>
      </c>
      <c r="D404" s="875">
        <v>7.2793000000000001</v>
      </c>
      <c r="E404" s="875">
        <v>5.8613</v>
      </c>
      <c r="F404" s="875">
        <v>7.1603000000000003</v>
      </c>
      <c r="G404" s="875">
        <v>4.5288000000000004</v>
      </c>
      <c r="H404" s="875">
        <v>5.9535999999999998</v>
      </c>
      <c r="I404" s="875"/>
      <c r="J404" s="875">
        <v>5.4660000000000002</v>
      </c>
      <c r="K404" s="875"/>
      <c r="L404" s="875">
        <v>5.6214000000000004</v>
      </c>
      <c r="M404" s="875"/>
    </row>
    <row r="405" spans="1:13" x14ac:dyDescent="0.25">
      <c r="A405" s="894">
        <v>42842</v>
      </c>
      <c r="B405" s="875">
        <v>5.6048</v>
      </c>
      <c r="C405" s="875">
        <v>3.3500999999999999</v>
      </c>
      <c r="D405" s="875">
        <v>7.3030999999999997</v>
      </c>
      <c r="E405" s="875">
        <v>5.7610999999999999</v>
      </c>
      <c r="F405" s="875">
        <v>7.0669000000000004</v>
      </c>
      <c r="G405" s="875">
        <v>4.7030000000000003</v>
      </c>
      <c r="H405" s="875">
        <v>5.9602000000000004</v>
      </c>
      <c r="I405" s="875"/>
      <c r="J405" s="875">
        <v>5.4264999999999999</v>
      </c>
      <c r="K405" s="875"/>
      <c r="L405" s="875">
        <v>5.5837000000000003</v>
      </c>
      <c r="M405" s="875"/>
    </row>
    <row r="406" spans="1:13" x14ac:dyDescent="0.25">
      <c r="A406" s="894">
        <v>42838</v>
      </c>
      <c r="B406" s="875">
        <v>5.5404999999999998</v>
      </c>
      <c r="C406" s="875">
        <v>3.3155999999999999</v>
      </c>
      <c r="D406" s="875">
        <v>7.2999000000000001</v>
      </c>
      <c r="E406" s="875">
        <v>5.7011000000000003</v>
      </c>
      <c r="F406" s="875">
        <v>6.9264999999999999</v>
      </c>
      <c r="G406" s="875">
        <v>4.7648000000000001</v>
      </c>
      <c r="H406" s="875">
        <v>5.8606999999999996</v>
      </c>
      <c r="I406" s="875"/>
      <c r="J406" s="875">
        <v>5.3867000000000003</v>
      </c>
      <c r="K406" s="875"/>
      <c r="L406" s="875">
        <v>5.5113000000000003</v>
      </c>
      <c r="M406" s="875"/>
    </row>
    <row r="407" spans="1:13" x14ac:dyDescent="0.25">
      <c r="A407" s="894">
        <v>42837</v>
      </c>
      <c r="B407" s="875">
        <v>5.5613000000000001</v>
      </c>
      <c r="C407" s="875">
        <v>3.3393999999999999</v>
      </c>
      <c r="D407" s="875">
        <v>7.2934999999999999</v>
      </c>
      <c r="E407" s="875">
        <v>5.8433999999999999</v>
      </c>
      <c r="F407" s="875">
        <v>6.9226999999999999</v>
      </c>
      <c r="G407" s="875">
        <v>4.8185000000000002</v>
      </c>
      <c r="H407" s="875">
        <v>5.7103000000000002</v>
      </c>
      <c r="I407" s="875"/>
      <c r="J407" s="875">
        <v>5.3357000000000001</v>
      </c>
      <c r="K407" s="875"/>
      <c r="L407" s="875">
        <v>5.3686999999999996</v>
      </c>
      <c r="M407" s="875"/>
    </row>
    <row r="408" spans="1:13" x14ac:dyDescent="0.25">
      <c r="A408" s="894">
        <v>42836</v>
      </c>
      <c r="B408" s="875">
        <v>5.5987</v>
      </c>
      <c r="C408" s="875">
        <v>3.3571</v>
      </c>
      <c r="D408" s="875">
        <v>7.0952999999999999</v>
      </c>
      <c r="E408" s="875">
        <v>5.8875999999999999</v>
      </c>
      <c r="F408" s="875">
        <v>7.0060000000000002</v>
      </c>
      <c r="G408" s="875">
        <v>4.8685999999999998</v>
      </c>
      <c r="H408" s="875">
        <v>5.6707999999999998</v>
      </c>
      <c r="I408" s="875"/>
      <c r="J408" s="875">
        <v>5.3520000000000003</v>
      </c>
      <c r="K408" s="875"/>
      <c r="L408" s="875">
        <v>5.4241000000000001</v>
      </c>
      <c r="M408" s="875"/>
    </row>
    <row r="409" spans="1:13" x14ac:dyDescent="0.25">
      <c r="A409" s="894">
        <v>42835</v>
      </c>
      <c r="B409" s="875">
        <v>5.6281999999999996</v>
      </c>
      <c r="C409" s="875">
        <v>3.3138999999999998</v>
      </c>
      <c r="D409" s="875">
        <v>7.1544999999999996</v>
      </c>
      <c r="E409" s="875">
        <v>5.8987999999999996</v>
      </c>
      <c r="F409" s="875">
        <v>7.0193000000000003</v>
      </c>
      <c r="G409" s="875">
        <v>4.7827999999999999</v>
      </c>
      <c r="H409" s="875">
        <v>5.4852999999999996</v>
      </c>
      <c r="I409" s="875"/>
      <c r="J409" s="875">
        <v>5.258</v>
      </c>
      <c r="K409" s="875"/>
      <c r="L409" s="875">
        <v>5.4291</v>
      </c>
      <c r="M409" s="875"/>
    </row>
    <row r="410" spans="1:13" x14ac:dyDescent="0.25">
      <c r="A410" s="894">
        <v>42832</v>
      </c>
      <c r="B410" s="875">
        <v>5.6449999999999996</v>
      </c>
      <c r="C410" s="875">
        <v>3.3311999999999999</v>
      </c>
      <c r="D410" s="875">
        <v>7.2298</v>
      </c>
      <c r="E410" s="875">
        <v>5.8902000000000001</v>
      </c>
      <c r="F410" s="875">
        <v>7.0731999999999999</v>
      </c>
      <c r="G410" s="875">
        <v>4.8010000000000002</v>
      </c>
      <c r="H410" s="875">
        <v>5.4303999999999997</v>
      </c>
      <c r="I410" s="875"/>
      <c r="J410" s="875">
        <v>5.1938000000000004</v>
      </c>
      <c r="K410" s="875"/>
      <c r="L410" s="875">
        <v>5.3993000000000002</v>
      </c>
      <c r="M410" s="875"/>
    </row>
    <row r="411" spans="1:13" x14ac:dyDescent="0.25">
      <c r="A411" s="894">
        <v>42831</v>
      </c>
      <c r="B411" s="875">
        <v>5.6874000000000002</v>
      </c>
      <c r="C411" s="875">
        <v>3.3462000000000001</v>
      </c>
      <c r="D411" s="875">
        <v>7.2743000000000002</v>
      </c>
      <c r="E411" s="875">
        <v>5.8888999999999996</v>
      </c>
      <c r="F411" s="875">
        <v>7.0895999999999999</v>
      </c>
      <c r="G411" s="875">
        <v>4.9009</v>
      </c>
      <c r="H411" s="875">
        <v>5.1612</v>
      </c>
      <c r="I411" s="875"/>
      <c r="J411" s="875">
        <v>5.2053000000000003</v>
      </c>
      <c r="K411" s="875"/>
      <c r="L411" s="875">
        <v>5.4581999999999997</v>
      </c>
      <c r="M411" s="875"/>
    </row>
    <row r="412" spans="1:13" x14ac:dyDescent="0.25">
      <c r="A412" s="894">
        <v>42830</v>
      </c>
      <c r="B412" s="875">
        <v>5.7142999999999997</v>
      </c>
      <c r="C412" s="875">
        <v>3.2631000000000001</v>
      </c>
      <c r="D412" s="875">
        <v>7.2262000000000004</v>
      </c>
      <c r="E412" s="875">
        <v>5.9112</v>
      </c>
      <c r="F412" s="875">
        <v>7.0517000000000003</v>
      </c>
      <c r="G412" s="875">
        <v>4.8136000000000001</v>
      </c>
      <c r="H412" s="875">
        <v>5.1669</v>
      </c>
      <c r="I412" s="875"/>
      <c r="J412" s="875">
        <v>5.2760999999999996</v>
      </c>
      <c r="K412" s="875"/>
      <c r="L412" s="875">
        <v>5.4776999999999996</v>
      </c>
      <c r="M412" s="875"/>
    </row>
    <row r="413" spans="1:13" x14ac:dyDescent="0.25">
      <c r="A413" s="894">
        <v>42829</v>
      </c>
      <c r="B413" s="875">
        <v>5.5590999999999999</v>
      </c>
      <c r="C413" s="875">
        <v>3.2753000000000001</v>
      </c>
      <c r="D413" s="875">
        <v>7.2222</v>
      </c>
      <c r="E413" s="875">
        <v>5.9169</v>
      </c>
      <c r="F413" s="875">
        <v>7.0273000000000003</v>
      </c>
      <c r="G413" s="875">
        <v>4.7179000000000002</v>
      </c>
      <c r="H413" s="875">
        <v>5.2469999999999999</v>
      </c>
      <c r="I413" s="875"/>
      <c r="J413" s="875">
        <v>5.2183999999999999</v>
      </c>
      <c r="K413" s="875"/>
      <c r="L413" s="875">
        <v>5.4779</v>
      </c>
      <c r="M413" s="875"/>
    </row>
    <row r="414" spans="1:13" x14ac:dyDescent="0.25">
      <c r="A414" s="894">
        <v>42828</v>
      </c>
      <c r="B414" s="875">
        <v>5.5186999999999999</v>
      </c>
      <c r="C414" s="875">
        <v>3.2519999999999998</v>
      </c>
      <c r="D414" s="875">
        <v>7.2317999999999998</v>
      </c>
      <c r="E414" s="875">
        <v>5.9302999999999999</v>
      </c>
      <c r="F414" s="875">
        <v>7.1136999999999997</v>
      </c>
      <c r="G414" s="875">
        <v>4.8163</v>
      </c>
      <c r="H414" s="875">
        <v>5.5640000000000001</v>
      </c>
      <c r="I414" s="875"/>
      <c r="J414" s="875">
        <v>5.3480999999999996</v>
      </c>
      <c r="K414" s="875"/>
      <c r="L414" s="875">
        <v>5.5841000000000003</v>
      </c>
      <c r="M414" s="875"/>
    </row>
    <row r="415" spans="1:13" x14ac:dyDescent="0.25">
      <c r="A415" s="894">
        <v>42825</v>
      </c>
      <c r="B415" s="875">
        <v>5.5381999999999998</v>
      </c>
      <c r="C415" s="875">
        <v>3.2397999999999998</v>
      </c>
      <c r="D415" s="875">
        <v>7.3368000000000002</v>
      </c>
      <c r="E415" s="875">
        <v>6.0678000000000001</v>
      </c>
      <c r="F415" s="875">
        <v>7.2329999999999997</v>
      </c>
      <c r="G415" s="875">
        <v>4.8540000000000001</v>
      </c>
      <c r="H415" s="875">
        <v>5.6143000000000001</v>
      </c>
      <c r="I415" s="875"/>
      <c r="J415" s="875">
        <v>5.4234999999999998</v>
      </c>
      <c r="K415" s="875"/>
      <c r="L415" s="875">
        <v>5.5159000000000002</v>
      </c>
      <c r="M415" s="875"/>
    </row>
    <row r="416" spans="1:13" x14ac:dyDescent="0.25">
      <c r="A416" s="894">
        <v>42824</v>
      </c>
      <c r="B416" s="875">
        <v>5.5434999999999999</v>
      </c>
      <c r="C416" s="875">
        <v>3.2412999999999998</v>
      </c>
      <c r="D416" s="875">
        <v>7.3784000000000001</v>
      </c>
      <c r="E416" s="875">
        <v>6.1077000000000004</v>
      </c>
      <c r="F416" s="875">
        <v>7.2237999999999998</v>
      </c>
      <c r="G416" s="875">
        <v>4.6885000000000003</v>
      </c>
      <c r="H416" s="875">
        <v>5.5179999999999998</v>
      </c>
      <c r="I416" s="875"/>
      <c r="J416" s="875">
        <v>5.3532999999999999</v>
      </c>
      <c r="K416" s="875"/>
      <c r="L416" s="875">
        <v>5.3170000000000002</v>
      </c>
      <c r="M416" s="875"/>
    </row>
    <row r="417" spans="1:13" x14ac:dyDescent="0.25">
      <c r="A417" s="894">
        <v>42823</v>
      </c>
      <c r="B417" s="875">
        <v>5.5354000000000001</v>
      </c>
      <c r="C417" s="875">
        <v>3.2309000000000001</v>
      </c>
      <c r="D417" s="875">
        <v>7.4702000000000002</v>
      </c>
      <c r="E417" s="875">
        <v>6.1246999999999998</v>
      </c>
      <c r="F417" s="875">
        <v>7.2884000000000002</v>
      </c>
      <c r="G417" s="875">
        <v>4.8644999999999996</v>
      </c>
      <c r="H417" s="875">
        <v>5.5593000000000004</v>
      </c>
      <c r="I417" s="875"/>
      <c r="J417" s="875">
        <v>5.3429000000000002</v>
      </c>
      <c r="K417" s="875"/>
      <c r="L417" s="875">
        <v>5.3170999999999999</v>
      </c>
      <c r="M417" s="875"/>
    </row>
    <row r="418" spans="1:13" x14ac:dyDescent="0.25">
      <c r="A418" s="894">
        <v>42822</v>
      </c>
      <c r="B418" s="875">
        <v>5.5232000000000001</v>
      </c>
      <c r="C418" s="875">
        <v>3.1815000000000002</v>
      </c>
      <c r="D418" s="875">
        <v>7.3949999999999996</v>
      </c>
      <c r="E418" s="875">
        <v>5.8373999999999997</v>
      </c>
      <c r="F418" s="875">
        <v>7.1581000000000001</v>
      </c>
      <c r="G418" s="875">
        <v>4.6620999999999997</v>
      </c>
      <c r="H418" s="875">
        <v>5.6733000000000002</v>
      </c>
      <c r="I418" s="875"/>
      <c r="J418" s="875">
        <v>5.2081999999999997</v>
      </c>
      <c r="K418" s="875"/>
      <c r="L418" s="875">
        <v>5.4332000000000003</v>
      </c>
      <c r="M418" s="875"/>
    </row>
    <row r="419" spans="1:13" x14ac:dyDescent="0.25">
      <c r="A419" s="894">
        <v>42821</v>
      </c>
      <c r="B419" s="875">
        <v>5.4916</v>
      </c>
      <c r="C419" s="875">
        <v>3.1772999999999998</v>
      </c>
      <c r="D419" s="875">
        <v>7.3235000000000001</v>
      </c>
      <c r="E419" s="875">
        <v>5.8079000000000001</v>
      </c>
      <c r="F419" s="875">
        <v>7.0686</v>
      </c>
      <c r="G419" s="875">
        <v>4.7663000000000002</v>
      </c>
      <c r="H419" s="875">
        <v>5.7590000000000003</v>
      </c>
      <c r="I419" s="875"/>
      <c r="J419" s="875">
        <v>5.2137000000000002</v>
      </c>
      <c r="K419" s="875"/>
      <c r="L419" s="875">
        <v>5.5205000000000002</v>
      </c>
      <c r="M419" s="875"/>
    </row>
    <row r="420" spans="1:13" x14ac:dyDescent="0.25">
      <c r="A420" s="894">
        <v>42818</v>
      </c>
      <c r="B420" s="875">
        <v>5.4989999999999997</v>
      </c>
      <c r="C420" s="875">
        <v>3.1981000000000002</v>
      </c>
      <c r="D420" s="875">
        <v>7.3391000000000002</v>
      </c>
      <c r="E420" s="875">
        <v>5.8139000000000003</v>
      </c>
      <c r="F420" s="875">
        <v>7.0762</v>
      </c>
      <c r="G420" s="875">
        <v>4.6062000000000003</v>
      </c>
      <c r="H420" s="875">
        <v>5.6733000000000002</v>
      </c>
      <c r="I420" s="875"/>
      <c r="J420" s="875">
        <v>5.1454000000000004</v>
      </c>
      <c r="K420" s="875"/>
      <c r="L420" s="875">
        <v>5.5683999999999996</v>
      </c>
      <c r="M420" s="875"/>
    </row>
    <row r="421" spans="1:13" x14ac:dyDescent="0.25">
      <c r="A421" s="894">
        <v>42817</v>
      </c>
      <c r="B421" s="875">
        <v>5.4935</v>
      </c>
      <c r="C421" s="875">
        <v>3.1469999999999998</v>
      </c>
      <c r="D421" s="875">
        <v>7.1965000000000003</v>
      </c>
      <c r="E421" s="875">
        <v>5.8005000000000004</v>
      </c>
      <c r="F421" s="875">
        <v>7.0427</v>
      </c>
      <c r="G421" s="875">
        <v>4.7454000000000001</v>
      </c>
      <c r="H421" s="875">
        <v>5.6437999999999997</v>
      </c>
      <c r="I421" s="875"/>
      <c r="J421" s="875">
        <v>5.0514000000000001</v>
      </c>
      <c r="K421" s="875"/>
      <c r="L421" s="875">
        <v>5.5355999999999996</v>
      </c>
      <c r="M421" s="875"/>
    </row>
    <row r="422" spans="1:13" x14ac:dyDescent="0.25">
      <c r="A422" s="894">
        <v>42816</v>
      </c>
      <c r="B422" s="875">
        <v>5.5218999999999996</v>
      </c>
      <c r="C422" s="875">
        <v>3.1732</v>
      </c>
      <c r="D422" s="875">
        <v>7.2012999999999998</v>
      </c>
      <c r="E422" s="875">
        <v>5.7742000000000004</v>
      </c>
      <c r="F422" s="875">
        <v>7.1048</v>
      </c>
      <c r="G422" s="875">
        <v>4.9733000000000001</v>
      </c>
      <c r="H422" s="875">
        <v>5.6765999999999996</v>
      </c>
      <c r="I422" s="875"/>
      <c r="J422" s="875">
        <v>5.1153000000000004</v>
      </c>
      <c r="K422" s="875"/>
      <c r="L422" s="875">
        <v>5.4728000000000003</v>
      </c>
      <c r="M422" s="875"/>
    </row>
    <row r="423" spans="1:13" x14ac:dyDescent="0.25">
      <c r="A423" s="894">
        <v>42815</v>
      </c>
      <c r="B423" s="875">
        <v>5.5034999999999998</v>
      </c>
      <c r="C423" s="875">
        <v>3.1297999999999999</v>
      </c>
      <c r="D423" s="875">
        <v>7.2439</v>
      </c>
      <c r="E423" s="875">
        <v>5.7356999999999996</v>
      </c>
      <c r="F423" s="875">
        <v>7.0167000000000002</v>
      </c>
      <c r="G423" s="875">
        <v>4.8169000000000004</v>
      </c>
      <c r="H423" s="875">
        <v>5.7782</v>
      </c>
      <c r="I423" s="875"/>
      <c r="J423" s="875">
        <v>5.1359000000000004</v>
      </c>
      <c r="K423" s="875"/>
      <c r="L423" s="875">
        <v>5.6771000000000003</v>
      </c>
      <c r="M423" s="875"/>
    </row>
    <row r="424" spans="1:13" x14ac:dyDescent="0.25">
      <c r="A424" s="894">
        <v>42814</v>
      </c>
      <c r="B424" s="875">
        <v>5.5990000000000002</v>
      </c>
      <c r="C424" s="875">
        <v>3.2543000000000002</v>
      </c>
      <c r="D424" s="875">
        <v>7.6087999999999996</v>
      </c>
      <c r="E424" s="875">
        <v>5.9638999999999998</v>
      </c>
      <c r="F424" s="875">
        <v>7.3836000000000004</v>
      </c>
      <c r="G424" s="875">
        <v>4.8966000000000003</v>
      </c>
      <c r="H424" s="875">
        <v>6.1391999999999998</v>
      </c>
      <c r="I424" s="875"/>
      <c r="J424" s="875">
        <v>5.3563999999999998</v>
      </c>
      <c r="K424" s="875"/>
      <c r="L424" s="875">
        <v>5.9499000000000004</v>
      </c>
      <c r="M424" s="875"/>
    </row>
    <row r="425" spans="1:13" x14ac:dyDescent="0.25">
      <c r="A425" s="894">
        <v>42811</v>
      </c>
      <c r="B425" s="875">
        <v>5.6154999999999999</v>
      </c>
      <c r="C425" s="875">
        <v>3.2631000000000001</v>
      </c>
      <c r="D425" s="875">
        <v>7.4874000000000001</v>
      </c>
      <c r="E425" s="875">
        <v>6.0067000000000004</v>
      </c>
      <c r="F425" s="875">
        <v>7.4489000000000001</v>
      </c>
      <c r="G425" s="875">
        <v>5.0987</v>
      </c>
      <c r="H425" s="875">
        <v>6.1138000000000003</v>
      </c>
      <c r="I425" s="875"/>
      <c r="J425" s="875">
        <v>5.3381999999999996</v>
      </c>
      <c r="K425" s="875"/>
      <c r="L425" s="875">
        <v>5.9987000000000004</v>
      </c>
      <c r="M425" s="875"/>
    </row>
    <row r="426" spans="1:13" x14ac:dyDescent="0.25">
      <c r="A426" s="894">
        <v>42810</v>
      </c>
      <c r="B426" s="875">
        <v>5.6493000000000002</v>
      </c>
      <c r="C426" s="875">
        <v>3.2947000000000002</v>
      </c>
      <c r="D426" s="875">
        <v>7.4960000000000004</v>
      </c>
      <c r="E426" s="875">
        <v>5.9942000000000002</v>
      </c>
      <c r="F426" s="875">
        <v>7.4583000000000004</v>
      </c>
      <c r="G426" s="875">
        <v>5.1924999999999999</v>
      </c>
      <c r="H426" s="875">
        <v>6.1997</v>
      </c>
      <c r="I426" s="875"/>
      <c r="J426" s="875">
        <v>5.3807999999999998</v>
      </c>
      <c r="K426" s="875"/>
      <c r="L426" s="875">
        <v>6.0632999999999999</v>
      </c>
      <c r="M426" s="875"/>
    </row>
    <row r="427" spans="1:13" x14ac:dyDescent="0.25">
      <c r="A427" s="894">
        <v>42809</v>
      </c>
      <c r="B427" s="875">
        <v>5.6509999999999998</v>
      </c>
      <c r="C427" s="875">
        <v>3.2921999999999998</v>
      </c>
      <c r="D427" s="875">
        <v>7.3620999999999999</v>
      </c>
      <c r="E427" s="875">
        <v>5.9336000000000002</v>
      </c>
      <c r="F427" s="875">
        <v>7.4322999999999997</v>
      </c>
      <c r="G427" s="875">
        <v>5.3865999999999996</v>
      </c>
      <c r="H427" s="875">
        <v>6.1821999999999999</v>
      </c>
      <c r="I427" s="875"/>
      <c r="J427" s="875">
        <v>5.3559999999999999</v>
      </c>
      <c r="K427" s="875"/>
      <c r="L427" s="875">
        <v>6.0640000000000001</v>
      </c>
      <c r="M427" s="875"/>
    </row>
    <row r="428" spans="1:13" x14ac:dyDescent="0.25">
      <c r="A428" s="894">
        <v>42808</v>
      </c>
      <c r="B428" s="875">
        <v>5.6571999999999996</v>
      </c>
      <c r="C428" s="875">
        <v>3.2644000000000002</v>
      </c>
      <c r="D428" s="875">
        <v>7.4057000000000004</v>
      </c>
      <c r="E428" s="875">
        <v>5.8662999999999998</v>
      </c>
      <c r="F428" s="875">
        <v>7.3586999999999998</v>
      </c>
      <c r="G428" s="875">
        <v>5.3446999999999996</v>
      </c>
      <c r="H428" s="875">
        <v>6.1379999999999999</v>
      </c>
      <c r="I428" s="875"/>
      <c r="J428" s="875">
        <v>5.3398000000000003</v>
      </c>
      <c r="K428" s="875"/>
      <c r="L428" s="875">
        <v>5.8891</v>
      </c>
      <c r="M428" s="875"/>
    </row>
    <row r="429" spans="1:13" x14ac:dyDescent="0.25">
      <c r="A429" s="894">
        <v>42807</v>
      </c>
      <c r="B429" s="875">
        <v>5.6692</v>
      </c>
      <c r="C429" s="875">
        <v>3.2523</v>
      </c>
      <c r="D429" s="875">
        <v>7.4638</v>
      </c>
      <c r="E429" s="875">
        <v>5.9374000000000002</v>
      </c>
      <c r="F429" s="875">
        <v>7.4675000000000002</v>
      </c>
      <c r="G429" s="875">
        <v>5.6448999999999998</v>
      </c>
      <c r="H429" s="875">
        <v>6.3677999999999999</v>
      </c>
      <c r="I429" s="875"/>
      <c r="J429" s="875">
        <v>5.3848000000000003</v>
      </c>
      <c r="K429" s="875"/>
      <c r="L429" s="875">
        <v>5.8848000000000003</v>
      </c>
      <c r="M429" s="875"/>
    </row>
    <row r="430" spans="1:13" x14ac:dyDescent="0.25">
      <c r="A430" s="894">
        <v>42804</v>
      </c>
      <c r="B430" s="875">
        <v>5.6702000000000004</v>
      </c>
      <c r="C430" s="875">
        <v>3.2444999999999999</v>
      </c>
      <c r="D430" s="875">
        <v>7.2988</v>
      </c>
      <c r="E430" s="875">
        <v>5.8551000000000002</v>
      </c>
      <c r="F430" s="875">
        <v>7.4284999999999997</v>
      </c>
      <c r="G430" s="875">
        <v>5.9474999999999998</v>
      </c>
      <c r="H430" s="875">
        <v>6.1932</v>
      </c>
      <c r="I430" s="875"/>
      <c r="J430" s="875">
        <v>5.2965999999999998</v>
      </c>
      <c r="K430" s="875"/>
      <c r="L430" s="875">
        <v>5.4786999999999999</v>
      </c>
      <c r="M430" s="875"/>
    </row>
    <row r="431" spans="1:13" x14ac:dyDescent="0.25">
      <c r="A431" s="894">
        <v>42803</v>
      </c>
      <c r="B431" s="875">
        <v>5.6547999999999998</v>
      </c>
      <c r="C431" s="875">
        <v>3.3001</v>
      </c>
      <c r="D431" s="875">
        <v>7.2561999999999998</v>
      </c>
      <c r="E431" s="875">
        <v>5.7945000000000002</v>
      </c>
      <c r="F431" s="875">
        <v>7.4126000000000003</v>
      </c>
      <c r="G431" s="875">
        <v>5.7535999999999996</v>
      </c>
      <c r="H431" s="875">
        <v>6.2146999999999997</v>
      </c>
      <c r="I431" s="875"/>
      <c r="J431" s="875">
        <v>5.2037000000000004</v>
      </c>
      <c r="K431" s="875"/>
      <c r="L431" s="875">
        <v>5.3621999999999996</v>
      </c>
      <c r="M431" s="875"/>
    </row>
    <row r="432" spans="1:13" x14ac:dyDescent="0.25">
      <c r="A432" s="894">
        <v>42802</v>
      </c>
      <c r="B432" s="875">
        <v>5.6723999999999997</v>
      </c>
      <c r="C432" s="875">
        <v>3.3351999999999999</v>
      </c>
      <c r="D432" s="875">
        <v>7.3269000000000002</v>
      </c>
      <c r="E432" s="875">
        <v>5.8535000000000004</v>
      </c>
      <c r="F432" s="875">
        <v>7.3734000000000002</v>
      </c>
      <c r="G432" s="875">
        <v>5.6108000000000002</v>
      </c>
      <c r="H432" s="875">
        <v>6.1680999999999999</v>
      </c>
      <c r="I432" s="875"/>
      <c r="J432" s="875">
        <v>5.2115</v>
      </c>
      <c r="K432" s="875"/>
      <c r="L432" s="875">
        <v>5.2740999999999998</v>
      </c>
      <c r="M432" s="875"/>
    </row>
    <row r="433" spans="1:13" x14ac:dyDescent="0.25">
      <c r="A433" s="894">
        <v>42801</v>
      </c>
      <c r="B433" s="875">
        <v>5.6391</v>
      </c>
      <c r="C433" s="875">
        <v>3.3641999999999999</v>
      </c>
      <c r="D433" s="875">
        <v>7.3250000000000002</v>
      </c>
      <c r="E433" s="875">
        <v>5.8613999999999997</v>
      </c>
      <c r="F433" s="875">
        <v>7.3611000000000004</v>
      </c>
      <c r="G433" s="875">
        <v>5.7224000000000004</v>
      </c>
      <c r="H433" s="875">
        <v>6.0990000000000002</v>
      </c>
      <c r="I433" s="875"/>
      <c r="J433" s="875">
        <v>5.1656000000000004</v>
      </c>
      <c r="K433" s="875"/>
      <c r="L433" s="875">
        <v>5.3330000000000002</v>
      </c>
      <c r="M433" s="875"/>
    </row>
    <row r="434" spans="1:13" x14ac:dyDescent="0.25">
      <c r="A434" s="894">
        <v>42800</v>
      </c>
      <c r="B434" s="875">
        <v>5.6112000000000002</v>
      </c>
      <c r="C434" s="875">
        <v>3.4403000000000001</v>
      </c>
      <c r="D434" s="875">
        <v>7.3192000000000004</v>
      </c>
      <c r="E434" s="875">
        <v>5.9874000000000001</v>
      </c>
      <c r="F434" s="875">
        <v>7.2991000000000001</v>
      </c>
      <c r="G434" s="875">
        <v>5.4863999999999997</v>
      </c>
      <c r="H434" s="875">
        <v>6.1395</v>
      </c>
      <c r="I434" s="875"/>
      <c r="J434" s="875">
        <v>5.2851999999999997</v>
      </c>
      <c r="K434" s="875"/>
      <c r="L434" s="875">
        <v>5.3281999999999998</v>
      </c>
      <c r="M434" s="875"/>
    </row>
    <row r="435" spans="1:13" x14ac:dyDescent="0.25">
      <c r="A435" s="894">
        <v>42797</v>
      </c>
      <c r="B435" s="875">
        <v>5.5141</v>
      </c>
      <c r="C435" s="875">
        <v>3.5402</v>
      </c>
      <c r="D435" s="875">
        <v>7.4558999999999997</v>
      </c>
      <c r="E435" s="875">
        <v>6.0979000000000001</v>
      </c>
      <c r="F435" s="875">
        <v>7.3311999999999999</v>
      </c>
      <c r="G435" s="875">
        <v>5.9001999999999999</v>
      </c>
      <c r="H435" s="875">
        <v>5.9097</v>
      </c>
      <c r="I435" s="875"/>
      <c r="J435" s="875">
        <v>5.2782</v>
      </c>
      <c r="K435" s="875"/>
      <c r="L435" s="875">
        <v>5.4062000000000001</v>
      </c>
      <c r="M435" s="875"/>
    </row>
    <row r="436" spans="1:13" x14ac:dyDescent="0.25">
      <c r="A436" s="894">
        <v>42796</v>
      </c>
      <c r="B436" s="875">
        <v>5.5446999999999997</v>
      </c>
      <c r="C436" s="875">
        <v>3.5272000000000001</v>
      </c>
      <c r="D436" s="875">
        <v>7.4623999999999997</v>
      </c>
      <c r="E436" s="875">
        <v>6.1017999999999999</v>
      </c>
      <c r="F436" s="875">
        <v>7.3212000000000002</v>
      </c>
      <c r="G436" s="875">
        <v>5.6670999999999996</v>
      </c>
      <c r="H436" s="875">
        <v>6.1848999999999998</v>
      </c>
      <c r="I436" s="875"/>
      <c r="J436" s="875">
        <v>5.3429000000000002</v>
      </c>
      <c r="K436" s="875"/>
      <c r="L436" s="875">
        <v>5.4267000000000003</v>
      </c>
      <c r="M436" s="875"/>
    </row>
    <row r="437" spans="1:13" x14ac:dyDescent="0.25">
      <c r="A437" s="894">
        <v>42795</v>
      </c>
      <c r="B437" s="875">
        <v>5.6256000000000004</v>
      </c>
      <c r="C437" s="875">
        <v>3.6410999999999998</v>
      </c>
      <c r="D437" s="875">
        <v>7.5618999999999996</v>
      </c>
      <c r="E437" s="875">
        <v>6.2194000000000003</v>
      </c>
      <c r="F437" s="875">
        <v>7.5511999999999997</v>
      </c>
      <c r="G437" s="875">
        <v>5.7695999999999996</v>
      </c>
      <c r="H437" s="875">
        <v>6.4820000000000002</v>
      </c>
      <c r="I437" s="875"/>
      <c r="J437" s="875">
        <v>5.5246000000000004</v>
      </c>
      <c r="K437" s="875"/>
      <c r="L437" s="875">
        <v>5.6631999999999998</v>
      </c>
      <c r="M437" s="875"/>
    </row>
    <row r="438" spans="1:13" x14ac:dyDescent="0.25">
      <c r="A438" s="894">
        <v>42794</v>
      </c>
      <c r="B438" s="875">
        <v>5.4763000000000002</v>
      </c>
      <c r="C438" s="875">
        <v>3.5950000000000002</v>
      </c>
      <c r="D438" s="875">
        <v>7.3693</v>
      </c>
      <c r="E438" s="875">
        <v>6.0109000000000004</v>
      </c>
      <c r="F438" s="875">
        <v>7.3869999999999996</v>
      </c>
      <c r="G438" s="875">
        <v>5.6543999999999999</v>
      </c>
      <c r="H438" s="875">
        <v>6.3544</v>
      </c>
      <c r="I438" s="875"/>
      <c r="J438" s="875">
        <v>5.3148999999999997</v>
      </c>
      <c r="K438" s="875"/>
      <c r="L438" s="875">
        <v>5.5552000000000001</v>
      </c>
      <c r="M438" s="875"/>
    </row>
    <row r="439" spans="1:13" x14ac:dyDescent="0.25">
      <c r="A439" s="894">
        <v>42793</v>
      </c>
      <c r="B439" s="875">
        <v>5.4968000000000004</v>
      </c>
      <c r="C439" s="875">
        <v>3.6696</v>
      </c>
      <c r="D439" s="875">
        <v>8.1145999999999994</v>
      </c>
      <c r="E439" s="875">
        <v>6.1159999999999997</v>
      </c>
      <c r="F439" s="875">
        <v>7.3760000000000003</v>
      </c>
      <c r="G439" s="875">
        <v>4.9890999999999996</v>
      </c>
      <c r="H439" s="875">
        <v>6.5689000000000002</v>
      </c>
      <c r="I439" s="875"/>
      <c r="J439" s="875">
        <v>5.4595000000000002</v>
      </c>
      <c r="K439" s="875"/>
      <c r="L439" s="875">
        <v>5.7035</v>
      </c>
      <c r="M439" s="875"/>
    </row>
    <row r="440" spans="1:13" x14ac:dyDescent="0.25">
      <c r="A440" s="894">
        <v>42790</v>
      </c>
      <c r="B440" s="875">
        <v>5.5202</v>
      </c>
      <c r="C440" s="875">
        <v>3.6436999999999999</v>
      </c>
      <c r="D440" s="875">
        <v>8.1221999999999994</v>
      </c>
      <c r="E440" s="875">
        <v>6.1478999999999999</v>
      </c>
      <c r="F440" s="875">
        <v>7.7423999999999999</v>
      </c>
      <c r="G440" s="875">
        <v>5.0692000000000004</v>
      </c>
      <c r="H440" s="875">
        <v>6.4969999999999999</v>
      </c>
      <c r="I440" s="875"/>
      <c r="J440" s="875">
        <v>5.3776999999999999</v>
      </c>
      <c r="K440" s="875"/>
      <c r="L440" s="875">
        <v>5.6886999999999999</v>
      </c>
      <c r="M440" s="875"/>
    </row>
    <row r="441" spans="1:13" x14ac:dyDescent="0.25">
      <c r="A441" s="894">
        <v>42789</v>
      </c>
      <c r="B441" s="875">
        <v>5.5401999999999996</v>
      </c>
      <c r="C441" s="875">
        <v>3.6535000000000002</v>
      </c>
      <c r="D441" s="875">
        <v>7.9819000000000004</v>
      </c>
      <c r="E441" s="875">
        <v>6.4073000000000002</v>
      </c>
      <c r="F441" s="875">
        <v>7.8155000000000001</v>
      </c>
      <c r="G441" s="875">
        <v>4.9335000000000004</v>
      </c>
      <c r="H441" s="875">
        <v>6.3648999999999996</v>
      </c>
      <c r="I441" s="875"/>
      <c r="J441" s="875">
        <v>5.3372999999999999</v>
      </c>
      <c r="K441" s="875"/>
      <c r="L441" s="875">
        <v>5.7933000000000003</v>
      </c>
      <c r="M441" s="875"/>
    </row>
    <row r="442" spans="1:13" x14ac:dyDescent="0.25">
      <c r="A442" s="894">
        <v>42788</v>
      </c>
      <c r="B442" s="875">
        <v>5.5449000000000002</v>
      </c>
      <c r="C442" s="875">
        <v>3.5935999999999999</v>
      </c>
      <c r="D442" s="875">
        <v>7.9924999999999997</v>
      </c>
      <c r="E442" s="875">
        <v>6.4416000000000002</v>
      </c>
      <c r="F442" s="875">
        <v>7.8521999999999998</v>
      </c>
      <c r="G442" s="875">
        <v>4.6311999999999998</v>
      </c>
      <c r="H442" s="875">
        <v>6.4829999999999997</v>
      </c>
      <c r="I442" s="875"/>
      <c r="J442" s="875">
        <v>5.4192</v>
      </c>
      <c r="K442" s="875"/>
      <c r="L442" s="875">
        <v>5.8087</v>
      </c>
      <c r="M442" s="875"/>
    </row>
    <row r="443" spans="1:13" x14ac:dyDescent="0.25">
      <c r="A443" s="894">
        <v>42787</v>
      </c>
      <c r="B443" s="875">
        <v>5.5556999999999999</v>
      </c>
      <c r="C443" s="875">
        <v>3.6878000000000002</v>
      </c>
      <c r="D443" s="875">
        <v>8.0417000000000005</v>
      </c>
      <c r="E443" s="875">
        <v>6.4447999999999999</v>
      </c>
      <c r="F443" s="875">
        <v>7.8776999999999999</v>
      </c>
      <c r="G443" s="875">
        <v>4.7381000000000002</v>
      </c>
      <c r="H443" s="875">
        <v>6.4215999999999998</v>
      </c>
      <c r="I443" s="875"/>
      <c r="J443" s="875">
        <v>5.4077999999999999</v>
      </c>
      <c r="K443" s="875"/>
      <c r="L443" s="875">
        <v>5.8091999999999997</v>
      </c>
      <c r="M443" s="875"/>
    </row>
    <row r="444" spans="1:13" x14ac:dyDescent="0.25">
      <c r="A444" s="894">
        <v>42783</v>
      </c>
      <c r="B444" s="875">
        <v>5.5117000000000003</v>
      </c>
      <c r="C444" s="875">
        <v>3.6461999999999999</v>
      </c>
      <c r="D444" s="875">
        <v>8.0292999999999992</v>
      </c>
      <c r="E444" s="875">
        <v>6.3853999999999997</v>
      </c>
      <c r="F444" s="875">
        <v>7.8478000000000003</v>
      </c>
      <c r="G444" s="875">
        <v>4.4179000000000004</v>
      </c>
      <c r="H444" s="875">
        <v>6.5170000000000003</v>
      </c>
      <c r="I444" s="875"/>
      <c r="J444" s="875">
        <v>5.3897000000000004</v>
      </c>
      <c r="K444" s="875"/>
      <c r="L444" s="875">
        <v>5.6363000000000003</v>
      </c>
      <c r="M444" s="875"/>
    </row>
    <row r="445" spans="1:13" x14ac:dyDescent="0.25">
      <c r="A445" s="894">
        <v>42782</v>
      </c>
      <c r="B445" s="875">
        <v>5.4752000000000001</v>
      </c>
      <c r="C445" s="875">
        <v>3.6009000000000002</v>
      </c>
      <c r="D445" s="875">
        <v>7.7564000000000002</v>
      </c>
      <c r="E445" s="875">
        <v>6.2271000000000001</v>
      </c>
      <c r="F445" s="875">
        <v>7.7868000000000004</v>
      </c>
      <c r="G445" s="875">
        <v>4.702</v>
      </c>
      <c r="H445" s="875">
        <v>6.7176999999999998</v>
      </c>
      <c r="I445" s="875"/>
      <c r="J445" s="875">
        <v>5.2683999999999997</v>
      </c>
      <c r="K445" s="875"/>
      <c r="L445" s="875">
        <v>5.6170999999999998</v>
      </c>
      <c r="M445" s="875"/>
    </row>
    <row r="446" spans="1:13" x14ac:dyDescent="0.25">
      <c r="A446" s="894">
        <v>42781</v>
      </c>
      <c r="B446" s="875">
        <v>5.5370999999999997</v>
      </c>
      <c r="C446" s="875">
        <v>3.6833</v>
      </c>
      <c r="D446" s="875">
        <v>7.9187000000000003</v>
      </c>
      <c r="E446" s="875">
        <v>6.2686999999999999</v>
      </c>
      <c r="F446" s="875">
        <v>7.9795999999999996</v>
      </c>
      <c r="G446" s="875">
        <v>4.3711000000000002</v>
      </c>
      <c r="H446" s="875">
        <v>6.7821999999999996</v>
      </c>
      <c r="I446" s="875"/>
      <c r="J446" s="875">
        <v>5.3288000000000002</v>
      </c>
      <c r="K446" s="875"/>
      <c r="L446" s="875">
        <v>5.4390999999999998</v>
      </c>
      <c r="M446" s="875"/>
    </row>
    <row r="447" spans="1:13" x14ac:dyDescent="0.25">
      <c r="A447" s="894">
        <v>42780</v>
      </c>
      <c r="B447" s="875">
        <v>5.4894999999999996</v>
      </c>
      <c r="C447" s="875">
        <v>3.6049000000000002</v>
      </c>
      <c r="D447" s="875">
        <v>7.8449999999999998</v>
      </c>
      <c r="E447" s="875">
        <v>6.1341000000000001</v>
      </c>
      <c r="F447" s="875">
        <v>7.8937999999999997</v>
      </c>
      <c r="G447" s="875">
        <v>4.1879</v>
      </c>
      <c r="H447" s="875">
        <v>6.8422000000000001</v>
      </c>
      <c r="I447" s="875"/>
      <c r="J447" s="875">
        <v>5.2144000000000004</v>
      </c>
      <c r="K447" s="875"/>
      <c r="L447" s="875">
        <v>5.3445999999999998</v>
      </c>
      <c r="M447" s="875"/>
    </row>
    <row r="448" spans="1:13" x14ac:dyDescent="0.25">
      <c r="A448" s="894">
        <v>42779</v>
      </c>
      <c r="B448" s="875">
        <v>5.4928999999999997</v>
      </c>
      <c r="C448" s="875">
        <v>3.5829</v>
      </c>
      <c r="D448" s="875">
        <v>7.77</v>
      </c>
      <c r="E448" s="875">
        <v>6.1574</v>
      </c>
      <c r="F448" s="875">
        <v>7.8017000000000003</v>
      </c>
      <c r="G448" s="875">
        <v>4.1477000000000004</v>
      </c>
      <c r="H448" s="875">
        <v>7.1233000000000004</v>
      </c>
      <c r="I448" s="875"/>
      <c r="J448" s="875">
        <v>5.3186999999999998</v>
      </c>
      <c r="K448" s="875"/>
      <c r="L448" s="875">
        <v>5.3563000000000001</v>
      </c>
      <c r="M448" s="875"/>
    </row>
    <row r="449" spans="1:13" x14ac:dyDescent="0.25">
      <c r="A449" s="894">
        <v>42776</v>
      </c>
      <c r="B449" s="875">
        <v>5.4824000000000002</v>
      </c>
      <c r="C449" s="875">
        <v>3.5807000000000002</v>
      </c>
      <c r="D449" s="875">
        <v>7.7957999999999998</v>
      </c>
      <c r="E449" s="875">
        <v>6.2291999999999996</v>
      </c>
      <c r="F449" s="875">
        <v>7.8800999999999997</v>
      </c>
      <c r="G449" s="875">
        <v>3.9731999999999998</v>
      </c>
      <c r="H449" s="875">
        <v>6.4702000000000002</v>
      </c>
      <c r="I449" s="875"/>
      <c r="J449" s="875">
        <v>5.3802000000000003</v>
      </c>
      <c r="K449" s="875"/>
      <c r="L449" s="875">
        <v>5.4793000000000003</v>
      </c>
      <c r="M449" s="875"/>
    </row>
    <row r="450" spans="1:13" x14ac:dyDescent="0.25">
      <c r="A450" s="894">
        <v>42775</v>
      </c>
      <c r="B450" s="875">
        <v>5.5091000000000001</v>
      </c>
      <c r="C450" s="875">
        <v>3.6013000000000002</v>
      </c>
      <c r="D450" s="875">
        <v>7.8438999999999997</v>
      </c>
      <c r="E450" s="875">
        <v>6.2476000000000003</v>
      </c>
      <c r="F450" s="875">
        <v>7.8654000000000002</v>
      </c>
      <c r="G450" s="875">
        <v>3.9721000000000002</v>
      </c>
      <c r="H450" s="875">
        <v>6.6643999999999997</v>
      </c>
      <c r="I450" s="875"/>
      <c r="J450" s="875">
        <v>5.5256999999999996</v>
      </c>
      <c r="K450" s="875"/>
      <c r="L450" s="875">
        <v>5.3789999999999996</v>
      </c>
      <c r="M450" s="875"/>
    </row>
    <row r="451" spans="1:13" x14ac:dyDescent="0.25">
      <c r="A451" s="894">
        <v>42774</v>
      </c>
      <c r="B451" s="875">
        <v>5.4905999999999997</v>
      </c>
      <c r="C451" s="875">
        <v>3.5973000000000002</v>
      </c>
      <c r="D451" s="875">
        <v>7.8315000000000001</v>
      </c>
      <c r="E451" s="875">
        <v>6.0782999999999996</v>
      </c>
      <c r="F451" s="875">
        <v>7.6802999999999999</v>
      </c>
      <c r="G451" s="875">
        <v>3.8696000000000002</v>
      </c>
      <c r="H451" s="875">
        <v>6.3601999999999999</v>
      </c>
      <c r="I451" s="875"/>
      <c r="J451" s="875">
        <v>4.7769000000000004</v>
      </c>
      <c r="K451" s="875"/>
      <c r="L451" s="875">
        <v>5.1265000000000001</v>
      </c>
      <c r="M451" s="875"/>
    </row>
    <row r="452" spans="1:13" x14ac:dyDescent="0.25">
      <c r="A452" s="894">
        <v>42773</v>
      </c>
      <c r="B452" s="875">
        <v>5.4611999999999998</v>
      </c>
      <c r="C452" s="875">
        <v>3.5676000000000001</v>
      </c>
      <c r="D452" s="875">
        <v>7.8640999999999996</v>
      </c>
      <c r="E452" s="875">
        <v>6.0548000000000002</v>
      </c>
      <c r="F452" s="875">
        <v>7.7382999999999997</v>
      </c>
      <c r="G452" s="875">
        <v>3.9049</v>
      </c>
      <c r="H452" s="875">
        <v>6.4865000000000004</v>
      </c>
      <c r="I452" s="875"/>
      <c r="J452" s="875">
        <v>4.8535000000000004</v>
      </c>
      <c r="K452" s="875"/>
      <c r="L452" s="875">
        <v>5.0716999999999999</v>
      </c>
      <c r="M452" s="875"/>
    </row>
    <row r="453" spans="1:13" x14ac:dyDescent="0.25">
      <c r="A453" s="894">
        <v>42772</v>
      </c>
      <c r="B453" s="875">
        <v>5.4337</v>
      </c>
      <c r="C453" s="875">
        <v>3.6149</v>
      </c>
      <c r="D453" s="875">
        <v>7.8037999999999998</v>
      </c>
      <c r="E453" s="875">
        <v>5.9672999999999998</v>
      </c>
      <c r="F453" s="875">
        <v>7.7324999999999999</v>
      </c>
      <c r="G453" s="875">
        <v>3.9462999999999999</v>
      </c>
      <c r="H453" s="875">
        <v>6.7816999999999998</v>
      </c>
      <c r="I453" s="875"/>
      <c r="J453" s="875">
        <v>4.8573000000000004</v>
      </c>
      <c r="K453" s="875"/>
      <c r="L453" s="875">
        <v>5.0614999999999997</v>
      </c>
      <c r="M453" s="875"/>
    </row>
    <row r="454" spans="1:13" x14ac:dyDescent="0.25">
      <c r="A454" s="894">
        <v>42769</v>
      </c>
      <c r="B454" s="875">
        <v>5.4732000000000003</v>
      </c>
      <c r="C454" s="875">
        <v>3.7187999999999999</v>
      </c>
      <c r="D454" s="875">
        <v>7.7218</v>
      </c>
      <c r="E454" s="875">
        <v>6.0240999999999998</v>
      </c>
      <c r="F454" s="875">
        <v>7.6657000000000002</v>
      </c>
      <c r="G454" s="875">
        <v>3.9712000000000001</v>
      </c>
      <c r="H454" s="875">
        <v>6.6894</v>
      </c>
      <c r="I454" s="875"/>
      <c r="J454" s="875">
        <v>4.8695000000000004</v>
      </c>
      <c r="K454" s="875"/>
      <c r="L454" s="875">
        <v>5.0704000000000002</v>
      </c>
      <c r="M454" s="875"/>
    </row>
    <row r="455" spans="1:13" x14ac:dyDescent="0.25">
      <c r="A455" s="894">
        <v>42768</v>
      </c>
      <c r="B455" s="875">
        <v>5.4678000000000004</v>
      </c>
      <c r="C455" s="875">
        <v>3.1471</v>
      </c>
      <c r="D455" s="875">
        <v>7.5487000000000002</v>
      </c>
      <c r="E455" s="875">
        <v>5.7481</v>
      </c>
      <c r="F455" s="875">
        <v>7.6128</v>
      </c>
      <c r="G455" s="875">
        <v>3.9866999999999999</v>
      </c>
      <c r="H455" s="875">
        <v>6.3852000000000002</v>
      </c>
      <c r="I455" s="875"/>
      <c r="J455" s="875">
        <v>4.7839</v>
      </c>
      <c r="K455" s="875"/>
      <c r="L455" s="875">
        <v>5.0111999999999997</v>
      </c>
      <c r="M455" s="875"/>
    </row>
    <row r="456" spans="1:13" x14ac:dyDescent="0.25">
      <c r="A456" s="894">
        <v>42767</v>
      </c>
      <c r="B456" s="875">
        <v>5.3655999999999997</v>
      </c>
      <c r="C456" s="875">
        <v>3.1958000000000002</v>
      </c>
      <c r="D456" s="875">
        <v>7.5269000000000004</v>
      </c>
      <c r="E456" s="875">
        <v>5.7492000000000001</v>
      </c>
      <c r="F456" s="875">
        <v>7.6950000000000003</v>
      </c>
      <c r="G456" s="875">
        <v>4.077</v>
      </c>
      <c r="H456" s="875">
        <v>6.3810000000000002</v>
      </c>
      <c r="I456" s="875"/>
      <c r="J456" s="875">
        <v>4.8208000000000002</v>
      </c>
      <c r="K456" s="875"/>
      <c r="L456" s="875">
        <v>4.9363000000000001</v>
      </c>
      <c r="M456" s="875"/>
    </row>
    <row r="457" spans="1:13" x14ac:dyDescent="0.25">
      <c r="A457" s="894">
        <v>42766</v>
      </c>
      <c r="B457" s="875">
        <v>5.4053000000000004</v>
      </c>
      <c r="C457" s="875">
        <v>3.1431</v>
      </c>
      <c r="D457" s="875">
        <v>7.6059000000000001</v>
      </c>
      <c r="E457" s="875">
        <v>5.7241999999999997</v>
      </c>
      <c r="F457" s="875">
        <v>7.7854999999999999</v>
      </c>
      <c r="G457" s="875">
        <v>4.0911999999999997</v>
      </c>
      <c r="H457" s="875">
        <v>6.1105999999999998</v>
      </c>
      <c r="I457" s="875"/>
      <c r="J457" s="875">
        <v>4.7164999999999999</v>
      </c>
      <c r="K457" s="875"/>
      <c r="L457" s="875">
        <v>4.7885999999999997</v>
      </c>
      <c r="M457" s="875"/>
    </row>
    <row r="458" spans="1:13" x14ac:dyDescent="0.25">
      <c r="A458" s="894">
        <v>42765</v>
      </c>
      <c r="B458" s="875">
        <v>5.4073000000000002</v>
      </c>
      <c r="C458" s="875">
        <v>3.1278000000000001</v>
      </c>
      <c r="D458" s="875">
        <v>7.6157000000000004</v>
      </c>
      <c r="E458" s="875">
        <v>5.7237999999999998</v>
      </c>
      <c r="F458" s="875">
        <v>7.7496</v>
      </c>
      <c r="G458" s="875">
        <v>4.1086</v>
      </c>
      <c r="H458" s="875">
        <v>6.1615000000000002</v>
      </c>
      <c r="I458" s="875"/>
      <c r="J458" s="875">
        <v>4.649</v>
      </c>
      <c r="K458" s="875"/>
      <c r="L458" s="875">
        <v>4.6635</v>
      </c>
      <c r="M458" s="875"/>
    </row>
    <row r="459" spans="1:13" x14ac:dyDescent="0.25">
      <c r="A459" s="894">
        <v>42762</v>
      </c>
      <c r="B459" s="875">
        <v>5.3766999999999996</v>
      </c>
      <c r="C459" s="875">
        <v>3.1659000000000002</v>
      </c>
      <c r="D459" s="875">
        <v>7.8292999999999999</v>
      </c>
      <c r="E459" s="875">
        <v>5.7182000000000004</v>
      </c>
      <c r="F459" s="875">
        <v>7.7629000000000001</v>
      </c>
      <c r="G459" s="875">
        <v>4.2805</v>
      </c>
      <c r="H459" s="875">
        <v>6.28</v>
      </c>
      <c r="I459" s="875"/>
      <c r="J459" s="875">
        <v>4.6837</v>
      </c>
      <c r="K459" s="875"/>
      <c r="L459" s="875">
        <v>4.8263999999999996</v>
      </c>
      <c r="M459" s="875"/>
    </row>
    <row r="460" spans="1:13" x14ac:dyDescent="0.25">
      <c r="A460" s="894">
        <v>42761</v>
      </c>
      <c r="B460" s="875">
        <v>5.3627000000000002</v>
      </c>
      <c r="C460" s="875">
        <v>3.1682000000000001</v>
      </c>
      <c r="D460" s="875">
        <v>7.7683999999999997</v>
      </c>
      <c r="E460" s="875">
        <v>5.7710999999999997</v>
      </c>
      <c r="F460" s="875">
        <v>7.7096</v>
      </c>
      <c r="G460" s="875">
        <v>4.2732000000000001</v>
      </c>
      <c r="H460" s="875">
        <v>6.3799000000000001</v>
      </c>
      <c r="I460" s="875"/>
      <c r="J460" s="875">
        <v>4.7365000000000004</v>
      </c>
      <c r="K460" s="875"/>
      <c r="L460" s="875">
        <v>4.8666999999999998</v>
      </c>
      <c r="M460" s="875"/>
    </row>
    <row r="461" spans="1:13" x14ac:dyDescent="0.25">
      <c r="A461" s="894">
        <v>42760</v>
      </c>
      <c r="B461" s="875">
        <v>5.4020000000000001</v>
      </c>
      <c r="C461" s="875">
        <v>3.1373000000000002</v>
      </c>
      <c r="D461" s="875">
        <v>7.8384</v>
      </c>
      <c r="E461" s="875">
        <v>5.8747999999999996</v>
      </c>
      <c r="F461" s="875">
        <v>7.5857999999999999</v>
      </c>
      <c r="G461" s="875">
        <v>4.2203999999999997</v>
      </c>
      <c r="H461" s="875">
        <v>6.1936999999999998</v>
      </c>
      <c r="I461" s="875"/>
      <c r="J461" s="875">
        <v>4.8761000000000001</v>
      </c>
      <c r="K461" s="875"/>
      <c r="L461" s="875">
        <v>5.016</v>
      </c>
      <c r="M461" s="875"/>
    </row>
    <row r="462" spans="1:13" x14ac:dyDescent="0.25">
      <c r="A462" s="894">
        <v>42759</v>
      </c>
      <c r="B462" s="875">
        <v>5.3121</v>
      </c>
      <c r="C462" s="875">
        <v>3.0169999999999999</v>
      </c>
      <c r="D462" s="875">
        <v>7.6334</v>
      </c>
      <c r="E462" s="875">
        <v>5.4024999999999999</v>
      </c>
      <c r="F462" s="875">
        <v>7.4180999999999999</v>
      </c>
      <c r="G462" s="875">
        <v>4.1079999999999997</v>
      </c>
      <c r="H462" s="875">
        <v>6.1234999999999999</v>
      </c>
      <c r="I462" s="875"/>
      <c r="J462" s="875">
        <v>4.8289999999999997</v>
      </c>
      <c r="K462" s="875"/>
      <c r="L462" s="875">
        <v>4.7057000000000002</v>
      </c>
      <c r="M462" s="875"/>
    </row>
    <row r="463" spans="1:13" x14ac:dyDescent="0.25">
      <c r="A463" s="894">
        <v>42758</v>
      </c>
      <c r="B463" s="875">
        <v>5.2503000000000002</v>
      </c>
      <c r="C463" s="875">
        <v>2.8662000000000001</v>
      </c>
      <c r="D463" s="875">
        <v>7.5842999999999998</v>
      </c>
      <c r="E463" s="875">
        <v>5.3216000000000001</v>
      </c>
      <c r="F463" s="875">
        <v>7.3521999999999998</v>
      </c>
      <c r="G463" s="875">
        <v>4.1330999999999998</v>
      </c>
      <c r="H463" s="875">
        <v>6.0750999999999999</v>
      </c>
      <c r="I463" s="875"/>
      <c r="J463" s="875">
        <v>4.7885</v>
      </c>
      <c r="K463" s="875"/>
      <c r="L463" s="875">
        <v>4.7050000000000001</v>
      </c>
      <c r="M463" s="875"/>
    </row>
    <row r="464" spans="1:13" x14ac:dyDescent="0.25">
      <c r="A464" s="894">
        <v>42755</v>
      </c>
      <c r="B464" s="875">
        <v>5.2450000000000001</v>
      </c>
      <c r="C464" s="875">
        <v>2.8853</v>
      </c>
      <c r="D464" s="875">
        <v>7.5606</v>
      </c>
      <c r="E464" s="875">
        <v>5.3341000000000003</v>
      </c>
      <c r="F464" s="875">
        <v>7.3723000000000001</v>
      </c>
      <c r="G464" s="875">
        <v>4.0590000000000002</v>
      </c>
      <c r="H464" s="875">
        <v>6.0502000000000002</v>
      </c>
      <c r="I464" s="875"/>
      <c r="J464" s="875">
        <v>4.7896000000000001</v>
      </c>
      <c r="K464" s="875"/>
      <c r="L464" s="875">
        <v>4.7184999999999997</v>
      </c>
      <c r="M464" s="875"/>
    </row>
    <row r="465" spans="1:13" x14ac:dyDescent="0.25">
      <c r="A465" s="894">
        <v>42754</v>
      </c>
      <c r="B465" s="875">
        <v>5.2167000000000003</v>
      </c>
      <c r="C465" s="875">
        <v>2.8793000000000002</v>
      </c>
      <c r="D465" s="875">
        <v>7.5930999999999997</v>
      </c>
      <c r="E465" s="875">
        <v>5.343</v>
      </c>
      <c r="F465" s="875">
        <v>7.3083</v>
      </c>
      <c r="G465" s="875">
        <v>4.0194000000000001</v>
      </c>
      <c r="H465" s="875">
        <v>6.0944000000000003</v>
      </c>
      <c r="I465" s="875"/>
      <c r="J465" s="875">
        <v>4.7234999999999996</v>
      </c>
      <c r="K465" s="875"/>
      <c r="L465" s="875">
        <v>4.7037000000000004</v>
      </c>
      <c r="M465" s="875"/>
    </row>
    <row r="466" spans="1:13" x14ac:dyDescent="0.25">
      <c r="A466" s="894">
        <v>42753</v>
      </c>
      <c r="B466" s="875">
        <v>5.2347000000000001</v>
      </c>
      <c r="C466" s="875">
        <v>2.8517000000000001</v>
      </c>
      <c r="D466" s="875">
        <v>7.6067</v>
      </c>
      <c r="E466" s="875">
        <v>5.4028</v>
      </c>
      <c r="F466" s="875">
        <v>7.3280000000000003</v>
      </c>
      <c r="G466" s="875">
        <v>4.0244999999999997</v>
      </c>
      <c r="H466" s="875">
        <v>5.8655999999999997</v>
      </c>
      <c r="I466" s="875"/>
      <c r="J466" s="875">
        <v>4.6393000000000004</v>
      </c>
      <c r="K466" s="875"/>
      <c r="L466" s="875">
        <v>4.7431999999999999</v>
      </c>
      <c r="M466" s="875"/>
    </row>
    <row r="467" spans="1:13" x14ac:dyDescent="0.25">
      <c r="A467" s="894">
        <v>42752</v>
      </c>
      <c r="B467" s="875">
        <v>5.1858000000000004</v>
      </c>
      <c r="C467" s="875">
        <v>2.8311000000000002</v>
      </c>
      <c r="D467" s="875">
        <v>7.4996999999999998</v>
      </c>
      <c r="E467" s="875">
        <v>5.2899000000000003</v>
      </c>
      <c r="F467" s="875">
        <v>7.2042000000000002</v>
      </c>
      <c r="G467" s="875">
        <v>4.0250000000000004</v>
      </c>
      <c r="H467" s="875">
        <v>5.9362000000000004</v>
      </c>
      <c r="I467" s="875"/>
      <c r="J467" s="875">
        <v>4.4607999999999999</v>
      </c>
      <c r="K467" s="875"/>
      <c r="L467" s="875">
        <v>4.8078000000000003</v>
      </c>
      <c r="M467" s="875"/>
    </row>
    <row r="468" spans="1:13" x14ac:dyDescent="0.25">
      <c r="A468" s="894">
        <v>42748</v>
      </c>
      <c r="B468" s="875">
        <v>5.2321</v>
      </c>
      <c r="C468" s="875">
        <v>2.9024999999999999</v>
      </c>
      <c r="D468" s="875">
        <v>7.4960000000000004</v>
      </c>
      <c r="E468" s="875">
        <v>5.6586999999999996</v>
      </c>
      <c r="F468" s="875">
        <v>7.4050000000000002</v>
      </c>
      <c r="G468" s="875">
        <v>4.0839999999999996</v>
      </c>
      <c r="H468" s="875">
        <v>5.9702999999999999</v>
      </c>
      <c r="I468" s="875"/>
      <c r="J468" s="875">
        <v>4.9572000000000003</v>
      </c>
      <c r="K468" s="875"/>
      <c r="L468" s="875">
        <v>4.8676000000000004</v>
      </c>
      <c r="M468" s="875"/>
    </row>
    <row r="469" spans="1:13" x14ac:dyDescent="0.25">
      <c r="A469" s="894">
        <v>42747</v>
      </c>
      <c r="B469" s="875">
        <v>5.2095000000000002</v>
      </c>
      <c r="C469" s="875">
        <v>2.8795999999999999</v>
      </c>
      <c r="D469" s="875">
        <v>7.4306000000000001</v>
      </c>
      <c r="E469" s="875">
        <v>5.6306000000000003</v>
      </c>
      <c r="F469" s="875">
        <v>7.4088000000000003</v>
      </c>
      <c r="G469" s="875">
        <v>4.0944000000000003</v>
      </c>
      <c r="H469" s="875">
        <v>5.9653999999999998</v>
      </c>
      <c r="I469" s="875"/>
      <c r="J469" s="875">
        <v>4.7934000000000001</v>
      </c>
      <c r="K469" s="875"/>
      <c r="L469" s="875">
        <v>4.8514999999999997</v>
      </c>
      <c r="M469" s="875"/>
    </row>
    <row r="470" spans="1:13" x14ac:dyDescent="0.25">
      <c r="A470" s="894">
        <v>42746</v>
      </c>
      <c r="B470" s="875">
        <v>5.2518000000000002</v>
      </c>
      <c r="C470" s="875">
        <v>2.9186000000000001</v>
      </c>
      <c r="D470" s="875">
        <v>7.6432000000000002</v>
      </c>
      <c r="E470" s="875">
        <v>5.7746000000000004</v>
      </c>
      <c r="F470" s="875">
        <v>7.4565999999999999</v>
      </c>
      <c r="G470" s="875">
        <v>4.1566999999999998</v>
      </c>
      <c r="H470" s="875">
        <v>5.9874000000000001</v>
      </c>
      <c r="I470" s="875"/>
      <c r="J470" s="875">
        <v>4.6814</v>
      </c>
      <c r="K470" s="875"/>
      <c r="L470" s="875">
        <v>4.9870000000000001</v>
      </c>
      <c r="M470" s="875"/>
    </row>
    <row r="471" spans="1:13" x14ac:dyDescent="0.25">
      <c r="A471" s="894">
        <v>42745</v>
      </c>
      <c r="B471" s="875">
        <v>5.1313000000000004</v>
      </c>
      <c r="C471" s="875">
        <v>2.919</v>
      </c>
      <c r="D471" s="875">
        <v>6.8978999999999999</v>
      </c>
      <c r="E471" s="875">
        <v>5.6064999999999996</v>
      </c>
      <c r="F471" s="875">
        <v>7.2601000000000004</v>
      </c>
      <c r="G471" s="875">
        <v>4.0231000000000003</v>
      </c>
      <c r="H471" s="875">
        <v>5.9580000000000002</v>
      </c>
      <c r="I471" s="875"/>
      <c r="J471" s="875">
        <v>4.5597000000000003</v>
      </c>
      <c r="K471" s="875"/>
      <c r="L471" s="875">
        <v>4.9207999999999998</v>
      </c>
      <c r="M471" s="875"/>
    </row>
    <row r="472" spans="1:13" x14ac:dyDescent="0.25">
      <c r="A472" s="894">
        <v>42744</v>
      </c>
      <c r="B472" s="875">
        <v>5.1334999999999997</v>
      </c>
      <c r="C472" s="875">
        <v>2.9251999999999998</v>
      </c>
      <c r="D472" s="875">
        <v>6.9450000000000003</v>
      </c>
      <c r="E472" s="875">
        <v>5.5616000000000003</v>
      </c>
      <c r="F472" s="875">
        <v>7.3014000000000001</v>
      </c>
      <c r="G472" s="875">
        <v>3.9619</v>
      </c>
      <c r="H472" s="875">
        <v>6.0415000000000001</v>
      </c>
      <c r="I472" s="875"/>
      <c r="J472" s="875">
        <v>4.6322000000000001</v>
      </c>
      <c r="K472" s="875"/>
      <c r="L472" s="875">
        <v>4.9305000000000003</v>
      </c>
      <c r="M472" s="875"/>
    </row>
    <row r="473" spans="1:13" x14ac:dyDescent="0.25">
      <c r="A473" s="894">
        <v>42741</v>
      </c>
      <c r="B473" s="875">
        <v>5.1261999999999999</v>
      </c>
      <c r="C473" s="875">
        <v>2.9049</v>
      </c>
      <c r="D473" s="875">
        <v>6.8579999999999997</v>
      </c>
      <c r="E473" s="875">
        <v>5.6222000000000003</v>
      </c>
      <c r="F473" s="875">
        <v>7.3253000000000004</v>
      </c>
      <c r="G473" s="875">
        <v>3.8544999999999998</v>
      </c>
      <c r="H473" s="875">
        <v>5.9405000000000001</v>
      </c>
      <c r="I473" s="875"/>
      <c r="J473" s="875">
        <v>4.4755000000000003</v>
      </c>
      <c r="K473" s="875"/>
      <c r="L473" s="875">
        <v>5.0003000000000002</v>
      </c>
      <c r="M473" s="875"/>
    </row>
    <row r="474" spans="1:13" x14ac:dyDescent="0.25">
      <c r="A474" s="894">
        <v>42740</v>
      </c>
      <c r="B474" s="875">
        <v>5.0593000000000004</v>
      </c>
      <c r="C474" s="875">
        <v>2.89</v>
      </c>
      <c r="D474" s="875">
        <v>6.7023999999999999</v>
      </c>
      <c r="E474" s="875">
        <v>5.4393000000000002</v>
      </c>
      <c r="F474" s="875">
        <v>7.0526999999999997</v>
      </c>
      <c r="G474" s="875">
        <v>3.8159000000000001</v>
      </c>
      <c r="H474" s="875">
        <v>6.0564</v>
      </c>
      <c r="I474" s="875"/>
      <c r="J474" s="875">
        <v>4.4455</v>
      </c>
      <c r="K474" s="875"/>
      <c r="L474" s="875">
        <v>4.8738999999999999</v>
      </c>
      <c r="M474" s="875"/>
    </row>
    <row r="475" spans="1:13" x14ac:dyDescent="0.25">
      <c r="A475" s="894">
        <v>42739</v>
      </c>
      <c r="B475" s="875">
        <v>5.0633999999999997</v>
      </c>
      <c r="C475" s="875">
        <v>2.8999000000000001</v>
      </c>
      <c r="D475" s="875">
        <v>6.6135999999999999</v>
      </c>
      <c r="E475" s="875">
        <v>5.4791999999999996</v>
      </c>
      <c r="F475" s="875">
        <v>7.0323000000000002</v>
      </c>
      <c r="G475" s="875">
        <v>3.7650999999999999</v>
      </c>
      <c r="H475" s="875">
        <v>5.9184000000000001</v>
      </c>
      <c r="I475" s="875"/>
      <c r="J475" s="875">
        <v>4.4249000000000001</v>
      </c>
      <c r="K475" s="875"/>
      <c r="L475" s="875">
        <v>4.7112999999999996</v>
      </c>
      <c r="M475" s="875"/>
    </row>
    <row r="476" spans="1:13" x14ac:dyDescent="0.25">
      <c r="A476" s="894">
        <v>42738</v>
      </c>
      <c r="B476" s="875">
        <v>4.9097999999999997</v>
      </c>
      <c r="C476" s="875">
        <v>2.7486999999999999</v>
      </c>
      <c r="D476" s="875">
        <v>6.3132000000000001</v>
      </c>
      <c r="E476" s="875">
        <v>5.2123999999999997</v>
      </c>
      <c r="F476" s="875">
        <v>6.7477</v>
      </c>
      <c r="G476" s="875">
        <v>3.7422</v>
      </c>
      <c r="H476" s="875">
        <v>5.7004000000000001</v>
      </c>
      <c r="I476" s="875"/>
      <c r="J476" s="875">
        <v>4.4065000000000003</v>
      </c>
      <c r="K476" s="875"/>
      <c r="L476" s="875">
        <v>4.5282</v>
      </c>
      <c r="M476" s="875"/>
    </row>
    <row r="477" spans="1:13" x14ac:dyDescent="0.25">
      <c r="A477" s="894">
        <v>42734</v>
      </c>
      <c r="B477" s="875">
        <v>4.7683999999999997</v>
      </c>
      <c r="C477" s="875">
        <v>2.6474000000000002</v>
      </c>
      <c r="D477" s="875">
        <v>6.0831</v>
      </c>
      <c r="E477" s="875">
        <v>5.0599999999999996</v>
      </c>
      <c r="F477" s="875">
        <v>6.633</v>
      </c>
      <c r="G477" s="875">
        <v>3.8603999999999998</v>
      </c>
      <c r="H477" s="875">
        <v>6.2908999999999997</v>
      </c>
      <c r="I477" s="875"/>
      <c r="J477" s="875">
        <v>4.1952999999999996</v>
      </c>
      <c r="K477" s="875"/>
      <c r="L477" s="875">
        <v>4.4462000000000002</v>
      </c>
      <c r="M477" s="875"/>
    </row>
    <row r="478" spans="1:13" x14ac:dyDescent="0.25">
      <c r="A478" s="894">
        <v>42733</v>
      </c>
      <c r="B478" s="875">
        <v>4.8232999999999997</v>
      </c>
      <c r="C478" s="875">
        <v>2.66</v>
      </c>
      <c r="D478" s="875">
        <v>6.1910999999999996</v>
      </c>
      <c r="E478" s="875">
        <v>5.1452999999999998</v>
      </c>
      <c r="F478" s="875">
        <v>6.7545999999999999</v>
      </c>
      <c r="G478" s="875">
        <v>4.1249000000000002</v>
      </c>
      <c r="H478" s="875">
        <v>6.5697999999999999</v>
      </c>
      <c r="I478" s="875"/>
      <c r="J478" s="875">
        <v>4.2489999999999997</v>
      </c>
      <c r="K478" s="875"/>
      <c r="L478" s="875">
        <v>4.4187000000000003</v>
      </c>
      <c r="M478" s="875"/>
    </row>
    <row r="479" spans="1:13" x14ac:dyDescent="0.25">
      <c r="A479" s="894">
        <v>42732</v>
      </c>
      <c r="B479" s="875">
        <v>4.8224</v>
      </c>
      <c r="C479" s="875">
        <v>2.6747999999999998</v>
      </c>
      <c r="D479" s="875">
        <v>6.1849999999999996</v>
      </c>
      <c r="E479" s="875">
        <v>5.1787999999999998</v>
      </c>
      <c r="F479" s="875">
        <v>6.7865000000000002</v>
      </c>
      <c r="G479" s="875">
        <v>4.1455000000000002</v>
      </c>
      <c r="H479" s="875">
        <v>6.8098999999999998</v>
      </c>
      <c r="I479" s="875"/>
      <c r="J479" s="875">
        <v>4.2645999999999997</v>
      </c>
      <c r="K479" s="875"/>
      <c r="L479" s="875">
        <v>4.3768000000000002</v>
      </c>
      <c r="M479" s="875"/>
    </row>
    <row r="480" spans="1:13" x14ac:dyDescent="0.25">
      <c r="A480" s="894">
        <v>42731</v>
      </c>
      <c r="B480" s="875">
        <v>4.8787000000000003</v>
      </c>
      <c r="C480" s="875">
        <v>2.7519</v>
      </c>
      <c r="D480" s="875">
        <v>6.3108000000000004</v>
      </c>
      <c r="E480" s="875">
        <v>5.33</v>
      </c>
      <c r="F480" s="875">
        <v>6.9462000000000002</v>
      </c>
      <c r="G480" s="875">
        <v>4.375</v>
      </c>
      <c r="H480" s="875">
        <v>7.4147999999999996</v>
      </c>
      <c r="I480" s="875"/>
      <c r="J480" s="875">
        <v>4.3853</v>
      </c>
      <c r="K480" s="875"/>
      <c r="L480" s="875">
        <v>4.4878</v>
      </c>
      <c r="M480" s="875"/>
    </row>
    <row r="481" spans="1:13" x14ac:dyDescent="0.25">
      <c r="A481" s="894">
        <v>42727</v>
      </c>
      <c r="B481" s="875">
        <v>4.8834999999999997</v>
      </c>
      <c r="C481" s="875">
        <v>2.7008000000000001</v>
      </c>
      <c r="D481" s="875">
        <v>6.2511000000000001</v>
      </c>
      <c r="E481" s="875">
        <v>5.2469999999999999</v>
      </c>
      <c r="F481" s="875">
        <v>6.8727</v>
      </c>
      <c r="G481" s="875">
        <v>4.4115000000000002</v>
      </c>
      <c r="H481" s="875">
        <v>7.3364000000000003</v>
      </c>
      <c r="I481" s="875"/>
      <c r="J481" s="875">
        <v>4.2257999999999996</v>
      </c>
      <c r="K481" s="875"/>
      <c r="L481" s="875">
        <v>4.3592000000000004</v>
      </c>
      <c r="M481" s="875"/>
    </row>
    <row r="482" spans="1:13" x14ac:dyDescent="0.25">
      <c r="A482" s="894">
        <v>42726</v>
      </c>
      <c r="B482" s="875">
        <v>4.8922999999999996</v>
      </c>
      <c r="C482" s="875">
        <v>2.6627000000000001</v>
      </c>
      <c r="D482" s="875">
        <v>6.1665000000000001</v>
      </c>
      <c r="E482" s="875">
        <v>5.2290999999999999</v>
      </c>
      <c r="F482" s="875">
        <v>6.7484000000000002</v>
      </c>
      <c r="G482" s="875">
        <v>4.4457000000000004</v>
      </c>
      <c r="H482" s="875">
        <v>7.2215999999999996</v>
      </c>
      <c r="I482" s="875"/>
      <c r="J482" s="875">
        <v>4.1985000000000001</v>
      </c>
      <c r="K482" s="875"/>
      <c r="L482" s="875">
        <v>4.5255000000000001</v>
      </c>
      <c r="M482" s="875"/>
    </row>
    <row r="483" spans="1:13" x14ac:dyDescent="0.25">
      <c r="A483" s="894">
        <v>42725</v>
      </c>
      <c r="B483" s="875">
        <v>4.9103000000000003</v>
      </c>
      <c r="C483" s="875">
        <v>2.7231999999999998</v>
      </c>
      <c r="D483" s="875">
        <v>6.3113999999999999</v>
      </c>
      <c r="E483" s="875">
        <v>5.3620999999999999</v>
      </c>
      <c r="F483" s="875">
        <v>7.0271999999999997</v>
      </c>
      <c r="G483" s="875">
        <v>4.4558</v>
      </c>
      <c r="H483" s="875">
        <v>7.9504000000000001</v>
      </c>
      <c r="I483" s="875"/>
      <c r="J483" s="875">
        <v>4.3852000000000002</v>
      </c>
      <c r="K483" s="875"/>
      <c r="L483" s="875">
        <v>4.5143000000000004</v>
      </c>
      <c r="M483" s="875"/>
    </row>
    <row r="484" spans="1:13" x14ac:dyDescent="0.25">
      <c r="A484" s="894">
        <v>42724</v>
      </c>
      <c r="B484" s="875">
        <v>4.8962000000000003</v>
      </c>
      <c r="C484" s="875">
        <v>2.7511999999999999</v>
      </c>
      <c r="D484" s="875">
        <v>6.3954000000000004</v>
      </c>
      <c r="E484" s="875">
        <v>5.3994</v>
      </c>
      <c r="F484" s="875">
        <v>7.1314000000000002</v>
      </c>
      <c r="G484" s="875">
        <v>4.5754000000000001</v>
      </c>
      <c r="H484" s="875">
        <v>6.7849000000000004</v>
      </c>
      <c r="I484" s="875"/>
      <c r="J484" s="875">
        <v>4.5442</v>
      </c>
      <c r="K484" s="875"/>
      <c r="L484" s="875">
        <v>4.5849000000000002</v>
      </c>
      <c r="M484" s="875"/>
    </row>
    <row r="485" spans="1:13" x14ac:dyDescent="0.25">
      <c r="A485" s="894">
        <v>42723</v>
      </c>
      <c r="B485" s="875">
        <v>4.875</v>
      </c>
      <c r="C485" s="875">
        <v>2.7896999999999998</v>
      </c>
      <c r="D485" s="875">
        <v>6.4494999999999996</v>
      </c>
      <c r="E485" s="875">
        <v>5.5270000000000001</v>
      </c>
      <c r="F485" s="875">
        <v>7.0631000000000004</v>
      </c>
      <c r="G485" s="875">
        <v>4.2849000000000004</v>
      </c>
      <c r="H485" s="875">
        <v>6.5975000000000001</v>
      </c>
      <c r="I485" s="875"/>
      <c r="J485" s="875">
        <v>4.4192999999999998</v>
      </c>
      <c r="K485" s="875"/>
      <c r="L485" s="875">
        <v>4.5941999999999998</v>
      </c>
      <c r="M485" s="875"/>
    </row>
    <row r="486" spans="1:13" x14ac:dyDescent="0.25">
      <c r="A486" s="894">
        <v>42720</v>
      </c>
      <c r="B486" s="875">
        <v>4.9035000000000002</v>
      </c>
      <c r="C486" s="875">
        <v>2.8723000000000001</v>
      </c>
      <c r="D486" s="875">
        <v>6.4420999999999999</v>
      </c>
      <c r="E486" s="875">
        <v>5.6073000000000004</v>
      </c>
      <c r="F486" s="875">
        <v>7.0810000000000004</v>
      </c>
      <c r="G486" s="875">
        <v>4.2903000000000002</v>
      </c>
      <c r="H486" s="875">
        <v>6.6298000000000004</v>
      </c>
      <c r="I486" s="875"/>
      <c r="J486" s="875">
        <v>4.5438999999999998</v>
      </c>
      <c r="K486" s="875"/>
      <c r="L486" s="875">
        <v>4.5358000000000001</v>
      </c>
      <c r="M486" s="875"/>
    </row>
    <row r="487" spans="1:13" x14ac:dyDescent="0.25">
      <c r="A487" s="894">
        <v>42719</v>
      </c>
      <c r="B487" s="875">
        <v>4.9324000000000003</v>
      </c>
      <c r="C487" s="875">
        <v>2.8906999999999998</v>
      </c>
      <c r="D487" s="875">
        <v>6.4894999999999996</v>
      </c>
      <c r="E487" s="875">
        <v>5.6032999999999999</v>
      </c>
      <c r="F487" s="875">
        <v>7.2335000000000003</v>
      </c>
      <c r="G487" s="875">
        <v>4.3392999999999997</v>
      </c>
      <c r="H487" s="875">
        <v>6.7361000000000004</v>
      </c>
      <c r="I487" s="875"/>
      <c r="J487" s="875">
        <v>4.4726999999999997</v>
      </c>
      <c r="K487" s="875"/>
      <c r="L487" s="875">
        <v>4.3909000000000002</v>
      </c>
      <c r="M487" s="875"/>
    </row>
    <row r="488" spans="1:13" x14ac:dyDescent="0.25">
      <c r="A488" s="894">
        <v>42718</v>
      </c>
      <c r="B488" s="875">
        <v>5.0129999999999999</v>
      </c>
      <c r="C488" s="875">
        <v>2.8712</v>
      </c>
      <c r="D488" s="875">
        <v>6.444</v>
      </c>
      <c r="E488" s="875">
        <v>5.6069000000000004</v>
      </c>
      <c r="F488" s="875">
        <v>7.1951000000000001</v>
      </c>
      <c r="G488" s="875">
        <v>4.1044</v>
      </c>
      <c r="H488" s="875">
        <v>6.7068000000000003</v>
      </c>
      <c r="I488" s="875"/>
      <c r="J488" s="875">
        <v>4.6463999999999999</v>
      </c>
      <c r="K488" s="875"/>
      <c r="L488" s="875">
        <v>4.6773999999999996</v>
      </c>
      <c r="M488" s="875"/>
    </row>
    <row r="489" spans="1:13" x14ac:dyDescent="0.25">
      <c r="A489" s="894">
        <v>42717</v>
      </c>
      <c r="B489" s="875">
        <v>5.0361000000000002</v>
      </c>
      <c r="C489" s="875">
        <v>2.9609000000000001</v>
      </c>
      <c r="D489" s="875">
        <v>6.62</v>
      </c>
      <c r="E489" s="875">
        <v>5.8090999999999999</v>
      </c>
      <c r="F489" s="875">
        <v>7.2426000000000004</v>
      </c>
      <c r="G489" s="875">
        <v>4.3106999999999998</v>
      </c>
      <c r="H489" s="875">
        <v>6.6521999999999997</v>
      </c>
      <c r="I489" s="875"/>
      <c r="J489" s="875">
        <v>4.7804000000000002</v>
      </c>
      <c r="K489" s="875"/>
      <c r="L489" s="875">
        <v>4.7793000000000001</v>
      </c>
      <c r="M489" s="875"/>
    </row>
    <row r="490" spans="1:13" x14ac:dyDescent="0.25">
      <c r="A490" s="894">
        <v>42716</v>
      </c>
      <c r="B490" s="875">
        <v>4.9531000000000001</v>
      </c>
      <c r="C490" s="875">
        <v>2.9476</v>
      </c>
      <c r="D490" s="875">
        <v>6.5694999999999997</v>
      </c>
      <c r="E490" s="875">
        <v>5.72</v>
      </c>
      <c r="F490" s="875">
        <v>7.1078999999999999</v>
      </c>
      <c r="G490" s="875">
        <v>4.3254000000000001</v>
      </c>
      <c r="H490" s="875">
        <v>6.6481000000000003</v>
      </c>
      <c r="I490" s="875"/>
      <c r="J490" s="875">
        <v>4.6386000000000003</v>
      </c>
      <c r="K490" s="875"/>
      <c r="L490" s="875">
        <v>4.7115</v>
      </c>
      <c r="M490" s="875"/>
    </row>
    <row r="491" spans="1:13" x14ac:dyDescent="0.25">
      <c r="A491" s="894">
        <v>42713</v>
      </c>
      <c r="B491" s="875">
        <v>5.0125999999999999</v>
      </c>
      <c r="C491" s="875">
        <v>3.0461999999999998</v>
      </c>
      <c r="D491" s="875">
        <v>6.6414</v>
      </c>
      <c r="E491" s="875">
        <v>5.7972999999999999</v>
      </c>
      <c r="F491" s="875">
        <v>7.2568999999999999</v>
      </c>
      <c r="G491" s="875">
        <v>4.0317999999999996</v>
      </c>
      <c r="H491" s="875">
        <v>6.6821000000000002</v>
      </c>
      <c r="I491" s="875"/>
      <c r="J491" s="875">
        <v>4.6479999999999997</v>
      </c>
      <c r="K491" s="875"/>
      <c r="L491" s="875">
        <v>4.8087999999999997</v>
      </c>
      <c r="M491" s="875"/>
    </row>
    <row r="492" spans="1:13" x14ac:dyDescent="0.25">
      <c r="A492" s="894">
        <v>42712</v>
      </c>
      <c r="B492" s="875">
        <v>5.0641999999999996</v>
      </c>
      <c r="C492" s="875">
        <v>3.0206</v>
      </c>
      <c r="D492" s="875">
        <v>6.7671999999999999</v>
      </c>
      <c r="E492" s="875">
        <v>5.7453000000000003</v>
      </c>
      <c r="F492" s="875">
        <v>7.3295000000000003</v>
      </c>
      <c r="G492" s="875">
        <v>4.0255999999999998</v>
      </c>
      <c r="H492" s="875">
        <v>7.0064000000000002</v>
      </c>
      <c r="I492" s="875"/>
      <c r="J492" s="875">
        <v>4.4370000000000003</v>
      </c>
      <c r="K492" s="875"/>
      <c r="L492" s="875">
        <v>5.0242000000000004</v>
      </c>
      <c r="M492" s="875"/>
    </row>
    <row r="493" spans="1:13" x14ac:dyDescent="0.25">
      <c r="A493" s="894">
        <v>42711</v>
      </c>
      <c r="B493" s="875">
        <v>5.0620000000000003</v>
      </c>
      <c r="C493" s="875">
        <v>3.0144000000000002</v>
      </c>
      <c r="D493" s="875">
        <v>6.8658000000000001</v>
      </c>
      <c r="E493" s="875">
        <v>5.6871</v>
      </c>
      <c r="F493" s="875">
        <v>7.3239000000000001</v>
      </c>
      <c r="G493" s="875">
        <v>4.0559000000000003</v>
      </c>
      <c r="H493" s="875">
        <v>7.1189</v>
      </c>
      <c r="I493" s="875"/>
      <c r="J493" s="875">
        <v>4.3017000000000003</v>
      </c>
      <c r="K493" s="875"/>
      <c r="L493" s="875">
        <v>5.0030000000000001</v>
      </c>
      <c r="M493" s="875"/>
    </row>
    <row r="494" spans="1:13" x14ac:dyDescent="0.25">
      <c r="A494" s="894">
        <v>42710</v>
      </c>
      <c r="B494" s="875">
        <v>4.9837999999999996</v>
      </c>
      <c r="C494" s="875">
        <v>2.9967000000000001</v>
      </c>
      <c r="D494" s="875">
        <v>6.9566999999999997</v>
      </c>
      <c r="E494" s="875">
        <v>5.6018999999999997</v>
      </c>
      <c r="F494" s="875">
        <v>7.2957000000000001</v>
      </c>
      <c r="G494" s="875">
        <v>4.1414999999999997</v>
      </c>
      <c r="H494" s="875">
        <v>7.4089999999999998</v>
      </c>
      <c r="I494" s="875"/>
      <c r="J494" s="875">
        <v>4.3105000000000002</v>
      </c>
      <c r="K494" s="875"/>
      <c r="L494" s="875">
        <v>5.0332999999999997</v>
      </c>
      <c r="M494" s="875"/>
    </row>
    <row r="495" spans="1:13" x14ac:dyDescent="0.25">
      <c r="A495" s="894">
        <v>42709</v>
      </c>
      <c r="B495" s="875">
        <v>4.9999000000000002</v>
      </c>
      <c r="C495" s="875">
        <v>3.0028000000000001</v>
      </c>
      <c r="D495" s="875">
        <v>6.9813999999999998</v>
      </c>
      <c r="E495" s="875">
        <v>5.6734</v>
      </c>
      <c r="F495" s="875">
        <v>7.3266999999999998</v>
      </c>
      <c r="G495" s="875">
        <v>3.9113000000000002</v>
      </c>
      <c r="H495" s="875">
        <v>7.0580999999999996</v>
      </c>
      <c r="I495" s="875"/>
      <c r="J495" s="875">
        <v>4.2866</v>
      </c>
      <c r="K495" s="875"/>
      <c r="L495" s="875">
        <v>5.0327000000000002</v>
      </c>
      <c r="M495" s="875"/>
    </row>
    <row r="496" spans="1:13" x14ac:dyDescent="0.25">
      <c r="A496" s="894">
        <v>42706</v>
      </c>
      <c r="B496" s="875">
        <v>4.8353999999999999</v>
      </c>
      <c r="C496" s="875">
        <v>2.9083999999999999</v>
      </c>
      <c r="D496" s="875">
        <v>6.7497999999999996</v>
      </c>
      <c r="E496" s="875">
        <v>5.3989000000000003</v>
      </c>
      <c r="F496" s="875">
        <v>7.0225999999999997</v>
      </c>
      <c r="G496" s="875">
        <v>3.8485</v>
      </c>
      <c r="H496" s="875">
        <v>6.9760999999999997</v>
      </c>
      <c r="I496" s="875"/>
      <c r="J496" s="875">
        <v>4.3170999999999999</v>
      </c>
      <c r="K496" s="875"/>
      <c r="L496" s="875">
        <v>5.0324</v>
      </c>
      <c r="M496" s="875"/>
    </row>
    <row r="497" spans="1:13" x14ac:dyDescent="0.25">
      <c r="A497" s="894">
        <v>42705</v>
      </c>
      <c r="B497" s="875">
        <v>4.8419999999999996</v>
      </c>
      <c r="C497" s="875">
        <v>2.895</v>
      </c>
      <c r="D497" s="875">
        <v>7.6277999999999997</v>
      </c>
      <c r="E497" s="875">
        <v>5.3632999999999997</v>
      </c>
      <c r="F497" s="875">
        <v>7.0719000000000003</v>
      </c>
      <c r="G497" s="875">
        <v>3.8325999999999998</v>
      </c>
      <c r="H497" s="875">
        <v>7.3602999999999996</v>
      </c>
      <c r="I497" s="875"/>
      <c r="J497" s="875">
        <v>4.2401999999999997</v>
      </c>
      <c r="K497" s="875"/>
      <c r="L497" s="875">
        <v>5.1353</v>
      </c>
      <c r="M497" s="875"/>
    </row>
    <row r="498" spans="1:13" x14ac:dyDescent="0.25">
      <c r="A498" s="894">
        <v>42704</v>
      </c>
      <c r="B498" s="875">
        <v>5.0956000000000001</v>
      </c>
      <c r="C498" s="875">
        <v>2.9575999999999998</v>
      </c>
      <c r="D498" s="875">
        <v>7.8654000000000002</v>
      </c>
      <c r="E498" s="875">
        <v>5.8719000000000001</v>
      </c>
      <c r="F498" s="875">
        <v>7.6483999999999996</v>
      </c>
      <c r="G498" s="875">
        <v>3.9150999999999998</v>
      </c>
      <c r="H498" s="875">
        <v>7.8880999999999997</v>
      </c>
      <c r="I498" s="875"/>
      <c r="J498" s="875">
        <v>4.3535000000000004</v>
      </c>
      <c r="K498" s="875"/>
      <c r="L498" s="875">
        <v>5.4870000000000001</v>
      </c>
      <c r="M498" s="875"/>
    </row>
    <row r="499" spans="1:13" x14ac:dyDescent="0.25">
      <c r="A499" s="894">
        <v>42703</v>
      </c>
      <c r="B499" s="875">
        <v>5.1649000000000003</v>
      </c>
      <c r="C499" s="875">
        <v>3.0015999999999998</v>
      </c>
      <c r="D499" s="875">
        <v>7.8452999999999999</v>
      </c>
      <c r="E499" s="875">
        <v>5.9179000000000004</v>
      </c>
      <c r="F499" s="875">
        <v>7.6806999999999999</v>
      </c>
      <c r="G499" s="875">
        <v>4.0042</v>
      </c>
      <c r="H499" s="875">
        <v>7.8163</v>
      </c>
      <c r="I499" s="875"/>
      <c r="J499" s="875">
        <v>4.4432</v>
      </c>
      <c r="K499" s="875"/>
      <c r="L499" s="875">
        <v>5.5594000000000001</v>
      </c>
      <c r="M499" s="875"/>
    </row>
    <row r="500" spans="1:13" x14ac:dyDescent="0.25">
      <c r="A500" s="894">
        <v>42702</v>
      </c>
      <c r="B500" s="875">
        <v>5.1684999999999999</v>
      </c>
      <c r="C500" s="875">
        <v>3.0333000000000001</v>
      </c>
      <c r="D500" s="875">
        <v>7.7641</v>
      </c>
      <c r="E500" s="875">
        <v>5.9549000000000003</v>
      </c>
      <c r="F500" s="875">
        <v>7.8196000000000003</v>
      </c>
      <c r="G500" s="875">
        <v>3.9409999999999998</v>
      </c>
      <c r="H500" s="875">
        <v>7.8845000000000001</v>
      </c>
      <c r="I500" s="875"/>
      <c r="J500" s="875">
        <v>4.5187999999999997</v>
      </c>
      <c r="K500" s="875"/>
      <c r="L500" s="875">
        <v>5.7358000000000002</v>
      </c>
      <c r="M500" s="875"/>
    </row>
    <row r="501" spans="1:13" x14ac:dyDescent="0.25">
      <c r="A501" s="894">
        <v>42699</v>
      </c>
      <c r="B501" s="875">
        <v>5.2294</v>
      </c>
      <c r="C501" s="875">
        <v>3.1490999999999998</v>
      </c>
      <c r="D501" s="875">
        <v>7.8208000000000002</v>
      </c>
      <c r="E501" s="875">
        <v>6.0701999999999998</v>
      </c>
      <c r="F501" s="875">
        <v>8.1028000000000002</v>
      </c>
      <c r="G501" s="875">
        <v>4.3228</v>
      </c>
      <c r="H501" s="875">
        <v>8.2033000000000005</v>
      </c>
      <c r="I501" s="875"/>
      <c r="J501" s="875">
        <v>4.6711999999999998</v>
      </c>
      <c r="K501" s="875"/>
      <c r="L501" s="875">
        <v>5.6740000000000004</v>
      </c>
      <c r="M501" s="875"/>
    </row>
    <row r="502" spans="1:13" x14ac:dyDescent="0.25">
      <c r="A502" s="894">
        <v>42697</v>
      </c>
      <c r="B502" s="875">
        <v>5.2480000000000002</v>
      </c>
      <c r="C502" s="875">
        <v>3.1356999999999999</v>
      </c>
      <c r="D502" s="875">
        <v>7.7747999999999999</v>
      </c>
      <c r="E502" s="875">
        <v>5.9930000000000003</v>
      </c>
      <c r="F502" s="875">
        <v>8.0442999999999998</v>
      </c>
      <c r="G502" s="875">
        <v>4.5026999999999999</v>
      </c>
      <c r="H502" s="875">
        <v>8.3656000000000006</v>
      </c>
      <c r="I502" s="875"/>
      <c r="J502" s="875">
        <v>4.6204000000000001</v>
      </c>
      <c r="K502" s="875"/>
      <c r="L502" s="875">
        <v>5.6734999999999998</v>
      </c>
      <c r="M502" s="875"/>
    </row>
    <row r="503" spans="1:13" x14ac:dyDescent="0.25">
      <c r="A503" s="894">
        <v>42696</v>
      </c>
      <c r="B503" s="875">
        <v>5.3703000000000003</v>
      </c>
      <c r="C503" s="875">
        <v>3.1878000000000002</v>
      </c>
      <c r="D503" s="875">
        <v>7.7965999999999998</v>
      </c>
      <c r="E503" s="875">
        <v>6.2530999999999999</v>
      </c>
      <c r="F503" s="875">
        <v>7.9813000000000001</v>
      </c>
      <c r="G503" s="875">
        <v>4.2781000000000002</v>
      </c>
      <c r="H503" s="875">
        <v>8.8178000000000001</v>
      </c>
      <c r="I503" s="875"/>
      <c r="J503" s="875">
        <v>4.7152000000000003</v>
      </c>
      <c r="K503" s="875"/>
      <c r="L503" s="875">
        <v>5.6577000000000002</v>
      </c>
      <c r="M503" s="875"/>
    </row>
    <row r="504" spans="1:13" x14ac:dyDescent="0.25">
      <c r="A504" s="894">
        <v>42695</v>
      </c>
      <c r="B504" s="875">
        <v>5.4151999999999996</v>
      </c>
      <c r="C504" s="875">
        <v>3.1726999999999999</v>
      </c>
      <c r="D504" s="875">
        <v>7.8757000000000001</v>
      </c>
      <c r="E504" s="875">
        <v>6.23</v>
      </c>
      <c r="F504" s="875">
        <v>8.0188000000000006</v>
      </c>
      <c r="G504" s="875">
        <v>4.3775000000000004</v>
      </c>
      <c r="H504" s="875">
        <v>8.6747999999999994</v>
      </c>
      <c r="I504" s="875"/>
      <c r="J504" s="875">
        <v>4.7484000000000002</v>
      </c>
      <c r="K504" s="875"/>
      <c r="L504" s="875">
        <v>5.6420000000000003</v>
      </c>
      <c r="M504" s="875"/>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8811C-87AC-45FC-8530-A0CB4CA4D01B}">
  <sheetPr codeName="Sheet10"/>
  <dimension ref="B2:V100"/>
  <sheetViews>
    <sheetView topLeftCell="A24" zoomScale="150" zoomScaleNormal="150" workbookViewId="0">
      <selection activeCell="B101" sqref="B101"/>
    </sheetView>
  </sheetViews>
  <sheetFormatPr defaultRowHeight="12" x14ac:dyDescent="0.2"/>
  <cols>
    <col min="1" max="16384" width="9.33203125" style="877"/>
  </cols>
  <sheetData>
    <row r="2" spans="2:22" x14ac:dyDescent="0.2">
      <c r="B2" s="876" t="s">
        <v>874</v>
      </c>
      <c r="V2" s="878" t="s">
        <v>913</v>
      </c>
    </row>
    <row r="3" spans="2:22" x14ac:dyDescent="0.2">
      <c r="B3" s="877" t="s">
        <v>875</v>
      </c>
      <c r="V3" s="877" t="s">
        <v>914</v>
      </c>
    </row>
    <row r="4" spans="2:22" x14ac:dyDescent="0.2">
      <c r="B4" s="877" t="s">
        <v>899</v>
      </c>
      <c r="V4" s="877" t="s">
        <v>915</v>
      </c>
    </row>
    <row r="5" spans="2:22" x14ac:dyDescent="0.2">
      <c r="B5" s="877" t="s">
        <v>900</v>
      </c>
      <c r="V5" s="877" t="s">
        <v>916</v>
      </c>
    </row>
    <row r="6" spans="2:22" x14ac:dyDescent="0.2">
      <c r="B6" s="877" t="s">
        <v>901</v>
      </c>
      <c r="V6" s="877" t="s">
        <v>917</v>
      </c>
    </row>
    <row r="7" spans="2:22" x14ac:dyDescent="0.2">
      <c r="B7" s="877" t="s">
        <v>902</v>
      </c>
      <c r="V7" s="877" t="s">
        <v>918</v>
      </c>
    </row>
    <row r="8" spans="2:22" x14ac:dyDescent="0.2">
      <c r="B8" s="877" t="s">
        <v>903</v>
      </c>
      <c r="V8" s="877" t="s">
        <v>919</v>
      </c>
    </row>
    <row r="9" spans="2:22" x14ac:dyDescent="0.2">
      <c r="B9" s="877" t="s">
        <v>904</v>
      </c>
      <c r="V9" s="877" t="s">
        <v>920</v>
      </c>
    </row>
    <row r="10" spans="2:22" x14ac:dyDescent="0.2">
      <c r="B10" s="877" t="s">
        <v>905</v>
      </c>
      <c r="V10" s="877" t="s">
        <v>921</v>
      </c>
    </row>
    <row r="11" spans="2:22" x14ac:dyDescent="0.2">
      <c r="V11" s="877" t="s">
        <v>922</v>
      </c>
    </row>
    <row r="12" spans="2:22" x14ac:dyDescent="0.2">
      <c r="V12" s="877" t="s">
        <v>923</v>
      </c>
    </row>
    <row r="14" spans="2:22" x14ac:dyDescent="0.2">
      <c r="V14" s="877" t="s">
        <v>924</v>
      </c>
    </row>
    <row r="15" spans="2:22" x14ac:dyDescent="0.2">
      <c r="V15" s="877" t="s">
        <v>925</v>
      </c>
    </row>
    <row r="16" spans="2:22" x14ac:dyDescent="0.2">
      <c r="V16" s="877" t="s">
        <v>926</v>
      </c>
    </row>
    <row r="17" spans="2:22" x14ac:dyDescent="0.2">
      <c r="V17" s="877" t="s">
        <v>927</v>
      </c>
    </row>
    <row r="18" spans="2:22" x14ac:dyDescent="0.2">
      <c r="V18" s="877" t="s">
        <v>928</v>
      </c>
    </row>
    <row r="19" spans="2:22" x14ac:dyDescent="0.2">
      <c r="V19" s="877" t="s">
        <v>929</v>
      </c>
    </row>
    <row r="20" spans="2:22" x14ac:dyDescent="0.2">
      <c r="V20" s="877" t="s">
        <v>930</v>
      </c>
    </row>
    <row r="21" spans="2:22" x14ac:dyDescent="0.2">
      <c r="V21" s="877" t="s">
        <v>931</v>
      </c>
    </row>
    <row r="22" spans="2:22" x14ac:dyDescent="0.2">
      <c r="B22" s="877" t="s">
        <v>906</v>
      </c>
    </row>
    <row r="23" spans="2:22" x14ac:dyDescent="0.2">
      <c r="V23" s="877" t="s">
        <v>932</v>
      </c>
    </row>
    <row r="24" spans="2:22" x14ac:dyDescent="0.2">
      <c r="B24" s="877" t="s">
        <v>907</v>
      </c>
      <c r="V24" s="877" t="s">
        <v>933</v>
      </c>
    </row>
    <row r="25" spans="2:22" x14ac:dyDescent="0.2">
      <c r="B25" s="877" t="s">
        <v>908</v>
      </c>
      <c r="V25" s="877" t="s">
        <v>934</v>
      </c>
    </row>
    <row r="26" spans="2:22" x14ac:dyDescent="0.2">
      <c r="B26" s="877" t="s">
        <v>909</v>
      </c>
      <c r="V26" s="877" t="s">
        <v>935</v>
      </c>
    </row>
    <row r="27" spans="2:22" x14ac:dyDescent="0.2">
      <c r="B27" s="877" t="s">
        <v>910</v>
      </c>
      <c r="V27" s="877" t="s">
        <v>936</v>
      </c>
    </row>
    <row r="28" spans="2:22" x14ac:dyDescent="0.2">
      <c r="V28" s="877" t="s">
        <v>937</v>
      </c>
    </row>
    <row r="29" spans="2:22" x14ac:dyDescent="0.2">
      <c r="B29" s="877" t="s">
        <v>911</v>
      </c>
      <c r="V29" s="877" t="s">
        <v>938</v>
      </c>
    </row>
    <row r="30" spans="2:22" x14ac:dyDescent="0.2">
      <c r="B30" s="877" t="s">
        <v>912</v>
      </c>
    </row>
    <row r="33" spans="2:2" x14ac:dyDescent="0.2">
      <c r="B33" s="878" t="s">
        <v>876</v>
      </c>
    </row>
    <row r="34" spans="2:2" x14ac:dyDescent="0.2">
      <c r="B34" s="877" t="s">
        <v>877</v>
      </c>
    </row>
    <row r="35" spans="2:2" x14ac:dyDescent="0.2">
      <c r="B35" s="877" t="s">
        <v>878</v>
      </c>
    </row>
    <row r="36" spans="2:2" x14ac:dyDescent="0.2">
      <c r="B36" s="877" t="s">
        <v>879</v>
      </c>
    </row>
    <row r="37" spans="2:2" x14ac:dyDescent="0.2">
      <c r="B37" s="877" t="s">
        <v>880</v>
      </c>
    </row>
    <row r="39" spans="2:2" x14ac:dyDescent="0.2">
      <c r="B39" s="877" t="s">
        <v>881</v>
      </c>
    </row>
    <row r="40" spans="2:2" x14ac:dyDescent="0.2">
      <c r="B40" s="877" t="s">
        <v>882</v>
      </c>
    </row>
    <row r="41" spans="2:2" x14ac:dyDescent="0.2">
      <c r="B41" s="877" t="s">
        <v>883</v>
      </c>
    </row>
    <row r="42" spans="2:2" x14ac:dyDescent="0.2">
      <c r="B42" s="877" t="s">
        <v>884</v>
      </c>
    </row>
    <row r="43" spans="2:2" x14ac:dyDescent="0.2">
      <c r="B43" s="877" t="s">
        <v>885</v>
      </c>
    </row>
    <row r="44" spans="2:2" x14ac:dyDescent="0.2">
      <c r="B44" s="877" t="s">
        <v>886</v>
      </c>
    </row>
    <row r="46" spans="2:2" x14ac:dyDescent="0.2">
      <c r="B46" s="877" t="s">
        <v>887</v>
      </c>
    </row>
    <row r="47" spans="2:2" x14ac:dyDescent="0.2">
      <c r="B47" s="877" t="s">
        <v>888</v>
      </c>
    </row>
    <row r="48" spans="2:2" x14ac:dyDescent="0.2">
      <c r="B48" s="877" t="s">
        <v>889</v>
      </c>
    </row>
    <row r="49" spans="2:2" x14ac:dyDescent="0.2">
      <c r="B49" s="877" t="s">
        <v>890</v>
      </c>
    </row>
    <row r="50" spans="2:2" x14ac:dyDescent="0.2">
      <c r="B50" s="877" t="s">
        <v>891</v>
      </c>
    </row>
    <row r="52" spans="2:2" x14ac:dyDescent="0.2">
      <c r="B52" s="877" t="s">
        <v>887</v>
      </c>
    </row>
    <row r="53" spans="2:2" x14ac:dyDescent="0.2">
      <c r="B53" s="877" t="s">
        <v>888</v>
      </c>
    </row>
    <row r="54" spans="2:2" x14ac:dyDescent="0.2">
      <c r="B54" s="877" t="s">
        <v>889</v>
      </c>
    </row>
    <row r="55" spans="2:2" x14ac:dyDescent="0.2">
      <c r="B55" s="877" t="s">
        <v>890</v>
      </c>
    </row>
    <row r="56" spans="2:2" x14ac:dyDescent="0.2">
      <c r="B56" s="877" t="s">
        <v>891</v>
      </c>
    </row>
    <row r="58" spans="2:2" x14ac:dyDescent="0.2">
      <c r="B58" s="877" t="s">
        <v>892</v>
      </c>
    </row>
    <row r="59" spans="2:2" x14ac:dyDescent="0.2">
      <c r="B59" s="877" t="s">
        <v>893</v>
      </c>
    </row>
    <row r="60" spans="2:2" x14ac:dyDescent="0.2">
      <c r="B60" s="877" t="s">
        <v>894</v>
      </c>
    </row>
    <row r="61" spans="2:2" x14ac:dyDescent="0.2">
      <c r="B61" s="877" t="s">
        <v>895</v>
      </c>
    </row>
    <row r="62" spans="2:2" x14ac:dyDescent="0.2">
      <c r="B62" s="877" t="s">
        <v>896</v>
      </c>
    </row>
    <row r="63" spans="2:2" x14ac:dyDescent="0.2">
      <c r="B63" s="877" t="s">
        <v>897</v>
      </c>
    </row>
    <row r="64" spans="2:2" x14ac:dyDescent="0.2">
      <c r="B64" s="877" t="s">
        <v>898</v>
      </c>
    </row>
    <row r="66" spans="2:2" x14ac:dyDescent="0.2">
      <c r="B66" s="878" t="s">
        <v>939</v>
      </c>
    </row>
    <row r="67" spans="2:2" x14ac:dyDescent="0.2">
      <c r="B67" s="879" t="s">
        <v>940</v>
      </c>
    </row>
    <row r="68" spans="2:2" x14ac:dyDescent="0.2">
      <c r="B68" s="879" t="s">
        <v>941</v>
      </c>
    </row>
    <row r="70" spans="2:2" x14ac:dyDescent="0.2">
      <c r="B70" s="877" t="s">
        <v>942</v>
      </c>
    </row>
    <row r="71" spans="2:2" x14ac:dyDescent="0.2">
      <c r="B71" s="877" t="s">
        <v>946</v>
      </c>
    </row>
    <row r="72" spans="2:2" x14ac:dyDescent="0.2">
      <c r="B72" s="877" t="s">
        <v>943</v>
      </c>
    </row>
    <row r="73" spans="2:2" x14ac:dyDescent="0.2">
      <c r="B73" s="877" t="s">
        <v>944</v>
      </c>
    </row>
    <row r="74" spans="2:2" x14ac:dyDescent="0.2">
      <c r="B74" s="877" t="s">
        <v>945</v>
      </c>
    </row>
    <row r="76" spans="2:2" x14ac:dyDescent="0.2">
      <c r="B76" s="877" t="s">
        <v>947</v>
      </c>
    </row>
    <row r="77" spans="2:2" x14ac:dyDescent="0.2">
      <c r="B77" s="877" t="s">
        <v>948</v>
      </c>
    </row>
    <row r="78" spans="2:2" x14ac:dyDescent="0.2">
      <c r="B78" s="877" t="s">
        <v>949</v>
      </c>
    </row>
    <row r="79" spans="2:2" x14ac:dyDescent="0.2">
      <c r="B79" s="877" t="s">
        <v>950</v>
      </c>
    </row>
    <row r="80" spans="2:2" x14ac:dyDescent="0.2">
      <c r="B80" s="877" t="s">
        <v>951</v>
      </c>
    </row>
    <row r="81" spans="2:2" x14ac:dyDescent="0.2">
      <c r="B81" s="877" t="s">
        <v>952</v>
      </c>
    </row>
    <row r="83" spans="2:2" x14ac:dyDescent="0.2">
      <c r="B83" s="877" t="s">
        <v>953</v>
      </c>
    </row>
    <row r="84" spans="2:2" x14ac:dyDescent="0.2">
      <c r="B84" s="877" t="s">
        <v>954</v>
      </c>
    </row>
    <row r="85" spans="2:2" x14ac:dyDescent="0.2">
      <c r="B85" s="877" t="s">
        <v>955</v>
      </c>
    </row>
    <row r="86" spans="2:2" x14ac:dyDescent="0.2">
      <c r="B86" s="877" t="s">
        <v>956</v>
      </c>
    </row>
    <row r="87" spans="2:2" x14ac:dyDescent="0.2">
      <c r="B87" s="877" t="s">
        <v>957</v>
      </c>
    </row>
    <row r="88" spans="2:2" x14ac:dyDescent="0.2">
      <c r="B88" s="877" t="s">
        <v>958</v>
      </c>
    </row>
    <row r="90" spans="2:2" x14ac:dyDescent="0.2">
      <c r="B90" s="879" t="s">
        <v>959</v>
      </c>
    </row>
    <row r="91" spans="2:2" x14ac:dyDescent="0.2">
      <c r="B91" s="879" t="s">
        <v>960</v>
      </c>
    </row>
    <row r="93" spans="2:2" x14ac:dyDescent="0.2">
      <c r="B93" s="877" t="s">
        <v>961</v>
      </c>
    </row>
    <row r="94" spans="2:2" x14ac:dyDescent="0.2">
      <c r="B94" s="877" t="s">
        <v>962</v>
      </c>
    </row>
    <row r="95" spans="2:2" x14ac:dyDescent="0.2">
      <c r="B95" s="877" t="s">
        <v>963</v>
      </c>
    </row>
    <row r="96" spans="2:2" x14ac:dyDescent="0.2">
      <c r="B96" s="877" t="s">
        <v>964</v>
      </c>
    </row>
    <row r="97" spans="2:2" x14ac:dyDescent="0.2">
      <c r="B97" s="877" t="s">
        <v>965</v>
      </c>
    </row>
    <row r="98" spans="2:2" x14ac:dyDescent="0.2">
      <c r="B98" s="877" t="s">
        <v>966</v>
      </c>
    </row>
    <row r="99" spans="2:2" x14ac:dyDescent="0.2">
      <c r="B99" s="877" t="s">
        <v>967</v>
      </c>
    </row>
    <row r="100" spans="2:2" x14ac:dyDescent="0.2">
      <c r="B100" s="877" t="s">
        <v>968</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DF4BACEEBA3C14C87EE0A6AE181EECC" ma:contentTypeVersion="0" ma:contentTypeDescription="Create a new document." ma:contentTypeScope="" ma:versionID="9f4ac0f8de525f37cdade05303f22af9">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AC3A84-D69A-4F96-85AB-0E079AC46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5A71751-7566-4D3C-BAFD-29F49BCA624B}">
  <ds:schemaRefs>
    <ds:schemaRef ds:uri="http://purl.org/dc/terms/"/>
    <ds:schemaRef ds:uri="http://purl.org/dc/elements/1.1/"/>
    <ds:schemaRef ds:uri="http://purl.org/dc/dcmitype/"/>
    <ds:schemaRef ds:uri="http://schemas.microsoft.com/office/2006/metadata/properties"/>
    <ds:schemaRef ds:uri="http://schemas.microsoft.com/office/2006/documentManagement/types"/>
    <ds:schemaRef ds:uri="http://www.w3.org/XML/1998/namespace"/>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003E5DF7-E59B-42E9-B9D3-F8668FB0A0D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25</vt:i4>
      </vt:variant>
    </vt:vector>
  </HeadingPairs>
  <TitlesOfParts>
    <vt:vector size="43" baseType="lpstr">
      <vt:lpstr>Summary</vt:lpstr>
      <vt:lpstr>DCF</vt:lpstr>
      <vt:lpstr>Scenario</vt:lpstr>
      <vt:lpstr>Income</vt:lpstr>
      <vt:lpstr>Balance</vt:lpstr>
      <vt:lpstr>Cash Flow</vt:lpstr>
      <vt:lpstr>LiveRamp</vt:lpstr>
      <vt:lpstr>Acxiom Marketing Solutions</vt:lpstr>
      <vt:lpstr>Connectivity</vt:lpstr>
      <vt:lpstr>Audience Solutions</vt:lpstr>
      <vt:lpstr>Marketing Services</vt:lpstr>
      <vt:lpstr>Debt</vt:lpstr>
      <vt:lpstr>Variance</vt:lpstr>
      <vt:lpstr>Guidance</vt:lpstr>
      <vt:lpstr>Qtr Summary</vt:lpstr>
      <vt:lpstr>Current Comps</vt:lpstr>
      <vt:lpstr>Sheet1</vt:lpstr>
      <vt:lpstr>Notes</vt:lpstr>
      <vt:lpstr>Estimates</vt:lpstr>
      <vt:lpstr>Market_capitalization</vt:lpstr>
      <vt:lpstr>'Acxiom Marketing Solutions'!Print_Area</vt:lpstr>
      <vt:lpstr>'Audience Solutions'!Print_Area</vt:lpstr>
      <vt:lpstr>Balance!Print_Area</vt:lpstr>
      <vt:lpstr>'Cash Flow'!Print_Area</vt:lpstr>
      <vt:lpstr>Connectivity!Print_Area</vt:lpstr>
      <vt:lpstr>'Current Comps'!Print_Area</vt:lpstr>
      <vt:lpstr>DCF!Print_Area</vt:lpstr>
      <vt:lpstr>Guidance!Print_Area</vt:lpstr>
      <vt:lpstr>Income!Print_Area</vt:lpstr>
      <vt:lpstr>LiveRamp!Print_Area</vt:lpstr>
      <vt:lpstr>'Marketing Services'!Print_Area</vt:lpstr>
      <vt:lpstr>'Qtr Summary'!Print_Area</vt:lpstr>
      <vt:lpstr>Scenario!Print_Area</vt:lpstr>
      <vt:lpstr>Summary!Print_Area</vt:lpstr>
      <vt:lpstr>'Acxiom Marketing Solutions'!Print_Titles</vt:lpstr>
      <vt:lpstr>'Audience Solutions'!Print_Titles</vt:lpstr>
      <vt:lpstr>Balance!Print_Titles</vt:lpstr>
      <vt:lpstr>'Cash Flow'!Print_Titles</vt:lpstr>
      <vt:lpstr>Connectivity!Print_Titles</vt:lpstr>
      <vt:lpstr>Income!Print_Titles</vt:lpstr>
      <vt:lpstr>LiveRamp!Print_Titles</vt:lpstr>
      <vt:lpstr>'Marketing Services'!Print_Titles</vt:lpstr>
      <vt:lpstr>Valuation__based_on_sum_of_assets</vt:lpstr>
    </vt:vector>
  </TitlesOfParts>
  <Company>PaineWebber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Wester-L</dc:creator>
  <cp:lastModifiedBy>Ted Chen</cp:lastModifiedBy>
  <cp:lastPrinted>2018-11-19T14:12:07Z</cp:lastPrinted>
  <dcterms:created xsi:type="dcterms:W3CDTF">1997-10-27T19:56:48Z</dcterms:created>
  <dcterms:modified xsi:type="dcterms:W3CDTF">2018-11-29T15:53:24Z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UTOPEABusinessType">
    <vt:lpwstr>Equity</vt:lpwstr>
  </property>
  <property fmtid="{D5CDD505-2E9C-101B-9397-08002B2CF9AE}" pid="3" name="=fdsSearchOrder">
    <vt:i4>0</vt:i4>
  </property>
  <property fmtid="{D5CDD505-2E9C-101B-9397-08002B2CF9AE}" pid="4" name="Id">
    <vt:lpwstr>ef8c66de-7e64-41d5-8c7a-4a1e646692a2</vt:lpwstr>
  </property>
  <property fmtid="{D5CDD505-2E9C-101B-9397-08002B2CF9AE}" pid="5" name="ContentTypeId">
    <vt:lpwstr>0x010100EDF4BACEEBA3C14C87EE0A6AE181EECC</vt:lpwstr>
  </property>
</Properties>
</file>